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SerovDen\Desktop\"/>
    </mc:Choice>
  </mc:AlternateContent>
  <xr:revisionPtr revIDLastSave="0" documentId="8_{D9A6B72C-8089-46B8-BB9E-06091AADC2E9}" xr6:coauthVersionLast="47" xr6:coauthVersionMax="47" xr10:uidLastSave="{00000000-0000-0000-0000-000000000000}"/>
  <bookViews>
    <workbookView xWindow="28680" yWindow="-120" windowWidth="29040" windowHeight="17640" tabRatio="676"/>
  </bookViews>
  <sheets>
    <sheet name="Задание-новое" sheetId="27" r:id="rId1"/>
    <sheet name="Задание " sheetId="3" state="hidden" r:id="rId2"/>
    <sheet name="Пастила " sheetId="22" state="hidden" r:id="rId3"/>
    <sheet name="Резка пастилы" sheetId="24" state="hidden" r:id="rId4"/>
  </sheets>
  <definedNames>
    <definedName name="_xlnm._FilterDatabase" localSheetId="0" hidden="1">'Задание-новое'!$A$7:$AC$3248</definedName>
    <definedName name="_xlnm._FilterDatabase" localSheetId="2" hidden="1">'Пастила '!$A$7:$W$24</definedName>
    <definedName name="_xlnm._FilterDatabase" localSheetId="3" hidden="1">'Резка пастилы'!$A$7:$T$24</definedName>
    <definedName name="_xlnm.Print_Area" localSheetId="0">'Задание-новое'!$A$1:$Y$3188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2" i="27" l="1"/>
  <c r="E1181" i="27"/>
  <c r="AA1181" i="27"/>
  <c r="C2955" i="27"/>
  <c r="D2955" i="27"/>
  <c r="E2955" i="27"/>
  <c r="Z2955" i="27"/>
  <c r="AA2955" i="27"/>
  <c r="C1992" i="27"/>
  <c r="D1992" i="27"/>
  <c r="E1992" i="27"/>
  <c r="C1663" i="27"/>
  <c r="C2065" i="27"/>
  <c r="D2065" i="27"/>
  <c r="E2065" i="27"/>
  <c r="C1450" i="27"/>
  <c r="D2168" i="27"/>
  <c r="E2168" i="27"/>
  <c r="AA2168" i="27"/>
  <c r="D1047" i="27"/>
  <c r="E1047" i="27"/>
  <c r="Z1047" i="27"/>
  <c r="AA1047" i="27"/>
  <c r="D866" i="27"/>
  <c r="E866" i="27"/>
  <c r="F866" i="27"/>
  <c r="M866" i="27"/>
  <c r="G866" i="27"/>
  <c r="D679" i="27"/>
  <c r="E679" i="27"/>
  <c r="D449" i="27"/>
  <c r="E449" i="27"/>
  <c r="Z449" i="27"/>
  <c r="AA449" i="27"/>
  <c r="D219" i="27"/>
  <c r="E219" i="27"/>
  <c r="Z219" i="27"/>
  <c r="AA219" i="27"/>
  <c r="D2559" i="27"/>
  <c r="E2559" i="27"/>
  <c r="C2452" i="27"/>
  <c r="D2452" i="27"/>
  <c r="E2452" i="27"/>
  <c r="U2452" i="27"/>
  <c r="C2353" i="27"/>
  <c r="D2353" i="27"/>
  <c r="E2353" i="27"/>
  <c r="Z2353" i="27"/>
  <c r="AA2353" i="27"/>
  <c r="C1799" i="27"/>
  <c r="C1291" i="27"/>
  <c r="C1383" i="27"/>
  <c r="D1383" i="27"/>
  <c r="E1383" i="27"/>
  <c r="D1155" i="27"/>
  <c r="E1155" i="27"/>
  <c r="D974" i="27"/>
  <c r="E974" i="27"/>
  <c r="D794" i="27"/>
  <c r="E794" i="27"/>
  <c r="F794" i="27"/>
  <c r="M794" i="27"/>
  <c r="D566" i="27"/>
  <c r="E566" i="27"/>
  <c r="D336" i="27"/>
  <c r="E336" i="27"/>
  <c r="C2331" i="27"/>
  <c r="D2331" i="27"/>
  <c r="E2331" i="27"/>
  <c r="Z2331" i="27"/>
  <c r="AA2331" i="27"/>
  <c r="C1778" i="27"/>
  <c r="C1277" i="27"/>
  <c r="D1277" i="27"/>
  <c r="E1277" i="27"/>
  <c r="D1143" i="27"/>
  <c r="E1143" i="27"/>
  <c r="D953" i="27"/>
  <c r="E953" i="27"/>
  <c r="D781" i="27"/>
  <c r="E781" i="27"/>
  <c r="D547" i="27"/>
  <c r="E547" i="27"/>
  <c r="D317" i="27"/>
  <c r="E317" i="27"/>
  <c r="C2852" i="27"/>
  <c r="D2852" i="27"/>
  <c r="E2852" i="27"/>
  <c r="C2763" i="27"/>
  <c r="D2763" i="27"/>
  <c r="E2763" i="27"/>
  <c r="U2763" i="27"/>
  <c r="C2673" i="27"/>
  <c r="D2673" i="27"/>
  <c r="E2673" i="27"/>
  <c r="U2673" i="27"/>
  <c r="C2850" i="27"/>
  <c r="D2850" i="27"/>
  <c r="E2850" i="27"/>
  <c r="C2761" i="27"/>
  <c r="D2761" i="27"/>
  <c r="E2761" i="27"/>
  <c r="C2671" i="27"/>
  <c r="D2671" i="27"/>
  <c r="E2671" i="27"/>
  <c r="C2851" i="27"/>
  <c r="D2851" i="27"/>
  <c r="E2851" i="27"/>
  <c r="C2762" i="27"/>
  <c r="D2762" i="27"/>
  <c r="E2762" i="27"/>
  <c r="F2762" i="27"/>
  <c r="M2762" i="27"/>
  <c r="C2672" i="27"/>
  <c r="D2672" i="27"/>
  <c r="E2672" i="27"/>
  <c r="Z2672" i="27"/>
  <c r="AA2672" i="27"/>
  <c r="C2849" i="27"/>
  <c r="D2849" i="27"/>
  <c r="E2849" i="27"/>
  <c r="F2849" i="27"/>
  <c r="M2849" i="27"/>
  <c r="C2760" i="27"/>
  <c r="D2760" i="27"/>
  <c r="E2760" i="27"/>
  <c r="C2670" i="27"/>
  <c r="D2670" i="27"/>
  <c r="E2670" i="27"/>
  <c r="U2670" i="27"/>
  <c r="C2759" i="27"/>
  <c r="D2759" i="27"/>
  <c r="E2759" i="27"/>
  <c r="C2575" i="27"/>
  <c r="E2575" i="27"/>
  <c r="Z2575" i="27"/>
  <c r="AA2575" i="27"/>
  <c r="C2262" i="27"/>
  <c r="E2262" i="27"/>
  <c r="F2262" i="27"/>
  <c r="M2262" i="27"/>
  <c r="C1710" i="27"/>
  <c r="E1710" i="27"/>
  <c r="Z1710" i="27"/>
  <c r="AA1710" i="27"/>
  <c r="C1201" i="27"/>
  <c r="E1201" i="27"/>
  <c r="Z1201" i="27"/>
  <c r="AA1201" i="27"/>
  <c r="E2489" i="27"/>
  <c r="E1065" i="27"/>
  <c r="E884" i="27"/>
  <c r="U884" i="27"/>
  <c r="E699" i="27"/>
  <c r="Z699" i="27"/>
  <c r="AA699" i="27"/>
  <c r="E469" i="27"/>
  <c r="E239" i="27"/>
  <c r="U239" i="27"/>
  <c r="E1412" i="27"/>
  <c r="E1413" i="27"/>
  <c r="D1419" i="27"/>
  <c r="F1419" i="27"/>
  <c r="M1419" i="27"/>
  <c r="D1418" i="27"/>
  <c r="E1418" i="27"/>
  <c r="U1418" i="27"/>
  <c r="D1417" i="27"/>
  <c r="E1417" i="27"/>
  <c r="Z1417" i="27"/>
  <c r="D1416" i="27"/>
  <c r="E1416" i="27"/>
  <c r="D1415" i="27"/>
  <c r="E1415" i="27"/>
  <c r="U1415" i="27"/>
  <c r="D1414" i="27"/>
  <c r="E1414" i="27"/>
  <c r="E1411" i="27"/>
  <c r="F1411" i="27"/>
  <c r="M1411" i="27"/>
  <c r="G1411" i="27"/>
  <c r="AA1411" i="27"/>
  <c r="E1410" i="27"/>
  <c r="Z1410" i="27"/>
  <c r="E1409" i="27"/>
  <c r="E1408" i="27"/>
  <c r="E1407" i="27"/>
  <c r="U1407" i="27"/>
  <c r="E1406" i="27"/>
  <c r="C3066" i="27"/>
  <c r="D3066" i="27"/>
  <c r="AA3066" i="27"/>
  <c r="C2356" i="27"/>
  <c r="C1802" i="27"/>
  <c r="C1294" i="27"/>
  <c r="B3095" i="27"/>
  <c r="U3096" i="27"/>
  <c r="U3066" i="27"/>
  <c r="D1158" i="27"/>
  <c r="E1158" i="27"/>
  <c r="D977" i="27"/>
  <c r="E977" i="27"/>
  <c r="D797" i="27"/>
  <c r="E797" i="27"/>
  <c r="D569" i="27"/>
  <c r="E569" i="27"/>
  <c r="U569" i="27"/>
  <c r="D339" i="27"/>
  <c r="E339" i="27"/>
  <c r="C2845" i="27"/>
  <c r="D2845" i="27"/>
  <c r="E2845" i="27"/>
  <c r="C2755" i="27"/>
  <c r="D2755" i="27"/>
  <c r="E2755" i="27"/>
  <c r="F2755" i="27"/>
  <c r="M2755" i="27"/>
  <c r="C2665" i="27"/>
  <c r="D2665" i="27"/>
  <c r="E2665" i="27"/>
  <c r="C2357" i="27"/>
  <c r="C1803" i="27"/>
  <c r="C1295" i="27"/>
  <c r="D1159" i="27"/>
  <c r="E1159" i="27"/>
  <c r="Z1159" i="27"/>
  <c r="AA1159" i="27"/>
  <c r="D978" i="27"/>
  <c r="E978" i="27"/>
  <c r="F978" i="27"/>
  <c r="M978" i="27"/>
  <c r="D798" i="27"/>
  <c r="E798" i="27"/>
  <c r="D570" i="27"/>
  <c r="E570" i="27"/>
  <c r="U570" i="27"/>
  <c r="D340" i="27"/>
  <c r="E340" i="27"/>
  <c r="C2264" i="27"/>
  <c r="E2264" i="27"/>
  <c r="Z2264" i="27"/>
  <c r="AA2264" i="27"/>
  <c r="C1946" i="27"/>
  <c r="E1946" i="27"/>
  <c r="U1946" i="27"/>
  <c r="E342" i="27"/>
  <c r="U342" i="27"/>
  <c r="C1945" i="27"/>
  <c r="E341" i="27"/>
  <c r="F341" i="27"/>
  <c r="M341" i="27"/>
  <c r="E1095" i="27"/>
  <c r="E906" i="27"/>
  <c r="E721" i="27"/>
  <c r="Z721" i="27"/>
  <c r="AA721" i="27"/>
  <c r="E491" i="27"/>
  <c r="E261" i="27"/>
  <c r="E1094" i="27"/>
  <c r="E905" i="27"/>
  <c r="E720" i="27"/>
  <c r="E490" i="27"/>
  <c r="F490" i="27"/>
  <c r="M490" i="27"/>
  <c r="G490" i="27"/>
  <c r="E260" i="27"/>
  <c r="Z260" i="27"/>
  <c r="AA260" i="27"/>
  <c r="E645" i="27"/>
  <c r="E417" i="27"/>
  <c r="E179" i="27"/>
  <c r="Z179" i="27"/>
  <c r="AA179" i="27"/>
  <c r="C2236" i="27"/>
  <c r="C1902" i="27"/>
  <c r="D1902" i="27"/>
  <c r="E1902" i="27"/>
  <c r="F1902" i="27"/>
  <c r="M1902" i="27"/>
  <c r="G1902" i="27"/>
  <c r="C1389" i="27"/>
  <c r="D1389" i="27"/>
  <c r="E1389" i="27"/>
  <c r="F1389" i="27"/>
  <c r="M1389" i="27"/>
  <c r="G1389" i="27"/>
  <c r="D2556" i="27"/>
  <c r="E2556" i="27"/>
  <c r="D2557" i="27"/>
  <c r="E2557" i="27"/>
  <c r="D2555" i="27"/>
  <c r="E2555" i="27"/>
  <c r="C2349" i="27"/>
  <c r="C2348" i="27"/>
  <c r="D2348" i="27"/>
  <c r="E2348" i="27"/>
  <c r="F2348" i="27"/>
  <c r="M2348" i="27"/>
  <c r="C1797" i="27"/>
  <c r="C1796" i="27"/>
  <c r="C1289" i="27"/>
  <c r="D1289" i="27"/>
  <c r="E1289" i="27"/>
  <c r="C1288" i="27"/>
  <c r="D1153" i="27"/>
  <c r="E1153" i="27"/>
  <c r="D1152" i="27"/>
  <c r="E1152" i="27"/>
  <c r="F1152" i="27"/>
  <c r="M1152" i="27"/>
  <c r="D972" i="27"/>
  <c r="E972" i="27"/>
  <c r="F972" i="27"/>
  <c r="M972" i="27"/>
  <c r="G972" i="27"/>
  <c r="D971" i="27"/>
  <c r="E971" i="27"/>
  <c r="D791" i="27"/>
  <c r="E791" i="27"/>
  <c r="D790" i="27"/>
  <c r="E790" i="27"/>
  <c r="D789" i="27"/>
  <c r="E789" i="27"/>
  <c r="D563" i="27"/>
  <c r="E563" i="27"/>
  <c r="D562" i="27"/>
  <c r="E562" i="27"/>
  <c r="U562" i="27"/>
  <c r="D561" i="27"/>
  <c r="E561" i="27"/>
  <c r="D332" i="27"/>
  <c r="E332" i="27"/>
  <c r="D333" i="27"/>
  <c r="E333" i="27"/>
  <c r="D331" i="27"/>
  <c r="E331" i="27"/>
  <c r="C1788" i="27"/>
  <c r="D962" i="27"/>
  <c r="E962" i="27"/>
  <c r="U962" i="27"/>
  <c r="D2548" i="27"/>
  <c r="E2548" i="27"/>
  <c r="D1107" i="27"/>
  <c r="E1107" i="27"/>
  <c r="D742" i="27"/>
  <c r="E742" i="27"/>
  <c r="D512" i="27"/>
  <c r="E512" i="27"/>
  <c r="D282" i="27"/>
  <c r="E282" i="27"/>
  <c r="U282" i="27"/>
  <c r="D116" i="27"/>
  <c r="AA116" i="27"/>
  <c r="C2584" i="27"/>
  <c r="D2584" i="27"/>
  <c r="E2584" i="27"/>
  <c r="C1690" i="27"/>
  <c r="D1690" i="27"/>
  <c r="E1690" i="27"/>
  <c r="C1477" i="27"/>
  <c r="D1477" i="27"/>
  <c r="E1477" i="27"/>
  <c r="D3180" i="27"/>
  <c r="D2848" i="27"/>
  <c r="E2848" i="27"/>
  <c r="Z2848" i="27"/>
  <c r="AA2848" i="27"/>
  <c r="D2758" i="27"/>
  <c r="E2758" i="27"/>
  <c r="D2668" i="27"/>
  <c r="E2668" i="27"/>
  <c r="D1038" i="27"/>
  <c r="E1038" i="27"/>
  <c r="D857" i="27"/>
  <c r="E857" i="27"/>
  <c r="D670" i="27"/>
  <c r="E670" i="27"/>
  <c r="Z670" i="27"/>
  <c r="AA670" i="27"/>
  <c r="D440" i="27"/>
  <c r="E440" i="27"/>
  <c r="Z440" i="27"/>
  <c r="AA440" i="27"/>
  <c r="D212" i="27"/>
  <c r="E212" i="27"/>
  <c r="D1142" i="27"/>
  <c r="E1142" i="27"/>
  <c r="D952" i="27"/>
  <c r="E952" i="27"/>
  <c r="D780" i="27"/>
  <c r="E780" i="27"/>
  <c r="D546" i="27"/>
  <c r="E546" i="27"/>
  <c r="D316" i="27"/>
  <c r="E316" i="27"/>
  <c r="F316" i="27"/>
  <c r="M316" i="27"/>
  <c r="C2330" i="27"/>
  <c r="D2330" i="27"/>
  <c r="E2330" i="27"/>
  <c r="C1777" i="27"/>
  <c r="C1276" i="27"/>
  <c r="D1276" i="27"/>
  <c r="E1276" i="27"/>
  <c r="D318" i="27"/>
  <c r="E318" i="27"/>
  <c r="C3172" i="27"/>
  <c r="C2840" i="27"/>
  <c r="E2840" i="27"/>
  <c r="U2840" i="27"/>
  <c r="C2750" i="27"/>
  <c r="E2750" i="27"/>
  <c r="F2750" i="27"/>
  <c r="M2750" i="27"/>
  <c r="C2660" i="27"/>
  <c r="E2660" i="27"/>
  <c r="F2660" i="27"/>
  <c r="M2660" i="27"/>
  <c r="G2660" i="27"/>
  <c r="C2278" i="27"/>
  <c r="E2278" i="27"/>
  <c r="C1725" i="27"/>
  <c r="E1725" i="27"/>
  <c r="C1225" i="27"/>
  <c r="E1225" i="27"/>
  <c r="E1089" i="27"/>
  <c r="F1089" i="27"/>
  <c r="M1089" i="27"/>
  <c r="E900" i="27"/>
  <c r="F900" i="27"/>
  <c r="M900" i="27"/>
  <c r="E715" i="27"/>
  <c r="E485" i="27"/>
  <c r="Z485" i="27"/>
  <c r="AA485" i="27"/>
  <c r="E255" i="27"/>
  <c r="C3118" i="27"/>
  <c r="E3118" i="27"/>
  <c r="C2836" i="27"/>
  <c r="E2836" i="27"/>
  <c r="C2746" i="27"/>
  <c r="E2746" i="27"/>
  <c r="C2656" i="27"/>
  <c r="E2656" i="27"/>
  <c r="C2282" i="27"/>
  <c r="E2282" i="27"/>
  <c r="C1729" i="27"/>
  <c r="E1729" i="27"/>
  <c r="U1729" i="27"/>
  <c r="C1229" i="27"/>
  <c r="E1229" i="27"/>
  <c r="E1093" i="27"/>
  <c r="E904" i="27"/>
  <c r="U904" i="27"/>
  <c r="E719" i="27"/>
  <c r="E489" i="27"/>
  <c r="E259" i="27"/>
  <c r="C3170" i="27"/>
  <c r="C2834" i="27"/>
  <c r="E2834" i="27"/>
  <c r="Z2834" i="27"/>
  <c r="AA2834" i="27"/>
  <c r="C2744" i="27"/>
  <c r="E2744" i="27"/>
  <c r="C2654" i="27"/>
  <c r="E2654" i="27"/>
  <c r="C2276" i="27"/>
  <c r="E2276" i="27"/>
  <c r="C1723" i="27"/>
  <c r="E1723" i="27"/>
  <c r="C1223" i="27"/>
  <c r="E1223" i="27"/>
  <c r="U1223" i="27"/>
  <c r="E1087" i="27"/>
  <c r="Z1087" i="27"/>
  <c r="AA1087" i="27"/>
  <c r="E898" i="27"/>
  <c r="E713" i="27"/>
  <c r="E483" i="27"/>
  <c r="E253" i="27"/>
  <c r="C3162" i="27"/>
  <c r="C2794" i="27"/>
  <c r="E2794" i="27"/>
  <c r="C2695" i="27"/>
  <c r="E2695" i="27"/>
  <c r="Z2695" i="27"/>
  <c r="AA2695" i="27"/>
  <c r="C2612" i="27"/>
  <c r="E2612" i="27"/>
  <c r="C3161" i="27"/>
  <c r="C2793" i="27"/>
  <c r="E2793" i="27"/>
  <c r="Z2793" i="27"/>
  <c r="AA2793" i="27"/>
  <c r="C2694" i="27"/>
  <c r="E2694" i="27"/>
  <c r="C2611" i="27"/>
  <c r="E2611" i="27"/>
  <c r="C1961" i="27"/>
  <c r="E1961" i="27"/>
  <c r="U1961" i="27"/>
  <c r="C1659" i="27"/>
  <c r="E1659" i="27"/>
  <c r="C1446" i="27"/>
  <c r="E1446" i="27"/>
  <c r="C1962" i="27"/>
  <c r="E1962" i="27"/>
  <c r="E1015" i="27"/>
  <c r="F1015" i="27"/>
  <c r="M1015" i="27"/>
  <c r="G1015" i="27"/>
  <c r="E834" i="27"/>
  <c r="E640" i="27"/>
  <c r="E412" i="27"/>
  <c r="E185" i="27"/>
  <c r="D115" i="27"/>
  <c r="D114" i="27"/>
  <c r="AA114" i="27"/>
  <c r="D113" i="27"/>
  <c r="E113" i="27"/>
  <c r="F113" i="27"/>
  <c r="C2520" i="27"/>
  <c r="D2520" i="27"/>
  <c r="E2520" i="27"/>
  <c r="Z2520" i="27"/>
  <c r="AA2520" i="27"/>
  <c r="C2310" i="27"/>
  <c r="C1753" i="27"/>
  <c r="C1249" i="27"/>
  <c r="D1249" i="27"/>
  <c r="E1249" i="27"/>
  <c r="U1249" i="27"/>
  <c r="D1119" i="27"/>
  <c r="E1119" i="27"/>
  <c r="U1119" i="27"/>
  <c r="D928" i="27"/>
  <c r="E928" i="27"/>
  <c r="D748" i="27"/>
  <c r="E748" i="27"/>
  <c r="D518" i="27"/>
  <c r="E518" i="27"/>
  <c r="D288" i="27"/>
  <c r="E288" i="27"/>
  <c r="C2519" i="27"/>
  <c r="D2519" i="27"/>
  <c r="E2519" i="27"/>
  <c r="C2309" i="27"/>
  <c r="D2309" i="27"/>
  <c r="E2309" i="27"/>
  <c r="U2309" i="27"/>
  <c r="C1752" i="27"/>
  <c r="C1870" i="27"/>
  <c r="D1870" i="27"/>
  <c r="E1870" i="27"/>
  <c r="Z1870" i="27"/>
  <c r="AA1870" i="27"/>
  <c r="C1248" i="27"/>
  <c r="D1118" i="27"/>
  <c r="E1118" i="27"/>
  <c r="D927" i="27"/>
  <c r="E927" i="27"/>
  <c r="D747" i="27"/>
  <c r="E747" i="27"/>
  <c r="D517" i="27"/>
  <c r="E517" i="27"/>
  <c r="D519" i="27"/>
  <c r="E519" i="27"/>
  <c r="D749" i="27"/>
  <c r="E749" i="27"/>
  <c r="D287" i="27"/>
  <c r="E287" i="27"/>
  <c r="F287" i="27"/>
  <c r="M287" i="27"/>
  <c r="G287" i="27"/>
  <c r="E728" i="27"/>
  <c r="E697" i="27"/>
  <c r="U697" i="27"/>
  <c r="E696" i="27"/>
  <c r="E695" i="27"/>
  <c r="F695" i="27"/>
  <c r="M695" i="27"/>
  <c r="G695" i="27"/>
  <c r="E694" i="27"/>
  <c r="F694" i="27"/>
  <c r="M694" i="27"/>
  <c r="E693" i="27"/>
  <c r="E692" i="27"/>
  <c r="E688" i="27"/>
  <c r="Z688" i="27"/>
  <c r="AA688" i="27"/>
  <c r="E687" i="27"/>
  <c r="E498" i="27"/>
  <c r="U498" i="27"/>
  <c r="E467" i="27"/>
  <c r="E466" i="27"/>
  <c r="E465" i="27"/>
  <c r="E464" i="27"/>
  <c r="E463" i="27"/>
  <c r="U463" i="27"/>
  <c r="E462" i="27"/>
  <c r="Z462" i="27"/>
  <c r="AA462" i="27"/>
  <c r="E458" i="27"/>
  <c r="E457" i="27"/>
  <c r="E268" i="27"/>
  <c r="Z268" i="27"/>
  <c r="AA268" i="27"/>
  <c r="E237" i="27"/>
  <c r="E236" i="27"/>
  <c r="F236" i="27"/>
  <c r="M236" i="27"/>
  <c r="G236" i="27"/>
  <c r="E235" i="27"/>
  <c r="F235" i="27"/>
  <c r="M235" i="27"/>
  <c r="E234" i="27"/>
  <c r="Z234" i="27"/>
  <c r="AA234" i="27"/>
  <c r="E233" i="27"/>
  <c r="E232" i="27"/>
  <c r="E228" i="27"/>
  <c r="E227" i="27"/>
  <c r="U227" i="27"/>
  <c r="E722" i="27"/>
  <c r="U722" i="27"/>
  <c r="E711" i="27"/>
  <c r="U711" i="27"/>
  <c r="E691" i="27"/>
  <c r="E690" i="27"/>
  <c r="F690" i="27"/>
  <c r="M690" i="27"/>
  <c r="E689" i="27"/>
  <c r="U689" i="27"/>
  <c r="E684" i="27"/>
  <c r="E683" i="27"/>
  <c r="E492" i="27"/>
  <c r="E481" i="27"/>
  <c r="E461" i="27"/>
  <c r="E460" i="27"/>
  <c r="E459" i="27"/>
  <c r="U459" i="27"/>
  <c r="E454" i="27"/>
  <c r="E453" i="27"/>
  <c r="U453" i="27"/>
  <c r="E262" i="27"/>
  <c r="E251" i="27"/>
  <c r="E231" i="27"/>
  <c r="E230" i="27"/>
  <c r="E229" i="27"/>
  <c r="E224" i="27"/>
  <c r="E223" i="27"/>
  <c r="E726" i="27"/>
  <c r="E707" i="27"/>
  <c r="E705" i="27"/>
  <c r="E704" i="27"/>
  <c r="F704" i="27"/>
  <c r="M704" i="27"/>
  <c r="E703" i="27"/>
  <c r="E702" i="27"/>
  <c r="E686" i="27"/>
  <c r="E685" i="27"/>
  <c r="Z685" i="27"/>
  <c r="AA685" i="27"/>
  <c r="E496" i="27"/>
  <c r="U496" i="27"/>
  <c r="E478" i="27"/>
  <c r="E475" i="27"/>
  <c r="E474" i="27"/>
  <c r="E473" i="27"/>
  <c r="E472" i="27"/>
  <c r="E456" i="27"/>
  <c r="E455" i="27"/>
  <c r="U455" i="27"/>
  <c r="E266" i="27"/>
  <c r="E247" i="27"/>
  <c r="E245" i="27"/>
  <c r="E244" i="27"/>
  <c r="F244" i="27"/>
  <c r="M244" i="27"/>
  <c r="E243" i="27"/>
  <c r="U243" i="27"/>
  <c r="E242" i="27"/>
  <c r="U242" i="27"/>
  <c r="E226" i="27"/>
  <c r="E225" i="27"/>
  <c r="D2535" i="27"/>
  <c r="E2535" i="27"/>
  <c r="D1133" i="27"/>
  <c r="E1133" i="27"/>
  <c r="D943" i="27"/>
  <c r="E943" i="27"/>
  <c r="C3106" i="27"/>
  <c r="E3106" i="27"/>
  <c r="F3106" i="27"/>
  <c r="M3106" i="27"/>
  <c r="C1636" i="27"/>
  <c r="E1636" i="27"/>
  <c r="C1925" i="27"/>
  <c r="D1157" i="27"/>
  <c r="E1157" i="27"/>
  <c r="D976" i="27"/>
  <c r="E976" i="27"/>
  <c r="D796" i="27"/>
  <c r="E796" i="27"/>
  <c r="F796" i="27"/>
  <c r="M796" i="27"/>
  <c r="D568" i="27"/>
  <c r="E568" i="27"/>
  <c r="D338" i="27"/>
  <c r="E338" i="27"/>
  <c r="Z338" i="27"/>
  <c r="AA338" i="27"/>
  <c r="C3108" i="27"/>
  <c r="D3108" i="27"/>
  <c r="C2829" i="27"/>
  <c r="D2829" i="27"/>
  <c r="E2829" i="27"/>
  <c r="C2739" i="27"/>
  <c r="D2739" i="27"/>
  <c r="E2739" i="27"/>
  <c r="C2651" i="27"/>
  <c r="D2651" i="27"/>
  <c r="E2651" i="27"/>
  <c r="C2342" i="27"/>
  <c r="D2342" i="27"/>
  <c r="E2342" i="27"/>
  <c r="C3109" i="27"/>
  <c r="D3109" i="27"/>
  <c r="C2830" i="27"/>
  <c r="D2830" i="27"/>
  <c r="E2830" i="27"/>
  <c r="C2740" i="27"/>
  <c r="D2740" i="27"/>
  <c r="E2740" i="27"/>
  <c r="F2740" i="27"/>
  <c r="M2740" i="27"/>
  <c r="C2652" i="27"/>
  <c r="D2652" i="27"/>
  <c r="E2652" i="27"/>
  <c r="C2343" i="27"/>
  <c r="D2343" i="27"/>
  <c r="E2343" i="27"/>
  <c r="Z2343" i="27"/>
  <c r="AA2343" i="27"/>
  <c r="D785" i="27"/>
  <c r="E785" i="27"/>
  <c r="D784" i="27"/>
  <c r="E784" i="27"/>
  <c r="D557" i="27"/>
  <c r="E557" i="27"/>
  <c r="D556" i="27"/>
  <c r="E556" i="27"/>
  <c r="D327" i="27"/>
  <c r="E327" i="27"/>
  <c r="D326" i="27"/>
  <c r="E326" i="27"/>
  <c r="AB326" i="27"/>
  <c r="AA326" i="27"/>
  <c r="C3105" i="27"/>
  <c r="D3105" i="27"/>
  <c r="E3105" i="27"/>
  <c r="F3105" i="27"/>
  <c r="M3105" i="27"/>
  <c r="C2826" i="27"/>
  <c r="D2826" i="27"/>
  <c r="E2826" i="27"/>
  <c r="C2736" i="27"/>
  <c r="D2736" i="27"/>
  <c r="E2736" i="27"/>
  <c r="C2646" i="27"/>
  <c r="D2646" i="27"/>
  <c r="E2646" i="27"/>
  <c r="F2646" i="27"/>
  <c r="M2646" i="27"/>
  <c r="C2341" i="27"/>
  <c r="D2341" i="27"/>
  <c r="E2341" i="27"/>
  <c r="D775" i="27"/>
  <c r="E775" i="27"/>
  <c r="D555" i="27"/>
  <c r="E555" i="27"/>
  <c r="D325" i="27"/>
  <c r="E325" i="27"/>
  <c r="Z325" i="27"/>
  <c r="AA325" i="27"/>
  <c r="C3110" i="27"/>
  <c r="D3110" i="27"/>
  <c r="C2782" i="27"/>
  <c r="D2782" i="27"/>
  <c r="E2782" i="27"/>
  <c r="C2708" i="27"/>
  <c r="D2708" i="27"/>
  <c r="E2708" i="27"/>
  <c r="C2607" i="27"/>
  <c r="D2607" i="27"/>
  <c r="E2607" i="27"/>
  <c r="Z2607" i="27"/>
  <c r="AA2607" i="27"/>
  <c r="C1988" i="27"/>
  <c r="D1988" i="27"/>
  <c r="E1988" i="27"/>
  <c r="D678" i="27"/>
  <c r="E678" i="27"/>
  <c r="D448" i="27"/>
  <c r="E448" i="27"/>
  <c r="F448" i="27"/>
  <c r="M448" i="27"/>
  <c r="G448" i="27"/>
  <c r="D218" i="27"/>
  <c r="E218" i="27"/>
  <c r="C1986" i="27"/>
  <c r="C1985" i="27"/>
  <c r="D673" i="27"/>
  <c r="E673" i="27"/>
  <c r="U673" i="27"/>
  <c r="D672" i="27"/>
  <c r="E672" i="27"/>
  <c r="D443" i="27"/>
  <c r="E443" i="27"/>
  <c r="F443" i="27"/>
  <c r="M443" i="27"/>
  <c r="G443" i="27"/>
  <c r="D442" i="27"/>
  <c r="E442" i="27"/>
  <c r="D215" i="27"/>
  <c r="E215" i="27"/>
  <c r="D214" i="27"/>
  <c r="E214" i="27"/>
  <c r="F214" i="27"/>
  <c r="M214" i="27"/>
  <c r="G214" i="27"/>
  <c r="C3111" i="27"/>
  <c r="D3111" i="27"/>
  <c r="E3111" i="27"/>
  <c r="C2783" i="27"/>
  <c r="D2783" i="27"/>
  <c r="E2783" i="27"/>
  <c r="Z2783" i="27"/>
  <c r="AA2783" i="27"/>
  <c r="C2709" i="27"/>
  <c r="D2709" i="27"/>
  <c r="E2709" i="27"/>
  <c r="C2608" i="27"/>
  <c r="D2608" i="27"/>
  <c r="E2608" i="27"/>
  <c r="F2608" i="27"/>
  <c r="C1987" i="27"/>
  <c r="D1987" i="27"/>
  <c r="E1987" i="27"/>
  <c r="D677" i="27"/>
  <c r="E677" i="27"/>
  <c r="Z677" i="27"/>
  <c r="AA677" i="27"/>
  <c r="D447" i="27"/>
  <c r="E447" i="27"/>
  <c r="D217" i="27"/>
  <c r="E217" i="27"/>
  <c r="U217" i="27"/>
  <c r="C3156" i="27"/>
  <c r="C2092" i="27"/>
  <c r="C1511" i="27"/>
  <c r="E1511" i="27"/>
  <c r="C2091" i="27"/>
  <c r="C3107" i="27"/>
  <c r="E3107" i="27"/>
  <c r="F3107" i="27"/>
  <c r="M3107" i="27"/>
  <c r="C2828" i="27"/>
  <c r="E2828" i="27"/>
  <c r="C2738" i="27"/>
  <c r="E2738" i="27"/>
  <c r="C2648" i="27"/>
  <c r="E2648" i="27"/>
  <c r="C1926" i="27"/>
  <c r="C1423" i="27"/>
  <c r="C1635" i="27"/>
  <c r="C1422" i="27"/>
  <c r="E385" i="27"/>
  <c r="F385" i="27"/>
  <c r="M385" i="27"/>
  <c r="E384" i="27"/>
  <c r="E383" i="27"/>
  <c r="E382" i="27"/>
  <c r="E161" i="27"/>
  <c r="F161" i="27"/>
  <c r="M161" i="27"/>
  <c r="E160" i="27"/>
  <c r="F160" i="27"/>
  <c r="M160" i="27"/>
  <c r="E159" i="27"/>
  <c r="E158" i="27"/>
  <c r="Z158" i="27"/>
  <c r="C3176" i="27"/>
  <c r="C3175" i="27"/>
  <c r="AA3175" i="27"/>
  <c r="C3174" i="27"/>
  <c r="AA3174" i="27"/>
  <c r="C3173" i="27"/>
  <c r="E3173" i="27"/>
  <c r="C3171" i="27"/>
  <c r="AA3171" i="27"/>
  <c r="C3169" i="27"/>
  <c r="C3117" i="27"/>
  <c r="C2277" i="27"/>
  <c r="C2279" i="27"/>
  <c r="C2280" i="27"/>
  <c r="E2280" i="27"/>
  <c r="AB2280" i="27"/>
  <c r="C2281" i="27"/>
  <c r="E2281" i="27"/>
  <c r="U2281" i="27"/>
  <c r="C2283" i="27"/>
  <c r="E2283" i="27"/>
  <c r="C2284" i="27"/>
  <c r="C2275" i="27"/>
  <c r="E718" i="27"/>
  <c r="E717" i="27"/>
  <c r="U717" i="27"/>
  <c r="E716" i="27"/>
  <c r="AB716" i="27"/>
  <c r="AA716" i="27"/>
  <c r="E714" i="27"/>
  <c r="U714" i="27"/>
  <c r="E712" i="27"/>
  <c r="E488" i="27"/>
  <c r="E487" i="27"/>
  <c r="AB487" i="27"/>
  <c r="AA487" i="27"/>
  <c r="E486" i="27"/>
  <c r="AB486" i="27"/>
  <c r="AA486" i="27"/>
  <c r="E484" i="27"/>
  <c r="E482" i="27"/>
  <c r="E258" i="27"/>
  <c r="E257" i="27"/>
  <c r="E256" i="27"/>
  <c r="E254" i="27"/>
  <c r="Z254" i="27"/>
  <c r="AA254" i="27"/>
  <c r="E252" i="27"/>
  <c r="F252" i="27"/>
  <c r="M252" i="27"/>
  <c r="C3124" i="27"/>
  <c r="C2808" i="27"/>
  <c r="E2808" i="27"/>
  <c r="M2808" i="27"/>
  <c r="C2718" i="27"/>
  <c r="E2718" i="27"/>
  <c r="M2718" i="27"/>
  <c r="C2628" i="27"/>
  <c r="E2628" i="27"/>
  <c r="C1214" i="27"/>
  <c r="E1214" i="27"/>
  <c r="E1078" i="27"/>
  <c r="Z1078" i="27"/>
  <c r="AA1078" i="27"/>
  <c r="C3167" i="27"/>
  <c r="E3167" i="27"/>
  <c r="C1964" i="27"/>
  <c r="C3166" i="27"/>
  <c r="E3166" i="27"/>
  <c r="C1963" i="27"/>
  <c r="C3165" i="27"/>
  <c r="AA3165" i="27"/>
  <c r="C1965" i="27"/>
  <c r="C2053" i="27"/>
  <c r="E2053" i="27"/>
  <c r="C3177" i="27"/>
  <c r="C1966" i="27"/>
  <c r="E644" i="27"/>
  <c r="E643" i="27"/>
  <c r="E642" i="27"/>
  <c r="E641" i="27"/>
  <c r="E416" i="27"/>
  <c r="F416" i="27"/>
  <c r="M416" i="27"/>
  <c r="E415" i="27"/>
  <c r="E414" i="27"/>
  <c r="E413" i="27"/>
  <c r="E189" i="27"/>
  <c r="Z189" i="27"/>
  <c r="AA189" i="27"/>
  <c r="E188" i="27"/>
  <c r="E187" i="27"/>
  <c r="F187" i="27"/>
  <c r="M187" i="27"/>
  <c r="G187" i="27"/>
  <c r="E186" i="27"/>
  <c r="E639" i="27"/>
  <c r="E411" i="27"/>
  <c r="E184" i="27"/>
  <c r="Z184" i="27"/>
  <c r="AA184" i="27"/>
  <c r="C3160" i="27"/>
  <c r="C1960" i="27"/>
  <c r="C2174" i="27"/>
  <c r="E2174" i="27"/>
  <c r="C3159" i="27"/>
  <c r="E3159" i="27"/>
  <c r="C1959" i="27"/>
  <c r="C2061" i="27"/>
  <c r="E2061" i="27"/>
  <c r="C2175" i="27"/>
  <c r="E2175" i="27"/>
  <c r="C1958" i="27"/>
  <c r="C2060" i="27"/>
  <c r="E2060" i="27"/>
  <c r="U2060" i="27"/>
  <c r="C1957" i="27"/>
  <c r="C2059" i="27"/>
  <c r="E2059" i="27"/>
  <c r="E638" i="27"/>
  <c r="Z638" i="27"/>
  <c r="E637" i="27"/>
  <c r="E410" i="27"/>
  <c r="E409" i="27"/>
  <c r="E183" i="27"/>
  <c r="E182" i="27"/>
  <c r="D2864" i="27"/>
  <c r="E2864" i="27"/>
  <c r="E2491" i="27"/>
  <c r="E1067" i="27"/>
  <c r="E892" i="27"/>
  <c r="E701" i="27"/>
  <c r="F701" i="27"/>
  <c r="M701" i="27"/>
  <c r="G701" i="27"/>
  <c r="E471" i="27"/>
  <c r="Z471" i="27"/>
  <c r="E241" i="27"/>
  <c r="AA1717" i="27"/>
  <c r="AA1203" i="27"/>
  <c r="U2997" i="27"/>
  <c r="S2987" i="27"/>
  <c r="R2987" i="27"/>
  <c r="Q2987" i="27"/>
  <c r="P2987" i="27"/>
  <c r="O2987" i="27"/>
  <c r="S2986" i="27"/>
  <c r="R2986" i="27"/>
  <c r="Q2986" i="27"/>
  <c r="P2986" i="27"/>
  <c r="O2986" i="27"/>
  <c r="S2983" i="27"/>
  <c r="R2983" i="27"/>
  <c r="Q2983" i="27"/>
  <c r="P2983" i="27"/>
  <c r="O2983" i="27"/>
  <c r="S2982" i="27"/>
  <c r="R2982" i="27"/>
  <c r="Q2982" i="27"/>
  <c r="P2982" i="27"/>
  <c r="O2982" i="27"/>
  <c r="S2981" i="27"/>
  <c r="R2981" i="27"/>
  <c r="Q2981" i="27"/>
  <c r="P2981" i="27"/>
  <c r="O2981" i="27"/>
  <c r="E1008" i="27"/>
  <c r="Z1008" i="27"/>
  <c r="E827" i="27"/>
  <c r="E636" i="27"/>
  <c r="E408" i="27"/>
  <c r="E181" i="27"/>
  <c r="C1652" i="27"/>
  <c r="E1652" i="27"/>
  <c r="C1439" i="27"/>
  <c r="E1439" i="27"/>
  <c r="C1438" i="27"/>
  <c r="E635" i="27"/>
  <c r="E407" i="27"/>
  <c r="U407" i="27"/>
  <c r="E180" i="27"/>
  <c r="U180" i="27"/>
  <c r="E112" i="27"/>
  <c r="F112" i="27"/>
  <c r="D112" i="27"/>
  <c r="AA112" i="27"/>
  <c r="AA1182" i="27"/>
  <c r="AA1180" i="27"/>
  <c r="E119" i="27"/>
  <c r="F119" i="27"/>
  <c r="D119" i="27"/>
  <c r="AA119" i="27"/>
  <c r="E118" i="27"/>
  <c r="F118" i="27"/>
  <c r="D118" i="27"/>
  <c r="AA118" i="27"/>
  <c r="E117" i="27"/>
  <c r="F117" i="27"/>
  <c r="D117" i="27"/>
  <c r="AA117" i="27"/>
  <c r="D2524" i="27"/>
  <c r="E2524" i="27"/>
  <c r="D2523" i="27"/>
  <c r="E2523" i="27"/>
  <c r="D1122" i="27"/>
  <c r="E1122" i="27"/>
  <c r="U1122" i="27"/>
  <c r="D1121" i="27"/>
  <c r="E1121" i="27"/>
  <c r="U1121" i="27"/>
  <c r="D932" i="27"/>
  <c r="E932" i="27"/>
  <c r="D931" i="27"/>
  <c r="E931" i="27"/>
  <c r="D753" i="27"/>
  <c r="E753" i="27"/>
  <c r="D752" i="27"/>
  <c r="E752" i="27"/>
  <c r="D751" i="27"/>
  <c r="E751" i="27"/>
  <c r="Z751" i="27"/>
  <c r="AA751" i="27"/>
  <c r="D523" i="27"/>
  <c r="E523" i="27"/>
  <c r="Z523" i="27"/>
  <c r="AA523" i="27"/>
  <c r="D522" i="27"/>
  <c r="E522" i="27"/>
  <c r="Z522" i="27"/>
  <c r="AA522" i="27"/>
  <c r="D521" i="27"/>
  <c r="E521" i="27"/>
  <c r="U521" i="27"/>
  <c r="D293" i="27"/>
  <c r="E293" i="27"/>
  <c r="U293" i="27"/>
  <c r="U932" i="27"/>
  <c r="D292" i="27"/>
  <c r="E292" i="27"/>
  <c r="D291" i="27"/>
  <c r="E291" i="27"/>
  <c r="C1737" i="27"/>
  <c r="E1737" i="27"/>
  <c r="Z1737" i="27"/>
  <c r="AA1737" i="27"/>
  <c r="AA3116" i="27"/>
  <c r="AA3112" i="27"/>
  <c r="AA3113" i="27"/>
  <c r="AA3114" i="27"/>
  <c r="AA3115" i="27"/>
  <c r="AA3106" i="27"/>
  <c r="AA3107" i="27"/>
  <c r="E912" i="27"/>
  <c r="M912" i="27"/>
  <c r="C61" i="27"/>
  <c r="C14" i="27"/>
  <c r="E14" i="27"/>
  <c r="Z14" i="27"/>
  <c r="AA14" i="27"/>
  <c r="C65" i="27"/>
  <c r="D65" i="27"/>
  <c r="E65" i="27"/>
  <c r="C16" i="27"/>
  <c r="D16" i="27"/>
  <c r="E16" i="27"/>
  <c r="Z16" i="27"/>
  <c r="AA16" i="27"/>
  <c r="C15" i="27"/>
  <c r="D15" i="27"/>
  <c r="E15" i="27"/>
  <c r="F15" i="27"/>
  <c r="M15" i="27"/>
  <c r="U3099" i="27"/>
  <c r="C3099" i="27"/>
  <c r="D3099" i="27"/>
  <c r="AA3099" i="27"/>
  <c r="C2942" i="27"/>
  <c r="C2941" i="27"/>
  <c r="E2941" i="27"/>
  <c r="Z2941" i="27"/>
  <c r="AA2941" i="27"/>
  <c r="C3125" i="27"/>
  <c r="C2807" i="27"/>
  <c r="E2807" i="27"/>
  <c r="C2717" i="27"/>
  <c r="E2717" i="27"/>
  <c r="F2717" i="27"/>
  <c r="M2717" i="27"/>
  <c r="G2717" i="27"/>
  <c r="C2627" i="27"/>
  <c r="E2627" i="27"/>
  <c r="C3126" i="27"/>
  <c r="AA3126" i="27"/>
  <c r="C2806" i="27"/>
  <c r="E2806" i="27"/>
  <c r="F2806" i="27"/>
  <c r="M2806" i="27"/>
  <c r="C2716" i="27"/>
  <c r="E2716" i="27"/>
  <c r="U2716" i="27"/>
  <c r="C2626" i="27"/>
  <c r="E2626" i="27"/>
  <c r="C3123" i="27"/>
  <c r="C2804" i="27"/>
  <c r="E2804" i="27"/>
  <c r="C2714" i="27"/>
  <c r="E2714" i="27"/>
  <c r="C2624" i="27"/>
  <c r="E2624" i="27"/>
  <c r="C3144" i="27"/>
  <c r="E3144" i="27"/>
  <c r="C2781" i="27"/>
  <c r="E2781" i="27"/>
  <c r="C2691" i="27"/>
  <c r="E2691" i="27"/>
  <c r="C2601" i="27"/>
  <c r="E2601" i="27"/>
  <c r="C1648" i="27"/>
  <c r="E1648" i="27"/>
  <c r="C1681" i="27"/>
  <c r="C1840" i="27"/>
  <c r="D1840" i="27"/>
  <c r="E1840" i="27"/>
  <c r="C3132" i="27"/>
  <c r="E3132" i="27"/>
  <c r="C1741" i="27"/>
  <c r="E1741" i="27"/>
  <c r="E916" i="27"/>
  <c r="Z916" i="27"/>
  <c r="C3131" i="27"/>
  <c r="E3131" i="27"/>
  <c r="C1740" i="27"/>
  <c r="E1740" i="27"/>
  <c r="E915" i="27"/>
  <c r="U915" i="27"/>
  <c r="C3119" i="27"/>
  <c r="D3119" i="27"/>
  <c r="E3119" i="27"/>
  <c r="U3119" i="27"/>
  <c r="C2789" i="27"/>
  <c r="D2789" i="27"/>
  <c r="E2789" i="27"/>
  <c r="C2710" i="27"/>
  <c r="D2710" i="27"/>
  <c r="E2710" i="27"/>
  <c r="U2710" i="27"/>
  <c r="C2621" i="27"/>
  <c r="D2621" i="27"/>
  <c r="E2621" i="27"/>
  <c r="C1670" i="27"/>
  <c r="D1670" i="27"/>
  <c r="E1670" i="27"/>
  <c r="C1953" i="27"/>
  <c r="E1953" i="27"/>
  <c r="Z1953" i="27"/>
  <c r="C1647" i="27"/>
  <c r="C2152" i="27"/>
  <c r="E2152" i="27"/>
  <c r="C1645" i="27"/>
  <c r="C2150" i="27"/>
  <c r="E2150" i="27"/>
  <c r="C1694" i="27"/>
  <c r="C1844" i="27"/>
  <c r="D1844" i="27"/>
  <c r="E1844" i="27"/>
  <c r="C1687" i="27"/>
  <c r="C1686" i="27"/>
  <c r="C1674" i="27"/>
  <c r="C1829" i="27"/>
  <c r="D1829" i="27"/>
  <c r="E1829" i="27"/>
  <c r="C1673" i="27"/>
  <c r="D1673" i="27"/>
  <c r="E1673" i="27"/>
  <c r="F1673" i="27"/>
  <c r="M1673" i="27"/>
  <c r="C1672" i="27"/>
  <c r="D1672" i="27"/>
  <c r="E1672" i="27"/>
  <c r="C3115" i="27"/>
  <c r="E3115" i="27"/>
  <c r="F3115" i="27"/>
  <c r="M3115" i="27"/>
  <c r="C2787" i="27"/>
  <c r="E2787" i="27"/>
  <c r="C2706" i="27"/>
  <c r="E2706" i="27"/>
  <c r="C2605" i="27"/>
  <c r="E2605" i="27"/>
  <c r="C1666" i="27"/>
  <c r="C1693" i="27"/>
  <c r="C3153" i="27"/>
  <c r="C3127" i="27"/>
  <c r="C2809" i="27"/>
  <c r="E2809" i="27"/>
  <c r="Z2809" i="27"/>
  <c r="AA2809" i="27"/>
  <c r="C2719" i="27"/>
  <c r="E2719" i="27"/>
  <c r="U2719" i="27"/>
  <c r="C2629" i="27"/>
  <c r="E2629" i="27"/>
  <c r="U2629" i="27"/>
  <c r="C1692" i="27"/>
  <c r="D1692" i="27"/>
  <c r="E1692" i="27"/>
  <c r="Z1692" i="27"/>
  <c r="AA1692" i="27"/>
  <c r="C1691" i="27"/>
  <c r="C1865" i="27"/>
  <c r="D1865" i="27"/>
  <c r="E1865" i="27"/>
  <c r="C1775" i="27"/>
  <c r="C1776" i="27"/>
  <c r="C1689" i="27"/>
  <c r="C1830" i="27"/>
  <c r="D1830" i="27"/>
  <c r="E1830" i="27"/>
  <c r="C1649" i="27"/>
  <c r="C1680" i="27"/>
  <c r="C2573" i="27"/>
  <c r="E2573" i="27"/>
  <c r="Z2573" i="27"/>
  <c r="AA2573" i="27"/>
  <c r="C1786" i="27"/>
  <c r="D1786" i="27"/>
  <c r="E1786" i="27"/>
  <c r="F1786" i="27"/>
  <c r="M1786" i="27"/>
  <c r="G1786" i="27"/>
  <c r="C1682" i="27"/>
  <c r="D1682" i="27"/>
  <c r="E1682" i="27"/>
  <c r="Z1682" i="27"/>
  <c r="AA1682" i="27"/>
  <c r="C1638" i="27"/>
  <c r="C2146" i="27"/>
  <c r="E2146" i="27"/>
  <c r="U2146" i="27"/>
  <c r="C1637" i="27"/>
  <c r="E1637" i="27"/>
  <c r="Z1637" i="27"/>
  <c r="AA1637" i="27"/>
  <c r="C3061" i="27"/>
  <c r="C2819" i="27"/>
  <c r="D2819" i="27"/>
  <c r="E2819" i="27"/>
  <c r="Z2819" i="27"/>
  <c r="AA2819" i="27"/>
  <c r="C2729" i="27"/>
  <c r="D2729" i="27"/>
  <c r="E2729" i="27"/>
  <c r="U2729" i="27"/>
  <c r="C2639" i="27"/>
  <c r="D2639" i="27"/>
  <c r="E2639" i="27"/>
  <c r="C1785" i="27"/>
  <c r="C1888" i="27"/>
  <c r="D1888" i="27"/>
  <c r="E1888" i="27"/>
  <c r="D963" i="27"/>
  <c r="E963" i="27"/>
  <c r="C3060" i="27"/>
  <c r="C2818" i="27"/>
  <c r="D2818" i="27"/>
  <c r="E2818" i="27"/>
  <c r="C2728" i="27"/>
  <c r="D2728" i="27"/>
  <c r="E2728" i="27"/>
  <c r="C2638" i="27"/>
  <c r="D2638" i="27"/>
  <c r="E2638" i="27"/>
  <c r="C1770" i="27"/>
  <c r="C1879" i="27"/>
  <c r="D1879" i="27"/>
  <c r="E1879" i="27"/>
  <c r="U1879" i="27"/>
  <c r="C3059" i="27"/>
  <c r="C3082" i="27"/>
  <c r="D3082" i="27"/>
  <c r="AA3082" i="27"/>
  <c r="C2817" i="27"/>
  <c r="D2817" i="27"/>
  <c r="E2817" i="27"/>
  <c r="F2817" i="27"/>
  <c r="M2817" i="27"/>
  <c r="C2727" i="27"/>
  <c r="D2727" i="27"/>
  <c r="E2727" i="27"/>
  <c r="U2727" i="27"/>
  <c r="C2637" i="27"/>
  <c r="D2637" i="27"/>
  <c r="E2637" i="27"/>
  <c r="F2637" i="27"/>
  <c r="M2637" i="27"/>
  <c r="G2637" i="27"/>
  <c r="C1688" i="27"/>
  <c r="C3136" i="27"/>
  <c r="E3136" i="27"/>
  <c r="C1783" i="27"/>
  <c r="D1783" i="27"/>
  <c r="E1783" i="27"/>
  <c r="Z1783" i="27"/>
  <c r="AA1783" i="27"/>
  <c r="C1726" i="27"/>
  <c r="E1726" i="27"/>
  <c r="AA1711" i="27"/>
  <c r="AA1202" i="27"/>
  <c r="C2572" i="27"/>
  <c r="E2572" i="27"/>
  <c r="F2572" i="27"/>
  <c r="M2572" i="27"/>
  <c r="C1727" i="27"/>
  <c r="E1727" i="27"/>
  <c r="E902" i="27"/>
  <c r="E901" i="27"/>
  <c r="C1678" i="27"/>
  <c r="C1656" i="27"/>
  <c r="E1656" i="27"/>
  <c r="C1654" i="27"/>
  <c r="E1654" i="27"/>
  <c r="C3142" i="27"/>
  <c r="C3120" i="27"/>
  <c r="D3120" i="27"/>
  <c r="AA3120" i="27"/>
  <c r="C2790" i="27"/>
  <c r="D2790" i="27"/>
  <c r="E2790" i="27"/>
  <c r="C2711" i="27"/>
  <c r="D2711" i="27"/>
  <c r="E2711" i="27"/>
  <c r="C2622" i="27"/>
  <c r="D2622" i="27"/>
  <c r="E2622" i="27"/>
  <c r="C1671" i="27"/>
  <c r="D1671" i="27"/>
  <c r="E1671" i="27"/>
  <c r="C2389" i="27"/>
  <c r="D2389" i="27"/>
  <c r="E2389" i="27"/>
  <c r="U2389" i="27"/>
  <c r="C1677" i="27"/>
  <c r="D1677" i="27"/>
  <c r="E1677" i="27"/>
  <c r="F1677" i="27"/>
  <c r="M1677" i="27"/>
  <c r="G1677" i="27"/>
  <c r="C1655" i="27"/>
  <c r="E1655" i="27"/>
  <c r="C1644" i="27"/>
  <c r="E1644" i="27"/>
  <c r="C1651" i="27"/>
  <c r="E1651" i="27"/>
  <c r="C1668" i="27"/>
  <c r="D1668" i="27"/>
  <c r="E1668" i="27"/>
  <c r="C1669" i="27"/>
  <c r="D1669" i="27"/>
  <c r="E1669" i="27"/>
  <c r="C1643" i="27"/>
  <c r="E1643" i="27"/>
  <c r="C1660" i="27"/>
  <c r="E1660" i="27"/>
  <c r="U1660" i="27"/>
  <c r="C1657" i="27"/>
  <c r="E1657" i="27"/>
  <c r="F1657" i="27"/>
  <c r="M1657" i="27"/>
  <c r="C3056" i="27"/>
  <c r="C2820" i="27"/>
  <c r="D2820" i="27"/>
  <c r="E2820" i="27"/>
  <c r="U2820" i="27"/>
  <c r="C2730" i="27"/>
  <c r="D2730" i="27"/>
  <c r="E2730" i="27"/>
  <c r="C2641" i="27"/>
  <c r="D2641" i="27"/>
  <c r="E2641" i="27"/>
  <c r="F2641" i="27"/>
  <c r="M2641" i="27"/>
  <c r="C1683" i="27"/>
  <c r="D1683" i="27"/>
  <c r="E1683" i="27"/>
  <c r="C3063" i="27"/>
  <c r="C2822" i="27"/>
  <c r="D2822" i="27"/>
  <c r="E2822" i="27"/>
  <c r="C2732" i="27"/>
  <c r="D2732" i="27"/>
  <c r="E2732" i="27"/>
  <c r="C2643" i="27"/>
  <c r="D2643" i="27"/>
  <c r="E2643" i="27"/>
  <c r="F2643" i="27"/>
  <c r="M2643" i="27"/>
  <c r="G2643" i="27"/>
  <c r="C1685" i="27"/>
  <c r="C3057" i="27"/>
  <c r="C2821" i="27"/>
  <c r="D2821" i="27"/>
  <c r="E2821" i="27"/>
  <c r="C1684" i="27"/>
  <c r="C1890" i="27"/>
  <c r="D1890" i="27"/>
  <c r="E1890" i="27"/>
  <c r="C2438" i="27"/>
  <c r="D2438" i="27"/>
  <c r="E2438" i="27"/>
  <c r="C1774" i="27"/>
  <c r="D1774" i="27"/>
  <c r="E1774" i="27"/>
  <c r="C1771" i="27"/>
  <c r="C1880" i="27"/>
  <c r="D1880" i="27"/>
  <c r="E1880" i="27"/>
  <c r="U1880" i="27"/>
  <c r="C1784" i="27"/>
  <c r="D1784" i="27"/>
  <c r="E1784" i="27"/>
  <c r="D959" i="27"/>
  <c r="E959" i="27"/>
  <c r="Z959" i="27"/>
  <c r="D958" i="27"/>
  <c r="E958" i="27"/>
  <c r="F958" i="27"/>
  <c r="M958" i="27"/>
  <c r="G958" i="27"/>
  <c r="C2437" i="27"/>
  <c r="D2437" i="27"/>
  <c r="E2437" i="27"/>
  <c r="C1773" i="27"/>
  <c r="D1773" i="27"/>
  <c r="E1773" i="27"/>
  <c r="D2512" i="27"/>
  <c r="E2512" i="27"/>
  <c r="C2436" i="27"/>
  <c r="D2436" i="27"/>
  <c r="E2436" i="27"/>
  <c r="U2436" i="27"/>
  <c r="C2333" i="27"/>
  <c r="D2333" i="27"/>
  <c r="E2333" i="27"/>
  <c r="C1772" i="27"/>
  <c r="C1881" i="27"/>
  <c r="D1881" i="27"/>
  <c r="E1881" i="27"/>
  <c r="C1271" i="27"/>
  <c r="D1137" i="27"/>
  <c r="E1137" i="27"/>
  <c r="Z1137" i="27"/>
  <c r="D947" i="27"/>
  <c r="E947" i="27"/>
  <c r="D665" i="27"/>
  <c r="E665" i="27"/>
  <c r="D541" i="27"/>
  <c r="E541" i="27"/>
  <c r="D951" i="27"/>
  <c r="E951" i="27"/>
  <c r="F951" i="27"/>
  <c r="M951" i="27"/>
  <c r="D950" i="27"/>
  <c r="E950" i="27"/>
  <c r="AB950" i="27"/>
  <c r="AA950" i="27"/>
  <c r="D949" i="27"/>
  <c r="E949" i="27"/>
  <c r="U949" i="27"/>
  <c r="D948" i="27"/>
  <c r="E948" i="27"/>
  <c r="Z948" i="27"/>
  <c r="D946" i="27"/>
  <c r="E946" i="27"/>
  <c r="D945" i="27"/>
  <c r="E945" i="27"/>
  <c r="C1642" i="27"/>
  <c r="E1642" i="27"/>
  <c r="C1641" i="27"/>
  <c r="E1641" i="27"/>
  <c r="Z1641" i="27"/>
  <c r="AA1641" i="27"/>
  <c r="C1640" i="27"/>
  <c r="E1640" i="27"/>
  <c r="Z1640" i="27"/>
  <c r="AA1640" i="27"/>
  <c r="C1653" i="27"/>
  <c r="E1653" i="27"/>
  <c r="F1653" i="27"/>
  <c r="M1653" i="27"/>
  <c r="G1653" i="27"/>
  <c r="C1639" i="27"/>
  <c r="E1639" i="27"/>
  <c r="F1639" i="27"/>
  <c r="M1639" i="27"/>
  <c r="G1639" i="27"/>
  <c r="C1658" i="27"/>
  <c r="C3058" i="27"/>
  <c r="C1667" i="27"/>
  <c r="C1234" i="27"/>
  <c r="E1234" i="27"/>
  <c r="Z1234" i="27"/>
  <c r="AA1234" i="27"/>
  <c r="C1233" i="27"/>
  <c r="C1676" i="27"/>
  <c r="C3062" i="27"/>
  <c r="C2816" i="27"/>
  <c r="D2816" i="27"/>
  <c r="E2816" i="27"/>
  <c r="Z2816" i="27"/>
  <c r="AA2816" i="27"/>
  <c r="C2726" i="27"/>
  <c r="D2726" i="27"/>
  <c r="E2726" i="27"/>
  <c r="F2726" i="27"/>
  <c r="M2726" i="27"/>
  <c r="C2636" i="27"/>
  <c r="D2636" i="27"/>
  <c r="E2636" i="27"/>
  <c r="F2636" i="27"/>
  <c r="M2636" i="27"/>
  <c r="C1679" i="27"/>
  <c r="C1646" i="27"/>
  <c r="C3114" i="27"/>
  <c r="E3114" i="27"/>
  <c r="F3114" i="27"/>
  <c r="M3114" i="27"/>
  <c r="G3114" i="27"/>
  <c r="C2786" i="27"/>
  <c r="E2786" i="27"/>
  <c r="C2705" i="27"/>
  <c r="E2705" i="27"/>
  <c r="C2604" i="27"/>
  <c r="E2604" i="27"/>
  <c r="F2604" i="27"/>
  <c r="M2604" i="27"/>
  <c r="C1665" i="27"/>
  <c r="C3113" i="27"/>
  <c r="E3113" i="27"/>
  <c r="F3113" i="27"/>
  <c r="M3113" i="27"/>
  <c r="C2785" i="27"/>
  <c r="E2785" i="27"/>
  <c r="C2704" i="27"/>
  <c r="E2704" i="27"/>
  <c r="C2603" i="27"/>
  <c r="E2603" i="27"/>
  <c r="C1664" i="27"/>
  <c r="C2169" i="27"/>
  <c r="E2169" i="27"/>
  <c r="F2169" i="27"/>
  <c r="M2169" i="27"/>
  <c r="C3112" i="27"/>
  <c r="E3112" i="27"/>
  <c r="F3112" i="27"/>
  <c r="M3112" i="27"/>
  <c r="G3112" i="27"/>
  <c r="C2784" i="27"/>
  <c r="E2784" i="27"/>
  <c r="C2703" i="27"/>
  <c r="E2703" i="27"/>
  <c r="AA2703" i="27"/>
  <c r="C2602" i="27"/>
  <c r="E2602" i="27"/>
  <c r="C1662" i="27"/>
  <c r="C1650" i="27"/>
  <c r="C2164" i="27"/>
  <c r="E2164" i="27"/>
  <c r="Z2164" i="27"/>
  <c r="AA2164" i="27"/>
  <c r="C1675" i="27"/>
  <c r="C3130" i="27"/>
  <c r="C1739" i="27"/>
  <c r="E1739" i="27"/>
  <c r="E914" i="27"/>
  <c r="U914" i="27"/>
  <c r="C3135" i="27"/>
  <c r="AA3135" i="27"/>
  <c r="C2811" i="27"/>
  <c r="E2811" i="27"/>
  <c r="C2721" i="27"/>
  <c r="E2721" i="27"/>
  <c r="U2721" i="27"/>
  <c r="C2631" i="27"/>
  <c r="E2631" i="27"/>
  <c r="C1738" i="27"/>
  <c r="E1738" i="27"/>
  <c r="E913" i="27"/>
  <c r="Z913" i="27"/>
  <c r="C3129" i="27"/>
  <c r="C1736" i="27"/>
  <c r="E1736" i="27"/>
  <c r="E911" i="27"/>
  <c r="C3134" i="27"/>
  <c r="C2810" i="27"/>
  <c r="E2810" i="27"/>
  <c r="C2720" i="27"/>
  <c r="E2720" i="27"/>
  <c r="C2630" i="27"/>
  <c r="E2630" i="27"/>
  <c r="C1735" i="27"/>
  <c r="E1735" i="27"/>
  <c r="Z1735" i="27"/>
  <c r="AA1735" i="27"/>
  <c r="E910" i="27"/>
  <c r="AB910" i="27"/>
  <c r="AA910" i="27"/>
  <c r="C3133" i="27"/>
  <c r="C1734" i="27"/>
  <c r="E1734" i="27"/>
  <c r="E909" i="27"/>
  <c r="Z909" i="27"/>
  <c r="C2803" i="27"/>
  <c r="E2803" i="27"/>
  <c r="C2713" i="27"/>
  <c r="E2713" i="27"/>
  <c r="C2623" i="27"/>
  <c r="E2623" i="27"/>
  <c r="Z2623" i="27"/>
  <c r="AA2623" i="27"/>
  <c r="E1098" i="27"/>
  <c r="E1097" i="27"/>
  <c r="E869" i="27"/>
  <c r="E868" i="27"/>
  <c r="AB868" i="27"/>
  <c r="AA868" i="27"/>
  <c r="E867" i="27"/>
  <c r="Z867" i="27"/>
  <c r="AA867" i="27"/>
  <c r="E865" i="27"/>
  <c r="D864" i="27"/>
  <c r="E864" i="27"/>
  <c r="F864" i="27"/>
  <c r="M864" i="27"/>
  <c r="D863" i="27"/>
  <c r="E863" i="27"/>
  <c r="D862" i="27"/>
  <c r="E862" i="27"/>
  <c r="F862" i="27"/>
  <c r="M862" i="27"/>
  <c r="D861" i="27"/>
  <c r="E861" i="27"/>
  <c r="D860" i="27"/>
  <c r="E860" i="27"/>
  <c r="U860" i="27"/>
  <c r="D859" i="27"/>
  <c r="E859" i="27"/>
  <c r="D858" i="27"/>
  <c r="E858" i="27"/>
  <c r="D856" i="27"/>
  <c r="E856" i="27"/>
  <c r="U856" i="27"/>
  <c r="D855" i="27"/>
  <c r="E855" i="27"/>
  <c r="D854" i="27"/>
  <c r="E854" i="27"/>
  <c r="D853" i="27"/>
  <c r="E853" i="27"/>
  <c r="AB853" i="27"/>
  <c r="AA853" i="27"/>
  <c r="D852" i="27"/>
  <c r="E852" i="27"/>
  <c r="Z852" i="27"/>
  <c r="AA852" i="27"/>
  <c r="D851" i="27"/>
  <c r="E851" i="27"/>
  <c r="D850" i="27"/>
  <c r="E850" i="27"/>
  <c r="D849" i="27"/>
  <c r="E849" i="27"/>
  <c r="D848" i="27"/>
  <c r="E848" i="27"/>
  <c r="D847" i="27"/>
  <c r="E847" i="27"/>
  <c r="U847" i="27"/>
  <c r="D846" i="27"/>
  <c r="E846" i="27"/>
  <c r="D845" i="27"/>
  <c r="E845" i="27"/>
  <c r="D844" i="27"/>
  <c r="E844" i="27"/>
  <c r="D843" i="27"/>
  <c r="E843" i="27"/>
  <c r="D842" i="27"/>
  <c r="E842" i="27"/>
  <c r="D841" i="27"/>
  <c r="E841" i="27"/>
  <c r="F841" i="27"/>
  <c r="M841" i="27"/>
  <c r="D840" i="27"/>
  <c r="E840" i="27"/>
  <c r="AB840" i="27"/>
  <c r="AA840" i="27"/>
  <c r="D839" i="27"/>
  <c r="E839" i="27"/>
  <c r="D838" i="27"/>
  <c r="E838" i="27"/>
  <c r="U838" i="27"/>
  <c r="D837" i="27"/>
  <c r="E837" i="27"/>
  <c r="Z837" i="27"/>
  <c r="AA837" i="27"/>
  <c r="E835" i="27"/>
  <c r="Z835" i="27"/>
  <c r="AA835" i="27"/>
  <c r="E833" i="27"/>
  <c r="Z833" i="27"/>
  <c r="AA833" i="27"/>
  <c r="E832" i="27"/>
  <c r="Z832" i="27"/>
  <c r="AA832" i="27"/>
  <c r="E831" i="27"/>
  <c r="E830" i="27"/>
  <c r="E829" i="27"/>
  <c r="F829" i="27"/>
  <c r="M829" i="27"/>
  <c r="G829" i="27"/>
  <c r="E828" i="27"/>
  <c r="E826" i="27"/>
  <c r="U826" i="27"/>
  <c r="E825" i="27"/>
  <c r="Z825" i="27"/>
  <c r="AA825" i="27"/>
  <c r="E824" i="27"/>
  <c r="U824" i="27"/>
  <c r="E823" i="27"/>
  <c r="F823" i="27"/>
  <c r="M823" i="27"/>
  <c r="E822" i="27"/>
  <c r="AB822" i="27"/>
  <c r="AA822" i="27"/>
  <c r="E821" i="27"/>
  <c r="E820" i="27"/>
  <c r="U820" i="27"/>
  <c r="E819" i="27"/>
  <c r="E818" i="27"/>
  <c r="E817" i="27"/>
  <c r="E816" i="27"/>
  <c r="E815" i="27"/>
  <c r="E814" i="27"/>
  <c r="AB814" i="27"/>
  <c r="AA814" i="27"/>
  <c r="E813" i="27"/>
  <c r="E812" i="27"/>
  <c r="F812" i="27"/>
  <c r="M812" i="27"/>
  <c r="C2574" i="27"/>
  <c r="E2574" i="27"/>
  <c r="Z2574" i="27"/>
  <c r="AA2574" i="27"/>
  <c r="C1973" i="27"/>
  <c r="D1973" i="27"/>
  <c r="E1973" i="27"/>
  <c r="C1309" i="27"/>
  <c r="D1309" i="27"/>
  <c r="E1309" i="27"/>
  <c r="C1935" i="27"/>
  <c r="D1935" i="27"/>
  <c r="E1935" i="27"/>
  <c r="U1935" i="27"/>
  <c r="C1820" i="27"/>
  <c r="D1820" i="27"/>
  <c r="E1820" i="27"/>
  <c r="C2374" i="27"/>
  <c r="D2374" i="27"/>
  <c r="E2374" i="27"/>
  <c r="C1310" i="27"/>
  <c r="D1310" i="27"/>
  <c r="E1310" i="27"/>
  <c r="Z1310" i="27"/>
  <c r="AA1310" i="27"/>
  <c r="C1936" i="27"/>
  <c r="C2725" i="27"/>
  <c r="D2725" i="27"/>
  <c r="E2725" i="27"/>
  <c r="C2453" i="27"/>
  <c r="D2453" i="27"/>
  <c r="E2453" i="27"/>
  <c r="C2345" i="27"/>
  <c r="D2345" i="27"/>
  <c r="E2345" i="27"/>
  <c r="F2345" i="27"/>
  <c r="M2345" i="27"/>
  <c r="C2580" i="27"/>
  <c r="D2580" i="27"/>
  <c r="E2580" i="27"/>
  <c r="F2580" i="27"/>
  <c r="M2580" i="27"/>
  <c r="C2581" i="27"/>
  <c r="C2451" i="27"/>
  <c r="D2451" i="27"/>
  <c r="E2451" i="27"/>
  <c r="C1980" i="27"/>
  <c r="C1982" i="27"/>
  <c r="C2731" i="27"/>
  <c r="D2731" i="27"/>
  <c r="E2731" i="27"/>
  <c r="C2642" i="27"/>
  <c r="D2642" i="27"/>
  <c r="E2642" i="27"/>
  <c r="C1981" i="27"/>
  <c r="D2542" i="27"/>
  <c r="E2542" i="27"/>
  <c r="C2334" i="27"/>
  <c r="D2334" i="27"/>
  <c r="E2334" i="27"/>
  <c r="C2327" i="27"/>
  <c r="D2541" i="27"/>
  <c r="E2541" i="27"/>
  <c r="Z2541" i="27"/>
  <c r="AA2541" i="27"/>
  <c r="C2332" i="27"/>
  <c r="D2332" i="27"/>
  <c r="E2332" i="27"/>
  <c r="Z2332" i="27"/>
  <c r="AA2332" i="27"/>
  <c r="C1818" i="27"/>
  <c r="D1818" i="27"/>
  <c r="E1818" i="27"/>
  <c r="F1818" i="27"/>
  <c r="M1818" i="27"/>
  <c r="G1818" i="27"/>
  <c r="C1308" i="27"/>
  <c r="D1308" i="27"/>
  <c r="E1308" i="27"/>
  <c r="C2248" i="27"/>
  <c r="D2248" i="27"/>
  <c r="E2248" i="27"/>
  <c r="F2248" i="27"/>
  <c r="M2248" i="27"/>
  <c r="C1817" i="27"/>
  <c r="D1817" i="27"/>
  <c r="E1817" i="27"/>
  <c r="C1307" i="27"/>
  <c r="D1307" i="27"/>
  <c r="E1307" i="27"/>
  <c r="C2247" i="27"/>
  <c r="D2247" i="27"/>
  <c r="E2247" i="27"/>
  <c r="C1306" i="27"/>
  <c r="D1306" i="27"/>
  <c r="E1306" i="27"/>
  <c r="C1816" i="27"/>
  <c r="D1816" i="27"/>
  <c r="E1816" i="27"/>
  <c r="C2246" i="27"/>
  <c r="C2411" i="27"/>
  <c r="D2411" i="27"/>
  <c r="E2411" i="27"/>
  <c r="D2509" i="27"/>
  <c r="E2509" i="27"/>
  <c r="F2509" i="27"/>
  <c r="M2509" i="27"/>
  <c r="G2509" i="27"/>
  <c r="E2505" i="27"/>
  <c r="F2505" i="27"/>
  <c r="M2505" i="27"/>
  <c r="G2505" i="27"/>
  <c r="C2271" i="27"/>
  <c r="E2271" i="27"/>
  <c r="E476" i="27"/>
  <c r="AB476" i="27"/>
  <c r="AA476" i="27"/>
  <c r="D2517" i="27"/>
  <c r="E2517" i="27"/>
  <c r="C2251" i="27"/>
  <c r="E2251" i="27"/>
  <c r="C2417" i="27"/>
  <c r="D2417" i="27"/>
  <c r="E2417" i="27"/>
  <c r="Z2417" i="27"/>
  <c r="AA2417" i="27"/>
  <c r="D2522" i="27"/>
  <c r="E2522" i="27"/>
  <c r="F2522" i="27"/>
  <c r="M2522" i="27"/>
  <c r="G2522" i="27"/>
  <c r="C2299" i="27"/>
  <c r="C2413" i="27"/>
  <c r="D2413" i="27"/>
  <c r="E2413" i="27"/>
  <c r="D2511" i="27"/>
  <c r="E2511" i="27"/>
  <c r="F2511" i="27"/>
  <c r="M2511" i="27"/>
  <c r="C2297" i="27"/>
  <c r="C2296" i="27"/>
  <c r="D2296" i="27"/>
  <c r="E2296" i="27"/>
  <c r="Z2296" i="27"/>
  <c r="AA2296" i="27"/>
  <c r="C1989" i="27"/>
  <c r="C2391" i="27"/>
  <c r="D2391" i="27"/>
  <c r="E2391" i="27"/>
  <c r="F2391" i="27"/>
  <c r="M2391" i="27"/>
  <c r="C1984" i="27"/>
  <c r="D1984" i="27"/>
  <c r="E1984" i="27"/>
  <c r="B8" i="24"/>
  <c r="F8" i="24"/>
  <c r="K8" i="24"/>
  <c r="I8" i="24"/>
  <c r="S8" i="24"/>
  <c r="T8" i="24"/>
  <c r="O39" i="24"/>
  <c r="B9" i="24"/>
  <c r="F9" i="24"/>
  <c r="K9" i="24"/>
  <c r="I9" i="24"/>
  <c r="S9" i="24"/>
  <c r="B10" i="24"/>
  <c r="F10" i="24"/>
  <c r="K10" i="24"/>
  <c r="I10" i="24"/>
  <c r="S10" i="24"/>
  <c r="B11" i="24"/>
  <c r="F11" i="24"/>
  <c r="G11" i="24"/>
  <c r="L11" i="24"/>
  <c r="I11" i="24"/>
  <c r="K11" i="24"/>
  <c r="S11" i="24"/>
  <c r="B12" i="24"/>
  <c r="F12" i="24"/>
  <c r="G12" i="24"/>
  <c r="I12" i="24"/>
  <c r="K12" i="24"/>
  <c r="L12" i="24"/>
  <c r="S12" i="24"/>
  <c r="B13" i="24"/>
  <c r="F13" i="24"/>
  <c r="K13" i="24"/>
  <c r="G13" i="24"/>
  <c r="L13" i="24"/>
  <c r="I13" i="24"/>
  <c r="S13" i="24"/>
  <c r="B14" i="24"/>
  <c r="F14" i="24"/>
  <c r="K14" i="24"/>
  <c r="G14" i="24"/>
  <c r="L14" i="24"/>
  <c r="I14" i="24"/>
  <c r="S14" i="24"/>
  <c r="B15" i="24"/>
  <c r="F15" i="24"/>
  <c r="G15" i="24"/>
  <c r="L15" i="24"/>
  <c r="I15" i="24"/>
  <c r="K15" i="24"/>
  <c r="S15" i="24"/>
  <c r="B16" i="24"/>
  <c r="F16" i="24"/>
  <c r="G16" i="24"/>
  <c r="I16" i="24"/>
  <c r="K16" i="24"/>
  <c r="L16" i="24"/>
  <c r="S16" i="24"/>
  <c r="B17" i="24"/>
  <c r="F17" i="24"/>
  <c r="K17" i="24"/>
  <c r="G17" i="24"/>
  <c r="I17" i="24"/>
  <c r="L17" i="24"/>
  <c r="S17" i="24"/>
  <c r="K18" i="24"/>
  <c r="L18" i="24"/>
  <c r="M18" i="24"/>
  <c r="S18" i="24"/>
  <c r="K19" i="24"/>
  <c r="L19" i="24"/>
  <c r="M19" i="24"/>
  <c r="S19" i="24"/>
  <c r="K20" i="24"/>
  <c r="L20" i="24"/>
  <c r="M20" i="24"/>
  <c r="S20" i="24"/>
  <c r="K21" i="24"/>
  <c r="L21" i="24"/>
  <c r="M21" i="24"/>
  <c r="S21" i="24"/>
  <c r="K22" i="24"/>
  <c r="L22" i="24"/>
  <c r="M22" i="24"/>
  <c r="S22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71" i="24"/>
  <c r="I72" i="24"/>
  <c r="I73" i="24"/>
  <c r="I74" i="24"/>
  <c r="I75" i="24"/>
  <c r="O75" i="24"/>
  <c r="Q75" i="24"/>
  <c r="I76" i="24"/>
  <c r="I77" i="24"/>
  <c r="I78" i="24"/>
  <c r="O78" i="24"/>
  <c r="I79" i="24"/>
  <c r="I80" i="24"/>
  <c r="I81" i="24"/>
  <c r="I82" i="24"/>
  <c r="I83" i="24"/>
  <c r="I84" i="24"/>
  <c r="I85" i="24"/>
  <c r="I86" i="24"/>
  <c r="I87" i="24"/>
  <c r="O87" i="24"/>
  <c r="Q87" i="24"/>
  <c r="I88" i="24"/>
  <c r="I89" i="24"/>
  <c r="I90" i="24"/>
  <c r="O90" i="24"/>
  <c r="Q90" i="24"/>
  <c r="I91" i="24"/>
  <c r="I92" i="24"/>
  <c r="I93" i="24"/>
  <c r="I94" i="24"/>
  <c r="I95" i="24"/>
  <c r="I96" i="24"/>
  <c r="I97" i="24"/>
  <c r="I98" i="24"/>
  <c r="I99" i="24"/>
  <c r="O99" i="24"/>
  <c r="Q99" i="24"/>
  <c r="I100" i="24"/>
  <c r="I101" i="24"/>
  <c r="I102" i="24"/>
  <c r="O102" i="24"/>
  <c r="I103" i="24"/>
  <c r="I104" i="24"/>
  <c r="I105" i="24"/>
  <c r="I106" i="24"/>
  <c r="I107" i="24"/>
  <c r="I108" i="24"/>
  <c r="I109" i="24"/>
  <c r="I110" i="24"/>
  <c r="I111" i="24"/>
  <c r="O111" i="24"/>
  <c r="Q111" i="24"/>
  <c r="I112" i="24"/>
  <c r="I113" i="24"/>
  <c r="O113" i="24"/>
  <c r="Q113" i="24"/>
  <c r="I114" i="24"/>
  <c r="O114" i="24"/>
  <c r="P114" i="24"/>
  <c r="Q114" i="24"/>
  <c r="I115" i="24"/>
  <c r="O115" i="24"/>
  <c r="I116" i="24"/>
  <c r="O116" i="24"/>
  <c r="Q116" i="24"/>
  <c r="P116" i="24"/>
  <c r="R116" i="24"/>
  <c r="I117" i="24"/>
  <c r="I118" i="24"/>
  <c r="I119" i="24"/>
  <c r="I120" i="24"/>
  <c r="I121" i="24"/>
  <c r="I122" i="24"/>
  <c r="I123" i="24"/>
  <c r="O123" i="24"/>
  <c r="Q123" i="24"/>
  <c r="I124" i="24"/>
  <c r="I125" i="24"/>
  <c r="O125" i="24"/>
  <c r="Q125" i="24"/>
  <c r="I126" i="24"/>
  <c r="O126" i="24"/>
  <c r="P126" i="24"/>
  <c r="Q126" i="24"/>
  <c r="R126" i="24"/>
  <c r="I127" i="24"/>
  <c r="I128" i="24"/>
  <c r="O128" i="24"/>
  <c r="I129" i="24"/>
  <c r="I130" i="24"/>
  <c r="I131" i="24"/>
  <c r="I132" i="24"/>
  <c r="O132" i="24"/>
  <c r="I133" i="24"/>
  <c r="O133" i="24"/>
  <c r="R133" i="24"/>
  <c r="P133" i="24"/>
  <c r="Q133" i="24"/>
  <c r="I134" i="24"/>
  <c r="O134" i="24"/>
  <c r="P134" i="24"/>
  <c r="Q134" i="24"/>
  <c r="I135" i="24"/>
  <c r="O135" i="24"/>
  <c r="R135" i="24"/>
  <c r="I136" i="24"/>
  <c r="O136" i="24"/>
  <c r="I137" i="24"/>
  <c r="O137" i="24"/>
  <c r="Q137" i="24"/>
  <c r="P137" i="24"/>
  <c r="I138" i="24"/>
  <c r="O138" i="24"/>
  <c r="P138" i="24"/>
  <c r="Q138" i="24"/>
  <c r="R138" i="24"/>
  <c r="I139" i="24"/>
  <c r="I140" i="24"/>
  <c r="O140" i="24"/>
  <c r="I141" i="24"/>
  <c r="I142" i="24"/>
  <c r="I143" i="24"/>
  <c r="I144" i="24"/>
  <c r="O144" i="24"/>
  <c r="I145" i="24"/>
  <c r="O145" i="24"/>
  <c r="R145" i="24"/>
  <c r="P145" i="24"/>
  <c r="Q145" i="24"/>
  <c r="I146" i="24"/>
  <c r="O146" i="24"/>
  <c r="P146" i="24"/>
  <c r="Q146" i="24"/>
  <c r="I147" i="24"/>
  <c r="O147" i="24"/>
  <c r="R147" i="24"/>
  <c r="I148" i="24"/>
  <c r="O148" i="24"/>
  <c r="I149" i="24"/>
  <c r="O149" i="24"/>
  <c r="Q149" i="24"/>
  <c r="P149" i="24"/>
  <c r="I150" i="24"/>
  <c r="O150" i="24"/>
  <c r="P150" i="24"/>
  <c r="Q150" i="24"/>
  <c r="R150" i="24"/>
  <c r="I151" i="24"/>
  <c r="I152" i="24"/>
  <c r="O152" i="24"/>
  <c r="P152" i="24"/>
  <c r="I153" i="24"/>
  <c r="I154" i="24"/>
  <c r="I155" i="24"/>
  <c r="I156" i="24"/>
  <c r="O156" i="24"/>
  <c r="I157" i="24"/>
  <c r="O157" i="24"/>
  <c r="R157" i="24"/>
  <c r="P157" i="24"/>
  <c r="S157" i="24"/>
  <c r="T157" i="24"/>
  <c r="Q157" i="24"/>
  <c r="I158" i="24"/>
  <c r="O158" i="24"/>
  <c r="P158" i="24"/>
  <c r="Q158" i="24"/>
  <c r="I159" i="24"/>
  <c r="O159" i="24"/>
  <c r="I160" i="24"/>
  <c r="O160" i="24"/>
  <c r="I161" i="24"/>
  <c r="O161" i="24"/>
  <c r="Q161" i="24"/>
  <c r="P161" i="24"/>
  <c r="I162" i="24"/>
  <c r="O162" i="24"/>
  <c r="P162" i="24"/>
  <c r="S162" i="24"/>
  <c r="T162" i="24"/>
  <c r="Q162" i="24"/>
  <c r="R162" i="24"/>
  <c r="I163" i="24"/>
  <c r="O163" i="24"/>
  <c r="Q163" i="24"/>
  <c r="P163" i="24"/>
  <c r="S163" i="24"/>
  <c r="T163" i="24"/>
  <c r="R163" i="24"/>
  <c r="I164" i="24"/>
  <c r="O164" i="24"/>
  <c r="I165" i="24"/>
  <c r="I166" i="24"/>
  <c r="I167" i="24"/>
  <c r="I168" i="24"/>
  <c r="O168" i="24"/>
  <c r="I169" i="24"/>
  <c r="O169" i="24"/>
  <c r="R169" i="24"/>
  <c r="P169" i="24"/>
  <c r="S169" i="24"/>
  <c r="T169" i="24"/>
  <c r="Q169" i="24"/>
  <c r="I170" i="24"/>
  <c r="O170" i="24"/>
  <c r="P170" i="24"/>
  <c r="Q170" i="24"/>
  <c r="I171" i="24"/>
  <c r="O171" i="24"/>
  <c r="R171" i="24"/>
  <c r="I172" i="24"/>
  <c r="O172" i="24"/>
  <c r="R172" i="24"/>
  <c r="I173" i="24"/>
  <c r="O173" i="24"/>
  <c r="I174" i="24"/>
  <c r="O174" i="24"/>
  <c r="P174" i="24"/>
  <c r="S174" i="24"/>
  <c r="T174" i="24"/>
  <c r="Q174" i="24"/>
  <c r="R174" i="24"/>
  <c r="I175" i="24"/>
  <c r="O175" i="24"/>
  <c r="Q175" i="24"/>
  <c r="P175" i="24"/>
  <c r="R175" i="24"/>
  <c r="I176" i="24"/>
  <c r="O176" i="24"/>
  <c r="P176" i="24"/>
  <c r="I177" i="24"/>
  <c r="I178" i="24"/>
  <c r="I179" i="24"/>
  <c r="I180" i="24"/>
  <c r="O180" i="24"/>
  <c r="I181" i="24"/>
  <c r="O181" i="24"/>
  <c r="I182" i="24"/>
  <c r="O182" i="24"/>
  <c r="P182" i="24"/>
  <c r="Q182" i="24"/>
  <c r="I183" i="24"/>
  <c r="O183" i="24"/>
  <c r="Q183" i="24"/>
  <c r="R183" i="24"/>
  <c r="I184" i="24"/>
  <c r="O184" i="24"/>
  <c r="R184" i="24"/>
  <c r="I185" i="24"/>
  <c r="O185" i="24"/>
  <c r="P185" i="24"/>
  <c r="I186" i="24"/>
  <c r="O186" i="24"/>
  <c r="P186" i="24"/>
  <c r="S186" i="24"/>
  <c r="Q186" i="24"/>
  <c r="R186" i="24"/>
  <c r="T186" i="24"/>
  <c r="F187" i="24"/>
  <c r="G187" i="24"/>
  <c r="H187" i="24"/>
  <c r="K187" i="24"/>
  <c r="B8" i="22"/>
  <c r="F8" i="22"/>
  <c r="I8" i="22"/>
  <c r="N8" i="22"/>
  <c r="V8" i="22"/>
  <c r="B9" i="22"/>
  <c r="F9" i="22"/>
  <c r="I9" i="22"/>
  <c r="N9" i="22"/>
  <c r="V9" i="22"/>
  <c r="B10" i="22"/>
  <c r="F10" i="22"/>
  <c r="I10" i="22"/>
  <c r="N10" i="22"/>
  <c r="V10" i="22"/>
  <c r="B11" i="22"/>
  <c r="F11" i="22"/>
  <c r="N11" i="22"/>
  <c r="G11" i="22"/>
  <c r="I11" i="22"/>
  <c r="O11" i="22"/>
  <c r="V11" i="22"/>
  <c r="B12" i="22"/>
  <c r="F12" i="22"/>
  <c r="N12" i="22"/>
  <c r="G12" i="22"/>
  <c r="I12" i="22"/>
  <c r="O12" i="22"/>
  <c r="V12" i="22"/>
  <c r="B13" i="22"/>
  <c r="F13" i="22"/>
  <c r="N13" i="22"/>
  <c r="G13" i="22"/>
  <c r="O13" i="22"/>
  <c r="I13" i="22"/>
  <c r="V13" i="22"/>
  <c r="B14" i="22"/>
  <c r="F14" i="22"/>
  <c r="G14" i="22"/>
  <c r="O14" i="22"/>
  <c r="I14" i="22"/>
  <c r="N14" i="22"/>
  <c r="V14" i="22"/>
  <c r="B15" i="22"/>
  <c r="F15" i="22"/>
  <c r="N15" i="22"/>
  <c r="G15" i="22"/>
  <c r="I15" i="22"/>
  <c r="O15" i="22"/>
  <c r="V15" i="22"/>
  <c r="B16" i="22"/>
  <c r="F16" i="22"/>
  <c r="N16" i="22"/>
  <c r="G16" i="22"/>
  <c r="O16" i="22"/>
  <c r="I16" i="22"/>
  <c r="V16" i="22"/>
  <c r="B17" i="22"/>
  <c r="F17" i="22"/>
  <c r="N17" i="22"/>
  <c r="G17" i="22"/>
  <c r="O17" i="22"/>
  <c r="V17" i="22"/>
  <c r="N18" i="22"/>
  <c r="O18" i="22"/>
  <c r="P18" i="22"/>
  <c r="V18" i="22"/>
  <c r="N19" i="22"/>
  <c r="O19" i="22"/>
  <c r="P19" i="22"/>
  <c r="V19" i="22"/>
  <c r="N20" i="22"/>
  <c r="O20" i="22"/>
  <c r="P20" i="22"/>
  <c r="V20" i="22"/>
  <c r="N21" i="22"/>
  <c r="O21" i="22"/>
  <c r="P21" i="22"/>
  <c r="V21" i="22"/>
  <c r="N22" i="22"/>
  <c r="O22" i="22"/>
  <c r="P22" i="22"/>
  <c r="V22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159" i="22"/>
  <c r="I160" i="22"/>
  <c r="I161" i="22"/>
  <c r="I162" i="22"/>
  <c r="I163" i="22"/>
  <c r="I164" i="22"/>
  <c r="I165" i="22"/>
  <c r="I166" i="22"/>
  <c r="I167" i="22"/>
  <c r="I168" i="22"/>
  <c r="I169" i="22"/>
  <c r="I170" i="22"/>
  <c r="I171" i="22"/>
  <c r="I172" i="22"/>
  <c r="I173" i="22"/>
  <c r="I174" i="22"/>
  <c r="I175" i="22"/>
  <c r="I176" i="22"/>
  <c r="I177" i="22"/>
  <c r="I178" i="22"/>
  <c r="I179" i="22"/>
  <c r="I180" i="22"/>
  <c r="I181" i="22"/>
  <c r="I182" i="22"/>
  <c r="I183" i="22"/>
  <c r="I184" i="22"/>
  <c r="I185" i="22"/>
  <c r="F186" i="22"/>
  <c r="G186" i="22"/>
  <c r="H186" i="22"/>
  <c r="L186" i="22"/>
  <c r="N186" i="22"/>
  <c r="D8" i="3"/>
  <c r="E8" i="3"/>
  <c r="U8" i="3"/>
  <c r="F8" i="3"/>
  <c r="M8" i="3"/>
  <c r="D9" i="3"/>
  <c r="E9" i="3"/>
  <c r="U9" i="3"/>
  <c r="F9" i="3"/>
  <c r="M9" i="3"/>
  <c r="G9" i="3"/>
  <c r="D10" i="3"/>
  <c r="E10" i="3"/>
  <c r="U10" i="3"/>
  <c r="F10" i="3"/>
  <c r="M10" i="3"/>
  <c r="E11" i="3"/>
  <c r="F11" i="3"/>
  <c r="M11" i="3"/>
  <c r="D12" i="3"/>
  <c r="E12" i="3"/>
  <c r="D13" i="3"/>
  <c r="E13" i="3"/>
  <c r="F13" i="3"/>
  <c r="M13" i="3"/>
  <c r="E14" i="3"/>
  <c r="U14" i="3"/>
  <c r="D15" i="3"/>
  <c r="F15" i="3"/>
  <c r="M15" i="3"/>
  <c r="E15" i="3"/>
  <c r="U15" i="3"/>
  <c r="D16" i="3"/>
  <c r="E16" i="3"/>
  <c r="D17" i="3"/>
  <c r="E17" i="3"/>
  <c r="E18" i="3"/>
  <c r="U18" i="3"/>
  <c r="F18" i="3"/>
  <c r="M18" i="3"/>
  <c r="E19" i="3"/>
  <c r="F19" i="3"/>
  <c r="M19" i="3"/>
  <c r="G19" i="3"/>
  <c r="U19" i="3"/>
  <c r="E20" i="3"/>
  <c r="U20" i="3"/>
  <c r="F20" i="3"/>
  <c r="M20" i="3"/>
  <c r="E21" i="3"/>
  <c r="F21" i="3"/>
  <c r="M21" i="3"/>
  <c r="G21" i="3"/>
  <c r="U21" i="3"/>
  <c r="D22" i="3"/>
  <c r="E22" i="3"/>
  <c r="U22" i="3"/>
  <c r="F22" i="3"/>
  <c r="M22" i="3"/>
  <c r="E26" i="3"/>
  <c r="E34" i="3"/>
  <c r="F26" i="3"/>
  <c r="M26" i="3"/>
  <c r="E27" i="3"/>
  <c r="F27" i="3"/>
  <c r="E28" i="3"/>
  <c r="F28" i="3"/>
  <c r="M28" i="3"/>
  <c r="E29" i="3"/>
  <c r="F29" i="3"/>
  <c r="M29" i="3"/>
  <c r="E30" i="3"/>
  <c r="F30" i="3"/>
  <c r="M30" i="3"/>
  <c r="E31" i="3"/>
  <c r="F31" i="3"/>
  <c r="M31" i="3"/>
  <c r="D37" i="3"/>
  <c r="G8" i="22"/>
  <c r="O8" i="22"/>
  <c r="D38" i="3"/>
  <c r="D39" i="3"/>
  <c r="G10" i="22"/>
  <c r="O10" i="22"/>
  <c r="E39" i="3"/>
  <c r="U39" i="3"/>
  <c r="E40" i="3"/>
  <c r="H11" i="22"/>
  <c r="P11" i="22"/>
  <c r="F40" i="3"/>
  <c r="M40" i="3"/>
  <c r="U40" i="3"/>
  <c r="E41" i="3"/>
  <c r="H12" i="22"/>
  <c r="P12" i="22"/>
  <c r="E42" i="3"/>
  <c r="H13" i="22"/>
  <c r="P13" i="22"/>
  <c r="F42" i="3"/>
  <c r="M42" i="3"/>
  <c r="U42" i="3"/>
  <c r="E43" i="3"/>
  <c r="U43" i="3"/>
  <c r="E44" i="3"/>
  <c r="H15" i="22"/>
  <c r="P15" i="22"/>
  <c r="F44" i="3"/>
  <c r="M44" i="3"/>
  <c r="U44" i="3"/>
  <c r="E45" i="3"/>
  <c r="H16" i="22"/>
  <c r="P16" i="22"/>
  <c r="E46" i="3"/>
  <c r="H17" i="22"/>
  <c r="P17" i="22"/>
  <c r="F46" i="3"/>
  <c r="M46" i="3"/>
  <c r="U46" i="3"/>
  <c r="D52" i="3"/>
  <c r="E52" i="3"/>
  <c r="U52" i="3"/>
  <c r="F52" i="3"/>
  <c r="D53" i="3"/>
  <c r="E53" i="3"/>
  <c r="U53" i="3"/>
  <c r="D54" i="3"/>
  <c r="E54" i="3"/>
  <c r="E55" i="3"/>
  <c r="F55" i="3"/>
  <c r="M55" i="3"/>
  <c r="U55" i="3"/>
  <c r="D56" i="3"/>
  <c r="E56" i="3"/>
  <c r="F56" i="3"/>
  <c r="M56" i="3"/>
  <c r="U56" i="3"/>
  <c r="D57" i="3"/>
  <c r="E57" i="3"/>
  <c r="D58" i="3"/>
  <c r="E58" i="3"/>
  <c r="D59" i="3"/>
  <c r="F59" i="3"/>
  <c r="M59" i="3"/>
  <c r="E59" i="3"/>
  <c r="U59" i="3"/>
  <c r="E60" i="3"/>
  <c r="F60" i="3"/>
  <c r="M60" i="3"/>
  <c r="G60" i="3"/>
  <c r="I60" i="3"/>
  <c r="D61" i="3"/>
  <c r="E61" i="3"/>
  <c r="F61" i="3"/>
  <c r="M61" i="3"/>
  <c r="U61" i="3"/>
  <c r="D62" i="3"/>
  <c r="E62" i="3"/>
  <c r="F62" i="3"/>
  <c r="M62" i="3"/>
  <c r="U62" i="3"/>
  <c r="D63" i="3"/>
  <c r="E63" i="3"/>
  <c r="F63" i="3"/>
  <c r="M63" i="3"/>
  <c r="U63" i="3"/>
  <c r="E64" i="3"/>
  <c r="E65" i="3"/>
  <c r="F65" i="3"/>
  <c r="M65" i="3"/>
  <c r="G65" i="3"/>
  <c r="I65" i="3"/>
  <c r="U65" i="3"/>
  <c r="E66" i="3"/>
  <c r="E67" i="3"/>
  <c r="F67" i="3"/>
  <c r="M67" i="3"/>
  <c r="U67" i="3"/>
  <c r="D68" i="3"/>
  <c r="E68" i="3"/>
  <c r="U68" i="3"/>
  <c r="F68" i="3"/>
  <c r="M68" i="3"/>
  <c r="G68" i="3"/>
  <c r="I68" i="3"/>
  <c r="C72" i="3"/>
  <c r="E72" i="3"/>
  <c r="F72" i="3"/>
  <c r="M72" i="3"/>
  <c r="C73" i="3"/>
  <c r="E73" i="3"/>
  <c r="F73" i="3"/>
  <c r="M73" i="3"/>
  <c r="C74" i="3"/>
  <c r="E74" i="3"/>
  <c r="F74" i="3"/>
  <c r="M74" i="3"/>
  <c r="D79" i="3"/>
  <c r="G8" i="24"/>
  <c r="L8" i="24"/>
  <c r="E79" i="3"/>
  <c r="D80" i="3"/>
  <c r="D81" i="3"/>
  <c r="E82" i="3"/>
  <c r="H11" i="24"/>
  <c r="M11" i="24"/>
  <c r="F82" i="3"/>
  <c r="M82" i="3"/>
  <c r="U82" i="3"/>
  <c r="E83" i="3"/>
  <c r="H12" i="24"/>
  <c r="M12" i="24"/>
  <c r="F83" i="3"/>
  <c r="I83" i="3"/>
  <c r="M83" i="3"/>
  <c r="G83" i="3"/>
  <c r="U83" i="3"/>
  <c r="E84" i="3"/>
  <c r="F84" i="3"/>
  <c r="M84" i="3"/>
  <c r="E85" i="3"/>
  <c r="H14" i="24"/>
  <c r="M14" i="24"/>
  <c r="F85" i="3"/>
  <c r="M85" i="3"/>
  <c r="U85" i="3"/>
  <c r="E86" i="3"/>
  <c r="H15" i="24"/>
  <c r="M15" i="24"/>
  <c r="U86" i="3"/>
  <c r="E87" i="3"/>
  <c r="E88" i="3"/>
  <c r="H17" i="24"/>
  <c r="M17" i="24"/>
  <c r="F88" i="3"/>
  <c r="M88" i="3"/>
  <c r="U88" i="3"/>
  <c r="E94" i="3"/>
  <c r="F94" i="3"/>
  <c r="M94" i="3"/>
  <c r="G94" i="3"/>
  <c r="I94" i="3"/>
  <c r="U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F102" i="3"/>
  <c r="M102" i="3"/>
  <c r="G102" i="3"/>
  <c r="I102" i="3"/>
  <c r="U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F111" i="3"/>
  <c r="M111" i="3"/>
  <c r="U111" i="3"/>
  <c r="D112" i="3"/>
  <c r="E112" i="3"/>
  <c r="D113" i="3"/>
  <c r="E113" i="3"/>
  <c r="D114" i="3"/>
  <c r="E114" i="3"/>
  <c r="F114" i="3"/>
  <c r="M114" i="3"/>
  <c r="G114" i="3"/>
  <c r="I114" i="3"/>
  <c r="U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E122" i="3"/>
  <c r="F122" i="3"/>
  <c r="M122" i="3"/>
  <c r="U122" i="3"/>
  <c r="E123" i="3"/>
  <c r="E124" i="3"/>
  <c r="E125" i="3"/>
  <c r="U125" i="3"/>
  <c r="F125" i="3"/>
  <c r="M125" i="3"/>
  <c r="E126" i="3"/>
  <c r="F126" i="3"/>
  <c r="M126" i="3"/>
  <c r="G126" i="3"/>
  <c r="I126" i="3"/>
  <c r="U126" i="3"/>
  <c r="E127" i="3"/>
  <c r="D128" i="3"/>
  <c r="E128" i="3"/>
  <c r="D129" i="3"/>
  <c r="E129" i="3"/>
  <c r="D130" i="3"/>
  <c r="E130" i="3"/>
  <c r="F130" i="3"/>
  <c r="M130" i="3"/>
  <c r="G130" i="3"/>
  <c r="D136" i="3"/>
  <c r="E136" i="3"/>
  <c r="F136" i="3"/>
  <c r="D137" i="3"/>
  <c r="E137" i="3"/>
  <c r="U137" i="3"/>
  <c r="F137" i="3"/>
  <c r="M137" i="3"/>
  <c r="D138" i="3"/>
  <c r="E138" i="3"/>
  <c r="D139" i="3"/>
  <c r="E139" i="3"/>
  <c r="F139" i="3"/>
  <c r="M139" i="3"/>
  <c r="I139" i="3"/>
  <c r="G139" i="3"/>
  <c r="U139" i="3"/>
  <c r="D140" i="3"/>
  <c r="E140" i="3"/>
  <c r="U140" i="3"/>
  <c r="F140" i="3"/>
  <c r="M140" i="3"/>
  <c r="D141" i="3"/>
  <c r="E141" i="3"/>
  <c r="U141" i="3"/>
  <c r="F141" i="3"/>
  <c r="M141" i="3"/>
  <c r="G141" i="3"/>
  <c r="I141" i="3"/>
  <c r="D142" i="3"/>
  <c r="E142" i="3"/>
  <c r="F142" i="3"/>
  <c r="M142" i="3"/>
  <c r="G142" i="3"/>
  <c r="D143" i="3"/>
  <c r="E143" i="3"/>
  <c r="U143" i="3"/>
  <c r="F143" i="3"/>
  <c r="M143" i="3"/>
  <c r="D144" i="3"/>
  <c r="E144" i="3"/>
  <c r="D145" i="3"/>
  <c r="E145" i="3"/>
  <c r="F145" i="3"/>
  <c r="M145" i="3"/>
  <c r="G145" i="3"/>
  <c r="D146" i="3"/>
  <c r="E146" i="3"/>
  <c r="D147" i="3"/>
  <c r="E147" i="3"/>
  <c r="E148" i="3"/>
  <c r="U148" i="3"/>
  <c r="F148" i="3"/>
  <c r="M148" i="3"/>
  <c r="G148" i="3"/>
  <c r="I148" i="3"/>
  <c r="E149" i="3"/>
  <c r="E150" i="3"/>
  <c r="D151" i="3"/>
  <c r="E151" i="3"/>
  <c r="F151" i="3"/>
  <c r="M151" i="3"/>
  <c r="D152" i="3"/>
  <c r="E152" i="3"/>
  <c r="D153" i="3"/>
  <c r="E153" i="3"/>
  <c r="D154" i="3"/>
  <c r="E154" i="3"/>
  <c r="F154" i="3"/>
  <c r="M154" i="3"/>
  <c r="G154" i="3"/>
  <c r="U154" i="3"/>
  <c r="D155" i="3"/>
  <c r="E155" i="3"/>
  <c r="U155" i="3"/>
  <c r="F155" i="3"/>
  <c r="M155" i="3"/>
  <c r="G155" i="3"/>
  <c r="D156" i="3"/>
  <c r="E156" i="3"/>
  <c r="D157" i="3"/>
  <c r="E157" i="3"/>
  <c r="E158" i="3"/>
  <c r="F158" i="3"/>
  <c r="M158" i="3"/>
  <c r="U158" i="3"/>
  <c r="E159" i="3"/>
  <c r="D160" i="3"/>
  <c r="E160" i="3"/>
  <c r="F160" i="3"/>
  <c r="M160" i="3"/>
  <c r="U160" i="3"/>
  <c r="D161" i="3"/>
  <c r="E161" i="3"/>
  <c r="E162" i="3"/>
  <c r="D163" i="3"/>
  <c r="E163" i="3"/>
  <c r="F163" i="3"/>
  <c r="M163" i="3"/>
  <c r="G163" i="3"/>
  <c r="U163" i="3"/>
  <c r="D164" i="3"/>
  <c r="E164" i="3"/>
  <c r="E165" i="3"/>
  <c r="U165" i="3"/>
  <c r="F165" i="3"/>
  <c r="M165" i="3"/>
  <c r="D166" i="3"/>
  <c r="E166" i="3"/>
  <c r="E167" i="3"/>
  <c r="D168" i="3"/>
  <c r="E168" i="3"/>
  <c r="F168" i="3"/>
  <c r="M168" i="3"/>
  <c r="U168" i="3"/>
  <c r="D169" i="3"/>
  <c r="E169" i="3"/>
  <c r="F169" i="3"/>
  <c r="M169" i="3"/>
  <c r="E170" i="3"/>
  <c r="F170" i="3"/>
  <c r="M170" i="3"/>
  <c r="U170" i="3"/>
  <c r="D171" i="3"/>
  <c r="E171" i="3"/>
  <c r="D172" i="3"/>
  <c r="E172" i="3"/>
  <c r="F172" i="3"/>
  <c r="M172" i="3"/>
  <c r="G172" i="3"/>
  <c r="I172" i="3"/>
  <c r="D173" i="3"/>
  <c r="E173" i="3"/>
  <c r="U173" i="3"/>
  <c r="F173" i="3"/>
  <c r="M173" i="3"/>
  <c r="D174" i="3"/>
  <c r="E174" i="3"/>
  <c r="D175" i="3"/>
  <c r="E175" i="3"/>
  <c r="D176" i="3"/>
  <c r="E176" i="3"/>
  <c r="F176" i="3"/>
  <c r="M176" i="3"/>
  <c r="U176" i="3"/>
  <c r="D177" i="3"/>
  <c r="E177" i="3"/>
  <c r="D178" i="3"/>
  <c r="E178" i="3"/>
  <c r="F178" i="3"/>
  <c r="M178" i="3"/>
  <c r="G178" i="3"/>
  <c r="I178" i="3"/>
  <c r="U178" i="3"/>
  <c r="D179" i="3"/>
  <c r="E179" i="3"/>
  <c r="U179" i="3"/>
  <c r="F179" i="3"/>
  <c r="M179" i="3"/>
  <c r="G179" i="3"/>
  <c r="D180" i="3"/>
  <c r="E180" i="3"/>
  <c r="U180" i="3"/>
  <c r="F180" i="3"/>
  <c r="M180" i="3"/>
  <c r="G180" i="3"/>
  <c r="I180" i="3"/>
  <c r="D181" i="3"/>
  <c r="E181" i="3"/>
  <c r="D182" i="3"/>
  <c r="E182" i="3"/>
  <c r="U182" i="3"/>
  <c r="F182" i="3"/>
  <c r="M182" i="3"/>
  <c r="D183" i="3"/>
  <c r="E183" i="3"/>
  <c r="D184" i="3"/>
  <c r="E184" i="3"/>
  <c r="F184" i="3"/>
  <c r="M184" i="3"/>
  <c r="G184" i="3"/>
  <c r="U184" i="3"/>
  <c r="E186" i="3"/>
  <c r="F186" i="3"/>
  <c r="G186" i="3"/>
  <c r="M186" i="3"/>
  <c r="U186" i="3"/>
  <c r="D187" i="3"/>
  <c r="E187" i="3"/>
  <c r="E188" i="3"/>
  <c r="U188" i="3"/>
  <c r="F188" i="3"/>
  <c r="M188" i="3"/>
  <c r="G188" i="3"/>
  <c r="I188" i="3"/>
  <c r="E189" i="3"/>
  <c r="E190" i="3"/>
  <c r="U190" i="3"/>
  <c r="F190" i="3"/>
  <c r="M190" i="3"/>
  <c r="G190" i="3"/>
  <c r="E191" i="3"/>
  <c r="U191" i="3"/>
  <c r="F191" i="3"/>
  <c r="M191" i="3"/>
  <c r="E192" i="3"/>
  <c r="U192" i="3"/>
  <c r="F192" i="3"/>
  <c r="G192" i="3"/>
  <c r="M192" i="3"/>
  <c r="E193" i="3"/>
  <c r="F193" i="3"/>
  <c r="M193" i="3"/>
  <c r="U193" i="3"/>
  <c r="E194" i="3"/>
  <c r="U194" i="3"/>
  <c r="F194" i="3"/>
  <c r="M194" i="3"/>
  <c r="E195" i="3"/>
  <c r="F195" i="3"/>
  <c r="M195" i="3"/>
  <c r="G195" i="3"/>
  <c r="U195" i="3"/>
  <c r="E196" i="3"/>
  <c r="U196" i="3"/>
  <c r="F196" i="3"/>
  <c r="M196" i="3"/>
  <c r="G196" i="3"/>
  <c r="I196" i="3"/>
  <c r="D197" i="3"/>
  <c r="E197" i="3"/>
  <c r="E198" i="3"/>
  <c r="F198" i="3"/>
  <c r="M198" i="3"/>
  <c r="G198" i="3"/>
  <c r="U198" i="3"/>
  <c r="E199" i="3"/>
  <c r="F199" i="3"/>
  <c r="M199" i="3"/>
  <c r="U199" i="3"/>
  <c r="E200" i="3"/>
  <c r="F200" i="3"/>
  <c r="M200" i="3"/>
  <c r="U200" i="3"/>
  <c r="E201" i="3"/>
  <c r="F201" i="3"/>
  <c r="M201" i="3"/>
  <c r="U201" i="3"/>
  <c r="E202" i="3"/>
  <c r="F202" i="3"/>
  <c r="M202" i="3"/>
  <c r="G202" i="3"/>
  <c r="U202" i="3"/>
  <c r="E203" i="3"/>
  <c r="U203" i="3"/>
  <c r="F203" i="3"/>
  <c r="M203" i="3"/>
  <c r="D206" i="3"/>
  <c r="E206" i="3"/>
  <c r="D207" i="3"/>
  <c r="E207" i="3"/>
  <c r="U207" i="3"/>
  <c r="F207" i="3"/>
  <c r="M207" i="3"/>
  <c r="D208" i="3"/>
  <c r="E208" i="3"/>
  <c r="F208" i="3"/>
  <c r="M208" i="3"/>
  <c r="G208" i="3"/>
  <c r="D209" i="3"/>
  <c r="E209" i="3"/>
  <c r="F209" i="3"/>
  <c r="G209" i="3"/>
  <c r="M209" i="3"/>
  <c r="D210" i="3"/>
  <c r="E210" i="3"/>
  <c r="F210" i="3"/>
  <c r="M210" i="3"/>
  <c r="D211" i="3"/>
  <c r="E211" i="3"/>
  <c r="F211" i="3"/>
  <c r="M211" i="3"/>
  <c r="G211" i="3"/>
  <c r="I211" i="3"/>
  <c r="D212" i="3"/>
  <c r="E212" i="3"/>
  <c r="F212" i="3"/>
  <c r="M212" i="3"/>
  <c r="G212" i="3"/>
  <c r="I212" i="3"/>
  <c r="D213" i="3"/>
  <c r="E213" i="3"/>
  <c r="F213" i="3"/>
  <c r="M213" i="3"/>
  <c r="D214" i="3"/>
  <c r="E214" i="3"/>
  <c r="F214" i="3"/>
  <c r="M214" i="3"/>
  <c r="D215" i="3"/>
  <c r="E215" i="3"/>
  <c r="F215" i="3"/>
  <c r="M215" i="3"/>
  <c r="D216" i="3"/>
  <c r="E216" i="3"/>
  <c r="D217" i="3"/>
  <c r="E217" i="3"/>
  <c r="U217" i="3"/>
  <c r="D218" i="3"/>
  <c r="E218" i="3"/>
  <c r="F218" i="3"/>
  <c r="M218" i="3"/>
  <c r="U218" i="3"/>
  <c r="D219" i="3"/>
  <c r="E219" i="3"/>
  <c r="U219" i="3"/>
  <c r="F219" i="3"/>
  <c r="M219" i="3"/>
  <c r="D221" i="3"/>
  <c r="E221" i="3"/>
  <c r="F221" i="3"/>
  <c r="M221" i="3"/>
  <c r="D222" i="3"/>
  <c r="E222" i="3"/>
  <c r="U222" i="3"/>
  <c r="F222" i="3"/>
  <c r="M222" i="3"/>
  <c r="D223" i="3"/>
  <c r="E223" i="3"/>
  <c r="U223" i="3"/>
  <c r="F223" i="3"/>
  <c r="M223" i="3"/>
  <c r="D224" i="3"/>
  <c r="E224" i="3"/>
  <c r="U224" i="3"/>
  <c r="F224" i="3"/>
  <c r="M224" i="3"/>
  <c r="D225" i="3"/>
  <c r="E225" i="3"/>
  <c r="U225" i="3"/>
  <c r="F225" i="3"/>
  <c r="M225" i="3"/>
  <c r="D226" i="3"/>
  <c r="E226" i="3"/>
  <c r="D227" i="3"/>
  <c r="E227" i="3"/>
  <c r="U227" i="3"/>
  <c r="F227" i="3"/>
  <c r="M227" i="3"/>
  <c r="D228" i="3"/>
  <c r="E228" i="3"/>
  <c r="F228" i="3"/>
  <c r="M228" i="3"/>
  <c r="G228" i="3"/>
  <c r="U228" i="3"/>
  <c r="D229" i="3"/>
  <c r="E229" i="3"/>
  <c r="D230" i="3"/>
  <c r="E230" i="3"/>
  <c r="U230" i="3"/>
  <c r="F230" i="3"/>
  <c r="M230" i="3"/>
  <c r="G230" i="3"/>
  <c r="D231" i="3"/>
  <c r="E231" i="3"/>
  <c r="F231" i="3"/>
  <c r="M231" i="3"/>
  <c r="U231" i="3"/>
  <c r="D232" i="3"/>
  <c r="E232" i="3"/>
  <c r="U232" i="3"/>
  <c r="F232" i="3"/>
  <c r="M232" i="3"/>
  <c r="D233" i="3"/>
  <c r="E233" i="3"/>
  <c r="F233" i="3"/>
  <c r="M233" i="3"/>
  <c r="U233" i="3"/>
  <c r="D234" i="3"/>
  <c r="E234" i="3"/>
  <c r="U234" i="3"/>
  <c r="D235" i="3"/>
  <c r="E235" i="3"/>
  <c r="F235" i="3"/>
  <c r="M235" i="3"/>
  <c r="G235" i="3"/>
  <c r="U235" i="3"/>
  <c r="D236" i="3"/>
  <c r="E236" i="3"/>
  <c r="U236" i="3"/>
  <c r="F236" i="3"/>
  <c r="M236" i="3"/>
  <c r="D237" i="3"/>
  <c r="E237" i="3"/>
  <c r="D238" i="3"/>
  <c r="E238" i="3"/>
  <c r="F238" i="3"/>
  <c r="M238" i="3"/>
  <c r="D239" i="3"/>
  <c r="E239" i="3"/>
  <c r="F239" i="3"/>
  <c r="M239" i="3"/>
  <c r="G239" i="3"/>
  <c r="D240" i="3"/>
  <c r="E240" i="3"/>
  <c r="D242" i="3"/>
  <c r="E242" i="3"/>
  <c r="U242" i="3"/>
  <c r="F242" i="3"/>
  <c r="M242" i="3"/>
  <c r="E243" i="3"/>
  <c r="F243" i="3"/>
  <c r="G243" i="3"/>
  <c r="M243" i="3"/>
  <c r="U243" i="3"/>
  <c r="E244" i="3"/>
  <c r="F244" i="3"/>
  <c r="M244" i="3"/>
  <c r="U244" i="3"/>
  <c r="E245" i="3"/>
  <c r="E246" i="3"/>
  <c r="F246" i="3"/>
  <c r="M246" i="3"/>
  <c r="U246" i="3"/>
  <c r="E247" i="3"/>
  <c r="U247" i="3"/>
  <c r="F247" i="3"/>
  <c r="M247" i="3"/>
  <c r="E248" i="3"/>
  <c r="E249" i="3"/>
  <c r="U249" i="3"/>
  <c r="F249" i="3"/>
  <c r="I249" i="3"/>
  <c r="M249" i="3"/>
  <c r="G249" i="3"/>
  <c r="D250" i="3"/>
  <c r="E250" i="3"/>
  <c r="E251" i="3"/>
  <c r="F251" i="3"/>
  <c r="M251" i="3"/>
  <c r="G251" i="3"/>
  <c r="I251" i="3"/>
  <c r="E252" i="3"/>
  <c r="D253" i="3"/>
  <c r="E253" i="3"/>
  <c r="F253" i="3"/>
  <c r="M253" i="3"/>
  <c r="U253" i="3"/>
  <c r="E254" i="3"/>
  <c r="F254" i="3"/>
  <c r="M254" i="3"/>
  <c r="G254" i="3"/>
  <c r="I254" i="3"/>
  <c r="U254" i="3"/>
  <c r="E255" i="3"/>
  <c r="F255" i="3"/>
  <c r="M255" i="3"/>
  <c r="U255" i="3"/>
  <c r="E256" i="3"/>
  <c r="F256" i="3"/>
  <c r="M256" i="3"/>
  <c r="G256" i="3"/>
  <c r="U256" i="3"/>
  <c r="E257" i="3"/>
  <c r="F257" i="3"/>
  <c r="M257" i="3"/>
  <c r="U257" i="3"/>
  <c r="E258" i="3"/>
  <c r="F258" i="3"/>
  <c r="M258" i="3"/>
  <c r="G258" i="3"/>
  <c r="I258" i="3"/>
  <c r="U258" i="3"/>
  <c r="E259" i="3"/>
  <c r="F259" i="3"/>
  <c r="M259" i="3"/>
  <c r="G259" i="3"/>
  <c r="U259" i="3"/>
  <c r="E260" i="3"/>
  <c r="F260" i="3"/>
  <c r="M260" i="3"/>
  <c r="G260" i="3"/>
  <c r="I260" i="3"/>
  <c r="U260" i="3"/>
  <c r="E261" i="3"/>
  <c r="F261" i="3"/>
  <c r="M261" i="3"/>
  <c r="U261" i="3"/>
  <c r="E263" i="3"/>
  <c r="F263" i="3"/>
  <c r="M263" i="3"/>
  <c r="G263" i="3"/>
  <c r="U263" i="3"/>
  <c r="E264" i="3"/>
  <c r="F264" i="3"/>
  <c r="M264" i="3"/>
  <c r="U264" i="3"/>
  <c r="D265" i="3"/>
  <c r="E265" i="3"/>
  <c r="D267" i="3"/>
  <c r="E267" i="3"/>
  <c r="D269" i="3"/>
  <c r="E269" i="3"/>
  <c r="E270" i="3"/>
  <c r="F270" i="3"/>
  <c r="M270" i="3"/>
  <c r="U270" i="3"/>
  <c r="E277" i="3"/>
  <c r="F277" i="3"/>
  <c r="M277" i="3"/>
  <c r="U277" i="3"/>
  <c r="D278" i="3"/>
  <c r="E278" i="3"/>
  <c r="U278" i="3"/>
  <c r="D279" i="3"/>
  <c r="E279" i="3"/>
  <c r="D280" i="3"/>
  <c r="E280" i="3"/>
  <c r="D281" i="3"/>
  <c r="E281" i="3"/>
  <c r="U281" i="3"/>
  <c r="F281" i="3"/>
  <c r="M281" i="3"/>
  <c r="G281" i="3"/>
  <c r="D282" i="3"/>
  <c r="E282" i="3"/>
  <c r="D283" i="3"/>
  <c r="E283" i="3"/>
  <c r="F283" i="3"/>
  <c r="M283" i="3"/>
  <c r="G283" i="3"/>
  <c r="I283" i="3"/>
  <c r="U283" i="3"/>
  <c r="D284" i="3"/>
  <c r="E284" i="3"/>
  <c r="U284" i="3"/>
  <c r="F284" i="3"/>
  <c r="M284" i="3"/>
  <c r="G284" i="3"/>
  <c r="I284" i="3"/>
  <c r="D285" i="3"/>
  <c r="E285" i="3"/>
  <c r="D286" i="3"/>
  <c r="E286" i="3"/>
  <c r="U286" i="3"/>
  <c r="F286" i="3"/>
  <c r="M286" i="3"/>
  <c r="G286" i="3"/>
  <c r="D287" i="3"/>
  <c r="E287" i="3"/>
  <c r="D288" i="3"/>
  <c r="E288" i="3"/>
  <c r="D289" i="3"/>
  <c r="E289" i="3"/>
  <c r="D290" i="3"/>
  <c r="E290" i="3"/>
  <c r="U290" i="3"/>
  <c r="D291" i="3"/>
  <c r="E291" i="3"/>
  <c r="D292" i="3"/>
  <c r="E292" i="3"/>
  <c r="D293" i="3"/>
  <c r="E293" i="3"/>
  <c r="U293" i="3"/>
  <c r="F293" i="3"/>
  <c r="M293" i="3"/>
  <c r="D294" i="3"/>
  <c r="E294" i="3"/>
  <c r="D295" i="3"/>
  <c r="E295" i="3"/>
  <c r="F295" i="3"/>
  <c r="M295" i="3"/>
  <c r="G295" i="3"/>
  <c r="U295" i="3"/>
  <c r="D296" i="3"/>
  <c r="E296" i="3"/>
  <c r="U296" i="3"/>
  <c r="F296" i="3"/>
  <c r="M296" i="3"/>
  <c r="G296" i="3"/>
  <c r="I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U302" i="3"/>
  <c r="D303" i="3"/>
  <c r="E303" i="3"/>
  <c r="E305" i="3"/>
  <c r="E306" i="3"/>
  <c r="F306" i="3"/>
  <c r="M306" i="3"/>
  <c r="G306" i="3"/>
  <c r="I306" i="3"/>
  <c r="U306" i="3"/>
  <c r="E307" i="3"/>
  <c r="U307" i="3"/>
  <c r="F307" i="3"/>
  <c r="M307" i="3"/>
  <c r="E308" i="3"/>
  <c r="E309" i="3"/>
  <c r="F309" i="3"/>
  <c r="M309" i="3"/>
  <c r="U309" i="3"/>
  <c r="E310" i="3"/>
  <c r="D311" i="3"/>
  <c r="E311" i="3"/>
  <c r="D312" i="3"/>
  <c r="E312" i="3"/>
  <c r="U312" i="3"/>
  <c r="F312" i="3"/>
  <c r="M312" i="3"/>
  <c r="D313" i="3"/>
  <c r="E313" i="3"/>
  <c r="E315" i="3"/>
  <c r="D319" i="3"/>
  <c r="E319" i="3"/>
  <c r="U319" i="3"/>
  <c r="F319" i="3"/>
  <c r="D320" i="3"/>
  <c r="E320" i="3"/>
  <c r="F320" i="3"/>
  <c r="M320" i="3"/>
  <c r="D321" i="3"/>
  <c r="E321" i="3"/>
  <c r="U321" i="3"/>
  <c r="F321" i="3"/>
  <c r="M321" i="3"/>
  <c r="G321" i="3"/>
  <c r="D322" i="3"/>
  <c r="E322" i="3"/>
  <c r="F322" i="3"/>
  <c r="M322" i="3"/>
  <c r="D323" i="3"/>
  <c r="E323" i="3"/>
  <c r="F323" i="3"/>
  <c r="M323" i="3"/>
  <c r="I323" i="3"/>
  <c r="G323" i="3"/>
  <c r="U323" i="3"/>
  <c r="D324" i="3"/>
  <c r="E324" i="3"/>
  <c r="U324" i="3"/>
  <c r="F324" i="3"/>
  <c r="M324" i="3"/>
  <c r="D325" i="3"/>
  <c r="E325" i="3"/>
  <c r="U325" i="3"/>
  <c r="D326" i="3"/>
  <c r="E326" i="3"/>
  <c r="F326" i="3"/>
  <c r="M326" i="3"/>
  <c r="U326" i="3"/>
  <c r="D327" i="3"/>
  <c r="E327" i="3"/>
  <c r="U327" i="3"/>
  <c r="D328" i="3"/>
  <c r="E328" i="3"/>
  <c r="F328" i="3"/>
  <c r="M328" i="3"/>
  <c r="U328" i="3"/>
  <c r="D329" i="3"/>
  <c r="E329" i="3"/>
  <c r="U329" i="3"/>
  <c r="F329" i="3"/>
  <c r="M329" i="3"/>
  <c r="G329" i="3"/>
  <c r="D330" i="3"/>
  <c r="E330" i="3"/>
  <c r="U330" i="3"/>
  <c r="F330" i="3"/>
  <c r="M330" i="3"/>
  <c r="E331" i="3"/>
  <c r="U331" i="3"/>
  <c r="F331" i="3"/>
  <c r="M331" i="3"/>
  <c r="G331" i="3"/>
  <c r="E332" i="3"/>
  <c r="U332" i="3"/>
  <c r="F332" i="3"/>
  <c r="M332" i="3"/>
  <c r="E333" i="3"/>
  <c r="U333" i="3"/>
  <c r="F333" i="3"/>
  <c r="M333" i="3"/>
  <c r="G333" i="3"/>
  <c r="D334" i="3"/>
  <c r="E334" i="3"/>
  <c r="D335" i="3"/>
  <c r="E335" i="3"/>
  <c r="F335" i="3"/>
  <c r="M335" i="3"/>
  <c r="U335" i="3"/>
  <c r="D336" i="3"/>
  <c r="E336" i="3"/>
  <c r="D337" i="3"/>
  <c r="E337" i="3"/>
  <c r="D338" i="3"/>
  <c r="E338" i="3"/>
  <c r="E339" i="3"/>
  <c r="F339" i="3"/>
  <c r="M339" i="3"/>
  <c r="U339" i="3"/>
  <c r="E340" i="3"/>
  <c r="F340" i="3"/>
  <c r="M340" i="3"/>
  <c r="U340" i="3"/>
  <c r="D341" i="3"/>
  <c r="E341" i="3"/>
  <c r="U341" i="3"/>
  <c r="F341" i="3"/>
  <c r="M341" i="3"/>
  <c r="G341" i="3"/>
  <c r="D342" i="3"/>
  <c r="E342" i="3"/>
  <c r="E343" i="3"/>
  <c r="F343" i="3"/>
  <c r="M343" i="3"/>
  <c r="G343" i="3"/>
  <c r="I343" i="3"/>
  <c r="U343" i="3"/>
  <c r="D344" i="3"/>
  <c r="E344" i="3"/>
  <c r="D345" i="3"/>
  <c r="E345" i="3"/>
  <c r="F345" i="3"/>
  <c r="M345" i="3"/>
  <c r="G345" i="3"/>
  <c r="U345" i="3"/>
  <c r="E346" i="3"/>
  <c r="U346" i="3"/>
  <c r="F346" i="3"/>
  <c r="M346" i="3"/>
  <c r="D347" i="3"/>
  <c r="E347" i="3"/>
  <c r="F347" i="3"/>
  <c r="M347" i="3"/>
  <c r="U347" i="3"/>
  <c r="E348" i="3"/>
  <c r="D349" i="3"/>
  <c r="E349" i="3"/>
  <c r="F349" i="3"/>
  <c r="M349" i="3"/>
  <c r="U349" i="3"/>
  <c r="D350" i="3"/>
  <c r="E350" i="3"/>
  <c r="U350" i="3"/>
  <c r="E351" i="3"/>
  <c r="D352" i="3"/>
  <c r="E352" i="3"/>
  <c r="U352" i="3"/>
  <c r="F352" i="3"/>
  <c r="M352" i="3"/>
  <c r="I352" i="3"/>
  <c r="G352" i="3"/>
  <c r="D353" i="3"/>
  <c r="E353" i="3"/>
  <c r="D354" i="3"/>
  <c r="E354" i="3"/>
  <c r="U354" i="3"/>
  <c r="D355" i="3"/>
  <c r="E355" i="3"/>
  <c r="D356" i="3"/>
  <c r="E356" i="3"/>
  <c r="D357" i="3"/>
  <c r="E357" i="3"/>
  <c r="D358" i="3"/>
  <c r="E358" i="3"/>
  <c r="U358" i="3"/>
  <c r="D359" i="3"/>
  <c r="E359" i="3"/>
  <c r="D360" i="3"/>
  <c r="E360" i="3"/>
  <c r="U360" i="3"/>
  <c r="F360" i="3"/>
  <c r="M360" i="3"/>
  <c r="D361" i="3"/>
  <c r="E361" i="3"/>
  <c r="D362" i="3"/>
  <c r="E362" i="3"/>
  <c r="D363" i="3"/>
  <c r="E363" i="3"/>
  <c r="D364" i="3"/>
  <c r="E364" i="3"/>
  <c r="F364" i="3"/>
  <c r="M364" i="3"/>
  <c r="D365" i="3"/>
  <c r="E365" i="3"/>
  <c r="F365" i="3"/>
  <c r="M365" i="3"/>
  <c r="G365" i="3"/>
  <c r="I365" i="3"/>
  <c r="U365" i="3"/>
  <c r="E367" i="3"/>
  <c r="U367" i="3"/>
  <c r="F367" i="3"/>
  <c r="M367" i="3"/>
  <c r="D368" i="3"/>
  <c r="E368" i="3"/>
  <c r="F368" i="3"/>
  <c r="M368" i="3"/>
  <c r="E369" i="3"/>
  <c r="E370" i="3"/>
  <c r="F370" i="3"/>
  <c r="M370" i="3"/>
  <c r="U370" i="3"/>
  <c r="E371" i="3"/>
  <c r="E372" i="3"/>
  <c r="F372" i="3"/>
  <c r="G372" i="3"/>
  <c r="M372" i="3"/>
  <c r="U372" i="3"/>
  <c r="E373" i="3"/>
  <c r="E374" i="3"/>
  <c r="F374" i="3"/>
  <c r="G374" i="3"/>
  <c r="M374" i="3"/>
  <c r="U374" i="3"/>
  <c r="E375" i="3"/>
  <c r="E376" i="3"/>
  <c r="F376" i="3"/>
  <c r="G376" i="3"/>
  <c r="M376" i="3"/>
  <c r="U376" i="3"/>
  <c r="D377" i="3"/>
  <c r="E377" i="3"/>
  <c r="E378" i="3"/>
  <c r="F378" i="3"/>
  <c r="M378" i="3"/>
  <c r="G378" i="3"/>
  <c r="U378" i="3"/>
  <c r="E379" i="3"/>
  <c r="F379" i="3"/>
  <c r="M379" i="3"/>
  <c r="G379" i="3"/>
  <c r="U379" i="3"/>
  <c r="E380" i="3"/>
  <c r="F380" i="3"/>
  <c r="I380" i="3"/>
  <c r="M380" i="3"/>
  <c r="G380" i="3"/>
  <c r="U380" i="3"/>
  <c r="E381" i="3"/>
  <c r="F381" i="3"/>
  <c r="M381" i="3"/>
  <c r="G381" i="3"/>
  <c r="U381" i="3"/>
  <c r="E382" i="3"/>
  <c r="F382" i="3"/>
  <c r="M382" i="3"/>
  <c r="U382" i="3"/>
  <c r="E383" i="3"/>
  <c r="F383" i="3"/>
  <c r="M383" i="3"/>
  <c r="U383" i="3"/>
  <c r="D386" i="3"/>
  <c r="E386" i="3"/>
  <c r="D387" i="3"/>
  <c r="E387" i="3"/>
  <c r="F387" i="3"/>
  <c r="M387" i="3"/>
  <c r="D388" i="3"/>
  <c r="E388" i="3"/>
  <c r="F388" i="3"/>
  <c r="M388" i="3"/>
  <c r="D389" i="3"/>
  <c r="E389" i="3"/>
  <c r="F389" i="3"/>
  <c r="M389" i="3"/>
  <c r="D390" i="3"/>
  <c r="E390" i="3"/>
  <c r="F390" i="3"/>
  <c r="M390" i="3"/>
  <c r="G390" i="3"/>
  <c r="D391" i="3"/>
  <c r="E391" i="3"/>
  <c r="F391" i="3"/>
  <c r="M391" i="3"/>
  <c r="D392" i="3"/>
  <c r="E392" i="3"/>
  <c r="F392" i="3"/>
  <c r="M392" i="3"/>
  <c r="D393" i="3"/>
  <c r="E393" i="3"/>
  <c r="F393" i="3"/>
  <c r="M393" i="3"/>
  <c r="D394" i="3"/>
  <c r="E394" i="3"/>
  <c r="F394" i="3"/>
  <c r="M394" i="3"/>
  <c r="D395" i="3"/>
  <c r="E395" i="3"/>
  <c r="F395" i="3"/>
  <c r="M395" i="3"/>
  <c r="D396" i="3"/>
  <c r="E396" i="3"/>
  <c r="F396" i="3"/>
  <c r="M396" i="3"/>
  <c r="U396" i="3"/>
  <c r="D397" i="3"/>
  <c r="E397" i="3"/>
  <c r="F397" i="3"/>
  <c r="M397" i="3"/>
  <c r="G397" i="3"/>
  <c r="U397" i="3"/>
  <c r="D398" i="3"/>
  <c r="E398" i="3"/>
  <c r="D399" i="3"/>
  <c r="E399" i="3"/>
  <c r="F399" i="3"/>
  <c r="M399" i="3"/>
  <c r="U399" i="3"/>
  <c r="D401" i="3"/>
  <c r="E401" i="3"/>
  <c r="U401" i="3"/>
  <c r="F401" i="3"/>
  <c r="M401" i="3"/>
  <c r="D402" i="3"/>
  <c r="E402" i="3"/>
  <c r="U402" i="3"/>
  <c r="F402" i="3"/>
  <c r="M402" i="3"/>
  <c r="G402" i="3"/>
  <c r="I402" i="3"/>
  <c r="D403" i="3"/>
  <c r="E403" i="3"/>
  <c r="D404" i="3"/>
  <c r="E404" i="3"/>
  <c r="E405" i="3"/>
  <c r="F405" i="3"/>
  <c r="M405" i="3"/>
  <c r="G405" i="3"/>
  <c r="I405" i="3"/>
  <c r="U405" i="3"/>
  <c r="D406" i="3"/>
  <c r="E406" i="3"/>
  <c r="D407" i="3"/>
  <c r="E407" i="3"/>
  <c r="F407" i="3"/>
  <c r="M407" i="3"/>
  <c r="G407" i="3"/>
  <c r="U407" i="3"/>
  <c r="D408" i="3"/>
  <c r="E408" i="3"/>
  <c r="U408" i="3"/>
  <c r="F408" i="3"/>
  <c r="M408" i="3"/>
  <c r="D409" i="3"/>
  <c r="E409" i="3"/>
  <c r="U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F416" i="3"/>
  <c r="M416" i="3"/>
  <c r="G416" i="3"/>
  <c r="U416" i="3"/>
  <c r="D417" i="3"/>
  <c r="E417" i="3"/>
  <c r="F417" i="3"/>
  <c r="M417" i="3"/>
  <c r="U417" i="3"/>
  <c r="D418" i="3"/>
  <c r="E418" i="3"/>
  <c r="F418" i="3"/>
  <c r="M418" i="3"/>
  <c r="D419" i="3"/>
  <c r="E419" i="3"/>
  <c r="F419" i="3"/>
  <c r="G419" i="3"/>
  <c r="M419" i="3"/>
  <c r="D420" i="3"/>
  <c r="E420" i="3"/>
  <c r="D422" i="3"/>
  <c r="E422" i="3"/>
  <c r="F422" i="3"/>
  <c r="M422" i="3"/>
  <c r="U422" i="3"/>
  <c r="E423" i="3"/>
  <c r="F423" i="3"/>
  <c r="M423" i="3"/>
  <c r="U423" i="3"/>
  <c r="E424" i="3"/>
  <c r="F424" i="3"/>
  <c r="M424" i="3"/>
  <c r="U424" i="3"/>
  <c r="E425" i="3"/>
  <c r="F425" i="3"/>
  <c r="M425" i="3"/>
  <c r="G425" i="3"/>
  <c r="U425" i="3"/>
  <c r="E426" i="3"/>
  <c r="F426" i="3"/>
  <c r="M426" i="3"/>
  <c r="G426" i="3"/>
  <c r="U426" i="3"/>
  <c r="E427" i="3"/>
  <c r="F427" i="3"/>
  <c r="M427" i="3"/>
  <c r="G427" i="3"/>
  <c r="U427" i="3"/>
  <c r="E428" i="3"/>
  <c r="F428" i="3"/>
  <c r="M428" i="3"/>
  <c r="U428" i="3"/>
  <c r="E429" i="3"/>
  <c r="F429" i="3"/>
  <c r="M429" i="3"/>
  <c r="G429" i="3"/>
  <c r="U429" i="3"/>
  <c r="D430" i="3"/>
  <c r="E430" i="3"/>
  <c r="U430" i="3"/>
  <c r="F430" i="3"/>
  <c r="M430" i="3"/>
  <c r="G430" i="3"/>
  <c r="E431" i="3"/>
  <c r="E432" i="3"/>
  <c r="U432" i="3"/>
  <c r="D433" i="3"/>
  <c r="E433" i="3"/>
  <c r="F433" i="3"/>
  <c r="M433" i="3"/>
  <c r="U433" i="3"/>
  <c r="E434" i="3"/>
  <c r="F434" i="3"/>
  <c r="M434" i="3"/>
  <c r="G434" i="3"/>
  <c r="U434" i="3"/>
  <c r="E435" i="3"/>
  <c r="F435" i="3"/>
  <c r="M435" i="3"/>
  <c r="U435" i="3"/>
  <c r="E436" i="3"/>
  <c r="F436" i="3"/>
  <c r="M436" i="3"/>
  <c r="G436" i="3"/>
  <c r="I436" i="3"/>
  <c r="U436" i="3"/>
  <c r="E437" i="3"/>
  <c r="F437" i="3"/>
  <c r="M437" i="3"/>
  <c r="U437" i="3"/>
  <c r="E438" i="3"/>
  <c r="F438" i="3"/>
  <c r="M438" i="3"/>
  <c r="E439" i="3"/>
  <c r="F439" i="3"/>
  <c r="M439" i="3"/>
  <c r="U439" i="3"/>
  <c r="E440" i="3"/>
  <c r="F440" i="3"/>
  <c r="M440" i="3"/>
  <c r="G440" i="3"/>
  <c r="U440" i="3"/>
  <c r="E441" i="3"/>
  <c r="E443" i="3"/>
  <c r="F443" i="3"/>
  <c r="M443" i="3"/>
  <c r="U443" i="3"/>
  <c r="E444" i="3"/>
  <c r="F444" i="3"/>
  <c r="M444" i="3"/>
  <c r="U444" i="3"/>
  <c r="D445" i="3"/>
  <c r="E445" i="3"/>
  <c r="D447" i="3"/>
  <c r="E447" i="3"/>
  <c r="F447" i="3"/>
  <c r="M447" i="3"/>
  <c r="U447" i="3"/>
  <c r="D449" i="3"/>
  <c r="E449" i="3"/>
  <c r="E450" i="3"/>
  <c r="F450" i="3"/>
  <c r="M450" i="3"/>
  <c r="U450" i="3"/>
  <c r="E457" i="3"/>
  <c r="F457" i="3"/>
  <c r="M457" i="3"/>
  <c r="U457" i="3"/>
  <c r="D458" i="3"/>
  <c r="E458" i="3"/>
  <c r="D459" i="3"/>
  <c r="E459" i="3"/>
  <c r="F459" i="3"/>
  <c r="M459" i="3"/>
  <c r="U459" i="3"/>
  <c r="D460" i="3"/>
  <c r="E460" i="3"/>
  <c r="D461" i="3"/>
  <c r="E461" i="3"/>
  <c r="D462" i="3"/>
  <c r="E462" i="3"/>
  <c r="U462" i="3"/>
  <c r="F462" i="3"/>
  <c r="M462" i="3"/>
  <c r="D463" i="3"/>
  <c r="E463" i="3"/>
  <c r="D464" i="3"/>
  <c r="E464" i="3"/>
  <c r="F464" i="3"/>
  <c r="M464" i="3"/>
  <c r="U464" i="3"/>
  <c r="D465" i="3"/>
  <c r="E465" i="3"/>
  <c r="U465" i="3"/>
  <c r="F465" i="3"/>
  <c r="M465" i="3"/>
  <c r="G465" i="3"/>
  <c r="D466" i="3"/>
  <c r="E466" i="3"/>
  <c r="F466" i="3"/>
  <c r="M466" i="3"/>
  <c r="D467" i="3"/>
  <c r="E467" i="3"/>
  <c r="D468" i="3"/>
  <c r="E468" i="3"/>
  <c r="D469" i="3"/>
  <c r="E469" i="3"/>
  <c r="F469" i="3"/>
  <c r="M469" i="3"/>
  <c r="G469" i="3"/>
  <c r="U469" i="3"/>
  <c r="D470" i="3"/>
  <c r="E470" i="3"/>
  <c r="U470" i="3"/>
  <c r="D471" i="3"/>
  <c r="E471" i="3"/>
  <c r="F471" i="3"/>
  <c r="M471" i="3"/>
  <c r="G471" i="3"/>
  <c r="U471" i="3"/>
  <c r="D472" i="3"/>
  <c r="E472" i="3"/>
  <c r="F472" i="3"/>
  <c r="M472" i="3"/>
  <c r="G472" i="3"/>
  <c r="I472" i="3"/>
  <c r="U472" i="3"/>
  <c r="D473" i="3"/>
  <c r="E473" i="3"/>
  <c r="F473" i="3"/>
  <c r="M473" i="3"/>
  <c r="G473" i="3"/>
  <c r="U473" i="3"/>
  <c r="D474" i="3"/>
  <c r="E474" i="3"/>
  <c r="U474" i="3"/>
  <c r="F474" i="3"/>
  <c r="M474" i="3"/>
  <c r="G474" i="3"/>
  <c r="D475" i="3"/>
  <c r="E475" i="3"/>
  <c r="D476" i="3"/>
  <c r="E476" i="3"/>
  <c r="F476" i="3"/>
  <c r="G476" i="3"/>
  <c r="M476" i="3"/>
  <c r="U476" i="3"/>
  <c r="D477" i="3"/>
  <c r="E477" i="3"/>
  <c r="U477" i="3"/>
  <c r="F477" i="3"/>
  <c r="M477" i="3"/>
  <c r="D478" i="3"/>
  <c r="E478" i="3"/>
  <c r="D479" i="3"/>
  <c r="E479" i="3"/>
  <c r="F479" i="3"/>
  <c r="M479" i="3"/>
  <c r="D480" i="3"/>
  <c r="E480" i="3"/>
  <c r="D481" i="3"/>
  <c r="E481" i="3"/>
  <c r="F481" i="3"/>
  <c r="M481" i="3"/>
  <c r="G481" i="3"/>
  <c r="I481" i="3"/>
  <c r="U481" i="3"/>
  <c r="D482" i="3"/>
  <c r="E482" i="3"/>
  <c r="U482" i="3"/>
  <c r="F482" i="3"/>
  <c r="M482" i="3"/>
  <c r="D483" i="3"/>
  <c r="E483" i="3"/>
  <c r="E485" i="3"/>
  <c r="F485" i="3"/>
  <c r="M485" i="3"/>
  <c r="U485" i="3"/>
  <c r="E486" i="3"/>
  <c r="U486" i="3"/>
  <c r="F486" i="3"/>
  <c r="M486" i="3"/>
  <c r="G486" i="3"/>
  <c r="E487" i="3"/>
  <c r="F487" i="3"/>
  <c r="M487" i="3"/>
  <c r="U487" i="3"/>
  <c r="E488" i="3"/>
  <c r="U488" i="3"/>
  <c r="F488" i="3"/>
  <c r="M488" i="3"/>
  <c r="E489" i="3"/>
  <c r="F489" i="3"/>
  <c r="M489" i="3"/>
  <c r="U489" i="3"/>
  <c r="E490" i="3"/>
  <c r="U490" i="3"/>
  <c r="F490" i="3"/>
  <c r="M490" i="3"/>
  <c r="G490" i="3"/>
  <c r="D491" i="3"/>
  <c r="E491" i="3"/>
  <c r="D492" i="3"/>
  <c r="E492" i="3"/>
  <c r="F492" i="3"/>
  <c r="M492" i="3"/>
  <c r="G492" i="3"/>
  <c r="U492" i="3"/>
  <c r="D493" i="3"/>
  <c r="E493" i="3"/>
  <c r="U493" i="3"/>
  <c r="F493" i="3"/>
  <c r="G493" i="3"/>
  <c r="M493" i="3"/>
  <c r="I493" i="3"/>
  <c r="D499" i="3"/>
  <c r="E499" i="3"/>
  <c r="F499" i="3"/>
  <c r="U499" i="3"/>
  <c r="D500" i="3"/>
  <c r="E500" i="3"/>
  <c r="U500" i="3"/>
  <c r="D501" i="3"/>
  <c r="E501" i="3"/>
  <c r="D502" i="3"/>
  <c r="E502" i="3"/>
  <c r="U502" i="3"/>
  <c r="F502" i="3"/>
  <c r="M502" i="3"/>
  <c r="D503" i="3"/>
  <c r="E503" i="3"/>
  <c r="F503" i="3"/>
  <c r="M503" i="3"/>
  <c r="U503" i="3"/>
  <c r="D504" i="3"/>
  <c r="E504" i="3"/>
  <c r="D505" i="3"/>
  <c r="E505" i="3"/>
  <c r="D506" i="3"/>
  <c r="E506" i="3"/>
  <c r="D507" i="3"/>
  <c r="E507" i="3"/>
  <c r="D508" i="3"/>
  <c r="E508" i="3"/>
  <c r="U508" i="3"/>
  <c r="F508" i="3"/>
  <c r="G508" i="3"/>
  <c r="M508" i="3"/>
  <c r="D509" i="3"/>
  <c r="E509" i="3"/>
  <c r="D510" i="3"/>
  <c r="E510" i="3"/>
  <c r="E511" i="3"/>
  <c r="F511" i="3"/>
  <c r="M511" i="3"/>
  <c r="G511" i="3"/>
  <c r="U511" i="3"/>
  <c r="E512" i="3"/>
  <c r="F512" i="3"/>
  <c r="M512" i="3"/>
  <c r="U512" i="3"/>
  <c r="E513" i="3"/>
  <c r="F513" i="3"/>
  <c r="M513" i="3"/>
  <c r="G513" i="3"/>
  <c r="U513" i="3"/>
  <c r="D514" i="3"/>
  <c r="E514" i="3"/>
  <c r="D515" i="3"/>
  <c r="E515" i="3"/>
  <c r="D516" i="3"/>
  <c r="E516" i="3"/>
  <c r="F516" i="3"/>
  <c r="M516" i="3"/>
  <c r="G516" i="3"/>
  <c r="U516" i="3"/>
  <c r="D517" i="3"/>
  <c r="E517" i="3"/>
  <c r="U517" i="3"/>
  <c r="F517" i="3"/>
  <c r="M517" i="3"/>
  <c r="D518" i="3"/>
  <c r="E518" i="3"/>
  <c r="E519" i="3"/>
  <c r="F519" i="3"/>
  <c r="M519" i="3"/>
  <c r="G519" i="3"/>
  <c r="I519" i="3"/>
  <c r="U519" i="3"/>
  <c r="E520" i="3"/>
  <c r="D521" i="3"/>
  <c r="E521" i="3"/>
  <c r="F521" i="3"/>
  <c r="M521" i="3"/>
  <c r="D522" i="3"/>
  <c r="E522" i="3"/>
  <c r="F522" i="3"/>
  <c r="M522" i="3"/>
  <c r="U522" i="3"/>
  <c r="E523" i="3"/>
  <c r="U523" i="3"/>
  <c r="F523" i="3"/>
  <c r="M523" i="3"/>
  <c r="G523" i="3"/>
  <c r="D524" i="3"/>
  <c r="E524" i="3"/>
  <c r="D525" i="3"/>
  <c r="E525" i="3"/>
  <c r="F525" i="3"/>
  <c r="M525" i="3"/>
  <c r="U525" i="3"/>
  <c r="E526" i="3"/>
  <c r="F526" i="3"/>
  <c r="G526" i="3"/>
  <c r="I526" i="3"/>
  <c r="M526" i="3"/>
  <c r="U526" i="3"/>
  <c r="D527" i="3"/>
  <c r="E527" i="3"/>
  <c r="U527" i="3"/>
  <c r="F527" i="3"/>
  <c r="M527" i="3"/>
  <c r="E528" i="3"/>
  <c r="U528" i="3"/>
  <c r="F528" i="3"/>
  <c r="M528" i="3"/>
  <c r="G528" i="3"/>
  <c r="D529" i="3"/>
  <c r="E529" i="3"/>
  <c r="D530" i="3"/>
  <c r="E530" i="3"/>
  <c r="F530" i="3"/>
  <c r="M530" i="3"/>
  <c r="U530" i="3"/>
  <c r="E531" i="3"/>
  <c r="F531" i="3"/>
  <c r="M531" i="3"/>
  <c r="G531" i="3"/>
  <c r="U531" i="3"/>
  <c r="D532" i="3"/>
  <c r="E532" i="3"/>
  <c r="U532" i="3"/>
  <c r="F532" i="3"/>
  <c r="M532" i="3"/>
  <c r="D533" i="3"/>
  <c r="E533" i="3"/>
  <c r="D534" i="3"/>
  <c r="E534" i="3"/>
  <c r="U534" i="3"/>
  <c r="F534" i="3"/>
  <c r="M534" i="3"/>
  <c r="D535" i="3"/>
  <c r="E535" i="3"/>
  <c r="U535" i="3"/>
  <c r="F535" i="3"/>
  <c r="M535" i="3"/>
  <c r="D536" i="3"/>
  <c r="E536" i="3"/>
  <c r="D537" i="3"/>
  <c r="E537" i="3"/>
  <c r="F537" i="3"/>
  <c r="M537" i="3"/>
  <c r="D538" i="3"/>
  <c r="E538" i="3"/>
  <c r="F538" i="3"/>
  <c r="M538" i="3"/>
  <c r="U538" i="3"/>
  <c r="D539" i="3"/>
  <c r="E539" i="3"/>
  <c r="D540" i="3"/>
  <c r="E540" i="3"/>
  <c r="F540" i="3"/>
  <c r="M540" i="3"/>
  <c r="G540" i="3"/>
  <c r="D541" i="3"/>
  <c r="E541" i="3"/>
  <c r="U541" i="3"/>
  <c r="F541" i="3"/>
  <c r="M541" i="3"/>
  <c r="D542" i="3"/>
  <c r="E542" i="3"/>
  <c r="F542" i="3"/>
  <c r="M542" i="3"/>
  <c r="G542" i="3"/>
  <c r="I542" i="3"/>
  <c r="U542" i="3"/>
  <c r="D543" i="3"/>
  <c r="E543" i="3"/>
  <c r="U543" i="3"/>
  <c r="F543" i="3"/>
  <c r="M543" i="3"/>
  <c r="G543" i="3"/>
  <c r="D544" i="3"/>
  <c r="E544" i="3"/>
  <c r="U544" i="3"/>
  <c r="F544" i="3"/>
  <c r="M544" i="3"/>
  <c r="D545" i="3"/>
  <c r="E545" i="3"/>
  <c r="E547" i="3"/>
  <c r="F547" i="3"/>
  <c r="M547" i="3"/>
  <c r="I547" i="3"/>
  <c r="G547" i="3"/>
  <c r="D548" i="3"/>
  <c r="E548" i="3"/>
  <c r="F548" i="3"/>
  <c r="M548" i="3"/>
  <c r="G548" i="3"/>
  <c r="U548" i="3"/>
  <c r="E549" i="3"/>
  <c r="F549" i="3"/>
  <c r="M549" i="3"/>
  <c r="U549" i="3"/>
  <c r="E550" i="3"/>
  <c r="F550" i="3"/>
  <c r="M550" i="3"/>
  <c r="G550" i="3"/>
  <c r="U550" i="3"/>
  <c r="E551" i="3"/>
  <c r="F551" i="3"/>
  <c r="M551" i="3"/>
  <c r="U551" i="3"/>
  <c r="E552" i="3"/>
  <c r="F552" i="3"/>
  <c r="M552" i="3"/>
  <c r="U552" i="3"/>
  <c r="E553" i="3"/>
  <c r="F553" i="3"/>
  <c r="M553" i="3"/>
  <c r="U553" i="3"/>
  <c r="E554" i="3"/>
  <c r="F554" i="3"/>
  <c r="M554" i="3"/>
  <c r="G554" i="3"/>
  <c r="I554" i="3"/>
  <c r="U554" i="3"/>
  <c r="E555" i="3"/>
  <c r="F555" i="3"/>
  <c r="M555" i="3"/>
  <c r="U555" i="3"/>
  <c r="E556" i="3"/>
  <c r="F556" i="3"/>
  <c r="M556" i="3"/>
  <c r="G556" i="3"/>
  <c r="U556" i="3"/>
  <c r="D557" i="3"/>
  <c r="E557" i="3"/>
  <c r="U557" i="3"/>
  <c r="F557" i="3"/>
  <c r="M557" i="3"/>
  <c r="G557" i="3"/>
  <c r="E558" i="3"/>
  <c r="U558" i="3"/>
  <c r="F558" i="3"/>
  <c r="M558" i="3"/>
  <c r="E559" i="3"/>
  <c r="U559" i="3"/>
  <c r="E560" i="3"/>
  <c r="U560" i="3"/>
  <c r="F560" i="3"/>
  <c r="G560" i="3"/>
  <c r="M560" i="3"/>
  <c r="E561" i="3"/>
  <c r="U561" i="3"/>
  <c r="F561" i="3"/>
  <c r="M561" i="3"/>
  <c r="E562" i="3"/>
  <c r="U562" i="3"/>
  <c r="F562" i="3"/>
  <c r="M562" i="3"/>
  <c r="E563" i="3"/>
  <c r="D566" i="3"/>
  <c r="E566" i="3"/>
  <c r="F566" i="3"/>
  <c r="M566" i="3"/>
  <c r="G566" i="3"/>
  <c r="I566" i="3"/>
  <c r="U566" i="3"/>
  <c r="D567" i="3"/>
  <c r="E567" i="3"/>
  <c r="U567" i="3"/>
  <c r="F567" i="3"/>
  <c r="M567" i="3"/>
  <c r="G567" i="3"/>
  <c r="D568" i="3"/>
  <c r="E568" i="3"/>
  <c r="F568" i="3"/>
  <c r="M568" i="3"/>
  <c r="D569" i="3"/>
  <c r="E569" i="3"/>
  <c r="F569" i="3"/>
  <c r="M569" i="3"/>
  <c r="D570" i="3"/>
  <c r="E570" i="3"/>
  <c r="F570" i="3"/>
  <c r="M570" i="3"/>
  <c r="D571" i="3"/>
  <c r="E571" i="3"/>
  <c r="F571" i="3"/>
  <c r="M571" i="3"/>
  <c r="D572" i="3"/>
  <c r="E572" i="3"/>
  <c r="F572" i="3"/>
  <c r="M572" i="3"/>
  <c r="D573" i="3"/>
  <c r="E573" i="3"/>
  <c r="F573" i="3"/>
  <c r="M573" i="3"/>
  <c r="D574" i="3"/>
  <c r="E574" i="3"/>
  <c r="F574" i="3"/>
  <c r="M574" i="3"/>
  <c r="D575" i="3"/>
  <c r="E575" i="3"/>
  <c r="F575" i="3"/>
  <c r="M575" i="3"/>
  <c r="D576" i="3"/>
  <c r="E576" i="3"/>
  <c r="U576" i="3"/>
  <c r="F576" i="3"/>
  <c r="M576" i="3"/>
  <c r="D577" i="3"/>
  <c r="E577" i="3"/>
  <c r="D578" i="3"/>
  <c r="E578" i="3"/>
  <c r="U578" i="3"/>
  <c r="F578" i="3"/>
  <c r="M578" i="3"/>
  <c r="D579" i="3"/>
  <c r="E579" i="3"/>
  <c r="U579" i="3"/>
  <c r="F579" i="3"/>
  <c r="G579" i="3"/>
  <c r="M579" i="3"/>
  <c r="D581" i="3"/>
  <c r="E581" i="3"/>
  <c r="D582" i="3"/>
  <c r="E582" i="3"/>
  <c r="D583" i="3"/>
  <c r="E583" i="3"/>
  <c r="F583" i="3"/>
  <c r="M583" i="3"/>
  <c r="D584" i="3"/>
  <c r="E584" i="3"/>
  <c r="F584" i="3"/>
  <c r="M584" i="3"/>
  <c r="G584" i="3"/>
  <c r="I584" i="3"/>
  <c r="U584" i="3"/>
  <c r="E585" i="3"/>
  <c r="D586" i="3"/>
  <c r="E586" i="3"/>
  <c r="F586" i="3"/>
  <c r="M586" i="3"/>
  <c r="D587" i="3"/>
  <c r="E587" i="3"/>
  <c r="U587" i="3"/>
  <c r="F587" i="3"/>
  <c r="G587" i="3"/>
  <c r="M587" i="3"/>
  <c r="D588" i="3"/>
  <c r="E588" i="3"/>
  <c r="D589" i="3"/>
  <c r="E589" i="3"/>
  <c r="F589" i="3"/>
  <c r="M589" i="3"/>
  <c r="U589" i="3"/>
  <c r="D590" i="3"/>
  <c r="E590" i="3"/>
  <c r="U590" i="3"/>
  <c r="F590" i="3"/>
  <c r="M590" i="3"/>
  <c r="D591" i="3"/>
  <c r="E591" i="3"/>
  <c r="F591" i="3"/>
  <c r="M591" i="3"/>
  <c r="G591" i="3"/>
  <c r="D592" i="3"/>
  <c r="E592" i="3"/>
  <c r="F592" i="3"/>
  <c r="M592" i="3"/>
  <c r="G592" i="3"/>
  <c r="I592" i="3"/>
  <c r="U592" i="3"/>
  <c r="D593" i="3"/>
  <c r="E593" i="3"/>
  <c r="U593" i="3"/>
  <c r="F593" i="3"/>
  <c r="M593" i="3"/>
  <c r="D594" i="3"/>
  <c r="E594" i="3"/>
  <c r="F594" i="3"/>
  <c r="M594" i="3"/>
  <c r="G594" i="3"/>
  <c r="U594" i="3"/>
  <c r="D595" i="3"/>
  <c r="E595" i="3"/>
  <c r="U595" i="3"/>
  <c r="F595" i="3"/>
  <c r="M595" i="3"/>
  <c r="G595" i="3"/>
  <c r="D596" i="3"/>
  <c r="E596" i="3"/>
  <c r="U596" i="3"/>
  <c r="D597" i="3"/>
  <c r="E597" i="3"/>
  <c r="D598" i="3"/>
  <c r="E598" i="3"/>
  <c r="F598" i="3"/>
  <c r="M598" i="3"/>
  <c r="D599" i="3"/>
  <c r="E599" i="3"/>
  <c r="F599" i="3"/>
  <c r="M599" i="3"/>
  <c r="G599" i="3"/>
  <c r="D600" i="3"/>
  <c r="E600" i="3"/>
  <c r="D602" i="3"/>
  <c r="E602" i="3"/>
  <c r="U602" i="3"/>
  <c r="F602" i="3"/>
  <c r="M602" i="3"/>
  <c r="E603" i="3"/>
  <c r="U603" i="3"/>
  <c r="F603" i="3"/>
  <c r="M603" i="3"/>
  <c r="G603" i="3"/>
  <c r="I603" i="3"/>
  <c r="E604" i="3"/>
  <c r="U604" i="3"/>
  <c r="F604" i="3"/>
  <c r="M604" i="3"/>
  <c r="E605" i="3"/>
  <c r="U605" i="3"/>
  <c r="E606" i="3"/>
  <c r="U606" i="3"/>
  <c r="F606" i="3"/>
  <c r="G606" i="3"/>
  <c r="M606" i="3"/>
  <c r="E607" i="3"/>
  <c r="U607" i="3"/>
  <c r="F607" i="3"/>
  <c r="M607" i="3"/>
  <c r="E608" i="3"/>
  <c r="U608" i="3"/>
  <c r="F608" i="3"/>
  <c r="M608" i="3"/>
  <c r="E609" i="3"/>
  <c r="U609" i="3"/>
  <c r="F609" i="3"/>
  <c r="M609" i="3"/>
  <c r="G609" i="3"/>
  <c r="D610" i="3"/>
  <c r="E610" i="3"/>
  <c r="F610" i="3"/>
  <c r="M610" i="3"/>
  <c r="G610" i="3"/>
  <c r="I610" i="3"/>
  <c r="U610" i="3"/>
  <c r="E611" i="3"/>
  <c r="E612" i="3"/>
  <c r="F612" i="3"/>
  <c r="M612" i="3"/>
  <c r="U612" i="3"/>
  <c r="D613" i="3"/>
  <c r="E613" i="3"/>
  <c r="U613" i="3"/>
  <c r="F613" i="3"/>
  <c r="M613" i="3"/>
  <c r="G613" i="3"/>
  <c r="E614" i="3"/>
  <c r="F614" i="3"/>
  <c r="M614" i="3"/>
  <c r="U614" i="3"/>
  <c r="E615" i="3"/>
  <c r="F615" i="3"/>
  <c r="M615" i="3"/>
  <c r="G615" i="3"/>
  <c r="U615" i="3"/>
  <c r="E616" i="3"/>
  <c r="F616" i="3"/>
  <c r="M616" i="3"/>
  <c r="U616" i="3"/>
  <c r="E617" i="3"/>
  <c r="F617" i="3"/>
  <c r="M617" i="3"/>
  <c r="G617" i="3"/>
  <c r="U617" i="3"/>
  <c r="E618" i="3"/>
  <c r="F618" i="3"/>
  <c r="M618" i="3"/>
  <c r="U618" i="3"/>
  <c r="E619" i="3"/>
  <c r="F619" i="3"/>
  <c r="M619" i="3"/>
  <c r="G619" i="3"/>
  <c r="U619" i="3"/>
  <c r="E620" i="3"/>
  <c r="F620" i="3"/>
  <c r="M620" i="3"/>
  <c r="U620" i="3"/>
  <c r="E621" i="3"/>
  <c r="F621" i="3"/>
  <c r="M621" i="3"/>
  <c r="G621" i="3"/>
  <c r="U621" i="3"/>
  <c r="E623" i="3"/>
  <c r="F623" i="3"/>
  <c r="M623" i="3"/>
  <c r="U623" i="3"/>
  <c r="E624" i="3"/>
  <c r="F624" i="3"/>
  <c r="M624" i="3"/>
  <c r="G624" i="3"/>
  <c r="U624" i="3"/>
  <c r="D625" i="3"/>
  <c r="E625" i="3"/>
  <c r="U625" i="3"/>
  <c r="F625" i="3"/>
  <c r="I625" i="3"/>
  <c r="M625" i="3"/>
  <c r="G625" i="3"/>
  <c r="D627" i="3"/>
  <c r="E627" i="3"/>
  <c r="D629" i="3"/>
  <c r="E629" i="3"/>
  <c r="F629" i="3"/>
  <c r="M629" i="3"/>
  <c r="U629" i="3"/>
  <c r="E630" i="3"/>
  <c r="F630" i="3"/>
  <c r="M630" i="3"/>
  <c r="G630" i="3"/>
  <c r="U630" i="3"/>
  <c r="D637" i="3"/>
  <c r="E637" i="3"/>
  <c r="F637" i="3"/>
  <c r="D638" i="3"/>
  <c r="E638" i="3"/>
  <c r="F638" i="3"/>
  <c r="I638" i="3"/>
  <c r="M638" i="3"/>
  <c r="G638" i="3"/>
  <c r="D639" i="3"/>
  <c r="E639" i="3"/>
  <c r="F639" i="3"/>
  <c r="M639" i="3"/>
  <c r="D640" i="3"/>
  <c r="E640" i="3"/>
  <c r="F640" i="3"/>
  <c r="M640" i="3"/>
  <c r="D641" i="3"/>
  <c r="E641" i="3"/>
  <c r="F641" i="3"/>
  <c r="M641" i="3"/>
  <c r="D642" i="3"/>
  <c r="E642" i="3"/>
  <c r="F642" i="3"/>
  <c r="M642" i="3"/>
  <c r="D643" i="3"/>
  <c r="E643" i="3"/>
  <c r="F643" i="3"/>
  <c r="M643" i="3"/>
  <c r="D644" i="3"/>
  <c r="E644" i="3"/>
  <c r="F644" i="3"/>
  <c r="M644" i="3"/>
  <c r="D645" i="3"/>
  <c r="E645" i="3"/>
  <c r="U645" i="3"/>
  <c r="F645" i="3"/>
  <c r="M645" i="3"/>
  <c r="D646" i="3"/>
  <c r="E646" i="3"/>
  <c r="F646" i="3"/>
  <c r="M646" i="3"/>
  <c r="G646" i="3"/>
  <c r="I646" i="3"/>
  <c r="U646" i="3"/>
  <c r="D647" i="3"/>
  <c r="E647" i="3"/>
  <c r="U647" i="3"/>
  <c r="D648" i="3"/>
  <c r="E648" i="3"/>
  <c r="U648" i="3"/>
  <c r="D649" i="3"/>
  <c r="E649" i="3"/>
  <c r="D650" i="3"/>
  <c r="E650" i="3"/>
  <c r="U650" i="3"/>
  <c r="F650" i="3"/>
  <c r="M650" i="3"/>
  <c r="D651" i="3"/>
  <c r="E651" i="3"/>
  <c r="U651" i="3"/>
  <c r="F651" i="3"/>
  <c r="M651" i="3"/>
  <c r="D652" i="3"/>
  <c r="E652" i="3"/>
  <c r="D653" i="3"/>
  <c r="E653" i="3"/>
  <c r="F653" i="3"/>
  <c r="M653" i="3"/>
  <c r="U653" i="3"/>
  <c r="D654" i="3"/>
  <c r="E654" i="3"/>
  <c r="U654" i="3"/>
  <c r="F654" i="3"/>
  <c r="M654" i="3"/>
  <c r="G654" i="3"/>
  <c r="D655" i="3"/>
  <c r="E655" i="3"/>
  <c r="F655" i="3"/>
  <c r="M655" i="3"/>
  <c r="G655" i="3"/>
  <c r="D656" i="3"/>
  <c r="E656" i="3"/>
  <c r="F656" i="3"/>
  <c r="M656" i="3"/>
  <c r="U656" i="3"/>
  <c r="D657" i="3"/>
  <c r="E657" i="3"/>
  <c r="F657" i="3"/>
  <c r="M657" i="3"/>
  <c r="U657" i="3"/>
  <c r="D658" i="3"/>
  <c r="E658" i="3"/>
  <c r="F658" i="3"/>
  <c r="M658" i="3"/>
  <c r="G658" i="3"/>
  <c r="I658" i="3"/>
  <c r="U658" i="3"/>
  <c r="D659" i="3"/>
  <c r="E659" i="3"/>
  <c r="U659" i="3"/>
  <c r="F659" i="3"/>
  <c r="M659" i="3"/>
  <c r="D660" i="3"/>
  <c r="E660" i="3"/>
  <c r="U660" i="3"/>
  <c r="D661" i="3"/>
  <c r="E661" i="3"/>
  <c r="U661" i="3"/>
  <c r="D662" i="3"/>
  <c r="E662" i="3"/>
  <c r="U662" i="3"/>
  <c r="F662" i="3"/>
  <c r="M662" i="3"/>
  <c r="E663" i="3"/>
  <c r="F663" i="3"/>
  <c r="M663" i="3"/>
  <c r="U663" i="3"/>
  <c r="D664" i="3"/>
  <c r="E664" i="3"/>
  <c r="F664" i="3"/>
  <c r="M664" i="3"/>
  <c r="D665" i="3"/>
  <c r="E665" i="3"/>
  <c r="F665" i="3"/>
  <c r="M665" i="3"/>
  <c r="D666" i="3"/>
  <c r="E666" i="3"/>
  <c r="U666" i="3"/>
  <c r="F666" i="3"/>
  <c r="M666" i="3"/>
  <c r="E668" i="3"/>
  <c r="F668" i="3"/>
  <c r="M668" i="3"/>
  <c r="U668" i="3"/>
  <c r="E669" i="3"/>
  <c r="F669" i="3"/>
  <c r="M669" i="3"/>
  <c r="U669" i="3"/>
  <c r="E670" i="3"/>
  <c r="F670" i="3"/>
  <c r="M670" i="3"/>
  <c r="G670" i="3"/>
  <c r="U670" i="3"/>
  <c r="E671" i="3"/>
  <c r="F671" i="3"/>
  <c r="M671" i="3"/>
  <c r="U671" i="3"/>
  <c r="E672" i="3"/>
  <c r="F672" i="3"/>
  <c r="M672" i="3"/>
  <c r="G672" i="3"/>
  <c r="I672" i="3"/>
  <c r="U672" i="3"/>
  <c r="E673" i="3"/>
  <c r="F673" i="3"/>
  <c r="M673" i="3"/>
  <c r="E674" i="3"/>
  <c r="F674" i="3"/>
  <c r="M674" i="3"/>
  <c r="G674" i="3"/>
  <c r="U674" i="3"/>
  <c r="D675" i="3"/>
  <c r="E675" i="3"/>
  <c r="E676" i="3"/>
  <c r="F676" i="3"/>
  <c r="M676" i="3"/>
  <c r="G676" i="3"/>
  <c r="I676" i="3"/>
  <c r="U676" i="3"/>
  <c r="E677" i="3"/>
  <c r="D678" i="3"/>
  <c r="E678" i="3"/>
  <c r="U678" i="3"/>
  <c r="F678" i="3"/>
  <c r="M678" i="3"/>
  <c r="E679" i="3"/>
  <c r="F679" i="3"/>
  <c r="M679" i="3"/>
  <c r="G679" i="3"/>
  <c r="I679" i="3"/>
  <c r="U679" i="3"/>
  <c r="E680" i="3"/>
  <c r="F680" i="3"/>
  <c r="M680" i="3"/>
  <c r="U680" i="3"/>
  <c r="E681" i="3"/>
  <c r="F681" i="3"/>
  <c r="M681" i="3"/>
  <c r="G681" i="3"/>
  <c r="I681" i="3"/>
  <c r="U681" i="3"/>
  <c r="E682" i="3"/>
  <c r="F682" i="3"/>
  <c r="M682" i="3"/>
  <c r="G682" i="3"/>
  <c r="U682" i="3"/>
  <c r="E683" i="3"/>
  <c r="F683" i="3"/>
  <c r="M683" i="3"/>
  <c r="I683" i="3"/>
  <c r="G683" i="3"/>
  <c r="U683" i="3"/>
  <c r="E684" i="3"/>
  <c r="F684" i="3"/>
  <c r="G684" i="3"/>
  <c r="I684" i="3"/>
  <c r="M684" i="3"/>
  <c r="U684" i="3"/>
  <c r="E685" i="3"/>
  <c r="F685" i="3"/>
  <c r="M685" i="3"/>
  <c r="G685" i="3"/>
  <c r="U685" i="3"/>
  <c r="E686" i="3"/>
  <c r="F686" i="3"/>
  <c r="I686" i="3"/>
  <c r="M686" i="3"/>
  <c r="G686" i="3"/>
  <c r="U686" i="3"/>
  <c r="E687" i="3"/>
  <c r="F687" i="3"/>
  <c r="M687" i="3"/>
  <c r="I687" i="3"/>
  <c r="G687" i="3"/>
  <c r="U687" i="3"/>
  <c r="E690" i="3"/>
  <c r="F690" i="3"/>
  <c r="C696" i="3"/>
  <c r="C933" i="3"/>
  <c r="E933" i="3"/>
  <c r="C697" i="3"/>
  <c r="E697" i="3"/>
  <c r="F697" i="3"/>
  <c r="M697" i="3"/>
  <c r="C698" i="3"/>
  <c r="E698" i="3"/>
  <c r="C699" i="3"/>
  <c r="E699" i="3"/>
  <c r="F699" i="3"/>
  <c r="M699" i="3"/>
  <c r="C700" i="3"/>
  <c r="E700" i="3"/>
  <c r="U700" i="3"/>
  <c r="C701" i="3"/>
  <c r="E701" i="3"/>
  <c r="U701" i="3"/>
  <c r="C702" i="3"/>
  <c r="C939" i="3"/>
  <c r="E702" i="3"/>
  <c r="C703" i="3"/>
  <c r="E703" i="3"/>
  <c r="F703" i="3"/>
  <c r="M703" i="3"/>
  <c r="U703" i="3"/>
  <c r="C704" i="3"/>
  <c r="C705" i="3"/>
  <c r="D705" i="3"/>
  <c r="E705" i="3"/>
  <c r="C706" i="3"/>
  <c r="C707" i="3"/>
  <c r="D707" i="3"/>
  <c r="F707" i="3"/>
  <c r="E707" i="3"/>
  <c r="U707" i="3"/>
  <c r="M707" i="3"/>
  <c r="C708" i="3"/>
  <c r="D708" i="3"/>
  <c r="F708" i="3"/>
  <c r="M708" i="3"/>
  <c r="E708" i="3"/>
  <c r="U708" i="3"/>
  <c r="C709" i="3"/>
  <c r="D709" i="3"/>
  <c r="E709" i="3"/>
  <c r="U709" i="3"/>
  <c r="F709" i="3"/>
  <c r="M709" i="3"/>
  <c r="G709" i="3"/>
  <c r="C710" i="3"/>
  <c r="E710" i="3"/>
  <c r="C711" i="3"/>
  <c r="E711" i="3"/>
  <c r="C712" i="3"/>
  <c r="E712" i="3"/>
  <c r="C714" i="3"/>
  <c r="D714" i="3"/>
  <c r="E714" i="3"/>
  <c r="C715" i="3"/>
  <c r="D715" i="3"/>
  <c r="E715" i="3"/>
  <c r="C716" i="3"/>
  <c r="D716" i="3"/>
  <c r="E716" i="3"/>
  <c r="C718" i="3"/>
  <c r="D718" i="3"/>
  <c r="E718" i="3"/>
  <c r="F718" i="3"/>
  <c r="M718" i="3"/>
  <c r="C719" i="3"/>
  <c r="C720" i="3"/>
  <c r="D720" i="3"/>
  <c r="E720" i="3"/>
  <c r="F720" i="3"/>
  <c r="M720" i="3"/>
  <c r="U720" i="3"/>
  <c r="C721" i="3"/>
  <c r="D721" i="3"/>
  <c r="E721" i="3"/>
  <c r="C722" i="3"/>
  <c r="D722" i="3"/>
  <c r="E722" i="3"/>
  <c r="U722" i="3"/>
  <c r="F722" i="3"/>
  <c r="G722" i="3"/>
  <c r="I722" i="3"/>
  <c r="M722" i="3"/>
  <c r="C723" i="3"/>
  <c r="D723" i="3"/>
  <c r="E723" i="3"/>
  <c r="F723" i="3"/>
  <c r="M723" i="3"/>
  <c r="C726" i="3"/>
  <c r="D726" i="3"/>
  <c r="E726" i="3"/>
  <c r="C727" i="3"/>
  <c r="D727" i="3"/>
  <c r="E727" i="3"/>
  <c r="C728" i="3"/>
  <c r="D728" i="3"/>
  <c r="E728" i="3"/>
  <c r="U728" i="3"/>
  <c r="C729" i="3"/>
  <c r="D729" i="3"/>
  <c r="E729" i="3"/>
  <c r="F729" i="3"/>
  <c r="M729" i="3"/>
  <c r="C730" i="3"/>
  <c r="D730" i="3"/>
  <c r="E730" i="3"/>
  <c r="C731" i="3"/>
  <c r="D731" i="3"/>
  <c r="E731" i="3"/>
  <c r="F731" i="3"/>
  <c r="M731" i="3"/>
  <c r="U731" i="3"/>
  <c r="C732" i="3"/>
  <c r="D732" i="3"/>
  <c r="E732" i="3"/>
  <c r="C733" i="3"/>
  <c r="D733" i="3"/>
  <c r="E733" i="3"/>
  <c r="U733" i="3"/>
  <c r="F733" i="3"/>
  <c r="G733" i="3"/>
  <c r="I733" i="3"/>
  <c r="M733" i="3"/>
  <c r="C734" i="3"/>
  <c r="D734" i="3"/>
  <c r="E734" i="3"/>
  <c r="F734" i="3"/>
  <c r="M734" i="3"/>
  <c r="C735" i="3"/>
  <c r="D735" i="3"/>
  <c r="E735" i="3"/>
  <c r="C736" i="3"/>
  <c r="D736" i="3"/>
  <c r="E736" i="3"/>
  <c r="F736" i="3"/>
  <c r="I736" i="3"/>
  <c r="M736" i="3"/>
  <c r="G736" i="3"/>
  <c r="U736" i="3"/>
  <c r="C737" i="3"/>
  <c r="D737" i="3"/>
  <c r="E737" i="3"/>
  <c r="F737" i="3"/>
  <c r="M737" i="3"/>
  <c r="C738" i="3"/>
  <c r="D738" i="3"/>
  <c r="E738" i="3"/>
  <c r="U738" i="3"/>
  <c r="C739" i="3"/>
  <c r="D739" i="3"/>
  <c r="E739" i="3"/>
  <c r="F739" i="3"/>
  <c r="M739" i="3"/>
  <c r="U739" i="3"/>
  <c r="C740" i="3"/>
  <c r="D740" i="3"/>
  <c r="E740" i="3"/>
  <c r="F740" i="3"/>
  <c r="M740" i="3"/>
  <c r="C742" i="3"/>
  <c r="E742" i="3"/>
  <c r="U742" i="3"/>
  <c r="C743" i="3"/>
  <c r="E743" i="3"/>
  <c r="F743" i="3"/>
  <c r="M743" i="3"/>
  <c r="U743" i="3"/>
  <c r="C744" i="3"/>
  <c r="E744" i="3"/>
  <c r="C745" i="3"/>
  <c r="E745" i="3"/>
  <c r="F745" i="3"/>
  <c r="M745" i="3"/>
  <c r="G745" i="3"/>
  <c r="C746" i="3"/>
  <c r="E746" i="3"/>
  <c r="U746" i="3"/>
  <c r="F746" i="3"/>
  <c r="M746" i="3"/>
  <c r="C747" i="3"/>
  <c r="E747" i="3"/>
  <c r="U747" i="3"/>
  <c r="F747" i="3"/>
  <c r="M747" i="3"/>
  <c r="G747" i="3"/>
  <c r="I747" i="3"/>
  <c r="C752" i="3"/>
  <c r="E752" i="3"/>
  <c r="F752" i="3"/>
  <c r="M752" i="3"/>
  <c r="U752" i="3"/>
  <c r="C753" i="3"/>
  <c r="C754" i="3"/>
  <c r="E754" i="3"/>
  <c r="U754" i="3"/>
  <c r="F754" i="3"/>
  <c r="G754" i="3"/>
  <c r="I754" i="3"/>
  <c r="M754" i="3"/>
  <c r="C755" i="3"/>
  <c r="E755" i="3"/>
  <c r="F755" i="3"/>
  <c r="M755" i="3"/>
  <c r="C756" i="3"/>
  <c r="E756" i="3"/>
  <c r="U756" i="3"/>
  <c r="F756" i="3"/>
  <c r="M756" i="3"/>
  <c r="G756" i="3"/>
  <c r="C757" i="3"/>
  <c r="E757" i="3"/>
  <c r="F757" i="3"/>
  <c r="M757" i="3"/>
  <c r="U757" i="3"/>
  <c r="C758" i="3"/>
  <c r="E758" i="3"/>
  <c r="C759" i="3"/>
  <c r="E759" i="3"/>
  <c r="F759" i="3"/>
  <c r="I759" i="3"/>
  <c r="M759" i="3"/>
  <c r="G759" i="3"/>
  <c r="U759" i="3"/>
  <c r="C760" i="3"/>
  <c r="D760" i="3"/>
  <c r="E760" i="3"/>
  <c r="F760" i="3"/>
  <c r="M760" i="3"/>
  <c r="C761" i="3"/>
  <c r="D761" i="3"/>
  <c r="E761" i="3"/>
  <c r="U761" i="3"/>
  <c r="C762" i="3"/>
  <c r="D762" i="3"/>
  <c r="E762" i="3"/>
  <c r="F762" i="3"/>
  <c r="M762" i="3"/>
  <c r="U762" i="3"/>
  <c r="C763" i="3"/>
  <c r="D763" i="3"/>
  <c r="F763" i="3"/>
  <c r="M763" i="3"/>
  <c r="E763" i="3"/>
  <c r="U763" i="3"/>
  <c r="C764" i="3"/>
  <c r="D764" i="3"/>
  <c r="E764" i="3"/>
  <c r="U764" i="3"/>
  <c r="F764" i="3"/>
  <c r="M764" i="3"/>
  <c r="C765" i="3"/>
  <c r="E765" i="3"/>
  <c r="C766" i="3"/>
  <c r="E766" i="3"/>
  <c r="C767" i="3"/>
  <c r="E767" i="3"/>
  <c r="C769" i="3"/>
  <c r="C907" i="3"/>
  <c r="C770" i="3"/>
  <c r="D770" i="3"/>
  <c r="E770" i="3"/>
  <c r="U770" i="3"/>
  <c r="C771" i="3"/>
  <c r="D771" i="3"/>
  <c r="E771" i="3"/>
  <c r="U771" i="3"/>
  <c r="C773" i="3"/>
  <c r="C774" i="3"/>
  <c r="D774" i="3"/>
  <c r="E774" i="3"/>
  <c r="U774" i="3"/>
  <c r="C775" i="3"/>
  <c r="D775" i="3"/>
  <c r="E775" i="3"/>
  <c r="F775" i="3"/>
  <c r="M775" i="3"/>
  <c r="U775" i="3"/>
  <c r="C776" i="3"/>
  <c r="D776" i="3"/>
  <c r="E776" i="3"/>
  <c r="C777" i="3"/>
  <c r="D777" i="3"/>
  <c r="E777" i="3"/>
  <c r="U777" i="3"/>
  <c r="C778" i="3"/>
  <c r="D778" i="3"/>
  <c r="E778" i="3"/>
  <c r="F778" i="3"/>
  <c r="M778" i="3"/>
  <c r="U778" i="3"/>
  <c r="C781" i="3"/>
  <c r="C782" i="3"/>
  <c r="D782" i="3"/>
  <c r="E782" i="3"/>
  <c r="U782" i="3"/>
  <c r="C783" i="3"/>
  <c r="D783" i="3"/>
  <c r="E783" i="3"/>
  <c r="F783" i="3"/>
  <c r="M783" i="3"/>
  <c r="U783" i="3"/>
  <c r="C784" i="3"/>
  <c r="C785" i="3"/>
  <c r="D785" i="3"/>
  <c r="E785" i="3"/>
  <c r="U785" i="3"/>
  <c r="C786" i="3"/>
  <c r="C787" i="3"/>
  <c r="C788" i="3"/>
  <c r="D788" i="3"/>
  <c r="E788" i="3"/>
  <c r="U788" i="3"/>
  <c r="C789" i="3"/>
  <c r="C790" i="3"/>
  <c r="C791" i="3"/>
  <c r="D791" i="3"/>
  <c r="E791" i="3"/>
  <c r="U791" i="3"/>
  <c r="C792" i="3"/>
  <c r="D792" i="3"/>
  <c r="E792" i="3"/>
  <c r="F792" i="3"/>
  <c r="M792" i="3"/>
  <c r="U792" i="3"/>
  <c r="C793" i="3"/>
  <c r="C794" i="3"/>
  <c r="D794" i="3"/>
  <c r="E794" i="3"/>
  <c r="U794" i="3"/>
  <c r="C795" i="3"/>
  <c r="D795" i="3"/>
  <c r="E795" i="3"/>
  <c r="F795" i="3"/>
  <c r="M795" i="3"/>
  <c r="U795" i="3"/>
  <c r="C797" i="3"/>
  <c r="C798" i="3"/>
  <c r="E798" i="3"/>
  <c r="F798" i="3"/>
  <c r="M798" i="3"/>
  <c r="U798" i="3"/>
  <c r="C799" i="3"/>
  <c r="E799" i="3"/>
  <c r="U799" i="3"/>
  <c r="F799" i="3"/>
  <c r="M799" i="3"/>
  <c r="C800" i="3"/>
  <c r="E800" i="3"/>
  <c r="C801" i="3"/>
  <c r="E801" i="3"/>
  <c r="F801" i="3"/>
  <c r="M801" i="3"/>
  <c r="U801" i="3"/>
  <c r="C802" i="3"/>
  <c r="C922" i="3"/>
  <c r="E922" i="3"/>
  <c r="E802" i="3"/>
  <c r="F802" i="3"/>
  <c r="M802" i="3"/>
  <c r="C806" i="3"/>
  <c r="E806" i="3"/>
  <c r="U806" i="3"/>
  <c r="F806" i="3"/>
  <c r="M806" i="3"/>
  <c r="C807" i="3"/>
  <c r="E807" i="3"/>
  <c r="C808" i="3"/>
  <c r="E808" i="3"/>
  <c r="F808" i="3"/>
  <c r="M808" i="3"/>
  <c r="C809" i="3"/>
  <c r="E809" i="3"/>
  <c r="F809" i="3"/>
  <c r="M809" i="3"/>
  <c r="U809" i="3"/>
  <c r="C810" i="3"/>
  <c r="E810" i="3"/>
  <c r="C811" i="3"/>
  <c r="E811" i="3"/>
  <c r="F811" i="3"/>
  <c r="G811" i="3"/>
  <c r="M811" i="3"/>
  <c r="I811" i="3"/>
  <c r="C814" i="3"/>
  <c r="D814" i="3"/>
  <c r="E814" i="3"/>
  <c r="C815" i="3"/>
  <c r="D815" i="3"/>
  <c r="E815" i="3"/>
  <c r="C816" i="3"/>
  <c r="D816" i="3"/>
  <c r="E816" i="3"/>
  <c r="F816" i="3"/>
  <c r="M816" i="3"/>
  <c r="C819" i="3"/>
  <c r="E819" i="3"/>
  <c r="U819" i="3"/>
  <c r="C820" i="3"/>
  <c r="E820" i="3"/>
  <c r="C821" i="3"/>
  <c r="E821" i="3"/>
  <c r="F821" i="3"/>
  <c r="M821" i="3"/>
  <c r="G821" i="3"/>
  <c r="C822" i="3"/>
  <c r="E822" i="3"/>
  <c r="D827" i="3"/>
  <c r="E827" i="3"/>
  <c r="D828" i="3"/>
  <c r="E828" i="3"/>
  <c r="F828" i="3"/>
  <c r="M828" i="3"/>
  <c r="C829" i="3"/>
  <c r="D829" i="3"/>
  <c r="E829" i="3"/>
  <c r="C830" i="3"/>
  <c r="D830" i="3"/>
  <c r="E830" i="3"/>
  <c r="F830" i="3"/>
  <c r="G830" i="3"/>
  <c r="I830" i="3"/>
  <c r="M830" i="3"/>
  <c r="C831" i="3"/>
  <c r="D831" i="3"/>
  <c r="E831" i="3"/>
  <c r="C832" i="3"/>
  <c r="D832" i="3"/>
  <c r="E832" i="3"/>
  <c r="C833" i="3"/>
  <c r="D833" i="3"/>
  <c r="E833" i="3"/>
  <c r="C834" i="3"/>
  <c r="D834" i="3"/>
  <c r="E834" i="3"/>
  <c r="C835" i="3"/>
  <c r="D835" i="3"/>
  <c r="E835" i="3"/>
  <c r="C836" i="3"/>
  <c r="D836" i="3"/>
  <c r="E836" i="3"/>
  <c r="C837" i="3"/>
  <c r="D837" i="3"/>
  <c r="E837" i="3"/>
  <c r="C838" i="3"/>
  <c r="D838" i="3"/>
  <c r="E838" i="3"/>
  <c r="U838" i="3"/>
  <c r="F838" i="3"/>
  <c r="M838" i="3"/>
  <c r="C839" i="3"/>
  <c r="D839" i="3"/>
  <c r="E839" i="3"/>
  <c r="F839" i="3"/>
  <c r="M839" i="3"/>
  <c r="U839" i="3"/>
  <c r="C840" i="3"/>
  <c r="D840" i="3"/>
  <c r="E840" i="3"/>
  <c r="C841" i="3"/>
  <c r="D841" i="3"/>
  <c r="E841" i="3"/>
  <c r="U841" i="3"/>
  <c r="F841" i="3"/>
  <c r="M841" i="3"/>
  <c r="C842" i="3"/>
  <c r="D842" i="3"/>
  <c r="E842" i="3"/>
  <c r="F842" i="3"/>
  <c r="G842" i="3"/>
  <c r="M842" i="3"/>
  <c r="I842" i="3"/>
  <c r="U842" i="3"/>
  <c r="C843" i="3"/>
  <c r="D843" i="3"/>
  <c r="E843" i="3"/>
  <c r="C844" i="3"/>
  <c r="D844" i="3"/>
  <c r="E844" i="3"/>
  <c r="C845" i="3"/>
  <c r="D845" i="3"/>
  <c r="E845" i="3"/>
  <c r="F845" i="3"/>
  <c r="M845" i="3"/>
  <c r="U845" i="3"/>
  <c r="C846" i="3"/>
  <c r="D846" i="3"/>
  <c r="E846" i="3"/>
  <c r="C847" i="3"/>
  <c r="D847" i="3"/>
  <c r="E847" i="3"/>
  <c r="F847" i="3"/>
  <c r="M847" i="3"/>
  <c r="C848" i="3"/>
  <c r="D848" i="3"/>
  <c r="E848" i="3"/>
  <c r="F848" i="3"/>
  <c r="M848" i="3"/>
  <c r="C849" i="3"/>
  <c r="D849" i="3"/>
  <c r="E849" i="3"/>
  <c r="E851" i="3"/>
  <c r="F851" i="3"/>
  <c r="G851" i="3"/>
  <c r="M851" i="3"/>
  <c r="I851" i="3"/>
  <c r="U851" i="3"/>
  <c r="E852" i="3"/>
  <c r="F852" i="3"/>
  <c r="G852" i="3"/>
  <c r="M852" i="3"/>
  <c r="U852" i="3"/>
  <c r="E853" i="3"/>
  <c r="F853" i="3"/>
  <c r="M853" i="3"/>
  <c r="G853" i="3"/>
  <c r="I853" i="3"/>
  <c r="U853" i="3"/>
  <c r="C854" i="3"/>
  <c r="E854" i="3"/>
  <c r="U854" i="3"/>
  <c r="F854" i="3"/>
  <c r="M854" i="3"/>
  <c r="G854" i="3"/>
  <c r="I854" i="3"/>
  <c r="C855" i="3"/>
  <c r="E855" i="3"/>
  <c r="U855" i="3"/>
  <c r="C856" i="3"/>
  <c r="E856" i="3"/>
  <c r="F856" i="3"/>
  <c r="M856" i="3"/>
  <c r="C857" i="3"/>
  <c r="E857" i="3"/>
  <c r="U857" i="3"/>
  <c r="C858" i="3"/>
  <c r="E858" i="3"/>
  <c r="F858" i="3"/>
  <c r="I858" i="3"/>
  <c r="M858" i="3"/>
  <c r="G858" i="3"/>
  <c r="U858" i="3"/>
  <c r="C859" i="3"/>
  <c r="E859" i="3"/>
  <c r="C860" i="3"/>
  <c r="E860" i="3"/>
  <c r="U860" i="3"/>
  <c r="F860" i="3"/>
  <c r="M860" i="3"/>
  <c r="C861" i="3"/>
  <c r="E861" i="3"/>
  <c r="C862" i="3"/>
  <c r="E862" i="3"/>
  <c r="F862" i="3"/>
  <c r="M862" i="3"/>
  <c r="C866" i="3"/>
  <c r="D866" i="3"/>
  <c r="E866" i="3"/>
  <c r="U866" i="3"/>
  <c r="C867" i="3"/>
  <c r="D867" i="3"/>
  <c r="E867" i="3"/>
  <c r="F867" i="3"/>
  <c r="M867" i="3"/>
  <c r="G867" i="3"/>
  <c r="C868" i="3"/>
  <c r="D868" i="3"/>
  <c r="E868" i="3"/>
  <c r="F868" i="3"/>
  <c r="M868" i="3"/>
  <c r="C869" i="3"/>
  <c r="D869" i="3"/>
  <c r="E869" i="3"/>
  <c r="F869" i="3"/>
  <c r="M869" i="3"/>
  <c r="C870" i="3"/>
  <c r="D870" i="3"/>
  <c r="E870" i="3"/>
  <c r="C871" i="3"/>
  <c r="D871" i="3"/>
  <c r="E871" i="3"/>
  <c r="U871" i="3"/>
  <c r="C872" i="3"/>
  <c r="D872" i="3"/>
  <c r="E872" i="3"/>
  <c r="C873" i="3"/>
  <c r="D873" i="3"/>
  <c r="E873" i="3"/>
  <c r="C874" i="3"/>
  <c r="D874" i="3"/>
  <c r="E874" i="3"/>
  <c r="U874" i="3"/>
  <c r="C875" i="3"/>
  <c r="D875" i="3"/>
  <c r="E875" i="3"/>
  <c r="C876" i="3"/>
  <c r="D876" i="3"/>
  <c r="E876" i="3"/>
  <c r="C877" i="3"/>
  <c r="D877" i="3"/>
  <c r="E877" i="3"/>
  <c r="F877" i="3"/>
  <c r="M877" i="3"/>
  <c r="C878" i="3"/>
  <c r="D878" i="3"/>
  <c r="E878" i="3"/>
  <c r="F878" i="3"/>
  <c r="M878" i="3"/>
  <c r="U878" i="3"/>
  <c r="C879" i="3"/>
  <c r="D879" i="3"/>
  <c r="E879" i="3"/>
  <c r="F879" i="3"/>
  <c r="M879" i="3"/>
  <c r="C880" i="3"/>
  <c r="D880" i="3"/>
  <c r="E880" i="3"/>
  <c r="C881" i="3"/>
  <c r="C882" i="3"/>
  <c r="E882" i="3"/>
  <c r="U882" i="3"/>
  <c r="F882" i="3"/>
  <c r="M882" i="3"/>
  <c r="C883" i="3"/>
  <c r="E883" i="3"/>
  <c r="U883" i="3"/>
  <c r="F883" i="3"/>
  <c r="M883" i="3"/>
  <c r="G883" i="3"/>
  <c r="C884" i="3"/>
  <c r="C885" i="3"/>
  <c r="E885" i="3"/>
  <c r="U885" i="3"/>
  <c r="F885" i="3"/>
  <c r="M885" i="3"/>
  <c r="C886" i="3"/>
  <c r="E886" i="3"/>
  <c r="U886" i="3"/>
  <c r="F886" i="3"/>
  <c r="M886" i="3"/>
  <c r="C887" i="3"/>
  <c r="E887" i="3"/>
  <c r="F887" i="3"/>
  <c r="M887" i="3"/>
  <c r="G887" i="3"/>
  <c r="U887" i="3"/>
  <c r="C888" i="3"/>
  <c r="C995" i="3"/>
  <c r="E888" i="3"/>
  <c r="F888" i="3"/>
  <c r="M888" i="3"/>
  <c r="C892" i="3"/>
  <c r="E892" i="3"/>
  <c r="F892" i="3"/>
  <c r="G892" i="3"/>
  <c r="M892" i="3"/>
  <c r="I892" i="3"/>
  <c r="U892" i="3"/>
  <c r="C893" i="3"/>
  <c r="E893" i="3"/>
  <c r="U893" i="3"/>
  <c r="C894" i="3"/>
  <c r="E894" i="3"/>
  <c r="C895" i="3"/>
  <c r="E895" i="3"/>
  <c r="C896" i="3"/>
  <c r="E896" i="3"/>
  <c r="U896" i="3"/>
  <c r="F896" i="3"/>
  <c r="M896" i="3"/>
  <c r="G896" i="3"/>
  <c r="C897" i="3"/>
  <c r="E897" i="3"/>
  <c r="F897" i="3"/>
  <c r="I897" i="3"/>
  <c r="M897" i="3"/>
  <c r="G897" i="3"/>
  <c r="U897" i="3"/>
  <c r="C898" i="3"/>
  <c r="E898" i="3"/>
  <c r="F898" i="3"/>
  <c r="M898" i="3"/>
  <c r="G898" i="3"/>
  <c r="I898" i="3"/>
  <c r="U898" i="3"/>
  <c r="C899" i="3"/>
  <c r="E899" i="3"/>
  <c r="F899" i="3"/>
  <c r="M899" i="3"/>
  <c r="U899" i="3"/>
  <c r="C900" i="3"/>
  <c r="D900" i="3"/>
  <c r="E900" i="3"/>
  <c r="F900" i="3"/>
  <c r="M900" i="3"/>
  <c r="G900" i="3"/>
  <c r="U900" i="3"/>
  <c r="C901" i="3"/>
  <c r="D901" i="3"/>
  <c r="E901" i="3"/>
  <c r="C902" i="3"/>
  <c r="D902" i="3"/>
  <c r="E902" i="3"/>
  <c r="F902" i="3"/>
  <c r="M902" i="3"/>
  <c r="U902" i="3"/>
  <c r="C904" i="3"/>
  <c r="E904" i="3"/>
  <c r="C905" i="3"/>
  <c r="E905" i="3"/>
  <c r="D907" i="3"/>
  <c r="E907" i="3"/>
  <c r="C908" i="3"/>
  <c r="D908" i="3"/>
  <c r="E908" i="3"/>
  <c r="C909" i="3"/>
  <c r="D909" i="3"/>
  <c r="E909" i="3"/>
  <c r="U909" i="3"/>
  <c r="C914" i="3"/>
  <c r="D914" i="3"/>
  <c r="E914" i="3"/>
  <c r="U914" i="3"/>
  <c r="C916" i="3"/>
  <c r="D916" i="3"/>
  <c r="E916" i="3"/>
  <c r="C918" i="3"/>
  <c r="D918" i="3"/>
  <c r="E918" i="3"/>
  <c r="F918" i="3"/>
  <c r="M918" i="3"/>
  <c r="F922" i="3"/>
  <c r="M922" i="3"/>
  <c r="U922" i="3"/>
  <c r="C924" i="3"/>
  <c r="E924" i="3"/>
  <c r="C925" i="3"/>
  <c r="E925" i="3"/>
  <c r="C926" i="3"/>
  <c r="E926" i="3"/>
  <c r="C927" i="3"/>
  <c r="E927" i="3"/>
  <c r="C928" i="3"/>
  <c r="E928" i="3"/>
  <c r="C934" i="3"/>
  <c r="E934" i="3"/>
  <c r="C936" i="3"/>
  <c r="E936" i="3"/>
  <c r="C937" i="3"/>
  <c r="E937" i="3"/>
  <c r="C938" i="3"/>
  <c r="E938" i="3"/>
  <c r="U938" i="3"/>
  <c r="E939" i="3"/>
  <c r="U939" i="3"/>
  <c r="C940" i="3"/>
  <c r="E940" i="3"/>
  <c r="U940" i="3"/>
  <c r="F940" i="3"/>
  <c r="M940" i="3"/>
  <c r="C942" i="3"/>
  <c r="D942" i="3"/>
  <c r="E942" i="3"/>
  <c r="C944" i="3"/>
  <c r="E944" i="3"/>
  <c r="C945" i="3"/>
  <c r="E945" i="3"/>
  <c r="C946" i="3"/>
  <c r="E946" i="3"/>
  <c r="C947" i="3"/>
  <c r="C948" i="3"/>
  <c r="D948" i="3"/>
  <c r="E948" i="3"/>
  <c r="C949" i="3"/>
  <c r="D949" i="3"/>
  <c r="E949" i="3"/>
  <c r="U949" i="3"/>
  <c r="C950" i="3"/>
  <c r="D950" i="3"/>
  <c r="E950" i="3"/>
  <c r="C951" i="3"/>
  <c r="C952" i="3"/>
  <c r="C953" i="3"/>
  <c r="D953" i="3"/>
  <c r="E953" i="3"/>
  <c r="C954" i="3"/>
  <c r="D954" i="3"/>
  <c r="E954" i="3"/>
  <c r="C955" i="3"/>
  <c r="D955" i="3"/>
  <c r="E955" i="3"/>
  <c r="F955" i="3"/>
  <c r="M955" i="3"/>
  <c r="U955" i="3"/>
  <c r="C956" i="3"/>
  <c r="D956" i="3"/>
  <c r="E956" i="3"/>
  <c r="C957" i="3"/>
  <c r="D957" i="3"/>
  <c r="E957" i="3"/>
  <c r="C958" i="3"/>
  <c r="D958" i="3"/>
  <c r="E958" i="3"/>
  <c r="C959" i="3"/>
  <c r="D959" i="3"/>
  <c r="E959" i="3"/>
  <c r="U959" i="3"/>
  <c r="C960" i="3"/>
  <c r="D960" i="3"/>
  <c r="E960" i="3"/>
  <c r="C961" i="3"/>
  <c r="C962" i="3"/>
  <c r="E962" i="3"/>
  <c r="C963" i="3"/>
  <c r="E963" i="3"/>
  <c r="F963" i="3"/>
  <c r="M963" i="3"/>
  <c r="C970" i="3"/>
  <c r="E970" i="3"/>
  <c r="F970" i="3"/>
  <c r="M970" i="3"/>
  <c r="C971" i="3"/>
  <c r="E971" i="3"/>
  <c r="F971" i="3"/>
  <c r="M971" i="3"/>
  <c r="U971" i="3"/>
  <c r="C973" i="3"/>
  <c r="E973" i="3"/>
  <c r="C974" i="3"/>
  <c r="E974" i="3"/>
  <c r="C975" i="3"/>
  <c r="E975" i="3"/>
  <c r="C976" i="3"/>
  <c r="C977" i="3"/>
  <c r="C978" i="3"/>
  <c r="D978" i="3"/>
  <c r="E978" i="3"/>
  <c r="F978" i="3"/>
  <c r="M978" i="3"/>
  <c r="G978" i="3"/>
  <c r="U978" i="3"/>
  <c r="C979" i="3"/>
  <c r="D979" i="3"/>
  <c r="E979" i="3"/>
  <c r="C981" i="3"/>
  <c r="D981" i="3"/>
  <c r="E981" i="3"/>
  <c r="C982" i="3"/>
  <c r="D982" i="3"/>
  <c r="E982" i="3"/>
  <c r="F982" i="3"/>
  <c r="M982" i="3"/>
  <c r="U982" i="3"/>
  <c r="C983" i="3"/>
  <c r="D983" i="3"/>
  <c r="E983" i="3"/>
  <c r="C985" i="3"/>
  <c r="D985" i="3"/>
  <c r="E985" i="3"/>
  <c r="C986" i="3"/>
  <c r="C987" i="3"/>
  <c r="E987" i="3"/>
  <c r="U987" i="3"/>
  <c r="C988" i="3"/>
  <c r="E988" i="3"/>
  <c r="U988" i="3"/>
  <c r="F988" i="3"/>
  <c r="M988" i="3"/>
  <c r="C989" i="3"/>
  <c r="E989" i="3"/>
  <c r="U989" i="3"/>
  <c r="F989" i="3"/>
  <c r="M989" i="3"/>
  <c r="G989" i="3"/>
  <c r="C990" i="3"/>
  <c r="E990" i="3"/>
  <c r="U990" i="3"/>
  <c r="C991" i="3"/>
  <c r="E991" i="3"/>
  <c r="F991" i="3"/>
  <c r="M991" i="3"/>
  <c r="E995" i="3"/>
  <c r="C996" i="3"/>
  <c r="E996" i="3"/>
  <c r="C997" i="3"/>
  <c r="E997" i="3"/>
  <c r="E999" i="3"/>
  <c r="C1002" i="3"/>
  <c r="D1002" i="3"/>
  <c r="E1002" i="3"/>
  <c r="C1003" i="3"/>
  <c r="D1003" i="3"/>
  <c r="E1003" i="3"/>
  <c r="C1004" i="3"/>
  <c r="D1004" i="3"/>
  <c r="E1004" i="3"/>
  <c r="C1006" i="3"/>
  <c r="D1006" i="3"/>
  <c r="E1006" i="3"/>
  <c r="C1007" i="3"/>
  <c r="D1007" i="3"/>
  <c r="E1007" i="3"/>
  <c r="C1008" i="3"/>
  <c r="D1008" i="3"/>
  <c r="E1008" i="3"/>
  <c r="C1009" i="3"/>
  <c r="D1009" i="3"/>
  <c r="E1009" i="3"/>
  <c r="C1010" i="3"/>
  <c r="D1010" i="3"/>
  <c r="E1010" i="3"/>
  <c r="C1011" i="3"/>
  <c r="D1011" i="3"/>
  <c r="E1011" i="3"/>
  <c r="C1012" i="3"/>
  <c r="D1012" i="3"/>
  <c r="E1012" i="3"/>
  <c r="C1013" i="3"/>
  <c r="D1013" i="3"/>
  <c r="E1013" i="3"/>
  <c r="C1014" i="3"/>
  <c r="D1014" i="3"/>
  <c r="E1014" i="3"/>
  <c r="C1015" i="3"/>
  <c r="D1015" i="3"/>
  <c r="E1015" i="3"/>
  <c r="C1016" i="3"/>
  <c r="D1016" i="3"/>
  <c r="E1016" i="3"/>
  <c r="C1017" i="3"/>
  <c r="D1017" i="3"/>
  <c r="E1017" i="3"/>
  <c r="C1018" i="3"/>
  <c r="D1018" i="3"/>
  <c r="E1018" i="3"/>
  <c r="C1020" i="3"/>
  <c r="D1020" i="3"/>
  <c r="E1020" i="3"/>
  <c r="C1021" i="3"/>
  <c r="D1021" i="3"/>
  <c r="E1021" i="3"/>
  <c r="C1022" i="3"/>
  <c r="D1022" i="3"/>
  <c r="E1022" i="3"/>
  <c r="C1024" i="3"/>
  <c r="D1024" i="3"/>
  <c r="E1024" i="3"/>
  <c r="C1025" i="3"/>
  <c r="D1025" i="3"/>
  <c r="E1025" i="3"/>
  <c r="C1026" i="3"/>
  <c r="D1026" i="3"/>
  <c r="E1026" i="3"/>
  <c r="C1027" i="3"/>
  <c r="D1027" i="3"/>
  <c r="E1027" i="3"/>
  <c r="C1028" i="3"/>
  <c r="D1028" i="3"/>
  <c r="E1028" i="3"/>
  <c r="C1030" i="3"/>
  <c r="D1030" i="3"/>
  <c r="E1030" i="3"/>
  <c r="C1031" i="3"/>
  <c r="D1031" i="3"/>
  <c r="E1031" i="3"/>
  <c r="C1032" i="3"/>
  <c r="D1032" i="3"/>
  <c r="E1032" i="3"/>
  <c r="C1033" i="3"/>
  <c r="D1033" i="3"/>
  <c r="E1033" i="3"/>
  <c r="C1039" i="3"/>
  <c r="D1039" i="3"/>
  <c r="E1039" i="3"/>
  <c r="U1039" i="3"/>
  <c r="F1039" i="3"/>
  <c r="M1039" i="3"/>
  <c r="G1039" i="3"/>
  <c r="C1040" i="3"/>
  <c r="D1040" i="3"/>
  <c r="E1040" i="3"/>
  <c r="F1040" i="3"/>
  <c r="M1040" i="3"/>
  <c r="C1042" i="3"/>
  <c r="D1042" i="3"/>
  <c r="E1042" i="3"/>
  <c r="U1042" i="3"/>
  <c r="F1042" i="3"/>
  <c r="M1042" i="3"/>
  <c r="G1042" i="3"/>
  <c r="I1042" i="3"/>
  <c r="C1043" i="3"/>
  <c r="D1043" i="3"/>
  <c r="E1043" i="3"/>
  <c r="F1043" i="3"/>
  <c r="M1043" i="3"/>
  <c r="C1045" i="3"/>
  <c r="D1045" i="3"/>
  <c r="E1045" i="3"/>
  <c r="U1045" i="3"/>
  <c r="F1045" i="3"/>
  <c r="M1045" i="3"/>
  <c r="G1045" i="3"/>
  <c r="C1046" i="3"/>
  <c r="D1046" i="3"/>
  <c r="E1046" i="3"/>
  <c r="F1046" i="3"/>
  <c r="M1046" i="3"/>
  <c r="C1048" i="3"/>
  <c r="D1048" i="3"/>
  <c r="E1048" i="3"/>
  <c r="U1048" i="3"/>
  <c r="F1048" i="3"/>
  <c r="M1048" i="3"/>
  <c r="G1048" i="3"/>
  <c r="I1048" i="3"/>
  <c r="C1050" i="3"/>
  <c r="D1050" i="3"/>
  <c r="E1050" i="3"/>
  <c r="F1050" i="3"/>
  <c r="M1050" i="3"/>
  <c r="U1050" i="3"/>
  <c r="C1051" i="3"/>
  <c r="D1051" i="3"/>
  <c r="E1051" i="3"/>
  <c r="F1051" i="3"/>
  <c r="M1051" i="3"/>
  <c r="G1051" i="3"/>
  <c r="I1051" i="3"/>
  <c r="U1051" i="3"/>
  <c r="C1054" i="3"/>
  <c r="D1054" i="3"/>
  <c r="E1054" i="3"/>
  <c r="U1054" i="3"/>
  <c r="F1054" i="3"/>
  <c r="M1054" i="3"/>
  <c r="C1055" i="3"/>
  <c r="C1058" i="3"/>
  <c r="D1058" i="3"/>
  <c r="E1058" i="3"/>
  <c r="C1059" i="3"/>
  <c r="D1059" i="3"/>
  <c r="E1059" i="3"/>
  <c r="C1060" i="3"/>
  <c r="D1060" i="3"/>
  <c r="E1060" i="3"/>
  <c r="C1061" i="3"/>
  <c r="D1061" i="3"/>
  <c r="E1061" i="3"/>
  <c r="C1062" i="3"/>
  <c r="D1062" i="3"/>
  <c r="E1062" i="3"/>
  <c r="C1063" i="3"/>
  <c r="D1063" i="3"/>
  <c r="E1063" i="3"/>
  <c r="D1064" i="3"/>
  <c r="E1064" i="3"/>
  <c r="D1065" i="3"/>
  <c r="U1065" i="3"/>
  <c r="E1065" i="3"/>
  <c r="C1073" i="3"/>
  <c r="D1073" i="3"/>
  <c r="E1073" i="3"/>
  <c r="C1074" i="3"/>
  <c r="D1074" i="3"/>
  <c r="E1074" i="3"/>
  <c r="C1076" i="3"/>
  <c r="D1076" i="3"/>
  <c r="E1076" i="3"/>
  <c r="C1077" i="3"/>
  <c r="D1077" i="3"/>
  <c r="E1077" i="3"/>
  <c r="D1079" i="3"/>
  <c r="E1079" i="3"/>
  <c r="U1079" i="3"/>
  <c r="D1080" i="3"/>
  <c r="C1081" i="3"/>
  <c r="E1081" i="3"/>
  <c r="F1081" i="3"/>
  <c r="M1081" i="3"/>
  <c r="G1081" i="3"/>
  <c r="U1081" i="3"/>
  <c r="C1082" i="3"/>
  <c r="E1082" i="3"/>
  <c r="U1082" i="3"/>
  <c r="F1082" i="3"/>
  <c r="M1082" i="3"/>
  <c r="C1083" i="3"/>
  <c r="E1083" i="3"/>
  <c r="U1083" i="3"/>
  <c r="C1084" i="3"/>
  <c r="E1084" i="3"/>
  <c r="F1084" i="3"/>
  <c r="M1084" i="3"/>
  <c r="D1088" i="3"/>
  <c r="E1088" i="3"/>
  <c r="D1089" i="3"/>
  <c r="E1089" i="3"/>
  <c r="E1095" i="3"/>
  <c r="D1090" i="3"/>
  <c r="E1090" i="3"/>
  <c r="D1091" i="3"/>
  <c r="E1091" i="3"/>
  <c r="D1092" i="3"/>
  <c r="E1092" i="3"/>
  <c r="D1093" i="3"/>
  <c r="E1093" i="3"/>
  <c r="D1094" i="3"/>
  <c r="E1094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E1105" i="3"/>
  <c r="E1106" i="3"/>
  <c r="E1107" i="3"/>
  <c r="E1108" i="3"/>
  <c r="E1109" i="3"/>
  <c r="E1110" i="3"/>
  <c r="E1111" i="3"/>
  <c r="E1112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D1126" i="3"/>
  <c r="E1126" i="3"/>
  <c r="D1127" i="3"/>
  <c r="E1127" i="3"/>
  <c r="D1128" i="3"/>
  <c r="E1128" i="3"/>
  <c r="E1129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D1159" i="3"/>
  <c r="E1159" i="3"/>
  <c r="D1160" i="3"/>
  <c r="E1160" i="3"/>
  <c r="D1161" i="3"/>
  <c r="E1161" i="3"/>
  <c r="C1165" i="3"/>
  <c r="D1165" i="3"/>
  <c r="E1165" i="3"/>
  <c r="C1166" i="3"/>
  <c r="D1166" i="3"/>
  <c r="E1166" i="3"/>
  <c r="C1167" i="3"/>
  <c r="D1167" i="3"/>
  <c r="C1168" i="3"/>
  <c r="D1168" i="3"/>
  <c r="E1168" i="3"/>
  <c r="C1169" i="3"/>
  <c r="D1169" i="3"/>
  <c r="E1169" i="3"/>
  <c r="C1170" i="3"/>
  <c r="D1170" i="3"/>
  <c r="E1170" i="3"/>
  <c r="C1171" i="3"/>
  <c r="D1171" i="3"/>
  <c r="E1171" i="3"/>
  <c r="C1172" i="3"/>
  <c r="D1172" i="3"/>
  <c r="E1172" i="3"/>
  <c r="C1173" i="3"/>
  <c r="E1173" i="3"/>
  <c r="C1174" i="3"/>
  <c r="E1174" i="3"/>
  <c r="C1175" i="3"/>
  <c r="E1175" i="3"/>
  <c r="C1176" i="3"/>
  <c r="E1176" i="3"/>
  <c r="C1177" i="3"/>
  <c r="E1177" i="3"/>
  <c r="C1178" i="3"/>
  <c r="E1178" i="3"/>
  <c r="C1179" i="3"/>
  <c r="E1179" i="3"/>
  <c r="C1180" i="3"/>
  <c r="E1180" i="3"/>
  <c r="C1181" i="3"/>
  <c r="E1181" i="3"/>
  <c r="C1182" i="3"/>
  <c r="E1182" i="3"/>
  <c r="C1183" i="3"/>
  <c r="E1183" i="3"/>
  <c r="C1184" i="3"/>
  <c r="E1184" i="3"/>
  <c r="D1185" i="3"/>
  <c r="E1185" i="3"/>
  <c r="D1186" i="3"/>
  <c r="E1186" i="3"/>
  <c r="D1187" i="3"/>
  <c r="E1187" i="3"/>
  <c r="C1188" i="3"/>
  <c r="D1188" i="3"/>
  <c r="E1188" i="3"/>
  <c r="C1189" i="3"/>
  <c r="D1189" i="3"/>
  <c r="E1189" i="3"/>
  <c r="C1191" i="3"/>
  <c r="D1191" i="3"/>
  <c r="E1191" i="3"/>
  <c r="E1192" i="3"/>
  <c r="F1192" i="3"/>
  <c r="G1192" i="3"/>
  <c r="I1192" i="3"/>
  <c r="F1199" i="3"/>
  <c r="F1200" i="3"/>
  <c r="F1209" i="3"/>
  <c r="F1210" i="3"/>
  <c r="F1211" i="3"/>
  <c r="F1212" i="3"/>
  <c r="F1213" i="3"/>
  <c r="F1216" i="3"/>
  <c r="F1217" i="3"/>
  <c r="E1220" i="3"/>
  <c r="U1220" i="3"/>
  <c r="M1220" i="3"/>
  <c r="E1221" i="3"/>
  <c r="U1221" i="3"/>
  <c r="M1221" i="3"/>
  <c r="E1222" i="3"/>
  <c r="U1222" i="3"/>
  <c r="M1222" i="3"/>
  <c r="E1223" i="3"/>
  <c r="M1223" i="3"/>
  <c r="U1223" i="3"/>
  <c r="E1224" i="3"/>
  <c r="U1224" i="3"/>
  <c r="M1224" i="3"/>
  <c r="E1225" i="3"/>
  <c r="M1225" i="3"/>
  <c r="U1225" i="3"/>
  <c r="E1226" i="3"/>
  <c r="U1226" i="3"/>
  <c r="M1226" i="3"/>
  <c r="E1227" i="3"/>
  <c r="M1227" i="3"/>
  <c r="U1227" i="3"/>
  <c r="E1228" i="3"/>
  <c r="U1228" i="3"/>
  <c r="M1228" i="3"/>
  <c r="E1229" i="3"/>
  <c r="U1229" i="3"/>
  <c r="M1229" i="3"/>
  <c r="E1230" i="3"/>
  <c r="U1230" i="3"/>
  <c r="E1231" i="3"/>
  <c r="U1231" i="3"/>
  <c r="C1233" i="3"/>
  <c r="E1233" i="3"/>
  <c r="U1233" i="3"/>
  <c r="M1233" i="3"/>
  <c r="C1234" i="3"/>
  <c r="E1234" i="3"/>
  <c r="M1234" i="3"/>
  <c r="U1234" i="3"/>
  <c r="C1235" i="3"/>
  <c r="E1235" i="3"/>
  <c r="M1235" i="3"/>
  <c r="U1235" i="3"/>
  <c r="C1236" i="3"/>
  <c r="E1236" i="3"/>
  <c r="U1236" i="3"/>
  <c r="M1236" i="3"/>
  <c r="C1237" i="3"/>
  <c r="E1237" i="3"/>
  <c r="U1237" i="3"/>
  <c r="M1237" i="3"/>
  <c r="C1238" i="3"/>
  <c r="E1238" i="3"/>
  <c r="U1238" i="3"/>
  <c r="M1238" i="3"/>
  <c r="C1239" i="3"/>
  <c r="E1239" i="3"/>
  <c r="U1239" i="3"/>
  <c r="M1239" i="3"/>
  <c r="C1240" i="3"/>
  <c r="E1240" i="3"/>
  <c r="M1240" i="3"/>
  <c r="U1240" i="3"/>
  <c r="C1241" i="3"/>
  <c r="E1241" i="3"/>
  <c r="M1241" i="3"/>
  <c r="U1241" i="3"/>
  <c r="C1242" i="3"/>
  <c r="E1242" i="3"/>
  <c r="U1242" i="3"/>
  <c r="M1242" i="3"/>
  <c r="C1243" i="3"/>
  <c r="E1243" i="3"/>
  <c r="U1243" i="3"/>
  <c r="M1243" i="3"/>
  <c r="C1244" i="3"/>
  <c r="E1244" i="3"/>
  <c r="U1244" i="3"/>
  <c r="M1244" i="3"/>
  <c r="C1245" i="3"/>
  <c r="E1245" i="3"/>
  <c r="U1245" i="3"/>
  <c r="M1245" i="3"/>
  <c r="C1246" i="3"/>
  <c r="E1246" i="3"/>
  <c r="M1246" i="3"/>
  <c r="U1246" i="3"/>
  <c r="C1247" i="3"/>
  <c r="E1247" i="3"/>
  <c r="M1247" i="3"/>
  <c r="U1247" i="3"/>
  <c r="C1248" i="3"/>
  <c r="E1248" i="3"/>
  <c r="U1248" i="3"/>
  <c r="M1248" i="3"/>
  <c r="C1249" i="3"/>
  <c r="E1249" i="3"/>
  <c r="M1249" i="3"/>
  <c r="U1249" i="3"/>
  <c r="C1250" i="3"/>
  <c r="E1250" i="3"/>
  <c r="U1250" i="3"/>
  <c r="M1250" i="3"/>
  <c r="C1251" i="3"/>
  <c r="E1251" i="3"/>
  <c r="U1251" i="3"/>
  <c r="M1251" i="3"/>
  <c r="C1252" i="3"/>
  <c r="E1252" i="3"/>
  <c r="U1252" i="3"/>
  <c r="M1252" i="3"/>
  <c r="C1253" i="3"/>
  <c r="E1253" i="3"/>
  <c r="U1253" i="3"/>
  <c r="C1254" i="3"/>
  <c r="E1254" i="3"/>
  <c r="U1254" i="3"/>
  <c r="C1255" i="3"/>
  <c r="E1255" i="3"/>
  <c r="U1255" i="3"/>
  <c r="C1256" i="3"/>
  <c r="E1256" i="3"/>
  <c r="U1256" i="3"/>
  <c r="D8" i="27"/>
  <c r="E8" i="27"/>
  <c r="U8" i="27"/>
  <c r="D9" i="27"/>
  <c r="E9" i="27"/>
  <c r="Z9" i="27"/>
  <c r="AA9" i="27"/>
  <c r="D10" i="27"/>
  <c r="E10" i="27"/>
  <c r="D11" i="27"/>
  <c r="E11" i="27"/>
  <c r="AB11" i="27"/>
  <c r="AA11" i="27"/>
  <c r="D12" i="27"/>
  <c r="E12" i="27"/>
  <c r="D13" i="27"/>
  <c r="E13" i="27"/>
  <c r="E17" i="27"/>
  <c r="E18" i="27"/>
  <c r="U18" i="27"/>
  <c r="E19" i="27"/>
  <c r="Z19" i="27"/>
  <c r="AA19" i="27"/>
  <c r="E20" i="27"/>
  <c r="Z20" i="27"/>
  <c r="AA20" i="27"/>
  <c r="E21" i="27"/>
  <c r="Z21" i="27"/>
  <c r="AA21" i="27"/>
  <c r="E22" i="27"/>
  <c r="U22" i="27"/>
  <c r="E23" i="27"/>
  <c r="Z23" i="27"/>
  <c r="AA23" i="27"/>
  <c r="D24" i="27"/>
  <c r="E24" i="27"/>
  <c r="F24" i="27"/>
  <c r="M24" i="27"/>
  <c r="D25" i="27"/>
  <c r="E25" i="27"/>
  <c r="D26" i="27"/>
  <c r="E26" i="27"/>
  <c r="D27" i="27"/>
  <c r="E27" i="27"/>
  <c r="D28" i="27"/>
  <c r="E28" i="27"/>
  <c r="D29" i="27"/>
  <c r="E29" i="27"/>
  <c r="Z29" i="27"/>
  <c r="AA29" i="27"/>
  <c r="D30" i="27"/>
  <c r="E30" i="27"/>
  <c r="D31" i="27"/>
  <c r="E39" i="27"/>
  <c r="E40" i="27"/>
  <c r="C48" i="27"/>
  <c r="D48" i="27"/>
  <c r="E48" i="27"/>
  <c r="C49" i="27"/>
  <c r="C2188" i="27"/>
  <c r="D2188" i="27"/>
  <c r="E2188" i="27"/>
  <c r="C50" i="27"/>
  <c r="D50" i="27"/>
  <c r="E50" i="27"/>
  <c r="C51" i="27"/>
  <c r="C2190" i="27"/>
  <c r="C52" i="27"/>
  <c r="D52" i="27"/>
  <c r="E52" i="27"/>
  <c r="C53" i="27"/>
  <c r="C54" i="27"/>
  <c r="C55" i="27"/>
  <c r="C56" i="27"/>
  <c r="E56" i="27"/>
  <c r="C57" i="27"/>
  <c r="E57" i="27"/>
  <c r="C58" i="27"/>
  <c r="C59" i="27"/>
  <c r="C1923" i="27"/>
  <c r="C60" i="27"/>
  <c r="C62" i="27"/>
  <c r="C1928" i="27"/>
  <c r="C63" i="27"/>
  <c r="D63" i="27"/>
  <c r="E63" i="27"/>
  <c r="U63" i="27"/>
  <c r="C64" i="27"/>
  <c r="C66" i="27"/>
  <c r="D66" i="27"/>
  <c r="E66" i="27"/>
  <c r="Z66" i="27"/>
  <c r="AA66" i="27"/>
  <c r="C67" i="27"/>
  <c r="D67" i="27"/>
  <c r="C68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C101" i="27"/>
  <c r="C102" i="27"/>
  <c r="D132" i="27"/>
  <c r="E132" i="27"/>
  <c r="Z132" i="27"/>
  <c r="AA132" i="27"/>
  <c r="D133" i="27"/>
  <c r="E133" i="27"/>
  <c r="D134" i="27"/>
  <c r="E134" i="27"/>
  <c r="F134" i="27"/>
  <c r="M134" i="27"/>
  <c r="D135" i="27"/>
  <c r="E135" i="27"/>
  <c r="D136" i="27"/>
  <c r="E136" i="27"/>
  <c r="U136" i="27"/>
  <c r="D137" i="27"/>
  <c r="E137" i="27"/>
  <c r="U137" i="27"/>
  <c r="D138" i="27"/>
  <c r="E138" i="27"/>
  <c r="D140" i="27"/>
  <c r="E140" i="27"/>
  <c r="Z140" i="27"/>
  <c r="D141" i="27"/>
  <c r="E141" i="27"/>
  <c r="U141" i="27"/>
  <c r="D142" i="27"/>
  <c r="E142" i="27"/>
  <c r="E143" i="27"/>
  <c r="Z143" i="27"/>
  <c r="AA143" i="27"/>
  <c r="D144" i="27"/>
  <c r="E144" i="27"/>
  <c r="D145" i="27"/>
  <c r="E145" i="27"/>
  <c r="F145" i="27"/>
  <c r="E162" i="27"/>
  <c r="E163" i="27"/>
  <c r="F163" i="27"/>
  <c r="M163" i="27"/>
  <c r="E164" i="27"/>
  <c r="E165" i="27"/>
  <c r="D166" i="27"/>
  <c r="E166" i="27"/>
  <c r="F166" i="27"/>
  <c r="M166" i="27"/>
  <c r="E167" i="27"/>
  <c r="Z167" i="27"/>
  <c r="AA167" i="27"/>
  <c r="E168" i="27"/>
  <c r="Z168" i="27"/>
  <c r="AA168" i="27"/>
  <c r="E169" i="27"/>
  <c r="U169" i="27"/>
  <c r="E170" i="27"/>
  <c r="E171" i="27"/>
  <c r="Z171" i="27"/>
  <c r="AA171" i="27"/>
  <c r="E172" i="27"/>
  <c r="E173" i="27"/>
  <c r="E174" i="27"/>
  <c r="E175" i="27"/>
  <c r="Z175" i="27"/>
  <c r="E176" i="27"/>
  <c r="U176" i="27"/>
  <c r="E177" i="27"/>
  <c r="E178" i="27"/>
  <c r="U178" i="27"/>
  <c r="E190" i="27"/>
  <c r="F190" i="27"/>
  <c r="M190" i="27"/>
  <c r="E191" i="27"/>
  <c r="Z191" i="27"/>
  <c r="D193" i="27"/>
  <c r="E193" i="27"/>
  <c r="F193" i="27"/>
  <c r="M193" i="27"/>
  <c r="D194" i="27"/>
  <c r="E194" i="27"/>
  <c r="D195" i="27"/>
  <c r="E195" i="27"/>
  <c r="F195" i="27"/>
  <c r="M195" i="27"/>
  <c r="D196" i="27"/>
  <c r="E196" i="27"/>
  <c r="Z196" i="27"/>
  <c r="D197" i="27"/>
  <c r="E197" i="27"/>
  <c r="U197" i="27"/>
  <c r="D198" i="27"/>
  <c r="E198" i="27"/>
  <c r="D199" i="27"/>
  <c r="E199" i="27"/>
  <c r="F199" i="27"/>
  <c r="M199" i="27"/>
  <c r="G199" i="27"/>
  <c r="D200" i="27"/>
  <c r="E200" i="27"/>
  <c r="D201" i="27"/>
  <c r="E201" i="27"/>
  <c r="D202" i="27"/>
  <c r="E202" i="27"/>
  <c r="F202" i="27"/>
  <c r="M202" i="27"/>
  <c r="D203" i="27"/>
  <c r="E203" i="27"/>
  <c r="U203" i="27"/>
  <c r="D204" i="27"/>
  <c r="E204" i="27"/>
  <c r="F204" i="27"/>
  <c r="M204" i="27"/>
  <c r="D205" i="27"/>
  <c r="E205" i="27"/>
  <c r="Z205" i="27"/>
  <c r="D206" i="27"/>
  <c r="E206" i="27"/>
  <c r="D207" i="27"/>
  <c r="E207" i="27"/>
  <c r="D208" i="27"/>
  <c r="E208" i="27"/>
  <c r="D209" i="27"/>
  <c r="E209" i="27"/>
  <c r="U209" i="27"/>
  <c r="D210" i="27"/>
  <c r="E210" i="27"/>
  <c r="D211" i="27"/>
  <c r="E211" i="27"/>
  <c r="U211" i="27"/>
  <c r="D213" i="27"/>
  <c r="E213" i="27"/>
  <c r="D216" i="27"/>
  <c r="E216" i="27"/>
  <c r="E220" i="27"/>
  <c r="U220" i="27"/>
  <c r="E238" i="27"/>
  <c r="E240" i="27"/>
  <c r="Z240" i="27"/>
  <c r="E246" i="27"/>
  <c r="Z246" i="27"/>
  <c r="AA246" i="27"/>
  <c r="E248" i="27"/>
  <c r="E249" i="27"/>
  <c r="U249" i="27"/>
  <c r="E250" i="27"/>
  <c r="U250" i="27"/>
  <c r="E263" i="27"/>
  <c r="E264" i="27"/>
  <c r="Z264" i="27"/>
  <c r="E265" i="27"/>
  <c r="AB265" i="27"/>
  <c r="AA265" i="27"/>
  <c r="E267" i="27"/>
  <c r="E269" i="27"/>
  <c r="E270" i="27"/>
  <c r="Z270" i="27"/>
  <c r="AA270" i="27"/>
  <c r="D272" i="27"/>
  <c r="E272" i="27"/>
  <c r="Z272" i="27"/>
  <c r="AA272" i="27"/>
  <c r="D273" i="27"/>
  <c r="E273" i="27"/>
  <c r="F273" i="27"/>
  <c r="M273" i="27"/>
  <c r="G273" i="27"/>
  <c r="D274" i="27"/>
  <c r="E274" i="27"/>
  <c r="D275" i="27"/>
  <c r="E275" i="27"/>
  <c r="U275" i="27"/>
  <c r="D276" i="27"/>
  <c r="E276" i="27"/>
  <c r="Z276" i="27"/>
  <c r="AA276" i="27"/>
  <c r="D277" i="27"/>
  <c r="E277" i="27"/>
  <c r="F277" i="27"/>
  <c r="M277" i="27"/>
  <c r="D278" i="27"/>
  <c r="E278" i="27"/>
  <c r="D279" i="27"/>
  <c r="E279" i="27"/>
  <c r="D280" i="27"/>
  <c r="E280" i="27"/>
  <c r="D281" i="27"/>
  <c r="E281" i="27"/>
  <c r="D283" i="27"/>
  <c r="E283" i="27"/>
  <c r="D284" i="27"/>
  <c r="E284" i="27"/>
  <c r="Z284" i="27"/>
  <c r="AA284" i="27"/>
  <c r="D285" i="27"/>
  <c r="E285" i="27"/>
  <c r="F285" i="27"/>
  <c r="M285" i="27"/>
  <c r="G285" i="27"/>
  <c r="D286" i="27"/>
  <c r="E286" i="27"/>
  <c r="F286" i="27"/>
  <c r="M286" i="27"/>
  <c r="G286" i="27"/>
  <c r="D289" i="27"/>
  <c r="E289" i="27"/>
  <c r="Z289" i="27"/>
  <c r="AA289" i="27"/>
  <c r="D290" i="27"/>
  <c r="E290" i="27"/>
  <c r="D294" i="27"/>
  <c r="E294" i="27"/>
  <c r="D295" i="27"/>
  <c r="E295" i="27"/>
  <c r="D296" i="27"/>
  <c r="E296" i="27"/>
  <c r="D297" i="27"/>
  <c r="E297" i="27"/>
  <c r="D298" i="27"/>
  <c r="E298" i="27"/>
  <c r="F298" i="27"/>
  <c r="M298" i="27"/>
  <c r="G298" i="27"/>
  <c r="D299" i="27"/>
  <c r="E299" i="27"/>
  <c r="D300" i="27"/>
  <c r="E300" i="27"/>
  <c r="D301" i="27"/>
  <c r="E301" i="27"/>
  <c r="Z301" i="27"/>
  <c r="AA301" i="27"/>
  <c r="D302" i="27"/>
  <c r="E302" i="27"/>
  <c r="F302" i="27"/>
  <c r="M302" i="27"/>
  <c r="D303" i="27"/>
  <c r="E303" i="27"/>
  <c r="D304" i="27"/>
  <c r="E304" i="27"/>
  <c r="D305" i="27"/>
  <c r="E305" i="27"/>
  <c r="D306" i="27"/>
  <c r="E306" i="27"/>
  <c r="D307" i="27"/>
  <c r="E307" i="27"/>
  <c r="F307" i="27"/>
  <c r="M307" i="27"/>
  <c r="D308" i="27"/>
  <c r="E308" i="27"/>
  <c r="D309" i="27"/>
  <c r="E309" i="27"/>
  <c r="D310" i="27"/>
  <c r="E310" i="27"/>
  <c r="D311" i="27"/>
  <c r="E311" i="27"/>
  <c r="U311" i="27"/>
  <c r="D312" i="27"/>
  <c r="E312" i="27"/>
  <c r="D313" i="27"/>
  <c r="E313" i="27"/>
  <c r="D314" i="27"/>
  <c r="E314" i="27"/>
  <c r="D315" i="27"/>
  <c r="E315" i="27"/>
  <c r="Z315" i="27"/>
  <c r="D319" i="27"/>
  <c r="E319" i="27"/>
  <c r="D320" i="27"/>
  <c r="E320" i="27"/>
  <c r="D321" i="27"/>
  <c r="E321" i="27"/>
  <c r="D322" i="27"/>
  <c r="E322" i="27"/>
  <c r="D323" i="27"/>
  <c r="E323" i="27"/>
  <c r="D324" i="27"/>
  <c r="E324" i="27"/>
  <c r="U324" i="27"/>
  <c r="D328" i="27"/>
  <c r="E328" i="27"/>
  <c r="F328" i="27"/>
  <c r="M328" i="27"/>
  <c r="D329" i="27"/>
  <c r="E329" i="27"/>
  <c r="D330" i="27"/>
  <c r="E330" i="27"/>
  <c r="D334" i="27"/>
  <c r="E334" i="27"/>
  <c r="D335" i="27"/>
  <c r="E335" i="27"/>
  <c r="U335" i="27"/>
  <c r="D337" i="27"/>
  <c r="E337" i="27"/>
  <c r="F337" i="27"/>
  <c r="M337" i="27"/>
  <c r="D356" i="27"/>
  <c r="E356" i="27"/>
  <c r="U356" i="27"/>
  <c r="D357" i="27"/>
  <c r="E357" i="27"/>
  <c r="D358" i="27"/>
  <c r="E358" i="27"/>
  <c r="U358" i="27"/>
  <c r="D359" i="27"/>
  <c r="E359" i="27"/>
  <c r="U359" i="27"/>
  <c r="D360" i="27"/>
  <c r="E360" i="27"/>
  <c r="D361" i="27"/>
  <c r="E361" i="27"/>
  <c r="D362" i="27"/>
  <c r="E362" i="27"/>
  <c r="Z362" i="27"/>
  <c r="AA362" i="27"/>
  <c r="D364" i="27"/>
  <c r="E364" i="27"/>
  <c r="D365" i="27"/>
  <c r="E365" i="27"/>
  <c r="D366" i="27"/>
  <c r="E366" i="27"/>
  <c r="D367" i="27"/>
  <c r="E367" i="27"/>
  <c r="D368" i="27"/>
  <c r="E368" i="27"/>
  <c r="E369" i="27"/>
  <c r="U369" i="27"/>
  <c r="E386" i="27"/>
  <c r="U386" i="27"/>
  <c r="E387" i="27"/>
  <c r="Z387" i="27"/>
  <c r="E388" i="27"/>
  <c r="U388" i="27"/>
  <c r="E389" i="27"/>
  <c r="AB389" i="27"/>
  <c r="AA389" i="27"/>
  <c r="E390" i="27"/>
  <c r="E391" i="27"/>
  <c r="F391" i="27"/>
  <c r="M391" i="27"/>
  <c r="E392" i="27"/>
  <c r="E393" i="27"/>
  <c r="D394" i="27"/>
  <c r="E394" i="27"/>
  <c r="E395" i="27"/>
  <c r="E396" i="27"/>
  <c r="Z396" i="27"/>
  <c r="AA396" i="27"/>
  <c r="E397" i="27"/>
  <c r="Z397" i="27"/>
  <c r="E398" i="27"/>
  <c r="F398" i="27"/>
  <c r="M398" i="27"/>
  <c r="G398" i="27"/>
  <c r="E399" i="27"/>
  <c r="Z399" i="27"/>
  <c r="AA399" i="27"/>
  <c r="E400" i="27"/>
  <c r="E401" i="27"/>
  <c r="E402" i="27"/>
  <c r="E403" i="27"/>
  <c r="U403" i="27"/>
  <c r="E404" i="27"/>
  <c r="E405" i="27"/>
  <c r="F405" i="27"/>
  <c r="M405" i="27"/>
  <c r="E406" i="27"/>
  <c r="U406" i="27"/>
  <c r="E418" i="27"/>
  <c r="U418" i="27"/>
  <c r="E419" i="27"/>
  <c r="Z419" i="27"/>
  <c r="D421" i="27"/>
  <c r="E421" i="27"/>
  <c r="D422" i="27"/>
  <c r="E422" i="27"/>
  <c r="U422" i="27"/>
  <c r="D423" i="27"/>
  <c r="E423" i="27"/>
  <c r="U423" i="27"/>
  <c r="D424" i="27"/>
  <c r="E424" i="27"/>
  <c r="Z424" i="27"/>
  <c r="D425" i="27"/>
  <c r="E425" i="27"/>
  <c r="D426" i="27"/>
  <c r="E426" i="27"/>
  <c r="D427" i="27"/>
  <c r="E427" i="27"/>
  <c r="U427" i="27"/>
  <c r="D428" i="27"/>
  <c r="E428" i="27"/>
  <c r="U428" i="27"/>
  <c r="D429" i="27"/>
  <c r="E429" i="27"/>
  <c r="D430" i="27"/>
  <c r="E430" i="27"/>
  <c r="D431" i="27"/>
  <c r="E431" i="27"/>
  <c r="U431" i="27"/>
  <c r="D432" i="27"/>
  <c r="E432" i="27"/>
  <c r="U432" i="27"/>
  <c r="D433" i="27"/>
  <c r="E433" i="27"/>
  <c r="U433" i="27"/>
  <c r="D434" i="27"/>
  <c r="E434" i="27"/>
  <c r="D435" i="27"/>
  <c r="E435" i="27"/>
  <c r="U435" i="27"/>
  <c r="D436" i="27"/>
  <c r="E436" i="27"/>
  <c r="D437" i="27"/>
  <c r="E437" i="27"/>
  <c r="D438" i="27"/>
  <c r="E438" i="27"/>
  <c r="D439" i="27"/>
  <c r="E439" i="27"/>
  <c r="D441" i="27"/>
  <c r="E441" i="27"/>
  <c r="D444" i="27"/>
  <c r="E444" i="27"/>
  <c r="Z444" i="27"/>
  <c r="AA444" i="27"/>
  <c r="D445" i="27"/>
  <c r="E445" i="27"/>
  <c r="Z445" i="27"/>
  <c r="AA445" i="27"/>
  <c r="D446" i="27"/>
  <c r="E446" i="27"/>
  <c r="Z446" i="27"/>
  <c r="E450" i="27"/>
  <c r="F450" i="27"/>
  <c r="M450" i="27"/>
  <c r="E468" i="27"/>
  <c r="E470" i="27"/>
  <c r="Z470" i="27"/>
  <c r="E477" i="27"/>
  <c r="E479" i="27"/>
  <c r="Z479" i="27"/>
  <c r="E480" i="27"/>
  <c r="Z480" i="27"/>
  <c r="E493" i="27"/>
  <c r="E494" i="27"/>
  <c r="AB494" i="27"/>
  <c r="AA494" i="27"/>
  <c r="E495" i="27"/>
  <c r="AB495" i="27"/>
  <c r="AA495" i="27"/>
  <c r="E497" i="27"/>
  <c r="E499" i="27"/>
  <c r="E500" i="27"/>
  <c r="D502" i="27"/>
  <c r="E502" i="27"/>
  <c r="U502" i="27"/>
  <c r="D503" i="27"/>
  <c r="E503" i="27"/>
  <c r="F503" i="27"/>
  <c r="M503" i="27"/>
  <c r="D504" i="27"/>
  <c r="E504" i="27"/>
  <c r="F504" i="27"/>
  <c r="M504" i="27"/>
  <c r="G504" i="27"/>
  <c r="D505" i="27"/>
  <c r="E505" i="27"/>
  <c r="D506" i="27"/>
  <c r="E506" i="27"/>
  <c r="F506" i="27"/>
  <c r="M506" i="27"/>
  <c r="G506" i="27"/>
  <c r="D507" i="27"/>
  <c r="E507" i="27"/>
  <c r="D508" i="27"/>
  <c r="E508" i="27"/>
  <c r="F508" i="27"/>
  <c r="M508" i="27"/>
  <c r="D509" i="27"/>
  <c r="E509" i="27"/>
  <c r="F509" i="27"/>
  <c r="M509" i="27"/>
  <c r="D510" i="27"/>
  <c r="E510" i="27"/>
  <c r="D511" i="27"/>
  <c r="E511" i="27"/>
  <c r="Z511" i="27"/>
  <c r="AA511" i="27"/>
  <c r="D513" i="27"/>
  <c r="E513" i="27"/>
  <c r="Z513" i="27"/>
  <c r="AA513" i="27"/>
  <c r="D514" i="27"/>
  <c r="E514" i="27"/>
  <c r="F514" i="27"/>
  <c r="M514" i="27"/>
  <c r="G514" i="27"/>
  <c r="D515" i="27"/>
  <c r="E515" i="27"/>
  <c r="F515" i="27"/>
  <c r="M515" i="27"/>
  <c r="D516" i="27"/>
  <c r="E516" i="27"/>
  <c r="F516" i="27"/>
  <c r="M516" i="27"/>
  <c r="D520" i="27"/>
  <c r="E520" i="27"/>
  <c r="Z520" i="27"/>
  <c r="AA520" i="27"/>
  <c r="D524" i="27"/>
  <c r="E524" i="27"/>
  <c r="Z524" i="27"/>
  <c r="AA524" i="27"/>
  <c r="D525" i="27"/>
  <c r="E525" i="27"/>
  <c r="F525" i="27"/>
  <c r="M525" i="27"/>
  <c r="G525" i="27"/>
  <c r="D526" i="27"/>
  <c r="E526" i="27"/>
  <c r="D527" i="27"/>
  <c r="E527" i="27"/>
  <c r="Z527" i="27"/>
  <c r="AA527" i="27"/>
  <c r="D528" i="27"/>
  <c r="E528" i="27"/>
  <c r="D529" i="27"/>
  <c r="E529" i="27"/>
  <c r="D530" i="27"/>
  <c r="E530" i="27"/>
  <c r="F530" i="27"/>
  <c r="M530" i="27"/>
  <c r="G530" i="27"/>
  <c r="D531" i="27"/>
  <c r="E531" i="27"/>
  <c r="D532" i="27"/>
  <c r="E532" i="27"/>
  <c r="D533" i="27"/>
  <c r="E533" i="27"/>
  <c r="U533" i="27"/>
  <c r="D534" i="27"/>
  <c r="E534" i="27"/>
  <c r="F534" i="27"/>
  <c r="M534" i="27"/>
  <c r="D535" i="27"/>
  <c r="E535" i="27"/>
  <c r="D536" i="27"/>
  <c r="E536" i="27"/>
  <c r="D537" i="27"/>
  <c r="E537" i="27"/>
  <c r="U537" i="27"/>
  <c r="D538" i="27"/>
  <c r="E538" i="27"/>
  <c r="D539" i="27"/>
  <c r="E539" i="27"/>
  <c r="D540" i="27"/>
  <c r="E540" i="27"/>
  <c r="Z540" i="27"/>
  <c r="D542" i="27"/>
  <c r="E542" i="27"/>
  <c r="D543" i="27"/>
  <c r="E543" i="27"/>
  <c r="U543" i="27"/>
  <c r="D544" i="27"/>
  <c r="E544" i="27"/>
  <c r="D545" i="27"/>
  <c r="E545" i="27"/>
  <c r="D548" i="27"/>
  <c r="E548" i="27"/>
  <c r="F548" i="27"/>
  <c r="M548" i="27"/>
  <c r="G548" i="27"/>
  <c r="D549" i="27"/>
  <c r="E549" i="27"/>
  <c r="F549" i="27"/>
  <c r="M549" i="27"/>
  <c r="G549" i="27"/>
  <c r="D550" i="27"/>
  <c r="E550" i="27"/>
  <c r="D551" i="27"/>
  <c r="E551" i="27"/>
  <c r="D552" i="27"/>
  <c r="E552" i="27"/>
  <c r="D553" i="27"/>
  <c r="E553" i="27"/>
  <c r="D554" i="27"/>
  <c r="E554" i="27"/>
  <c r="U554" i="27"/>
  <c r="D558" i="27"/>
  <c r="E558" i="27"/>
  <c r="U558" i="27"/>
  <c r="D559" i="27"/>
  <c r="E559" i="27"/>
  <c r="D560" i="27"/>
  <c r="E560" i="27"/>
  <c r="F560" i="27"/>
  <c r="M560" i="27"/>
  <c r="G560" i="27"/>
  <c r="D564" i="27"/>
  <c r="E564" i="27"/>
  <c r="D565" i="27"/>
  <c r="E565" i="27"/>
  <c r="D567" i="27"/>
  <c r="E567" i="27"/>
  <c r="Z567" i="27"/>
  <c r="AA567" i="27"/>
  <c r="D584" i="27"/>
  <c r="E584" i="27"/>
  <c r="U584" i="27"/>
  <c r="D585" i="27"/>
  <c r="E585" i="27"/>
  <c r="F585" i="27"/>
  <c r="M585" i="27"/>
  <c r="D586" i="27"/>
  <c r="E586" i="27"/>
  <c r="D587" i="27"/>
  <c r="E587" i="27"/>
  <c r="D588" i="27"/>
  <c r="E588" i="27"/>
  <c r="D589" i="27"/>
  <c r="E589" i="27"/>
  <c r="F589" i="27"/>
  <c r="M589" i="27"/>
  <c r="G589" i="27"/>
  <c r="D590" i="27"/>
  <c r="E590" i="27"/>
  <c r="F590" i="27"/>
  <c r="D592" i="27"/>
  <c r="E592" i="27"/>
  <c r="F592" i="27"/>
  <c r="M592" i="27"/>
  <c r="G592" i="27"/>
  <c r="D593" i="27"/>
  <c r="E593" i="27"/>
  <c r="D594" i="27"/>
  <c r="E594" i="27"/>
  <c r="F594" i="27"/>
  <c r="M594" i="27"/>
  <c r="D595" i="27"/>
  <c r="E595" i="27"/>
  <c r="Z595" i="27"/>
  <c r="AA595" i="27"/>
  <c r="D596" i="27"/>
  <c r="E596" i="27"/>
  <c r="U596" i="27"/>
  <c r="E597" i="27"/>
  <c r="U597" i="27"/>
  <c r="E610" i="27"/>
  <c r="Z610" i="27"/>
  <c r="E611" i="27"/>
  <c r="E612" i="27"/>
  <c r="E613" i="27"/>
  <c r="E614" i="27"/>
  <c r="U614" i="27"/>
  <c r="E615" i="27"/>
  <c r="Z615" i="27"/>
  <c r="E616" i="27"/>
  <c r="E617" i="27"/>
  <c r="E618" i="27"/>
  <c r="E619" i="27"/>
  <c r="F619" i="27"/>
  <c r="M619" i="27"/>
  <c r="G619" i="27"/>
  <c r="E620" i="27"/>
  <c r="Z620" i="27"/>
  <c r="AA620" i="27"/>
  <c r="E621" i="27"/>
  <c r="D622" i="27"/>
  <c r="E622" i="27"/>
  <c r="E623" i="27"/>
  <c r="E624" i="27"/>
  <c r="F624" i="27"/>
  <c r="M624" i="27"/>
  <c r="E625" i="27"/>
  <c r="E626" i="27"/>
  <c r="E627" i="27"/>
  <c r="F627" i="27"/>
  <c r="M627" i="27"/>
  <c r="G627" i="27"/>
  <c r="E628" i="27"/>
  <c r="Z628" i="27"/>
  <c r="AA628" i="27"/>
  <c r="E629" i="27"/>
  <c r="F629" i="27"/>
  <c r="M629" i="27"/>
  <c r="G629" i="27"/>
  <c r="E630" i="27"/>
  <c r="F630" i="27"/>
  <c r="M630" i="27"/>
  <c r="G630" i="27"/>
  <c r="E631" i="27"/>
  <c r="Z631" i="27"/>
  <c r="E632" i="27"/>
  <c r="U632" i="27"/>
  <c r="E633" i="27"/>
  <c r="Z633" i="27"/>
  <c r="AA633" i="27"/>
  <c r="E634" i="27"/>
  <c r="Z634" i="27"/>
  <c r="AA634" i="27"/>
  <c r="E646" i="27"/>
  <c r="E647" i="27"/>
  <c r="F647" i="27"/>
  <c r="M647" i="27"/>
  <c r="D649" i="27"/>
  <c r="E649" i="27"/>
  <c r="U649" i="27"/>
  <c r="T649" i="27"/>
  <c r="D650" i="27"/>
  <c r="E650" i="27"/>
  <c r="U650" i="27"/>
  <c r="D651" i="27"/>
  <c r="E651" i="27"/>
  <c r="Z651" i="27"/>
  <c r="D652" i="27"/>
  <c r="E652" i="27"/>
  <c r="F652" i="27"/>
  <c r="M652" i="27"/>
  <c r="D653" i="27"/>
  <c r="E653" i="27"/>
  <c r="D654" i="27"/>
  <c r="E654" i="27"/>
  <c r="D655" i="27"/>
  <c r="E655" i="27"/>
  <c r="Z655" i="27"/>
  <c r="D656" i="27"/>
  <c r="E656" i="27"/>
  <c r="D657" i="27"/>
  <c r="E657" i="27"/>
  <c r="U657" i="27"/>
  <c r="D658" i="27"/>
  <c r="E658" i="27"/>
  <c r="Z658" i="27"/>
  <c r="AA658" i="27"/>
  <c r="D659" i="27"/>
  <c r="E659" i="27"/>
  <c r="U659" i="27"/>
  <c r="D660" i="27"/>
  <c r="E660" i="27"/>
  <c r="D661" i="27"/>
  <c r="E661" i="27"/>
  <c r="U661" i="27"/>
  <c r="D662" i="27"/>
  <c r="E662" i="27"/>
  <c r="AB662" i="27"/>
  <c r="AA662" i="27"/>
  <c r="D663" i="27"/>
  <c r="E663" i="27"/>
  <c r="D664" i="27"/>
  <c r="E664" i="27"/>
  <c r="D666" i="27"/>
  <c r="E666" i="27"/>
  <c r="U666" i="27"/>
  <c r="D667" i="27"/>
  <c r="E667" i="27"/>
  <c r="D668" i="27"/>
  <c r="E668" i="27"/>
  <c r="D669" i="27"/>
  <c r="E669" i="27"/>
  <c r="D671" i="27"/>
  <c r="E671" i="27"/>
  <c r="D674" i="27"/>
  <c r="E674" i="27"/>
  <c r="U674" i="27"/>
  <c r="D675" i="27"/>
  <c r="E675" i="27"/>
  <c r="U675" i="27"/>
  <c r="D676" i="27"/>
  <c r="E676" i="27"/>
  <c r="E680" i="27"/>
  <c r="F680" i="27"/>
  <c r="M680" i="27"/>
  <c r="G680" i="27"/>
  <c r="E698" i="27"/>
  <c r="U698" i="27"/>
  <c r="E700" i="27"/>
  <c r="E706" i="27"/>
  <c r="E708" i="27"/>
  <c r="E709" i="27"/>
  <c r="E710" i="27"/>
  <c r="Z710" i="27"/>
  <c r="E723" i="27"/>
  <c r="F723" i="27"/>
  <c r="M723" i="27"/>
  <c r="G723" i="27"/>
  <c r="E724" i="27"/>
  <c r="F724" i="27"/>
  <c r="M724" i="27"/>
  <c r="E725" i="27"/>
  <c r="Z725" i="27"/>
  <c r="E727" i="27"/>
  <c r="AB727" i="27"/>
  <c r="AA727" i="27"/>
  <c r="E729" i="27"/>
  <c r="E730" i="27"/>
  <c r="F730" i="27"/>
  <c r="M730" i="27"/>
  <c r="D732" i="27"/>
  <c r="E732" i="27"/>
  <c r="U732" i="27"/>
  <c r="D733" i="27"/>
  <c r="E733" i="27"/>
  <c r="D734" i="27"/>
  <c r="E734" i="27"/>
  <c r="D735" i="27"/>
  <c r="E735" i="27"/>
  <c r="D736" i="27"/>
  <c r="E736" i="27"/>
  <c r="D737" i="27"/>
  <c r="E737" i="27"/>
  <c r="F737" i="27"/>
  <c r="M737" i="27"/>
  <c r="D738" i="27"/>
  <c r="E738" i="27"/>
  <c r="D739" i="27"/>
  <c r="E739" i="27"/>
  <c r="D740" i="27"/>
  <c r="E740" i="27"/>
  <c r="F740" i="27"/>
  <c r="M740" i="27"/>
  <c r="G740" i="27"/>
  <c r="D741" i="27"/>
  <c r="E741" i="27"/>
  <c r="F741" i="27"/>
  <c r="M741" i="27"/>
  <c r="D743" i="27"/>
  <c r="E743" i="27"/>
  <c r="D744" i="27"/>
  <c r="E744" i="27"/>
  <c r="F744" i="27"/>
  <c r="M744" i="27"/>
  <c r="D745" i="27"/>
  <c r="E745" i="27"/>
  <c r="D746" i="27"/>
  <c r="E746" i="27"/>
  <c r="F746" i="27"/>
  <c r="M746" i="27"/>
  <c r="D750" i="27"/>
  <c r="E750" i="27"/>
  <c r="D754" i="27"/>
  <c r="E754" i="27"/>
  <c r="D755" i="27"/>
  <c r="E755" i="27"/>
  <c r="D756" i="27"/>
  <c r="E756" i="27"/>
  <c r="F756" i="27"/>
  <c r="M756" i="27"/>
  <c r="G756" i="27"/>
  <c r="D757" i="27"/>
  <c r="E757" i="27"/>
  <c r="U757" i="27"/>
  <c r="D758" i="27"/>
  <c r="E758" i="27"/>
  <c r="Z758" i="27"/>
  <c r="AA758" i="27"/>
  <c r="D759" i="27"/>
  <c r="E759" i="27"/>
  <c r="F759" i="27"/>
  <c r="M759" i="27"/>
  <c r="D760" i="27"/>
  <c r="E760" i="27"/>
  <c r="D761" i="27"/>
  <c r="E761" i="27"/>
  <c r="Z761" i="27"/>
  <c r="AA761" i="27"/>
  <c r="D762" i="27"/>
  <c r="E762" i="27"/>
  <c r="Z762" i="27"/>
  <c r="AA762" i="27"/>
  <c r="D763" i="27"/>
  <c r="E763" i="27"/>
  <c r="F763" i="27"/>
  <c r="M763" i="27"/>
  <c r="D764" i="27"/>
  <c r="E764" i="27"/>
  <c r="Z764" i="27"/>
  <c r="AA764" i="27"/>
  <c r="D765" i="27"/>
  <c r="E765" i="27"/>
  <c r="U765" i="27"/>
  <c r="D766" i="27"/>
  <c r="E766" i="27"/>
  <c r="D767" i="27"/>
  <c r="E767" i="27"/>
  <c r="D768" i="27"/>
  <c r="E768" i="27"/>
  <c r="U768" i="27"/>
  <c r="D769" i="27"/>
  <c r="E769" i="27"/>
  <c r="F769" i="27"/>
  <c r="M769" i="27"/>
  <c r="D770" i="27"/>
  <c r="E770" i="27"/>
  <c r="D771" i="27"/>
  <c r="E771" i="27"/>
  <c r="Z771" i="27"/>
  <c r="AA771" i="27"/>
  <c r="D772" i="27"/>
  <c r="E772" i="27"/>
  <c r="U772" i="27"/>
  <c r="D773" i="27"/>
  <c r="E773" i="27"/>
  <c r="D774" i="27"/>
  <c r="E774" i="27"/>
  <c r="D776" i="27"/>
  <c r="E776" i="27"/>
  <c r="D777" i="27"/>
  <c r="E777" i="27"/>
  <c r="U777" i="27"/>
  <c r="D778" i="27"/>
  <c r="E778" i="27"/>
  <c r="D779" i="27"/>
  <c r="E779" i="27"/>
  <c r="F779" i="27"/>
  <c r="M779" i="27"/>
  <c r="G779" i="27"/>
  <c r="D782" i="27"/>
  <c r="E782" i="27"/>
  <c r="U782" i="27"/>
  <c r="D783" i="27"/>
  <c r="E783" i="27"/>
  <c r="F783" i="27"/>
  <c r="M783" i="27"/>
  <c r="G783" i="27"/>
  <c r="D786" i="27"/>
  <c r="E786" i="27"/>
  <c r="D787" i="27"/>
  <c r="E787" i="27"/>
  <c r="D788" i="27"/>
  <c r="E788" i="27"/>
  <c r="D792" i="27"/>
  <c r="E792" i="27"/>
  <c r="F792" i="27"/>
  <c r="M792" i="27"/>
  <c r="D793" i="27"/>
  <c r="E793" i="27"/>
  <c r="D795" i="27"/>
  <c r="E795" i="27"/>
  <c r="E872" i="27"/>
  <c r="E873" i="27"/>
  <c r="E874" i="27"/>
  <c r="Z874" i="27"/>
  <c r="AA874" i="27"/>
  <c r="E875" i="27"/>
  <c r="U875" i="27"/>
  <c r="E876" i="27"/>
  <c r="E877" i="27"/>
  <c r="E878" i="27"/>
  <c r="E879" i="27"/>
  <c r="Z879" i="27"/>
  <c r="AA879" i="27"/>
  <c r="E880" i="27"/>
  <c r="E881" i="27"/>
  <c r="E882" i="27"/>
  <c r="F882" i="27"/>
  <c r="M882" i="27"/>
  <c r="E883" i="27"/>
  <c r="U883" i="27"/>
  <c r="E885" i="27"/>
  <c r="E886" i="27"/>
  <c r="E887" i="27"/>
  <c r="U887" i="27"/>
  <c r="E888" i="27"/>
  <c r="Z888" i="27"/>
  <c r="AA888" i="27"/>
  <c r="E889" i="27"/>
  <c r="E890" i="27"/>
  <c r="E891" i="27"/>
  <c r="F891" i="27"/>
  <c r="M891" i="27"/>
  <c r="G891" i="27"/>
  <c r="D893" i="27"/>
  <c r="E893" i="27"/>
  <c r="F893" i="27"/>
  <c r="M893" i="27"/>
  <c r="D894" i="27"/>
  <c r="E894" i="27"/>
  <c r="F894" i="27"/>
  <c r="M894" i="27"/>
  <c r="G894" i="27"/>
  <c r="D895" i="27"/>
  <c r="E895" i="27"/>
  <c r="E896" i="27"/>
  <c r="U896" i="27"/>
  <c r="E897" i="27"/>
  <c r="U897" i="27"/>
  <c r="E899" i="27"/>
  <c r="F899" i="27"/>
  <c r="M899" i="27"/>
  <c r="G899" i="27"/>
  <c r="E903" i="27"/>
  <c r="U903" i="27"/>
  <c r="E907" i="27"/>
  <c r="E908" i="27"/>
  <c r="F908" i="27"/>
  <c r="M908" i="27"/>
  <c r="G908" i="27"/>
  <c r="D918" i="27"/>
  <c r="E918" i="27"/>
  <c r="D919" i="27"/>
  <c r="E919" i="27"/>
  <c r="D920" i="27"/>
  <c r="E920" i="27"/>
  <c r="D921" i="27"/>
  <c r="E921" i="27"/>
  <c r="Z921" i="27"/>
  <c r="AA921" i="27"/>
  <c r="D922" i="27"/>
  <c r="E922" i="27"/>
  <c r="D923" i="27"/>
  <c r="E923" i="27"/>
  <c r="Z923" i="27"/>
  <c r="AA923" i="27"/>
  <c r="D924" i="27"/>
  <c r="E924" i="27"/>
  <c r="Z924" i="27"/>
  <c r="AA924" i="27"/>
  <c r="D925" i="27"/>
  <c r="E925" i="27"/>
  <c r="Z925" i="27"/>
  <c r="AA925" i="27"/>
  <c r="D926" i="27"/>
  <c r="E926" i="27"/>
  <c r="D929" i="27"/>
  <c r="E929" i="27"/>
  <c r="D930" i="27"/>
  <c r="E930" i="27"/>
  <c r="Z930" i="27"/>
  <c r="AA930" i="27"/>
  <c r="D933" i="27"/>
  <c r="E933" i="27"/>
  <c r="Z933" i="27"/>
  <c r="AA933" i="27"/>
  <c r="D934" i="27"/>
  <c r="E934" i="27"/>
  <c r="D935" i="27"/>
  <c r="E935" i="27"/>
  <c r="D936" i="27"/>
  <c r="E936" i="27"/>
  <c r="D937" i="27"/>
  <c r="E937" i="27"/>
  <c r="Z937" i="27"/>
  <c r="AA937" i="27"/>
  <c r="D938" i="27"/>
  <c r="E938" i="27"/>
  <c r="D939" i="27"/>
  <c r="E939" i="27"/>
  <c r="D940" i="27"/>
  <c r="E940" i="27"/>
  <c r="Z940" i="27"/>
  <c r="AA940" i="27"/>
  <c r="D941" i="27"/>
  <c r="E941" i="27"/>
  <c r="D942" i="27"/>
  <c r="E942" i="27"/>
  <c r="D944" i="27"/>
  <c r="E944" i="27"/>
  <c r="D954" i="27"/>
  <c r="E954" i="27"/>
  <c r="Z954" i="27"/>
  <c r="AA954" i="27"/>
  <c r="M954" i="27"/>
  <c r="G954" i="27"/>
  <c r="D955" i="27"/>
  <c r="E955" i="27"/>
  <c r="U955" i="27"/>
  <c r="M955" i="27"/>
  <c r="G955" i="27"/>
  <c r="D956" i="27"/>
  <c r="E956" i="27"/>
  <c r="M956" i="27"/>
  <c r="G956" i="27"/>
  <c r="D957" i="27"/>
  <c r="E957" i="27"/>
  <c r="M957" i="27"/>
  <c r="G957" i="27"/>
  <c r="D960" i="27"/>
  <c r="E960" i="27"/>
  <c r="F960" i="27"/>
  <c r="M960" i="27"/>
  <c r="G960" i="27"/>
  <c r="D961" i="27"/>
  <c r="E961" i="27"/>
  <c r="D964" i="27"/>
  <c r="E964" i="27"/>
  <c r="D965" i="27"/>
  <c r="E965" i="27"/>
  <c r="D966" i="27"/>
  <c r="E966" i="27"/>
  <c r="Z966" i="27"/>
  <c r="AA966" i="27"/>
  <c r="D967" i="27"/>
  <c r="E967" i="27"/>
  <c r="D968" i="27"/>
  <c r="E968" i="27"/>
  <c r="D969" i="27"/>
  <c r="E969" i="27"/>
  <c r="Z969" i="27"/>
  <c r="AA969" i="27"/>
  <c r="D970" i="27"/>
  <c r="E970" i="27"/>
  <c r="U970" i="27"/>
  <c r="D973" i="27"/>
  <c r="E973" i="27"/>
  <c r="D975" i="27"/>
  <c r="E975" i="27"/>
  <c r="E993" i="27"/>
  <c r="F993" i="27"/>
  <c r="M993" i="27"/>
  <c r="G993" i="27"/>
  <c r="E994" i="27"/>
  <c r="AB994" i="27"/>
  <c r="AA994" i="27"/>
  <c r="E995" i="27"/>
  <c r="E996" i="27"/>
  <c r="F996" i="27"/>
  <c r="M996" i="27"/>
  <c r="E997" i="27"/>
  <c r="E998" i="27"/>
  <c r="E999" i="27"/>
  <c r="F999" i="27"/>
  <c r="M999" i="27"/>
  <c r="E1000" i="27"/>
  <c r="F1000" i="27"/>
  <c r="M1000" i="27"/>
  <c r="E1001" i="27"/>
  <c r="U1001" i="27"/>
  <c r="E1002" i="27"/>
  <c r="Z1002" i="27"/>
  <c r="AA1002" i="27"/>
  <c r="E1003" i="27"/>
  <c r="E1004" i="27"/>
  <c r="U1004" i="27"/>
  <c r="E1005" i="27"/>
  <c r="Z1005" i="27"/>
  <c r="AA1005" i="27"/>
  <c r="E1006" i="27"/>
  <c r="Z1006" i="27"/>
  <c r="AA1006" i="27"/>
  <c r="E1007" i="27"/>
  <c r="E1009" i="27"/>
  <c r="E1010" i="27"/>
  <c r="AB1010" i="27"/>
  <c r="AA1010" i="27"/>
  <c r="E1011" i="27"/>
  <c r="E1012" i="27"/>
  <c r="AB1012" i="27"/>
  <c r="AA1012" i="27"/>
  <c r="E1013" i="27"/>
  <c r="E1014" i="27"/>
  <c r="Z1014" i="27"/>
  <c r="AA1014" i="27"/>
  <c r="E1016" i="27"/>
  <c r="Z1016" i="27"/>
  <c r="AA1016" i="27"/>
  <c r="D1018" i="27"/>
  <c r="E1018" i="27"/>
  <c r="Z1018" i="27"/>
  <c r="AA1018" i="27"/>
  <c r="D1019" i="27"/>
  <c r="E1019" i="27"/>
  <c r="D1020" i="27"/>
  <c r="E1020" i="27"/>
  <c r="F1020" i="27"/>
  <c r="M1020" i="27"/>
  <c r="D1021" i="27"/>
  <c r="E1021" i="27"/>
  <c r="D1022" i="27"/>
  <c r="E1022" i="27"/>
  <c r="D1023" i="27"/>
  <c r="E1023" i="27"/>
  <c r="D1024" i="27"/>
  <c r="E1024" i="27"/>
  <c r="D1025" i="27"/>
  <c r="E1025" i="27"/>
  <c r="D1026" i="27"/>
  <c r="E1026" i="27"/>
  <c r="D1027" i="27"/>
  <c r="E1027" i="27"/>
  <c r="AB1027" i="27"/>
  <c r="AA1027" i="27"/>
  <c r="D1028" i="27"/>
  <c r="E1028" i="27"/>
  <c r="F1028" i="27"/>
  <c r="M1028" i="27"/>
  <c r="D1029" i="27"/>
  <c r="E1029" i="27"/>
  <c r="D1030" i="27"/>
  <c r="E1030" i="27"/>
  <c r="F1030" i="27"/>
  <c r="M1030" i="27"/>
  <c r="D1031" i="27"/>
  <c r="E1031" i="27"/>
  <c r="D1032" i="27"/>
  <c r="E1032" i="27"/>
  <c r="Z1032" i="27"/>
  <c r="AA1032" i="27"/>
  <c r="D1033" i="27"/>
  <c r="E1033" i="27"/>
  <c r="F1033" i="27"/>
  <c r="M1033" i="27"/>
  <c r="D1034" i="27"/>
  <c r="E1034" i="27"/>
  <c r="D1035" i="27"/>
  <c r="E1035" i="27"/>
  <c r="D1036" i="27"/>
  <c r="E1036" i="27"/>
  <c r="D1037" i="27"/>
  <c r="E1037" i="27"/>
  <c r="D1039" i="27"/>
  <c r="E1039" i="27"/>
  <c r="D1040" i="27"/>
  <c r="E1040" i="27"/>
  <c r="U1040" i="27"/>
  <c r="D1041" i="27"/>
  <c r="E1041" i="27"/>
  <c r="Z1041" i="27"/>
  <c r="AA1041" i="27"/>
  <c r="D1042" i="27"/>
  <c r="E1042" i="27"/>
  <c r="D1043" i="27"/>
  <c r="E1043" i="27"/>
  <c r="D1044" i="27"/>
  <c r="E1044" i="27"/>
  <c r="D1045" i="27"/>
  <c r="E1045" i="27"/>
  <c r="Z1045" i="27"/>
  <c r="AA1045" i="27"/>
  <c r="E1046" i="27"/>
  <c r="Z1046" i="27"/>
  <c r="AA1046" i="27"/>
  <c r="E1048" i="27"/>
  <c r="F1048" i="27"/>
  <c r="M1048" i="27"/>
  <c r="E1049" i="27"/>
  <c r="E1050" i="27"/>
  <c r="E1053" i="27"/>
  <c r="E1054" i="27"/>
  <c r="E1055" i="27"/>
  <c r="E1056" i="27"/>
  <c r="F1056" i="27"/>
  <c r="M1056" i="27"/>
  <c r="E1057" i="27"/>
  <c r="F1057" i="27"/>
  <c r="M1057" i="27"/>
  <c r="E1058" i="27"/>
  <c r="U1058" i="27"/>
  <c r="E1059" i="27"/>
  <c r="E1060" i="27"/>
  <c r="F1060" i="27"/>
  <c r="M1060" i="27"/>
  <c r="G1060" i="27"/>
  <c r="E1061" i="27"/>
  <c r="Z1061" i="27"/>
  <c r="AA1061" i="27"/>
  <c r="E1062" i="27"/>
  <c r="E1063" i="27"/>
  <c r="F1063" i="27"/>
  <c r="M1063" i="27"/>
  <c r="E1064" i="27"/>
  <c r="Z1064" i="27"/>
  <c r="AA1064" i="27"/>
  <c r="E1066" i="27"/>
  <c r="E1068" i="27"/>
  <c r="Z1068" i="27"/>
  <c r="AA1068" i="27"/>
  <c r="D1069" i="27"/>
  <c r="E1069" i="27"/>
  <c r="Z1069" i="27"/>
  <c r="AA1069" i="27"/>
  <c r="E1070" i="27"/>
  <c r="F1070" i="27"/>
  <c r="M1070" i="27"/>
  <c r="E1071" i="27"/>
  <c r="E1072" i="27"/>
  <c r="F1072" i="27"/>
  <c r="M1072" i="27"/>
  <c r="G1072" i="27"/>
  <c r="E1073" i="27"/>
  <c r="F1073" i="27"/>
  <c r="M1073" i="27"/>
  <c r="D1074" i="27"/>
  <c r="E1074" i="27"/>
  <c r="Z1074" i="27"/>
  <c r="AA1074" i="27"/>
  <c r="D1075" i="27"/>
  <c r="E1075" i="27"/>
  <c r="D1076" i="27"/>
  <c r="E1076" i="27"/>
  <c r="F1076" i="27"/>
  <c r="M1076" i="27"/>
  <c r="G1076" i="27"/>
  <c r="E1077" i="27"/>
  <c r="E1079" i="27"/>
  <c r="E1080" i="27"/>
  <c r="F1080" i="27"/>
  <c r="M1080" i="27"/>
  <c r="E1081" i="27"/>
  <c r="U1081" i="27"/>
  <c r="E1082" i="27"/>
  <c r="E1083" i="27"/>
  <c r="F1083" i="27"/>
  <c r="M1083" i="27"/>
  <c r="E1084" i="27"/>
  <c r="U1084" i="27"/>
  <c r="E1085" i="27"/>
  <c r="E1086" i="27"/>
  <c r="Z1086" i="27"/>
  <c r="AA1086" i="27"/>
  <c r="E1088" i="27"/>
  <c r="E1090" i="27"/>
  <c r="F1090" i="27"/>
  <c r="M1090" i="27"/>
  <c r="E1091" i="27"/>
  <c r="E1092" i="27"/>
  <c r="E1096" i="27"/>
  <c r="F1096" i="27"/>
  <c r="M1096" i="27"/>
  <c r="G1096" i="27"/>
  <c r="D1100" i="27"/>
  <c r="E1100" i="27"/>
  <c r="Z1100" i="27"/>
  <c r="AA1100" i="27"/>
  <c r="D1101" i="27"/>
  <c r="E1101" i="27"/>
  <c r="D1102" i="27"/>
  <c r="E1102" i="27"/>
  <c r="D1103" i="27"/>
  <c r="E1103" i="27"/>
  <c r="Z1103" i="27"/>
  <c r="AA1103" i="27"/>
  <c r="D1104" i="27"/>
  <c r="E1104" i="27"/>
  <c r="D1105" i="27"/>
  <c r="E1105" i="27"/>
  <c r="D1106" i="27"/>
  <c r="E1106" i="27"/>
  <c r="D1108" i="27"/>
  <c r="E1108" i="27"/>
  <c r="F1108" i="27"/>
  <c r="M1108" i="27"/>
  <c r="G1108" i="27"/>
  <c r="D1109" i="27"/>
  <c r="E1109" i="27"/>
  <c r="M1109" i="27"/>
  <c r="G1109" i="27"/>
  <c r="D1110" i="27"/>
  <c r="E1110" i="27"/>
  <c r="M1110" i="27"/>
  <c r="I1110" i="27"/>
  <c r="G1110" i="27"/>
  <c r="D1111" i="27"/>
  <c r="E1111" i="27"/>
  <c r="U1111" i="27"/>
  <c r="M1111" i="27"/>
  <c r="D1112" i="27"/>
  <c r="E1112" i="27"/>
  <c r="D1113" i="27"/>
  <c r="E1113" i="27"/>
  <c r="Z1113" i="27"/>
  <c r="D1114" i="27"/>
  <c r="E1114" i="27"/>
  <c r="U1114" i="27"/>
  <c r="D1115" i="27"/>
  <c r="E1115" i="27"/>
  <c r="D1116" i="27"/>
  <c r="E1116" i="27"/>
  <c r="Z1116" i="27"/>
  <c r="AA1116" i="27"/>
  <c r="D1117" i="27"/>
  <c r="E1117" i="27"/>
  <c r="U1117" i="27"/>
  <c r="D1120" i="27"/>
  <c r="E1120" i="27"/>
  <c r="D1123" i="27"/>
  <c r="E1123" i="27"/>
  <c r="D1124" i="27"/>
  <c r="E1124" i="27"/>
  <c r="D1125" i="27"/>
  <c r="E1125" i="27"/>
  <c r="Z1125" i="27"/>
  <c r="AA1125" i="27"/>
  <c r="D1126" i="27"/>
  <c r="E1126" i="27"/>
  <c r="Z1126" i="27"/>
  <c r="AA1126" i="27"/>
  <c r="D1127" i="27"/>
  <c r="E1127" i="27"/>
  <c r="Z1127" i="27"/>
  <c r="AA1127" i="27"/>
  <c r="D1128" i="27"/>
  <c r="E1128" i="27"/>
  <c r="F1128" i="27"/>
  <c r="M1128" i="27"/>
  <c r="D1129" i="27"/>
  <c r="E1129" i="27"/>
  <c r="D1130" i="27"/>
  <c r="E1130" i="27"/>
  <c r="F1130" i="27"/>
  <c r="M1130" i="27"/>
  <c r="G1130" i="27"/>
  <c r="D1131" i="27"/>
  <c r="E1131" i="27"/>
  <c r="D1132" i="27"/>
  <c r="E1132" i="27"/>
  <c r="D1134" i="27"/>
  <c r="E1134" i="27"/>
  <c r="Z1134" i="27"/>
  <c r="AA1134" i="27"/>
  <c r="D1135" i="27"/>
  <c r="E1135" i="27"/>
  <c r="AB1135" i="27"/>
  <c r="AA1135" i="27"/>
  <c r="D1136" i="27"/>
  <c r="E1136" i="27"/>
  <c r="D1138" i="27"/>
  <c r="E1138" i="27"/>
  <c r="D1139" i="27"/>
  <c r="E1139" i="27"/>
  <c r="AB1139" i="27"/>
  <c r="AA1139" i="27"/>
  <c r="D1140" i="27"/>
  <c r="E1140" i="27"/>
  <c r="D1141" i="27"/>
  <c r="E1141" i="27"/>
  <c r="D1144" i="27"/>
  <c r="E1144" i="27"/>
  <c r="D1145" i="27"/>
  <c r="E1145" i="27"/>
  <c r="D1146" i="27"/>
  <c r="E1146" i="27"/>
  <c r="F1146" i="27"/>
  <c r="M1146" i="27"/>
  <c r="D1147" i="27"/>
  <c r="E1147" i="27"/>
  <c r="D1148" i="27"/>
  <c r="E1148" i="27"/>
  <c r="Z1148" i="27"/>
  <c r="AA1148" i="27"/>
  <c r="D1149" i="27"/>
  <c r="E1149" i="27"/>
  <c r="F1149" i="27"/>
  <c r="M1149" i="27"/>
  <c r="D1150" i="27"/>
  <c r="E1150" i="27"/>
  <c r="D1151" i="27"/>
  <c r="E1151" i="27"/>
  <c r="D1154" i="27"/>
  <c r="E1154" i="27"/>
  <c r="D1156" i="27"/>
  <c r="E1156" i="27"/>
  <c r="AA1176" i="27"/>
  <c r="AA1177" i="27"/>
  <c r="AA1178" i="27"/>
  <c r="AA1179" i="27"/>
  <c r="C1189" i="27"/>
  <c r="E1189" i="27"/>
  <c r="C1190" i="27"/>
  <c r="E1190" i="27"/>
  <c r="C1191" i="27"/>
  <c r="E1191" i="27"/>
  <c r="C1192" i="27"/>
  <c r="E1192" i="27"/>
  <c r="C1193" i="27"/>
  <c r="E1193" i="27"/>
  <c r="C1194" i="27"/>
  <c r="E1194" i="27"/>
  <c r="C1195" i="27"/>
  <c r="E1195" i="27"/>
  <c r="Z1195" i="27"/>
  <c r="AA1195" i="27"/>
  <c r="C1196" i="27"/>
  <c r="E1196" i="27"/>
  <c r="Z1196" i="27"/>
  <c r="AA1196" i="27"/>
  <c r="C1197" i="27"/>
  <c r="E1197" i="27"/>
  <c r="C1198" i="27"/>
  <c r="E1198" i="27"/>
  <c r="C1199" i="27"/>
  <c r="E1199" i="27"/>
  <c r="C1200" i="27"/>
  <c r="E1200" i="27"/>
  <c r="U1200" i="27"/>
  <c r="C1202" i="27"/>
  <c r="E1202" i="27"/>
  <c r="C1203" i="27"/>
  <c r="E1203" i="27"/>
  <c r="C1204" i="27"/>
  <c r="E1204" i="27"/>
  <c r="U1204" i="27"/>
  <c r="C1205" i="27"/>
  <c r="C1206" i="27"/>
  <c r="C1207" i="27"/>
  <c r="E1207" i="27"/>
  <c r="C1208" i="27"/>
  <c r="E1208" i="27"/>
  <c r="F1208" i="27"/>
  <c r="M1208" i="27"/>
  <c r="C1209" i="27"/>
  <c r="E1209" i="27"/>
  <c r="C1210" i="27"/>
  <c r="C1211" i="27"/>
  <c r="C1212" i="27"/>
  <c r="D1212" i="27"/>
  <c r="E1212" i="27"/>
  <c r="Z1212" i="27"/>
  <c r="AA1212" i="27"/>
  <c r="C1213" i="27"/>
  <c r="E1213" i="27"/>
  <c r="Z1213" i="27"/>
  <c r="AA1213" i="27"/>
  <c r="C1215" i="27"/>
  <c r="E1215" i="27"/>
  <c r="F1215" i="27"/>
  <c r="M1215" i="27"/>
  <c r="C1216" i="27"/>
  <c r="E1216" i="27"/>
  <c r="U1216" i="27"/>
  <c r="C1217" i="27"/>
  <c r="E1217" i="27"/>
  <c r="C1218" i="27"/>
  <c r="E1218" i="27"/>
  <c r="U1218" i="27"/>
  <c r="C1219" i="27"/>
  <c r="E1219" i="27"/>
  <c r="C1220" i="27"/>
  <c r="E1220" i="27"/>
  <c r="C1221" i="27"/>
  <c r="E1221" i="27"/>
  <c r="C1222" i="27"/>
  <c r="C1224" i="27"/>
  <c r="C1226" i="27"/>
  <c r="E1226" i="27"/>
  <c r="Z1226" i="27"/>
  <c r="AA1226" i="27"/>
  <c r="C1227" i="27"/>
  <c r="E1227" i="27"/>
  <c r="U1227" i="27"/>
  <c r="C1228" i="27"/>
  <c r="E1228" i="27"/>
  <c r="C1230" i="27"/>
  <c r="C1231" i="27"/>
  <c r="E1231" i="27"/>
  <c r="F1231" i="27"/>
  <c r="M1231" i="27"/>
  <c r="C1232" i="27"/>
  <c r="E1232" i="27"/>
  <c r="U1232" i="27"/>
  <c r="C1236" i="27"/>
  <c r="C1237" i="27"/>
  <c r="C1238" i="27"/>
  <c r="C1239" i="27"/>
  <c r="D1239" i="27"/>
  <c r="E1239" i="27"/>
  <c r="U1239" i="27"/>
  <c r="C1240" i="27"/>
  <c r="C1241" i="27"/>
  <c r="C1242" i="27"/>
  <c r="C1243" i="27"/>
  <c r="D1243" i="27"/>
  <c r="E1243" i="27"/>
  <c r="C1244" i="27"/>
  <c r="C1334" i="27"/>
  <c r="D1334" i="27"/>
  <c r="E1334" i="27"/>
  <c r="C1245" i="27"/>
  <c r="D1245" i="27"/>
  <c r="E1245" i="27"/>
  <c r="F1245" i="27"/>
  <c r="M1245" i="27"/>
  <c r="G1245" i="27"/>
  <c r="C1246" i="27"/>
  <c r="D1246" i="27"/>
  <c r="E1246" i="27"/>
  <c r="U1246" i="27"/>
  <c r="C1247" i="27"/>
  <c r="D1247" i="27"/>
  <c r="E1247" i="27"/>
  <c r="F1247" i="27"/>
  <c r="M1247" i="27"/>
  <c r="C1250" i="27"/>
  <c r="C1251" i="27"/>
  <c r="C1252" i="27"/>
  <c r="C1253" i="27"/>
  <c r="C1254" i="27"/>
  <c r="C1344" i="27"/>
  <c r="D1344" i="27"/>
  <c r="E1344" i="27"/>
  <c r="Z1344" i="27"/>
  <c r="AA1344" i="27"/>
  <c r="C1255" i="27"/>
  <c r="C1256" i="27"/>
  <c r="D1256" i="27"/>
  <c r="E1256" i="27"/>
  <c r="Z1256" i="27"/>
  <c r="AA1256" i="27"/>
  <c r="C1257" i="27"/>
  <c r="C1347" i="27"/>
  <c r="D1347" i="27"/>
  <c r="E1347" i="27"/>
  <c r="C1258" i="27"/>
  <c r="C1348" i="27"/>
  <c r="D1348" i="27"/>
  <c r="E1348" i="27"/>
  <c r="C1259" i="27"/>
  <c r="C1327" i="27"/>
  <c r="D1327" i="27"/>
  <c r="E1327" i="27"/>
  <c r="C1260" i="27"/>
  <c r="D1260" i="27"/>
  <c r="E1260" i="27"/>
  <c r="Z1260" i="27"/>
  <c r="AA1260" i="27"/>
  <c r="C1261" i="27"/>
  <c r="D1261" i="27"/>
  <c r="E1261" i="27"/>
  <c r="C1262" i="27"/>
  <c r="D1262" i="27"/>
  <c r="E1262" i="27"/>
  <c r="C1263" i="27"/>
  <c r="C1264" i="27"/>
  <c r="C1265" i="27"/>
  <c r="M1265" i="27"/>
  <c r="C1266" i="27"/>
  <c r="C1354" i="27"/>
  <c r="C1267" i="27"/>
  <c r="C1268" i="27"/>
  <c r="C1269" i="27"/>
  <c r="C1357" i="27"/>
  <c r="D1357" i="27"/>
  <c r="E1357" i="27"/>
  <c r="C1270" i="27"/>
  <c r="C1272" i="27"/>
  <c r="D1272" i="27"/>
  <c r="E1272" i="27"/>
  <c r="Z1272" i="27"/>
  <c r="AA1272" i="27"/>
  <c r="C1273" i="27"/>
  <c r="D1273" i="27"/>
  <c r="E1273" i="27"/>
  <c r="U1273" i="27"/>
  <c r="C1274" i="27"/>
  <c r="C1362" i="27"/>
  <c r="D1362" i="27"/>
  <c r="E1362" i="27"/>
  <c r="C1275" i="27"/>
  <c r="C1278" i="27"/>
  <c r="D1278" i="27"/>
  <c r="E1278" i="27"/>
  <c r="F1278" i="27"/>
  <c r="M1278" i="27"/>
  <c r="G1278" i="27"/>
  <c r="C1279" i="27"/>
  <c r="D1279" i="27"/>
  <c r="E1279" i="27"/>
  <c r="Z1279" i="27"/>
  <c r="AA1279" i="27"/>
  <c r="C1280" i="27"/>
  <c r="C1281" i="27"/>
  <c r="C1282" i="27"/>
  <c r="D1282" i="27"/>
  <c r="E1282" i="27"/>
  <c r="U1282" i="27"/>
  <c r="C1283" i="27"/>
  <c r="D1283" i="27"/>
  <c r="E1283" i="27"/>
  <c r="Z1283" i="27"/>
  <c r="AA1283" i="27"/>
  <c r="C1284" i="27"/>
  <c r="D1284" i="27"/>
  <c r="E1284" i="27"/>
  <c r="F1284" i="27"/>
  <c r="M1284" i="27"/>
  <c r="C1285" i="27"/>
  <c r="D1285" i="27"/>
  <c r="E1285" i="27"/>
  <c r="F1285" i="27"/>
  <c r="M1285" i="27"/>
  <c r="G1285" i="27"/>
  <c r="C1286" i="27"/>
  <c r="C1384" i="27"/>
  <c r="D1384" i="27"/>
  <c r="E1384" i="27"/>
  <c r="C1287" i="27"/>
  <c r="C1290" i="27"/>
  <c r="C1292" i="27"/>
  <c r="D1292" i="27"/>
  <c r="E1292" i="27"/>
  <c r="C1293" i="27"/>
  <c r="D1293" i="27"/>
  <c r="E1293" i="27"/>
  <c r="C1424" i="27"/>
  <c r="E1424" i="27"/>
  <c r="U1424" i="27"/>
  <c r="C1425" i="27"/>
  <c r="C1426" i="27"/>
  <c r="C1530" i="27"/>
  <c r="E1530" i="27"/>
  <c r="C1427" i="27"/>
  <c r="E1427" i="27"/>
  <c r="C1428" i="27"/>
  <c r="C1598" i="27"/>
  <c r="E1598" i="27"/>
  <c r="C1429" i="27"/>
  <c r="E1429" i="27"/>
  <c r="F1429" i="27"/>
  <c r="M1429" i="27"/>
  <c r="C1430" i="27"/>
  <c r="E1430" i="27"/>
  <c r="F1430" i="27"/>
  <c r="M1430" i="27"/>
  <c r="C1431" i="27"/>
  <c r="C1432" i="27"/>
  <c r="C1602" i="27"/>
  <c r="E1602" i="27"/>
  <c r="C1433" i="27"/>
  <c r="C1434" i="27"/>
  <c r="C1604" i="27"/>
  <c r="E1604" i="27"/>
  <c r="C1435" i="27"/>
  <c r="E1435" i="27"/>
  <c r="C1436" i="27"/>
  <c r="C1437" i="27"/>
  <c r="C1609" i="27"/>
  <c r="E1609" i="27"/>
  <c r="C1440" i="27"/>
  <c r="C1441" i="27"/>
  <c r="C2610" i="27"/>
  <c r="E2610" i="27"/>
  <c r="F2610" i="27"/>
  <c r="M2610" i="27"/>
  <c r="C1442" i="27"/>
  <c r="C1544" i="27"/>
  <c r="E1544" i="27"/>
  <c r="C1443" i="27"/>
  <c r="E1443" i="27"/>
  <c r="U1443" i="27"/>
  <c r="C1444" i="27"/>
  <c r="C1542" i="27"/>
  <c r="E1542" i="27"/>
  <c r="C1445" i="27"/>
  <c r="C1447" i="27"/>
  <c r="E1447" i="27"/>
  <c r="C1449" i="27"/>
  <c r="E1449" i="27"/>
  <c r="C1451" i="27"/>
  <c r="C1552" i="27"/>
  <c r="E1552" i="27"/>
  <c r="Z1552" i="27"/>
  <c r="C1452" i="27"/>
  <c r="E1452" i="27"/>
  <c r="C1453" i="27"/>
  <c r="C1454" i="27"/>
  <c r="C1455" i="27"/>
  <c r="D1455" i="27"/>
  <c r="E1455" i="27"/>
  <c r="C1456" i="27"/>
  <c r="D1456" i="27"/>
  <c r="E1456" i="27"/>
  <c r="C1457" i="27"/>
  <c r="D1457" i="27"/>
  <c r="E1457" i="27"/>
  <c r="AA1457" i="27"/>
  <c r="C1458" i="27"/>
  <c r="D1458" i="27"/>
  <c r="E1458" i="27"/>
  <c r="F1458" i="27"/>
  <c r="M1458" i="27"/>
  <c r="C1459" i="27"/>
  <c r="C1460" i="27"/>
  <c r="C1314" i="27"/>
  <c r="D1314" i="27"/>
  <c r="E1314" i="27"/>
  <c r="Z1314" i="27"/>
  <c r="AA1314" i="27"/>
  <c r="C1461" i="27"/>
  <c r="D1461" i="27"/>
  <c r="E1461" i="27"/>
  <c r="C1462" i="27"/>
  <c r="C1463" i="27"/>
  <c r="C1320" i="27"/>
  <c r="D1320" i="27"/>
  <c r="E1320" i="27"/>
  <c r="C1464" i="27"/>
  <c r="D1464" i="27"/>
  <c r="E1464" i="27"/>
  <c r="C1465" i="27"/>
  <c r="C1466" i="27"/>
  <c r="C1467" i="27"/>
  <c r="C1468" i="27"/>
  <c r="C1557" i="27"/>
  <c r="D1557" i="27"/>
  <c r="E1557" i="27"/>
  <c r="C1469" i="27"/>
  <c r="D1469" i="27"/>
  <c r="E1469" i="27"/>
  <c r="C1470" i="27"/>
  <c r="C1471" i="27"/>
  <c r="C1472" i="27"/>
  <c r="C1369" i="27"/>
  <c r="D1369" i="27"/>
  <c r="E1369" i="27"/>
  <c r="C1473" i="27"/>
  <c r="C1474" i="27"/>
  <c r="C1376" i="27"/>
  <c r="D1376" i="27"/>
  <c r="E1376" i="27"/>
  <c r="U1376" i="27"/>
  <c r="C1475" i="27"/>
  <c r="D1475" i="27"/>
  <c r="E1475" i="27"/>
  <c r="C1476" i="27"/>
  <c r="C1478" i="27"/>
  <c r="C1372" i="27"/>
  <c r="D1372" i="27"/>
  <c r="E1372" i="27"/>
  <c r="C1479" i="27"/>
  <c r="C1480" i="27"/>
  <c r="C1481" i="27"/>
  <c r="C1377" i="27"/>
  <c r="D1377" i="27"/>
  <c r="E1377" i="27"/>
  <c r="Z1377" i="27"/>
  <c r="AA1377" i="27"/>
  <c r="C1937" i="27"/>
  <c r="C2375" i="27"/>
  <c r="D2375" i="27"/>
  <c r="E2375" i="27"/>
  <c r="C1939" i="27"/>
  <c r="C2035" i="27"/>
  <c r="D2035" i="27"/>
  <c r="E2035" i="27"/>
  <c r="F2035" i="27"/>
  <c r="M2035" i="27"/>
  <c r="C1940" i="27"/>
  <c r="C1524" i="27"/>
  <c r="D1524" i="27"/>
  <c r="E1524" i="27"/>
  <c r="C1943" i="27"/>
  <c r="C1944" i="27"/>
  <c r="E1944" i="27"/>
  <c r="C1947" i="27"/>
  <c r="C1948" i="27"/>
  <c r="E1948" i="27"/>
  <c r="C1949" i="27"/>
  <c r="E1949" i="27"/>
  <c r="C1950" i="27"/>
  <c r="E1950" i="27"/>
  <c r="F1950" i="27"/>
  <c r="M1950" i="27"/>
  <c r="G1950" i="27"/>
  <c r="C1951" i="27"/>
  <c r="E1951" i="27"/>
  <c r="C1952" i="27"/>
  <c r="E1952" i="27"/>
  <c r="C1954" i="27"/>
  <c r="E1954" i="27"/>
  <c r="F1954" i="27"/>
  <c r="M1954" i="27"/>
  <c r="G1954" i="27"/>
  <c r="AA1954" i="27"/>
  <c r="C1955" i="27"/>
  <c r="C2153" i="27"/>
  <c r="E2153" i="27"/>
  <c r="C1956" i="27"/>
  <c r="C1601" i="27"/>
  <c r="D1601" i="27"/>
  <c r="E1601" i="27"/>
  <c r="C1968" i="27"/>
  <c r="C2381" i="27"/>
  <c r="D2381" i="27"/>
  <c r="E2381" i="27"/>
  <c r="Z2381" i="27"/>
  <c r="AA2381" i="27"/>
  <c r="C1969" i="27"/>
  <c r="C1970" i="27"/>
  <c r="C1971" i="27"/>
  <c r="C1972" i="27"/>
  <c r="C2388" i="27"/>
  <c r="D2388" i="27"/>
  <c r="E2388" i="27"/>
  <c r="U2388" i="27"/>
  <c r="C1974" i="27"/>
  <c r="C1975" i="27"/>
  <c r="D1975" i="27"/>
  <c r="E1975" i="27"/>
  <c r="C1976" i="27"/>
  <c r="C1977" i="27"/>
  <c r="C1978" i="27"/>
  <c r="D1978" i="27"/>
  <c r="E1978" i="27"/>
  <c r="C1979" i="27"/>
  <c r="C2396" i="27"/>
  <c r="D2396" i="27"/>
  <c r="E2396" i="27"/>
  <c r="C1983" i="27"/>
  <c r="D1983" i="27"/>
  <c r="E1983" i="27"/>
  <c r="C1990" i="27"/>
  <c r="C1991" i="27"/>
  <c r="C2398" i="27"/>
  <c r="D2398" i="27"/>
  <c r="E2398" i="27"/>
  <c r="F2398" i="27"/>
  <c r="M2398" i="27"/>
  <c r="C2085" i="27"/>
  <c r="C1823" i="27"/>
  <c r="D1823" i="27"/>
  <c r="E1823" i="27"/>
  <c r="Z1823" i="27"/>
  <c r="AA1823" i="27"/>
  <c r="C2093" i="27"/>
  <c r="D2093" i="27"/>
  <c r="E2093" i="27"/>
  <c r="C2094" i="27"/>
  <c r="D2094" i="27"/>
  <c r="E2094" i="27"/>
  <c r="C2095" i="27"/>
  <c r="E2095" i="27"/>
  <c r="U2095" i="27"/>
  <c r="C2096" i="27"/>
  <c r="C2049" i="27"/>
  <c r="E2049" i="27"/>
  <c r="C2097" i="27"/>
  <c r="C2155" i="27"/>
  <c r="E2155" i="27"/>
  <c r="C2098" i="27"/>
  <c r="E2098" i="27"/>
  <c r="C2099" i="27"/>
  <c r="E2099" i="27"/>
  <c r="C2100" i="27"/>
  <c r="C2051" i="27"/>
  <c r="E2051" i="27"/>
  <c r="F2051" i="27"/>
  <c r="M2051" i="27"/>
  <c r="G2051" i="27"/>
  <c r="C2101" i="27"/>
  <c r="C2102" i="27"/>
  <c r="C2103" i="27"/>
  <c r="C2159" i="27"/>
  <c r="E2159" i="27"/>
  <c r="C2104" i="27"/>
  <c r="E2104" i="27"/>
  <c r="C2105" i="27"/>
  <c r="C2788" i="27"/>
  <c r="E2788" i="27"/>
  <c r="U2788" i="27"/>
  <c r="C2106" i="27"/>
  <c r="C2197" i="27"/>
  <c r="C2219" i="27"/>
  <c r="C2220" i="27"/>
  <c r="E2220" i="27"/>
  <c r="C2221" i="27"/>
  <c r="C2228" i="27"/>
  <c r="C2344" i="27"/>
  <c r="C2229" i="27"/>
  <c r="C2230" i="27"/>
  <c r="C2231" i="27"/>
  <c r="E2231" i="27"/>
  <c r="F2231" i="27"/>
  <c r="M2231" i="27"/>
  <c r="C2232" i="27"/>
  <c r="C2291" i="27"/>
  <c r="E2291" i="27"/>
  <c r="U2291" i="27"/>
  <c r="C2233" i="27"/>
  <c r="D2233" i="27"/>
  <c r="E2233" i="27"/>
  <c r="Z2233" i="27"/>
  <c r="AA2233" i="27"/>
  <c r="C2234" i="27"/>
  <c r="C2235" i="27"/>
  <c r="C2250" i="27"/>
  <c r="E2250" i="27"/>
  <c r="C2252" i="27"/>
  <c r="E2252" i="27"/>
  <c r="C2253" i="27"/>
  <c r="E2253" i="27"/>
  <c r="F2253" i="27"/>
  <c r="M2253" i="27"/>
  <c r="C2254" i="27"/>
  <c r="E2254" i="27"/>
  <c r="Z2254" i="27"/>
  <c r="AA2254" i="27"/>
  <c r="C2255" i="27"/>
  <c r="E2255" i="27"/>
  <c r="U2255" i="27"/>
  <c r="C2256" i="27"/>
  <c r="E2256" i="27"/>
  <c r="U2256" i="27"/>
  <c r="C2257" i="27"/>
  <c r="E2257" i="27"/>
  <c r="C2258" i="27"/>
  <c r="E2258" i="27"/>
  <c r="U2258" i="27"/>
  <c r="C2260" i="27"/>
  <c r="E2260" i="27"/>
  <c r="F2260" i="27"/>
  <c r="M2260" i="27"/>
  <c r="G2260" i="27"/>
  <c r="C2261" i="27"/>
  <c r="E2261" i="27"/>
  <c r="F2261" i="27"/>
  <c r="M2261" i="27"/>
  <c r="C2263" i="27"/>
  <c r="E2263" i="27"/>
  <c r="C2265" i="27"/>
  <c r="E2265" i="27"/>
  <c r="C2266" i="27"/>
  <c r="E2266" i="27"/>
  <c r="U2266" i="27"/>
  <c r="C2267" i="27"/>
  <c r="C2268" i="27"/>
  <c r="E2268" i="27"/>
  <c r="C2269" i="27"/>
  <c r="E2269" i="27"/>
  <c r="C2270" i="27"/>
  <c r="E2270" i="27"/>
  <c r="C2272" i="27"/>
  <c r="E2272" i="27"/>
  <c r="C2273" i="27"/>
  <c r="E2273" i="27"/>
  <c r="Z2273" i="27"/>
  <c r="AA2273" i="27"/>
  <c r="C2274" i="27"/>
  <c r="E2274" i="27"/>
  <c r="U2274" i="27"/>
  <c r="C2286" i="27"/>
  <c r="E2286" i="27"/>
  <c r="C2287" i="27"/>
  <c r="E2287" i="27"/>
  <c r="C2288" i="27"/>
  <c r="E2288" i="27"/>
  <c r="C2289" i="27"/>
  <c r="E2289" i="27"/>
  <c r="C2293" i="27"/>
  <c r="E2293" i="27"/>
  <c r="C2298" i="27"/>
  <c r="D2298" i="27"/>
  <c r="E2298" i="27"/>
  <c r="C2300" i="27"/>
  <c r="D2300" i="27"/>
  <c r="E2300" i="27"/>
  <c r="C2301" i="27"/>
  <c r="C2302" i="27"/>
  <c r="D2302" i="27"/>
  <c r="E2302" i="27"/>
  <c r="F2302" i="27"/>
  <c r="M2302" i="27"/>
  <c r="G2302" i="27"/>
  <c r="C2303" i="27"/>
  <c r="D2303" i="27"/>
  <c r="E2303" i="27"/>
  <c r="C2304" i="27"/>
  <c r="C2420" i="27"/>
  <c r="D2420" i="27"/>
  <c r="E2420" i="27"/>
  <c r="C2305" i="27"/>
  <c r="D2305" i="27"/>
  <c r="E2305" i="27"/>
  <c r="C2306" i="27"/>
  <c r="D2306" i="27"/>
  <c r="E2306" i="27"/>
  <c r="C2307" i="27"/>
  <c r="C2308" i="27"/>
  <c r="C2425" i="27"/>
  <c r="D2425" i="27"/>
  <c r="E2425" i="27"/>
  <c r="C2311" i="27"/>
  <c r="D2311" i="27"/>
  <c r="E2311" i="27"/>
  <c r="C2312" i="27"/>
  <c r="C2313" i="27"/>
  <c r="C2314" i="27"/>
  <c r="C2315" i="27"/>
  <c r="D2315" i="27"/>
  <c r="E2315" i="27"/>
  <c r="C2316" i="27"/>
  <c r="D2316" i="27"/>
  <c r="E2316" i="27"/>
  <c r="Z2316" i="27"/>
  <c r="AA2316" i="27"/>
  <c r="C2317" i="27"/>
  <c r="D2317" i="27"/>
  <c r="E2317" i="27"/>
  <c r="U2317" i="27"/>
  <c r="C2318" i="27"/>
  <c r="D2318" i="27"/>
  <c r="E2318" i="27"/>
  <c r="C2319" i="27"/>
  <c r="C2407" i="27"/>
  <c r="D2407" i="27"/>
  <c r="E2407" i="27"/>
  <c r="Z2407" i="27"/>
  <c r="AA2407" i="27"/>
  <c r="C2320" i="27"/>
  <c r="D2320" i="27"/>
  <c r="E2320" i="27"/>
  <c r="U2320" i="27"/>
  <c r="C2321" i="27"/>
  <c r="C2322" i="27"/>
  <c r="C2323" i="27"/>
  <c r="D2323" i="27"/>
  <c r="E2323" i="27"/>
  <c r="Z2323" i="27"/>
  <c r="AA2323" i="27"/>
  <c r="C2324" i="27"/>
  <c r="C2325" i="27"/>
  <c r="C2326" i="27"/>
  <c r="D2326" i="27"/>
  <c r="E2326" i="27"/>
  <c r="C2328" i="27"/>
  <c r="C2329" i="27"/>
  <c r="D2329" i="27"/>
  <c r="E2329" i="27"/>
  <c r="C2335" i="27"/>
  <c r="C2441" i="27"/>
  <c r="D2441" i="27"/>
  <c r="E2441" i="27"/>
  <c r="C2336" i="27"/>
  <c r="D2336" i="27"/>
  <c r="E2336" i="27"/>
  <c r="C2337" i="27"/>
  <c r="D2337" i="27"/>
  <c r="E2337" i="27"/>
  <c r="C2338" i="27"/>
  <c r="D2338" i="27"/>
  <c r="E2338" i="27"/>
  <c r="Z2338" i="27"/>
  <c r="AA2338" i="27"/>
  <c r="C2339" i="27"/>
  <c r="D2339" i="27"/>
  <c r="E2339" i="27"/>
  <c r="C2340" i="27"/>
  <c r="D2340" i="27"/>
  <c r="E2340" i="27"/>
  <c r="C2346" i="27"/>
  <c r="C2352" i="27"/>
  <c r="D2352" i="27"/>
  <c r="E2352" i="27"/>
  <c r="C2354" i="27"/>
  <c r="D2354" i="27"/>
  <c r="E2354" i="27"/>
  <c r="Z2354" i="27"/>
  <c r="AA2354" i="27"/>
  <c r="C2355" i="27"/>
  <c r="D2355" i="27"/>
  <c r="E2355" i="27"/>
  <c r="C1697" i="27"/>
  <c r="E1697" i="27"/>
  <c r="C1698" i="27"/>
  <c r="E1698" i="27"/>
  <c r="F1698" i="27"/>
  <c r="M1698" i="27"/>
  <c r="G1698" i="27"/>
  <c r="C1699" i="27"/>
  <c r="E1699" i="27"/>
  <c r="F1699" i="27"/>
  <c r="M1699" i="27"/>
  <c r="C1700" i="27"/>
  <c r="E1700" i="27"/>
  <c r="C1701" i="27"/>
  <c r="E1701" i="27"/>
  <c r="C1702" i="27"/>
  <c r="E1702" i="27"/>
  <c r="U1702" i="27"/>
  <c r="C1703" i="27"/>
  <c r="E1703" i="27"/>
  <c r="Z1703" i="27"/>
  <c r="AA1703" i="27"/>
  <c r="C1704" i="27"/>
  <c r="E1704" i="27"/>
  <c r="C1705" i="27"/>
  <c r="E1705" i="27"/>
  <c r="C1706" i="27"/>
  <c r="E1706" i="27"/>
  <c r="C1707" i="27"/>
  <c r="E1707" i="27"/>
  <c r="C1708" i="27"/>
  <c r="E1708" i="27"/>
  <c r="C1709" i="27"/>
  <c r="E1709" i="27"/>
  <c r="Z1709" i="27"/>
  <c r="C1711" i="27"/>
  <c r="E1711" i="27"/>
  <c r="C1712" i="27"/>
  <c r="E1712" i="27"/>
  <c r="U1712" i="27"/>
  <c r="C1713" i="27"/>
  <c r="E1713" i="27"/>
  <c r="C1714" i="27"/>
  <c r="E1714" i="27"/>
  <c r="U1714" i="27"/>
  <c r="C1715" i="27"/>
  <c r="E1715" i="27"/>
  <c r="C1716" i="27"/>
  <c r="E1716" i="27"/>
  <c r="C1717" i="27"/>
  <c r="E1717" i="27"/>
  <c r="Z1717" i="27"/>
  <c r="C1718" i="27"/>
  <c r="C1719" i="27"/>
  <c r="C1720" i="27"/>
  <c r="D1720" i="27"/>
  <c r="E1720" i="27"/>
  <c r="F1720" i="27"/>
  <c r="M1720" i="27"/>
  <c r="C1721" i="27"/>
  <c r="E1721" i="27"/>
  <c r="C1722" i="27"/>
  <c r="E1722" i="27"/>
  <c r="U1722" i="27"/>
  <c r="C1724" i="27"/>
  <c r="E1724" i="27"/>
  <c r="Z1724" i="27"/>
  <c r="AA1724" i="27"/>
  <c r="C1728" i="27"/>
  <c r="C1730" i="27"/>
  <c r="C1731" i="27"/>
  <c r="E1731" i="27"/>
  <c r="Z1731" i="27"/>
  <c r="AA1731" i="27"/>
  <c r="C1732" i="27"/>
  <c r="C1733" i="27"/>
  <c r="E1733" i="27"/>
  <c r="F1733" i="27"/>
  <c r="M1733" i="27"/>
  <c r="G1733" i="27"/>
  <c r="C1743" i="27"/>
  <c r="D1743" i="27"/>
  <c r="E1743" i="27"/>
  <c r="Z1743" i="27"/>
  <c r="AA1743" i="27"/>
  <c r="C1744" i="27"/>
  <c r="C1745" i="27"/>
  <c r="C1746" i="27"/>
  <c r="C1747" i="27"/>
  <c r="D1747" i="27"/>
  <c r="E1747" i="27"/>
  <c r="Z1747" i="27"/>
  <c r="AA1747" i="27"/>
  <c r="C1748" i="27"/>
  <c r="D1748" i="27"/>
  <c r="E1748" i="27"/>
  <c r="C1749" i="27"/>
  <c r="C1867" i="27"/>
  <c r="D1867" i="27"/>
  <c r="E1867" i="27"/>
  <c r="Z1867" i="27"/>
  <c r="AA1867" i="27"/>
  <c r="C1750" i="27"/>
  <c r="C1751" i="27"/>
  <c r="C1869" i="27"/>
  <c r="D1869" i="27"/>
  <c r="E1869" i="27"/>
  <c r="F1869" i="27"/>
  <c r="M1869" i="27"/>
  <c r="C1754" i="27"/>
  <c r="C1872" i="27"/>
  <c r="D1872" i="27"/>
  <c r="E1872" i="27"/>
  <c r="F1872" i="27"/>
  <c r="M1872" i="27"/>
  <c r="C1755" i="27"/>
  <c r="C1756" i="27"/>
  <c r="C1757" i="27"/>
  <c r="C1758" i="27"/>
  <c r="C1759" i="27"/>
  <c r="C1760" i="27"/>
  <c r="C1761" i="27"/>
  <c r="C1850" i="27"/>
  <c r="D1850" i="27"/>
  <c r="E1850" i="27"/>
  <c r="C1762" i="27"/>
  <c r="D1762" i="27"/>
  <c r="E1762" i="27"/>
  <c r="C1763" i="27"/>
  <c r="C1852" i="27"/>
  <c r="D1852" i="27"/>
  <c r="E1852" i="27"/>
  <c r="C1764" i="27"/>
  <c r="C1765" i="27"/>
  <c r="C1766" i="27"/>
  <c r="D1766" i="27"/>
  <c r="E1766" i="27"/>
  <c r="Z1766" i="27"/>
  <c r="AA1766" i="27"/>
  <c r="C1767" i="27"/>
  <c r="C1768" i="27"/>
  <c r="C1769" i="27"/>
  <c r="C1779" i="27"/>
  <c r="C1780" i="27"/>
  <c r="D1780" i="27"/>
  <c r="E1780" i="27"/>
  <c r="C1781" i="27"/>
  <c r="C1782" i="27"/>
  <c r="C1787" i="27"/>
  <c r="C1893" i="27"/>
  <c r="D1893" i="27"/>
  <c r="E1893" i="27"/>
  <c r="C1789" i="27"/>
  <c r="D1789" i="27"/>
  <c r="E1789" i="27"/>
  <c r="Z1789" i="27"/>
  <c r="AA1789" i="27"/>
  <c r="C1790" i="27"/>
  <c r="D1790" i="27"/>
  <c r="E1790" i="27"/>
  <c r="C1791" i="27"/>
  <c r="D1791" i="27"/>
  <c r="E1791" i="27"/>
  <c r="C1792" i="27"/>
  <c r="C1886" i="27"/>
  <c r="D1886" i="27"/>
  <c r="E1886" i="27"/>
  <c r="C1793" i="27"/>
  <c r="C1794" i="27"/>
  <c r="C1795" i="27"/>
  <c r="C1798" i="27"/>
  <c r="D1798" i="27"/>
  <c r="E1798" i="27"/>
  <c r="C1800" i="27"/>
  <c r="D1800" i="27"/>
  <c r="E1800" i="27"/>
  <c r="C1801" i="27"/>
  <c r="D1801" i="27"/>
  <c r="E1801" i="27"/>
  <c r="D2473" i="27"/>
  <c r="E2473" i="27"/>
  <c r="Z2473" i="27"/>
  <c r="AA2473" i="27"/>
  <c r="D2474" i="27"/>
  <c r="E2474" i="27"/>
  <c r="F2474" i="27"/>
  <c r="M2474" i="27"/>
  <c r="D2475" i="27"/>
  <c r="E2475" i="27"/>
  <c r="F2475" i="27"/>
  <c r="M2475" i="27"/>
  <c r="E2478" i="27"/>
  <c r="Z2478" i="27"/>
  <c r="AA2478" i="27"/>
  <c r="E2479" i="27"/>
  <c r="U2479" i="27"/>
  <c r="E2480" i="27"/>
  <c r="Z2480" i="27"/>
  <c r="AA2480" i="27"/>
  <c r="E2481" i="27"/>
  <c r="E2482" i="27"/>
  <c r="E2483" i="27"/>
  <c r="E2484" i="27"/>
  <c r="E2485" i="27"/>
  <c r="F2485" i="27"/>
  <c r="M2485" i="27"/>
  <c r="E2486" i="27"/>
  <c r="E2487" i="27"/>
  <c r="E2488" i="27"/>
  <c r="F2488" i="27"/>
  <c r="M2488" i="27"/>
  <c r="E2490" i="27"/>
  <c r="Z2490" i="27"/>
  <c r="AA2490" i="27"/>
  <c r="E2492" i="27"/>
  <c r="F2492" i="27"/>
  <c r="M2492" i="27"/>
  <c r="G2492" i="27"/>
  <c r="E2493" i="27"/>
  <c r="Z2493" i="27"/>
  <c r="AA2493" i="27"/>
  <c r="E2494" i="27"/>
  <c r="E2495" i="27"/>
  <c r="F2495" i="27"/>
  <c r="M2495" i="27"/>
  <c r="E2496" i="27"/>
  <c r="E2497" i="27"/>
  <c r="E2499" i="27"/>
  <c r="U2499" i="27"/>
  <c r="E2500" i="27"/>
  <c r="E2501" i="27"/>
  <c r="Z2501" i="27"/>
  <c r="AA2501" i="27"/>
  <c r="E2502" i="27"/>
  <c r="Z2502" i="27"/>
  <c r="AA2502" i="27"/>
  <c r="E2503" i="27"/>
  <c r="U2503" i="27"/>
  <c r="E2504" i="27"/>
  <c r="F2504" i="27"/>
  <c r="M2504" i="27"/>
  <c r="E2506" i="27"/>
  <c r="Z2506" i="27"/>
  <c r="AA2506" i="27"/>
  <c r="D2510" i="27"/>
  <c r="E2510" i="27"/>
  <c r="F2510" i="27"/>
  <c r="M2510" i="27"/>
  <c r="D2513" i="27"/>
  <c r="E2513" i="27"/>
  <c r="D2514" i="27"/>
  <c r="E2514" i="27"/>
  <c r="Z2514" i="27"/>
  <c r="AA2514" i="27"/>
  <c r="D2515" i="27"/>
  <c r="E2515" i="27"/>
  <c r="D2516" i="27"/>
  <c r="E2516" i="27"/>
  <c r="D2518" i="27"/>
  <c r="E2518" i="27"/>
  <c r="D2521" i="27"/>
  <c r="E2521" i="27"/>
  <c r="U2521" i="27"/>
  <c r="D2525" i="27"/>
  <c r="E2525" i="27"/>
  <c r="D2526" i="27"/>
  <c r="E2526" i="27"/>
  <c r="U2526" i="27"/>
  <c r="D2527" i="27"/>
  <c r="E2527" i="27"/>
  <c r="Z2527" i="27"/>
  <c r="AA2527" i="27"/>
  <c r="D2528" i="27"/>
  <c r="E2528" i="27"/>
  <c r="F2528" i="27"/>
  <c r="M2528" i="27"/>
  <c r="D2529" i="27"/>
  <c r="E2529" i="27"/>
  <c r="D2530" i="27"/>
  <c r="E2530" i="27"/>
  <c r="Z2530" i="27"/>
  <c r="AA2530" i="27"/>
  <c r="D2531" i="27"/>
  <c r="E2531" i="27"/>
  <c r="D2532" i="27"/>
  <c r="E2532" i="27"/>
  <c r="F2532" i="27"/>
  <c r="M2532" i="27"/>
  <c r="D2533" i="27"/>
  <c r="E2533" i="27"/>
  <c r="D2534" i="27"/>
  <c r="E2534" i="27"/>
  <c r="D2536" i="27"/>
  <c r="E2536" i="27"/>
  <c r="D2537" i="27"/>
  <c r="E2537" i="27"/>
  <c r="D2538" i="27"/>
  <c r="E2538" i="27"/>
  <c r="F2538" i="27"/>
  <c r="M2538" i="27"/>
  <c r="D2539" i="27"/>
  <c r="E2539" i="27"/>
  <c r="D2540" i="27"/>
  <c r="E2540" i="27"/>
  <c r="Z2540" i="27"/>
  <c r="AA2540" i="27"/>
  <c r="D2543" i="27"/>
  <c r="E2543" i="27"/>
  <c r="U2543" i="27"/>
  <c r="D2544" i="27"/>
  <c r="E2544" i="27"/>
  <c r="F2544" i="27"/>
  <c r="M2544" i="27"/>
  <c r="D2545" i="27"/>
  <c r="E2545" i="27"/>
  <c r="D2546" i="27"/>
  <c r="E2546" i="27"/>
  <c r="D2547" i="27"/>
  <c r="E2547" i="27"/>
  <c r="F2547" i="27"/>
  <c r="M2547" i="27"/>
  <c r="G2547" i="27"/>
  <c r="D2549" i="27"/>
  <c r="E2549" i="27"/>
  <c r="D2550" i="27"/>
  <c r="E2550" i="27"/>
  <c r="U2550" i="27"/>
  <c r="D2551" i="27"/>
  <c r="E2551" i="27"/>
  <c r="D2552" i="27"/>
  <c r="E2552" i="27"/>
  <c r="U2552" i="27"/>
  <c r="D2553" i="27"/>
  <c r="E2553" i="27"/>
  <c r="D2558" i="27"/>
  <c r="E2558" i="27"/>
  <c r="F2558" i="27"/>
  <c r="M2558" i="27"/>
  <c r="D2560" i="27"/>
  <c r="E2560" i="27"/>
  <c r="F2560" i="27"/>
  <c r="M2560" i="27"/>
  <c r="D2561" i="27"/>
  <c r="E2561" i="27"/>
  <c r="Z2561" i="27"/>
  <c r="AA2561" i="27"/>
  <c r="D1831" i="27"/>
  <c r="E1831" i="27"/>
  <c r="Z1831" i="27"/>
  <c r="AA1831" i="27"/>
  <c r="D1316" i="27"/>
  <c r="E1316" i="27"/>
  <c r="Z1316" i="27"/>
  <c r="AA1316" i="27"/>
  <c r="E2649" i="27"/>
  <c r="E2742" i="27"/>
  <c r="U2742" i="27"/>
  <c r="E2832" i="27"/>
  <c r="D2863" i="27"/>
  <c r="E2863" i="27"/>
  <c r="E2872" i="27"/>
  <c r="AA2872" i="27"/>
  <c r="E2873" i="27"/>
  <c r="AA2873" i="27"/>
  <c r="E2874" i="27"/>
  <c r="AA2874" i="27"/>
  <c r="E2875" i="27"/>
  <c r="AA2875" i="27"/>
  <c r="E2876" i="27"/>
  <c r="AA2876" i="27"/>
  <c r="E2878" i="27"/>
  <c r="AA2878" i="27"/>
  <c r="E2879" i="27"/>
  <c r="AA2879" i="27"/>
  <c r="E2880" i="27"/>
  <c r="AA2880" i="27"/>
  <c r="E2881" i="27"/>
  <c r="E2882" i="27"/>
  <c r="AA2882" i="27"/>
  <c r="E2883" i="27"/>
  <c r="AA2883" i="27"/>
  <c r="E2884" i="27"/>
  <c r="AA2884" i="27"/>
  <c r="E2885" i="27"/>
  <c r="AA2885" i="27"/>
  <c r="E2886" i="27"/>
  <c r="AA2886" i="27"/>
  <c r="E2887" i="27"/>
  <c r="AA2887" i="27"/>
  <c r="E2889" i="27"/>
  <c r="AA2889" i="27"/>
  <c r="E2890" i="27"/>
  <c r="AA2890" i="27"/>
  <c r="E2891" i="27"/>
  <c r="AA2891" i="27"/>
  <c r="E2892" i="27"/>
  <c r="AA2892" i="27"/>
  <c r="E2893" i="27"/>
  <c r="AA2893" i="27"/>
  <c r="E2894" i="27"/>
  <c r="AA2894" i="27"/>
  <c r="E2895" i="27"/>
  <c r="AA2895" i="27"/>
  <c r="E2896" i="27"/>
  <c r="AA2896" i="27"/>
  <c r="D2897" i="27"/>
  <c r="E2897" i="27"/>
  <c r="AA2897" i="27"/>
  <c r="E2898" i="27"/>
  <c r="AA2898" i="27"/>
  <c r="E2899" i="27"/>
  <c r="AA2899" i="27"/>
  <c r="E2900" i="27"/>
  <c r="AA2900" i="27"/>
  <c r="E2901" i="27"/>
  <c r="AA2901" i="27"/>
  <c r="E2902" i="27"/>
  <c r="AA2902" i="27"/>
  <c r="E2903" i="27"/>
  <c r="AA2903" i="27"/>
  <c r="U2903" i="27"/>
  <c r="E2904" i="27"/>
  <c r="AA2904" i="27"/>
  <c r="E2905" i="27"/>
  <c r="AA2905" i="27"/>
  <c r="E2906" i="27"/>
  <c r="AA2906" i="27"/>
  <c r="E2907" i="27"/>
  <c r="AA2907" i="27"/>
  <c r="E2908" i="27"/>
  <c r="AA2908" i="27"/>
  <c r="U2908" i="27"/>
  <c r="D2910" i="27"/>
  <c r="E2910" i="27"/>
  <c r="AA2910" i="27"/>
  <c r="D2911" i="27"/>
  <c r="E2911" i="27"/>
  <c r="AA2911" i="27"/>
  <c r="D2912" i="27"/>
  <c r="E2912" i="27"/>
  <c r="AA2912" i="27"/>
  <c r="D2913" i="27"/>
  <c r="E2913" i="27"/>
  <c r="AA2913" i="27"/>
  <c r="C2938" i="27"/>
  <c r="O2938" i="27"/>
  <c r="P2938" i="27"/>
  <c r="Q2938" i="27"/>
  <c r="R2938" i="27"/>
  <c r="S2938" i="27"/>
  <c r="C2939" i="27"/>
  <c r="E2939" i="27"/>
  <c r="Z2939" i="27"/>
  <c r="AA2939" i="27"/>
  <c r="O2939" i="27"/>
  <c r="P2939" i="27"/>
  <c r="Q2939" i="27"/>
  <c r="R2939" i="27"/>
  <c r="S2939" i="27"/>
  <c r="C2940" i="27"/>
  <c r="E2940" i="27"/>
  <c r="Z2940" i="27"/>
  <c r="AA2940" i="27"/>
  <c r="O2940" i="27"/>
  <c r="P2940" i="27"/>
  <c r="Q2940" i="27"/>
  <c r="R2940" i="27"/>
  <c r="S2940" i="27"/>
  <c r="C2943" i="27"/>
  <c r="E2943" i="27"/>
  <c r="Z2943" i="27"/>
  <c r="AA2943" i="27"/>
  <c r="O2943" i="27"/>
  <c r="P2943" i="27"/>
  <c r="Q2943" i="27"/>
  <c r="R2943" i="27"/>
  <c r="S2943" i="27"/>
  <c r="C2944" i="27"/>
  <c r="O2944" i="27"/>
  <c r="P2944" i="27"/>
  <c r="Q2944" i="27"/>
  <c r="R2944" i="27"/>
  <c r="S2944" i="27"/>
  <c r="C2946" i="27"/>
  <c r="E2946" i="27"/>
  <c r="Z2946" i="27"/>
  <c r="AA2946" i="27"/>
  <c r="C2947" i="27"/>
  <c r="E2947" i="27"/>
  <c r="Z2947" i="27"/>
  <c r="AA2947" i="27"/>
  <c r="C2948" i="27"/>
  <c r="C2991" i="27"/>
  <c r="C2949" i="27"/>
  <c r="C2992" i="27"/>
  <c r="D2992" i="27"/>
  <c r="C2950" i="27"/>
  <c r="E2950" i="27"/>
  <c r="Z2950" i="27"/>
  <c r="AA2950" i="27"/>
  <c r="C2951" i="27"/>
  <c r="C2952" i="27"/>
  <c r="C2953" i="27"/>
  <c r="C2954" i="27"/>
  <c r="U2954" i="27"/>
  <c r="F3034" i="27"/>
  <c r="AA3034" i="27"/>
  <c r="F3035" i="27"/>
  <c r="AA3035" i="27"/>
  <c r="F3036" i="27"/>
  <c r="AA3036" i="27"/>
  <c r="F3037" i="27"/>
  <c r="AA3037" i="27"/>
  <c r="F3038" i="27"/>
  <c r="AA3038" i="27"/>
  <c r="F3039" i="27"/>
  <c r="AA3039" i="27"/>
  <c r="F3040" i="27"/>
  <c r="AA3040" i="27"/>
  <c r="F3041" i="27"/>
  <c r="AA3041" i="27"/>
  <c r="F3042" i="27"/>
  <c r="AA3042" i="27"/>
  <c r="F3043" i="27"/>
  <c r="AA3043" i="27"/>
  <c r="F3044" i="27"/>
  <c r="AA3044" i="27"/>
  <c r="F3045" i="27"/>
  <c r="AA3045" i="27"/>
  <c r="F3047" i="27"/>
  <c r="AA3047" i="27"/>
  <c r="F3048" i="27"/>
  <c r="AA3048" i="27"/>
  <c r="C3053" i="27"/>
  <c r="U3053" i="27"/>
  <c r="C3054" i="27"/>
  <c r="U3054" i="27"/>
  <c r="C3055" i="27"/>
  <c r="U3055" i="27"/>
  <c r="U3056" i="27"/>
  <c r="U3057" i="27"/>
  <c r="U3058" i="27"/>
  <c r="U3059" i="27"/>
  <c r="U3060" i="27"/>
  <c r="U3061" i="27"/>
  <c r="U3062" i="27"/>
  <c r="U3063" i="27"/>
  <c r="C3064" i="27"/>
  <c r="U3064" i="27"/>
  <c r="C3065" i="27"/>
  <c r="C3094" i="27"/>
  <c r="D3094" i="27"/>
  <c r="AA3094" i="27"/>
  <c r="U3065" i="27"/>
  <c r="C3067" i="27"/>
  <c r="C3098" i="27"/>
  <c r="D3098" i="27"/>
  <c r="AA3098" i="27"/>
  <c r="U3067" i="27"/>
  <c r="U3069" i="27"/>
  <c r="U3070" i="27"/>
  <c r="U3071" i="27"/>
  <c r="U3072" i="27"/>
  <c r="U3073" i="27"/>
  <c r="U3074" i="27"/>
  <c r="U3075" i="27"/>
  <c r="U3076" i="27"/>
  <c r="U3077" i="27"/>
  <c r="U3078" i="27"/>
  <c r="U3079" i="27"/>
  <c r="U3080" i="27"/>
  <c r="U3081" i="27"/>
  <c r="U3082" i="27"/>
  <c r="U3083" i="27"/>
  <c r="U3084" i="27"/>
  <c r="U3085" i="27"/>
  <c r="U3086" i="27"/>
  <c r="U3087" i="27"/>
  <c r="U3088" i="27"/>
  <c r="U3089" i="27"/>
  <c r="U3090" i="27"/>
  <c r="B3091" i="27"/>
  <c r="U3092" i="27"/>
  <c r="B3093" i="27"/>
  <c r="U3094" i="27"/>
  <c r="U3097" i="27"/>
  <c r="U3098" i="27"/>
  <c r="C3101" i="27"/>
  <c r="D3101" i="27"/>
  <c r="C3102" i="27"/>
  <c r="D3102" i="27"/>
  <c r="E3102" i="27"/>
  <c r="C3103" i="27"/>
  <c r="D3103" i="27"/>
  <c r="C3104" i="27"/>
  <c r="D3104" i="27"/>
  <c r="C3116" i="27"/>
  <c r="E3116" i="27"/>
  <c r="F3116" i="27"/>
  <c r="M3116" i="27"/>
  <c r="C3121" i="27"/>
  <c r="D3121" i="27"/>
  <c r="C3122" i="27"/>
  <c r="E3122" i="27"/>
  <c r="C3128" i="27"/>
  <c r="E3128" i="27"/>
  <c r="C3137" i="27"/>
  <c r="E3137" i="27"/>
  <c r="U3137" i="27"/>
  <c r="C3138" i="27"/>
  <c r="AA3138" i="27"/>
  <c r="C3139" i="27"/>
  <c r="E3139" i="27"/>
  <c r="C3140" i="27"/>
  <c r="C3141" i="27"/>
  <c r="C3143" i="27"/>
  <c r="E3143" i="27"/>
  <c r="C3145" i="27"/>
  <c r="C3146" i="27"/>
  <c r="AA3146" i="27"/>
  <c r="C3147" i="27"/>
  <c r="AA3147" i="27"/>
  <c r="C3148" i="27"/>
  <c r="C3149" i="27"/>
  <c r="E3149" i="27"/>
  <c r="C3150" i="27"/>
  <c r="AA3150" i="27"/>
  <c r="C3151" i="27"/>
  <c r="E3151" i="27"/>
  <c r="F3151" i="27"/>
  <c r="M3151" i="27"/>
  <c r="C3152" i="27"/>
  <c r="AA3152" i="27"/>
  <c r="C3154" i="27"/>
  <c r="C3155" i="27"/>
  <c r="E3155" i="27"/>
  <c r="F3155" i="27"/>
  <c r="M3155" i="27"/>
  <c r="C3157" i="27"/>
  <c r="E3157" i="27"/>
  <c r="U3157" i="27"/>
  <c r="C3158" i="27"/>
  <c r="C3163" i="27"/>
  <c r="AA3163" i="27"/>
  <c r="C3164" i="27"/>
  <c r="AA3164" i="27"/>
  <c r="C3168" i="27"/>
  <c r="D1317" i="27"/>
  <c r="E1317" i="27"/>
  <c r="F1317" i="27"/>
  <c r="M1317" i="27"/>
  <c r="D1832" i="27"/>
  <c r="E1832" i="27"/>
  <c r="C1899" i="27"/>
  <c r="D1899" i="27"/>
  <c r="E1899" i="27"/>
  <c r="E2498" i="27"/>
  <c r="U2498" i="27"/>
  <c r="Z2498" i="27"/>
  <c r="AA2498" i="27"/>
  <c r="E2507" i="27"/>
  <c r="Z2507" i="27"/>
  <c r="C1386" i="27"/>
  <c r="D1386" i="27"/>
  <c r="E1386" i="27"/>
  <c r="F1386" i="27"/>
  <c r="M1386" i="27"/>
  <c r="D2554" i="27"/>
  <c r="E2554" i="27"/>
  <c r="U2554" i="27"/>
  <c r="M2431" i="27"/>
  <c r="G2431" i="27"/>
  <c r="D2431" i="27"/>
  <c r="E2431" i="27"/>
  <c r="F2431" i="27"/>
  <c r="M2432" i="27"/>
  <c r="D2432" i="27"/>
  <c r="E2432" i="27"/>
  <c r="D2430" i="27"/>
  <c r="E2430" i="27"/>
  <c r="Z2430" i="27"/>
  <c r="AA2430" i="27"/>
  <c r="M2430" i="27"/>
  <c r="G2430" i="27"/>
  <c r="Z512" i="27"/>
  <c r="AA512" i="27"/>
  <c r="Z869" i="27"/>
  <c r="D3056" i="27"/>
  <c r="AA3056" i="27"/>
  <c r="F720" i="27"/>
  <c r="M720" i="27"/>
  <c r="F500" i="27"/>
  <c r="M500" i="27"/>
  <c r="G500" i="27"/>
  <c r="U912" i="27"/>
  <c r="C2173" i="27"/>
  <c r="E2173" i="27"/>
  <c r="E1959" i="27"/>
  <c r="F318" i="27"/>
  <c r="M318" i="27"/>
  <c r="G318" i="27"/>
  <c r="Z1407" i="27"/>
  <c r="F1407" i="27"/>
  <c r="M1407" i="27"/>
  <c r="G1407" i="27"/>
  <c r="AA1407" i="27"/>
  <c r="F2670" i="27"/>
  <c r="M2670" i="27"/>
  <c r="Z647" i="27"/>
  <c r="C2211" i="27"/>
  <c r="E2211" i="27"/>
  <c r="E102" i="27"/>
  <c r="C2700" i="27"/>
  <c r="E2700" i="27"/>
  <c r="F2353" i="27"/>
  <c r="M2353" i="27"/>
  <c r="G2353" i="27"/>
  <c r="C2055" i="27"/>
  <c r="E2055" i="27"/>
  <c r="Z690" i="27"/>
  <c r="AA690" i="27"/>
  <c r="U690" i="27"/>
  <c r="Z388" i="27"/>
  <c r="AB388" i="27"/>
  <c r="AA388" i="27"/>
  <c r="F359" i="27"/>
  <c r="M359" i="27"/>
  <c r="U670" i="27"/>
  <c r="F670" i="27"/>
  <c r="M670" i="27"/>
  <c r="C2578" i="27"/>
  <c r="E2578" i="27"/>
  <c r="AA2578" i="27"/>
  <c r="F257" i="27"/>
  <c r="M257" i="27"/>
  <c r="Z257" i="27"/>
  <c r="D2349" i="27"/>
  <c r="E2349" i="27"/>
  <c r="F2349" i="27"/>
  <c r="M2349" i="27"/>
  <c r="C2457" i="27"/>
  <c r="D2457" i="27"/>
  <c r="E2457" i="27"/>
  <c r="D2356" i="27"/>
  <c r="E2356" i="27"/>
  <c r="F2356" i="27"/>
  <c r="M2356" i="27"/>
  <c r="G2356" i="27"/>
  <c r="D1291" i="27"/>
  <c r="E1291" i="27"/>
  <c r="F631" i="27"/>
  <c r="M631" i="27"/>
  <c r="AB631" i="27"/>
  <c r="AA631" i="27"/>
  <c r="Z322" i="27"/>
  <c r="AA322" i="27"/>
  <c r="F322" i="27"/>
  <c r="M322" i="27"/>
  <c r="AA3132" i="27"/>
  <c r="AA3159" i="27"/>
  <c r="E1925" i="27"/>
  <c r="AB213" i="27"/>
  <c r="AA213" i="27"/>
  <c r="Z213" i="27"/>
  <c r="U677" i="27"/>
  <c r="F827" i="27"/>
  <c r="M827" i="27"/>
  <c r="U257" i="27"/>
  <c r="AB257" i="27"/>
  <c r="AA257" i="27"/>
  <c r="Z532" i="27"/>
  <c r="AA532" i="27"/>
  <c r="F912" i="27"/>
  <c r="E3175" i="27"/>
  <c r="C1510" i="27"/>
  <c r="E1510" i="27"/>
  <c r="E1423" i="27"/>
  <c r="F1423" i="27"/>
  <c r="M1423" i="27"/>
  <c r="F144" i="27"/>
  <c r="M144" i="27"/>
  <c r="U858" i="27"/>
  <c r="U2816" i="27"/>
  <c r="F2816" i="27"/>
  <c r="M2816" i="27"/>
  <c r="G2816" i="27"/>
  <c r="C3077" i="27"/>
  <c r="D3077" i="27"/>
  <c r="AA3077" i="27"/>
  <c r="U15" i="27"/>
  <c r="Z15" i="27"/>
  <c r="AA15" i="27"/>
  <c r="F243" i="27"/>
  <c r="M243" i="27"/>
  <c r="G243" i="27"/>
  <c r="F485" i="27"/>
  <c r="M485" i="27"/>
  <c r="U485" i="27"/>
  <c r="Z720" i="27"/>
  <c r="AA720" i="27"/>
  <c r="U720" i="27"/>
  <c r="F869" i="27"/>
  <c r="M869" i="27"/>
  <c r="G869" i="27"/>
  <c r="C3076" i="27"/>
  <c r="D3076" i="27"/>
  <c r="AA3076" i="27"/>
  <c r="C3075" i="27"/>
  <c r="D3075" i="27"/>
  <c r="AA3075" i="27"/>
  <c r="E3170" i="27"/>
  <c r="F3170" i="27"/>
  <c r="M3170" i="27"/>
  <c r="G3170" i="27"/>
  <c r="AA3170" i="27"/>
  <c r="AA1709" i="27"/>
  <c r="Z914" i="27"/>
  <c r="AB816" i="27"/>
  <c r="AA816" i="27"/>
  <c r="F267" i="27"/>
  <c r="M267" i="27"/>
  <c r="G267" i="27"/>
  <c r="Z267" i="27"/>
  <c r="F914" i="27"/>
  <c r="M914" i="27"/>
  <c r="AB914" i="27"/>
  <c r="AA914" i="27"/>
  <c r="AA3131" i="27"/>
  <c r="C2421" i="27"/>
  <c r="D2421" i="27"/>
  <c r="E2421" i="27"/>
  <c r="D1985" i="27"/>
  <c r="E1985" i="27"/>
  <c r="F1985" i="27"/>
  <c r="M1985" i="27"/>
  <c r="E3172" i="27"/>
  <c r="AA3172" i="27"/>
  <c r="U245" i="27"/>
  <c r="Z496" i="27"/>
  <c r="AA496" i="27"/>
  <c r="F496" i="27"/>
  <c r="M496" i="27"/>
  <c r="F213" i="27"/>
  <c r="M213" i="27"/>
  <c r="G213" i="27"/>
  <c r="I213" i="27"/>
  <c r="U213" i="27"/>
  <c r="G15" i="27"/>
  <c r="I15" i="27"/>
  <c r="C1618" i="27"/>
  <c r="D1618" i="27"/>
  <c r="E1618" i="27"/>
  <c r="D1663" i="27"/>
  <c r="E1663" i="27"/>
  <c r="C1551" i="27"/>
  <c r="D1551" i="27"/>
  <c r="E1551" i="27"/>
  <c r="F1551" i="27"/>
  <c r="M1551" i="27"/>
  <c r="D1450" i="27"/>
  <c r="E1450" i="27"/>
  <c r="Z435" i="27"/>
  <c r="Z176" i="27"/>
  <c r="F1220" i="27"/>
  <c r="M1220" i="27"/>
  <c r="G1220" i="27"/>
  <c r="F843" i="27"/>
  <c r="M843" i="27"/>
  <c r="Z843" i="27"/>
  <c r="AB843" i="27"/>
  <c r="AA843" i="27"/>
  <c r="U843" i="27"/>
  <c r="U1741" i="27"/>
  <c r="Z1741" i="27"/>
  <c r="AA1741" i="27"/>
  <c r="F1741" i="27"/>
  <c r="M1741" i="27"/>
  <c r="G1741" i="27"/>
  <c r="E1432" i="27"/>
  <c r="F1409" i="27"/>
  <c r="M1409" i="27"/>
  <c r="Z827" i="27"/>
  <c r="U827" i="27"/>
  <c r="AB827" i="27"/>
  <c r="AA827" i="27"/>
  <c r="Z253" i="27"/>
  <c r="AA253" i="27"/>
  <c r="F253" i="27"/>
  <c r="M253" i="27"/>
  <c r="U253" i="27"/>
  <c r="F2557" i="27"/>
  <c r="M2557" i="27"/>
  <c r="E2275" i="27"/>
  <c r="F2275" i="27"/>
  <c r="M2275" i="27"/>
  <c r="AB250" i="27"/>
  <c r="AA250" i="27"/>
  <c r="Z250" i="27"/>
  <c r="F702" i="27"/>
  <c r="M702" i="27"/>
  <c r="F857" i="27"/>
  <c r="M857" i="27"/>
  <c r="G857" i="27"/>
  <c r="AB267" i="27"/>
  <c r="AA267" i="27"/>
  <c r="U267" i="27"/>
  <c r="Z414" i="27"/>
  <c r="AB414" i="27"/>
  <c r="AA414" i="27"/>
  <c r="Z230" i="27"/>
  <c r="AA230" i="27"/>
  <c r="U230" i="27"/>
  <c r="F230" i="27"/>
  <c r="M230" i="27"/>
  <c r="F1013" i="3"/>
  <c r="M1013" i="3"/>
  <c r="U1013" i="3"/>
  <c r="Z359" i="27"/>
  <c r="AA359" i="27"/>
  <c r="U1063" i="3"/>
  <c r="F1063" i="3"/>
  <c r="M1063" i="3"/>
  <c r="F1083" i="3"/>
  <c r="M1083" i="3"/>
  <c r="F1077" i="3"/>
  <c r="M1077" i="3"/>
  <c r="U1077" i="3"/>
  <c r="I1054" i="3"/>
  <c r="G1054" i="3"/>
  <c r="G1046" i="3"/>
  <c r="I1046" i="3"/>
  <c r="I1039" i="3"/>
  <c r="F1026" i="3"/>
  <c r="M1026" i="3"/>
  <c r="U1026" i="3"/>
  <c r="F1009" i="3"/>
  <c r="M1009" i="3"/>
  <c r="U1009" i="3"/>
  <c r="F876" i="3"/>
  <c r="M876" i="3"/>
  <c r="U876" i="3"/>
  <c r="G838" i="3"/>
  <c r="I838" i="3"/>
  <c r="G798" i="3"/>
  <c r="I798" i="3"/>
  <c r="U1076" i="3"/>
  <c r="F1076" i="3"/>
  <c r="M1076" i="3"/>
  <c r="F1025" i="3"/>
  <c r="M1025" i="3"/>
  <c r="U1025" i="3"/>
  <c r="C921" i="3"/>
  <c r="E921" i="3"/>
  <c r="E797" i="3"/>
  <c r="C1047" i="3"/>
  <c r="D1047" i="3"/>
  <c r="E1047" i="3"/>
  <c r="D790" i="3"/>
  <c r="E790" i="3"/>
  <c r="C1029" i="3"/>
  <c r="D1029" i="3"/>
  <c r="E1029" i="3"/>
  <c r="I1045" i="3"/>
  <c r="G922" i="3"/>
  <c r="I922" i="3"/>
  <c r="G568" i="3"/>
  <c r="I568" i="3"/>
  <c r="G1082" i="3"/>
  <c r="I1082" i="3"/>
  <c r="F1074" i="3"/>
  <c r="M1074" i="3"/>
  <c r="U1074" i="3"/>
  <c r="F1061" i="3"/>
  <c r="M1061" i="3"/>
  <c r="U1061" i="3"/>
  <c r="F1007" i="3"/>
  <c r="M1007" i="3"/>
  <c r="U1007" i="3"/>
  <c r="G991" i="3"/>
  <c r="I991" i="3"/>
  <c r="F962" i="3"/>
  <c r="M962" i="3"/>
  <c r="U962" i="3"/>
  <c r="U894" i="3"/>
  <c r="F894" i="3"/>
  <c r="M894" i="3"/>
  <c r="U1073" i="3"/>
  <c r="F1073" i="3"/>
  <c r="M1073" i="3"/>
  <c r="U1060" i="3"/>
  <c r="F1060" i="3"/>
  <c r="M1060" i="3"/>
  <c r="F1032" i="3"/>
  <c r="M1032" i="3"/>
  <c r="U1032" i="3"/>
  <c r="F1015" i="3"/>
  <c r="M1015" i="3"/>
  <c r="U1015" i="3"/>
  <c r="F1006" i="3"/>
  <c r="M1006" i="3"/>
  <c r="U1006" i="3"/>
  <c r="F954" i="3"/>
  <c r="M954" i="3"/>
  <c r="U954" i="3"/>
  <c r="U936" i="3"/>
  <c r="F936" i="3"/>
  <c r="M936" i="3"/>
  <c r="G841" i="3"/>
  <c r="I841" i="3"/>
  <c r="F510" i="3"/>
  <c r="M510" i="3"/>
  <c r="U510" i="3"/>
  <c r="I1043" i="3"/>
  <c r="G1043" i="3"/>
  <c r="F934" i="3"/>
  <c r="M934" i="3"/>
  <c r="U934" i="3"/>
  <c r="G845" i="3"/>
  <c r="I845" i="3"/>
  <c r="U744" i="3"/>
  <c r="F744" i="3"/>
  <c r="M744" i="3"/>
  <c r="U649" i="3"/>
  <c r="F649" i="3"/>
  <c r="M649" i="3"/>
  <c r="F1031" i="3"/>
  <c r="M1031" i="3"/>
  <c r="U1031" i="3"/>
  <c r="F1004" i="3"/>
  <c r="M1004" i="3"/>
  <c r="U1004" i="3"/>
  <c r="I989" i="3"/>
  <c r="G644" i="3"/>
  <c r="I644" i="3"/>
  <c r="G1050" i="3"/>
  <c r="I1050" i="3"/>
  <c r="U1021" i="3"/>
  <c r="F1021" i="3"/>
  <c r="M1021" i="3"/>
  <c r="U974" i="3"/>
  <c r="F974" i="3"/>
  <c r="M974" i="3"/>
  <c r="F714" i="3"/>
  <c r="M714" i="3"/>
  <c r="U714" i="3"/>
  <c r="G707" i="3"/>
  <c r="I707" i="3"/>
  <c r="E1167" i="3"/>
  <c r="F1058" i="3"/>
  <c r="M1058" i="3"/>
  <c r="U1058" i="3"/>
  <c r="F1012" i="3"/>
  <c r="M1012" i="3"/>
  <c r="U1012" i="3"/>
  <c r="F1002" i="3"/>
  <c r="M1002" i="3"/>
  <c r="U1002" i="3"/>
  <c r="E1035" i="3"/>
  <c r="F973" i="3"/>
  <c r="M973" i="3"/>
  <c r="U973" i="3"/>
  <c r="U950" i="3"/>
  <c r="F950" i="3"/>
  <c r="M950" i="3"/>
  <c r="F1028" i="3"/>
  <c r="M1028" i="3"/>
  <c r="U1028" i="3"/>
  <c r="E1067" i="3"/>
  <c r="I1040" i="3"/>
  <c r="G1040" i="3"/>
  <c r="F1018" i="3"/>
  <c r="M1018" i="3"/>
  <c r="U1018" i="3"/>
  <c r="F1010" i="3"/>
  <c r="M1010" i="3"/>
  <c r="U1010" i="3"/>
  <c r="U979" i="3"/>
  <c r="F979" i="3"/>
  <c r="M979" i="3"/>
  <c r="G888" i="3"/>
  <c r="I888" i="3"/>
  <c r="U698" i="3"/>
  <c r="F698" i="3"/>
  <c r="M698" i="3"/>
  <c r="G1084" i="3"/>
  <c r="I1084" i="3"/>
  <c r="U956" i="3"/>
  <c r="F956" i="3"/>
  <c r="M956" i="3"/>
  <c r="C1041" i="3"/>
  <c r="D1041" i="3"/>
  <c r="E1041" i="3"/>
  <c r="D784" i="3"/>
  <c r="E784" i="3"/>
  <c r="C1023" i="3"/>
  <c r="D1023" i="3"/>
  <c r="E1023" i="3"/>
  <c r="F776" i="3"/>
  <c r="M776" i="3"/>
  <c r="U776" i="3"/>
  <c r="U1080" i="3"/>
  <c r="E1080" i="3"/>
  <c r="U1017" i="3"/>
  <c r="F1017" i="3"/>
  <c r="M1017" i="3"/>
  <c r="F985" i="3"/>
  <c r="M985" i="3"/>
  <c r="U985" i="3"/>
  <c r="G963" i="3"/>
  <c r="I963" i="3"/>
  <c r="F957" i="3"/>
  <c r="M957" i="3"/>
  <c r="U957" i="3"/>
  <c r="F895" i="3"/>
  <c r="M895" i="3"/>
  <c r="U895" i="3"/>
  <c r="U832" i="3"/>
  <c r="F832" i="3"/>
  <c r="M832" i="3"/>
  <c r="I806" i="3"/>
  <c r="G806" i="3"/>
  <c r="G708" i="3"/>
  <c r="I708" i="3"/>
  <c r="F1016" i="3"/>
  <c r="M1016" i="3"/>
  <c r="U1016" i="3"/>
  <c r="G955" i="3"/>
  <c r="I955" i="3"/>
  <c r="U942" i="3"/>
  <c r="F942" i="3"/>
  <c r="M942" i="3"/>
  <c r="G902" i="3"/>
  <c r="I902" i="3"/>
  <c r="I886" i="3"/>
  <c r="G886" i="3"/>
  <c r="U880" i="3"/>
  <c r="F880" i="3"/>
  <c r="M880" i="3"/>
  <c r="F875" i="3"/>
  <c r="M875" i="3"/>
  <c r="U875" i="3"/>
  <c r="F870" i="3"/>
  <c r="M870" i="3"/>
  <c r="U870" i="3"/>
  <c r="G862" i="3"/>
  <c r="I862" i="3"/>
  <c r="U844" i="3"/>
  <c r="F844" i="3"/>
  <c r="M844" i="3"/>
  <c r="I802" i="3"/>
  <c r="G802" i="3"/>
  <c r="G762" i="3"/>
  <c r="I762" i="3"/>
  <c r="G666" i="3"/>
  <c r="I666" i="3"/>
  <c r="I549" i="3"/>
  <c r="G549" i="3"/>
  <c r="G530" i="3"/>
  <c r="I530" i="3"/>
  <c r="G368" i="3"/>
  <c r="I368" i="3"/>
  <c r="G332" i="3"/>
  <c r="I332" i="3"/>
  <c r="U1024" i="3"/>
  <c r="F1024" i="3"/>
  <c r="M1024" i="3"/>
  <c r="G988" i="3"/>
  <c r="I988" i="3"/>
  <c r="F983" i="3"/>
  <c r="M983" i="3"/>
  <c r="U983" i="3"/>
  <c r="G971" i="3"/>
  <c r="I971" i="3"/>
  <c r="F960" i="3"/>
  <c r="M960" i="3"/>
  <c r="U960" i="3"/>
  <c r="U879" i="3"/>
  <c r="U869" i="3"/>
  <c r="F836" i="3"/>
  <c r="M836" i="3"/>
  <c r="U836" i="3"/>
  <c r="U820" i="3"/>
  <c r="F820" i="3"/>
  <c r="M820" i="3"/>
  <c r="U810" i="3"/>
  <c r="F810" i="3"/>
  <c r="M810" i="3"/>
  <c r="G795" i="3"/>
  <c r="I795" i="3"/>
  <c r="G783" i="3"/>
  <c r="I783" i="3"/>
  <c r="G775" i="3"/>
  <c r="I775" i="3"/>
  <c r="I653" i="3"/>
  <c r="G653" i="3"/>
  <c r="F596" i="3"/>
  <c r="M596" i="3"/>
  <c r="I578" i="3"/>
  <c r="G578" i="3"/>
  <c r="G534" i="3"/>
  <c r="I534" i="3"/>
  <c r="G392" i="3"/>
  <c r="I392" i="3"/>
  <c r="I367" i="3"/>
  <c r="G367" i="3"/>
  <c r="F1062" i="3"/>
  <c r="M1062" i="3"/>
  <c r="U1062" i="3"/>
  <c r="F1059" i="3"/>
  <c r="M1059" i="3"/>
  <c r="U1059" i="3"/>
  <c r="F1020" i="3"/>
  <c r="M1020" i="3"/>
  <c r="U1020" i="3"/>
  <c r="I978" i="3"/>
  <c r="I940" i="3"/>
  <c r="G940" i="3"/>
  <c r="G918" i="3"/>
  <c r="I918" i="3"/>
  <c r="U901" i="3"/>
  <c r="F901" i="3"/>
  <c r="M901" i="3"/>
  <c r="G879" i="3"/>
  <c r="I879" i="3"/>
  <c r="G869" i="3"/>
  <c r="I869" i="3"/>
  <c r="F861" i="3"/>
  <c r="M861" i="3"/>
  <c r="U861" i="3"/>
  <c r="G856" i="3"/>
  <c r="I856" i="3"/>
  <c r="F849" i="3"/>
  <c r="M849" i="3"/>
  <c r="U849" i="3"/>
  <c r="G720" i="3"/>
  <c r="I720" i="3"/>
  <c r="C935" i="3"/>
  <c r="E935" i="3"/>
  <c r="C1190" i="3"/>
  <c r="D1190" i="3"/>
  <c r="E1190" i="3"/>
  <c r="E1193" i="3"/>
  <c r="U449" i="3"/>
  <c r="F449" i="3"/>
  <c r="M449" i="3"/>
  <c r="U1027" i="3"/>
  <c r="F1027" i="3"/>
  <c r="M1027" i="3"/>
  <c r="U1008" i="3"/>
  <c r="F1008" i="3"/>
  <c r="M1008" i="3"/>
  <c r="G982" i="3"/>
  <c r="I982" i="3"/>
  <c r="U970" i="3"/>
  <c r="F959" i="3"/>
  <c r="M959" i="3"/>
  <c r="I885" i="3"/>
  <c r="G885" i="3"/>
  <c r="F855" i="3"/>
  <c r="M855" i="3"/>
  <c r="G848" i="3"/>
  <c r="I848" i="3"/>
  <c r="U835" i="3"/>
  <c r="F835" i="3"/>
  <c r="M835" i="3"/>
  <c r="F819" i="3"/>
  <c r="M819" i="3"/>
  <c r="E823" i="3"/>
  <c r="G809" i="3"/>
  <c r="I809" i="3"/>
  <c r="G665" i="3"/>
  <c r="I665" i="3"/>
  <c r="G612" i="3"/>
  <c r="I612" i="3"/>
  <c r="U1084" i="3"/>
  <c r="U1046" i="3"/>
  <c r="U1043" i="3"/>
  <c r="U1040" i="3"/>
  <c r="U981" i="3"/>
  <c r="F981" i="3"/>
  <c r="M981" i="3"/>
  <c r="G970" i="3"/>
  <c r="I970" i="3"/>
  <c r="F948" i="3"/>
  <c r="M948" i="3"/>
  <c r="U948" i="3"/>
  <c r="G868" i="3"/>
  <c r="I868" i="3"/>
  <c r="G860" i="3"/>
  <c r="I860" i="3"/>
  <c r="G816" i="3"/>
  <c r="I816" i="3"/>
  <c r="U800" i="3"/>
  <c r="F800" i="3"/>
  <c r="M800" i="3"/>
  <c r="G739" i="3"/>
  <c r="I739" i="3"/>
  <c r="U735" i="3"/>
  <c r="F735" i="3"/>
  <c r="M735" i="3"/>
  <c r="G731" i="3"/>
  <c r="I731" i="3"/>
  <c r="D719" i="3"/>
  <c r="E719" i="3"/>
  <c r="C1057" i="3"/>
  <c r="C941" i="3"/>
  <c r="D941" i="3"/>
  <c r="E941" i="3"/>
  <c r="D704" i="3"/>
  <c r="E704" i="3"/>
  <c r="U933" i="3"/>
  <c r="F933" i="3"/>
  <c r="M933" i="3"/>
  <c r="U460" i="3"/>
  <c r="F460" i="3"/>
  <c r="M460" i="3"/>
  <c r="D1055" i="3"/>
  <c r="C1070" i="3"/>
  <c r="D1070" i="3"/>
  <c r="U1030" i="3"/>
  <c r="F1030" i="3"/>
  <c r="M1030" i="3"/>
  <c r="U1011" i="3"/>
  <c r="F1011" i="3"/>
  <c r="M1011" i="3"/>
  <c r="F958" i="3"/>
  <c r="M958" i="3"/>
  <c r="U958" i="3"/>
  <c r="U953" i="3"/>
  <c r="F953" i="3"/>
  <c r="M953" i="3"/>
  <c r="I847" i="3"/>
  <c r="G847" i="3"/>
  <c r="G839" i="3"/>
  <c r="I839" i="3"/>
  <c r="G808" i="3"/>
  <c r="I808" i="3"/>
  <c r="C984" i="3"/>
  <c r="D984" i="3"/>
  <c r="E984" i="3"/>
  <c r="C1049" i="3"/>
  <c r="D1049" i="3"/>
  <c r="E1049" i="3"/>
  <c r="C917" i="3"/>
  <c r="D917" i="3"/>
  <c r="E917" i="3"/>
  <c r="D793" i="3"/>
  <c r="E793" i="3"/>
  <c r="E803" i="3"/>
  <c r="C980" i="3"/>
  <c r="D980" i="3"/>
  <c r="E980" i="3"/>
  <c r="C1044" i="3"/>
  <c r="D1044" i="3"/>
  <c r="E1044" i="3"/>
  <c r="D787" i="3"/>
  <c r="E787" i="3"/>
  <c r="C913" i="3"/>
  <c r="D913" i="3"/>
  <c r="E913" i="3"/>
  <c r="C1038" i="3"/>
  <c r="D1038" i="3"/>
  <c r="E1038" i="3"/>
  <c r="D781" i="3"/>
  <c r="E781" i="3"/>
  <c r="D773" i="3"/>
  <c r="E773" i="3"/>
  <c r="C1056" i="3"/>
  <c r="U730" i="3"/>
  <c r="F730" i="3"/>
  <c r="M730" i="3"/>
  <c r="G641" i="3"/>
  <c r="I641" i="3"/>
  <c r="I465" i="3"/>
  <c r="I1081" i="3"/>
  <c r="U1064" i="3"/>
  <c r="F938" i="3"/>
  <c r="M938" i="3"/>
  <c r="F908" i="3"/>
  <c r="M908" i="3"/>
  <c r="U908" i="3"/>
  <c r="I883" i="3"/>
  <c r="F873" i="3"/>
  <c r="M873" i="3"/>
  <c r="U873" i="3"/>
  <c r="U829" i="3"/>
  <c r="F829" i="3"/>
  <c r="M829" i="3"/>
  <c r="U815" i="3"/>
  <c r="F815" i="3"/>
  <c r="M815" i="3"/>
  <c r="G752" i="3"/>
  <c r="I752" i="3"/>
  <c r="G669" i="3"/>
  <c r="I669" i="3"/>
  <c r="U563" i="3"/>
  <c r="F563" i="3"/>
  <c r="M563" i="3"/>
  <c r="U1033" i="3"/>
  <c r="F1033" i="3"/>
  <c r="M1033" i="3"/>
  <c r="F1022" i="3"/>
  <c r="M1022" i="3"/>
  <c r="U1022" i="3"/>
  <c r="U1014" i="3"/>
  <c r="F1014" i="3"/>
  <c r="M1014" i="3"/>
  <c r="U1003" i="3"/>
  <c r="F1003" i="3"/>
  <c r="M1003" i="3"/>
  <c r="U991" i="3"/>
  <c r="F975" i="3"/>
  <c r="M975" i="3"/>
  <c r="U975" i="3"/>
  <c r="F916" i="3"/>
  <c r="M916" i="3"/>
  <c r="U916" i="3"/>
  <c r="F907" i="3"/>
  <c r="M907" i="3"/>
  <c r="U907" i="3"/>
  <c r="I896" i="3"/>
  <c r="I877" i="3"/>
  <c r="G877" i="3"/>
  <c r="F872" i="3"/>
  <c r="M872" i="3"/>
  <c r="U872" i="3"/>
  <c r="G792" i="3"/>
  <c r="I792" i="3"/>
  <c r="G778" i="3"/>
  <c r="I778" i="3"/>
  <c r="U716" i="3"/>
  <c r="E749" i="3"/>
  <c r="F716" i="3"/>
  <c r="M716" i="3"/>
  <c r="G673" i="3"/>
  <c r="I673" i="3"/>
  <c r="F990" i="3"/>
  <c r="M990" i="3"/>
  <c r="F937" i="3"/>
  <c r="M937" i="3"/>
  <c r="U937" i="3"/>
  <c r="F924" i="3"/>
  <c r="M924" i="3"/>
  <c r="U924" i="3"/>
  <c r="G899" i="3"/>
  <c r="I899" i="3"/>
  <c r="F833" i="3"/>
  <c r="M833" i="3"/>
  <c r="U833" i="3"/>
  <c r="U827" i="3"/>
  <c r="E863" i="3"/>
  <c r="F827" i="3"/>
  <c r="M827" i="3"/>
  <c r="F814" i="3"/>
  <c r="M814" i="3"/>
  <c r="U814" i="3"/>
  <c r="G755" i="3"/>
  <c r="I755" i="3"/>
  <c r="F728" i="3"/>
  <c r="M728" i="3"/>
  <c r="U507" i="3"/>
  <c r="F507" i="3"/>
  <c r="M507" i="3"/>
  <c r="G488" i="3"/>
  <c r="I488" i="3"/>
  <c r="C1078" i="3"/>
  <c r="D1078" i="3"/>
  <c r="E1078" i="3"/>
  <c r="C1075" i="3"/>
  <c r="D1075" i="3"/>
  <c r="E1075" i="3"/>
  <c r="C1069" i="3"/>
  <c r="D1069" i="3"/>
  <c r="U888" i="3"/>
  <c r="G729" i="3"/>
  <c r="I729" i="3"/>
  <c r="G723" i="3"/>
  <c r="I723" i="3"/>
  <c r="G699" i="3"/>
  <c r="I699" i="3"/>
  <c r="G678" i="3"/>
  <c r="I678" i="3"/>
  <c r="G657" i="3"/>
  <c r="I657" i="3"/>
  <c r="G645" i="3"/>
  <c r="I645" i="3"/>
  <c r="G620" i="3"/>
  <c r="I620" i="3"/>
  <c r="F597" i="3"/>
  <c r="M597" i="3"/>
  <c r="U597" i="3"/>
  <c r="G574" i="3"/>
  <c r="I574" i="3"/>
  <c r="G489" i="3"/>
  <c r="I489" i="3"/>
  <c r="G485" i="3"/>
  <c r="I485" i="3"/>
  <c r="I479" i="3"/>
  <c r="G479" i="3"/>
  <c r="G466" i="3"/>
  <c r="I466" i="3"/>
  <c r="F461" i="3"/>
  <c r="M461" i="3"/>
  <c r="U461" i="3"/>
  <c r="F987" i="3"/>
  <c r="M987" i="3"/>
  <c r="U963" i="3"/>
  <c r="C919" i="3"/>
  <c r="D919" i="3"/>
  <c r="E919" i="3"/>
  <c r="F874" i="3"/>
  <c r="M874" i="3"/>
  <c r="I852" i="3"/>
  <c r="F846" i="3"/>
  <c r="M846" i="3"/>
  <c r="U846" i="3"/>
  <c r="U811" i="3"/>
  <c r="U808" i="3"/>
  <c r="G799" i="3"/>
  <c r="I799" i="3"/>
  <c r="U718" i="3"/>
  <c r="I703" i="3"/>
  <c r="G703" i="3"/>
  <c r="U697" i="3"/>
  <c r="G664" i="3"/>
  <c r="I664" i="3"/>
  <c r="G640" i="3"/>
  <c r="I640" i="3"/>
  <c r="I630" i="3"/>
  <c r="G607" i="3"/>
  <c r="I607" i="3"/>
  <c r="I587" i="3"/>
  <c r="G583" i="3"/>
  <c r="I583" i="3"/>
  <c r="G573" i="3"/>
  <c r="I573" i="3"/>
  <c r="I557" i="3"/>
  <c r="F470" i="3"/>
  <c r="M470" i="3"/>
  <c r="I407" i="3"/>
  <c r="G360" i="3"/>
  <c r="I360" i="3"/>
  <c r="U918" i="3"/>
  <c r="I900" i="3"/>
  <c r="F843" i="3"/>
  <c r="M843" i="3"/>
  <c r="U843" i="3"/>
  <c r="F822" i="3"/>
  <c r="M822" i="3"/>
  <c r="U822" i="3"/>
  <c r="D789" i="3"/>
  <c r="E789" i="3"/>
  <c r="C915" i="3"/>
  <c r="D915" i="3"/>
  <c r="E915" i="3"/>
  <c r="D786" i="3"/>
  <c r="E786" i="3"/>
  <c r="C912" i="3"/>
  <c r="D912" i="3"/>
  <c r="E912" i="3"/>
  <c r="F771" i="3"/>
  <c r="M771" i="3"/>
  <c r="U758" i="3"/>
  <c r="F758" i="3"/>
  <c r="M758" i="3"/>
  <c r="G743" i="3"/>
  <c r="I743" i="3"/>
  <c r="G718" i="3"/>
  <c r="I718" i="3"/>
  <c r="U702" i="3"/>
  <c r="F702" i="3"/>
  <c r="M702" i="3"/>
  <c r="G697" i="3"/>
  <c r="I697" i="3"/>
  <c r="F677" i="3"/>
  <c r="M677" i="3"/>
  <c r="U677" i="3"/>
  <c r="G659" i="3"/>
  <c r="I659" i="3"/>
  <c r="G656" i="3"/>
  <c r="I656" i="3"/>
  <c r="F652" i="3"/>
  <c r="M652" i="3"/>
  <c r="U652" i="3"/>
  <c r="G639" i="3"/>
  <c r="I639" i="3"/>
  <c r="F545" i="3"/>
  <c r="M545" i="3"/>
  <c r="U545" i="3"/>
  <c r="G541" i="3"/>
  <c r="I541" i="3"/>
  <c r="G537" i="3"/>
  <c r="I537" i="3"/>
  <c r="I492" i="3"/>
  <c r="G391" i="3"/>
  <c r="I391" i="3"/>
  <c r="G383" i="3"/>
  <c r="I383" i="3"/>
  <c r="G203" i="3"/>
  <c r="I203" i="3"/>
  <c r="C1005" i="3"/>
  <c r="D1005" i="3"/>
  <c r="E1005" i="3"/>
  <c r="F914" i="3"/>
  <c r="M914" i="3"/>
  <c r="F893" i="3"/>
  <c r="M893" i="3"/>
  <c r="F871" i="3"/>
  <c r="M871" i="3"/>
  <c r="F857" i="3"/>
  <c r="M857" i="3"/>
  <c r="F840" i="3"/>
  <c r="M840" i="3"/>
  <c r="U840" i="3"/>
  <c r="U821" i="3"/>
  <c r="F761" i="3"/>
  <c r="M761" i="3"/>
  <c r="F738" i="3"/>
  <c r="M738" i="3"/>
  <c r="F732" i="3"/>
  <c r="M732" i="3"/>
  <c r="U732" i="3"/>
  <c r="E696" i="3"/>
  <c r="F647" i="3"/>
  <c r="M647" i="3"/>
  <c r="I615" i="3"/>
  <c r="F582" i="3"/>
  <c r="M582" i="3"/>
  <c r="U582" i="3"/>
  <c r="G572" i="3"/>
  <c r="I572" i="3"/>
  <c r="G561" i="3"/>
  <c r="I561" i="3"/>
  <c r="U529" i="3"/>
  <c r="F529" i="3"/>
  <c r="M529" i="3"/>
  <c r="G522" i="3"/>
  <c r="I522" i="3"/>
  <c r="I473" i="3"/>
  <c r="G882" i="3"/>
  <c r="I882" i="3"/>
  <c r="E889" i="3"/>
  <c r="F866" i="3"/>
  <c r="M866" i="3"/>
  <c r="F837" i="3"/>
  <c r="M837" i="3"/>
  <c r="U837" i="3"/>
  <c r="U802" i="3"/>
  <c r="I764" i="3"/>
  <c r="G764" i="3"/>
  <c r="G746" i="3"/>
  <c r="I746" i="3"/>
  <c r="U727" i="3"/>
  <c r="F727" i="3"/>
  <c r="M727" i="3"/>
  <c r="G668" i="3"/>
  <c r="I668" i="3"/>
  <c r="G651" i="3"/>
  <c r="I651" i="3"/>
  <c r="G629" i="3"/>
  <c r="I629" i="3"/>
  <c r="I618" i="3"/>
  <c r="G590" i="3"/>
  <c r="I590" i="3"/>
  <c r="G571" i="3"/>
  <c r="I571" i="3"/>
  <c r="G544" i="3"/>
  <c r="I544" i="3"/>
  <c r="I513" i="3"/>
  <c r="M499" i="3"/>
  <c r="E495" i="3"/>
  <c r="G417" i="3"/>
  <c r="I417" i="3"/>
  <c r="F413" i="3"/>
  <c r="M413" i="3"/>
  <c r="U413" i="3"/>
  <c r="G247" i="3"/>
  <c r="I247" i="3"/>
  <c r="F939" i="3"/>
  <c r="M939" i="3"/>
  <c r="U862" i="3"/>
  <c r="F834" i="3"/>
  <c r="M834" i="3"/>
  <c r="U834" i="3"/>
  <c r="I821" i="3"/>
  <c r="E817" i="3"/>
  <c r="U816" i="3"/>
  <c r="C923" i="3"/>
  <c r="E923" i="3"/>
  <c r="C964" i="3"/>
  <c r="E964" i="3"/>
  <c r="F794" i="3"/>
  <c r="M794" i="3"/>
  <c r="F791" i="3"/>
  <c r="M791" i="3"/>
  <c r="F788" i="3"/>
  <c r="M788" i="3"/>
  <c r="F785" i="3"/>
  <c r="M785" i="3"/>
  <c r="F782" i="3"/>
  <c r="M782" i="3"/>
  <c r="F777" i="3"/>
  <c r="M777" i="3"/>
  <c r="F774" i="3"/>
  <c r="M774" i="3"/>
  <c r="F770" i="3"/>
  <c r="M770" i="3"/>
  <c r="G757" i="3"/>
  <c r="I757" i="3"/>
  <c r="F742" i="3"/>
  <c r="M742" i="3"/>
  <c r="G643" i="3"/>
  <c r="I643" i="3"/>
  <c r="G618" i="3"/>
  <c r="F577" i="3"/>
  <c r="M577" i="3"/>
  <c r="U577" i="3"/>
  <c r="I553" i="3"/>
  <c r="G553" i="3"/>
  <c r="G532" i="3"/>
  <c r="I532" i="3"/>
  <c r="G503" i="3"/>
  <c r="I503" i="3"/>
  <c r="G422" i="3"/>
  <c r="I422" i="3"/>
  <c r="F412" i="3"/>
  <c r="M412" i="3"/>
  <c r="U412" i="3"/>
  <c r="G255" i="3"/>
  <c r="I255" i="3"/>
  <c r="I887" i="3"/>
  <c r="G878" i="3"/>
  <c r="I878" i="3"/>
  <c r="U856" i="3"/>
  <c r="F831" i="3"/>
  <c r="M831" i="3"/>
  <c r="U831" i="3"/>
  <c r="F807" i="3"/>
  <c r="M807" i="3"/>
  <c r="U807" i="3"/>
  <c r="G734" i="3"/>
  <c r="I734" i="3"/>
  <c r="I709" i="3"/>
  <c r="D706" i="3"/>
  <c r="E706" i="3"/>
  <c r="C943" i="3"/>
  <c r="D943" i="3"/>
  <c r="E943" i="3"/>
  <c r="E967" i="3"/>
  <c r="G671" i="3"/>
  <c r="I671" i="3"/>
  <c r="I662" i="3"/>
  <c r="G662" i="3"/>
  <c r="G614" i="3"/>
  <c r="I614" i="3"/>
  <c r="U600" i="3"/>
  <c r="F600" i="3"/>
  <c r="M600" i="3"/>
  <c r="G586" i="3"/>
  <c r="I586" i="3"/>
  <c r="G576" i="3"/>
  <c r="I576" i="3"/>
  <c r="U536" i="3"/>
  <c r="F536" i="3"/>
  <c r="M536" i="3"/>
  <c r="I525" i="3"/>
  <c r="G525" i="3"/>
  <c r="G521" i="3"/>
  <c r="I521" i="3"/>
  <c r="G443" i="3"/>
  <c r="I443" i="3"/>
  <c r="G428" i="3"/>
  <c r="I428" i="3"/>
  <c r="F267" i="3"/>
  <c r="M267" i="3"/>
  <c r="U267" i="3"/>
  <c r="C965" i="3"/>
  <c r="E965" i="3"/>
  <c r="F949" i="3"/>
  <c r="M949" i="3"/>
  <c r="F909" i="3"/>
  <c r="M909" i="3"/>
  <c r="G828" i="3"/>
  <c r="I828" i="3"/>
  <c r="G801" i="3"/>
  <c r="I801" i="3"/>
  <c r="G760" i="3"/>
  <c r="I760" i="3"/>
  <c r="C972" i="3"/>
  <c r="E972" i="3"/>
  <c r="E993" i="3"/>
  <c r="E753" i="3"/>
  <c r="U745" i="3"/>
  <c r="G737" i="3"/>
  <c r="I737" i="3"/>
  <c r="F726" i="3"/>
  <c r="M726" i="3"/>
  <c r="U726" i="3"/>
  <c r="F721" i="3"/>
  <c r="M721" i="3"/>
  <c r="U721" i="3"/>
  <c r="F700" i="3"/>
  <c r="M700" i="3"/>
  <c r="I650" i="3"/>
  <c r="G650" i="3"/>
  <c r="G642" i="3"/>
  <c r="I642" i="3"/>
  <c r="I621" i="3"/>
  <c r="I609" i="3"/>
  <c r="I599" i="3"/>
  <c r="G570" i="3"/>
  <c r="I570" i="3"/>
  <c r="G527" i="3"/>
  <c r="I527" i="3"/>
  <c r="G512" i="3"/>
  <c r="I512" i="3"/>
  <c r="F441" i="3"/>
  <c r="M441" i="3"/>
  <c r="U441" i="3"/>
  <c r="G309" i="3"/>
  <c r="I309" i="3"/>
  <c r="I756" i="3"/>
  <c r="G740" i="3"/>
  <c r="I740" i="3"/>
  <c r="U715" i="3"/>
  <c r="F715" i="3"/>
  <c r="M715" i="3"/>
  <c r="I682" i="3"/>
  <c r="I654" i="3"/>
  <c r="G593" i="3"/>
  <c r="I593" i="3"/>
  <c r="G575" i="3"/>
  <c r="I575" i="3"/>
  <c r="G569" i="3"/>
  <c r="I569" i="3"/>
  <c r="G552" i="3"/>
  <c r="I552" i="3"/>
  <c r="F539" i="3"/>
  <c r="M539" i="3"/>
  <c r="U539" i="3"/>
  <c r="U520" i="3"/>
  <c r="F520" i="3"/>
  <c r="M520" i="3"/>
  <c r="G450" i="3"/>
  <c r="I450" i="3"/>
  <c r="E884" i="3"/>
  <c r="C998" i="3"/>
  <c r="E998" i="3"/>
  <c r="I867" i="3"/>
  <c r="F859" i="3"/>
  <c r="M859" i="3"/>
  <c r="U859" i="3"/>
  <c r="U830" i="3"/>
  <c r="D769" i="3"/>
  <c r="E769" i="3"/>
  <c r="G763" i="3"/>
  <c r="I763" i="3"/>
  <c r="I745" i="3"/>
  <c r="U729" i="3"/>
  <c r="U705" i="3"/>
  <c r="F705" i="3"/>
  <c r="M705" i="3"/>
  <c r="U699" i="3"/>
  <c r="I674" i="3"/>
  <c r="F661" i="3"/>
  <c r="M661" i="3"/>
  <c r="M637" i="3"/>
  <c r="G598" i="3"/>
  <c r="I598" i="3"/>
  <c r="C903" i="3"/>
  <c r="E903" i="3"/>
  <c r="E930" i="3"/>
  <c r="E812" i="3"/>
  <c r="I606" i="3"/>
  <c r="F585" i="3"/>
  <c r="M585" i="3"/>
  <c r="U585" i="3"/>
  <c r="I560" i="3"/>
  <c r="I531" i="3"/>
  <c r="F514" i="3"/>
  <c r="M514" i="3"/>
  <c r="U514" i="3"/>
  <c r="G433" i="3"/>
  <c r="I433" i="3"/>
  <c r="F403" i="3"/>
  <c r="M403" i="3"/>
  <c r="U403" i="3"/>
  <c r="G393" i="3"/>
  <c r="I393" i="3"/>
  <c r="I329" i="3"/>
  <c r="F291" i="3"/>
  <c r="M291" i="3"/>
  <c r="U291" i="3"/>
  <c r="F248" i="3"/>
  <c r="M248" i="3"/>
  <c r="U248" i="3"/>
  <c r="G214" i="3"/>
  <c r="I214" i="3"/>
  <c r="I608" i="3"/>
  <c r="I602" i="3"/>
  <c r="I595" i="3"/>
  <c r="I562" i="3"/>
  <c r="F533" i="3"/>
  <c r="M533" i="3"/>
  <c r="U533" i="3"/>
  <c r="I502" i="3"/>
  <c r="G502" i="3"/>
  <c r="E632" i="3"/>
  <c r="E633" i="3"/>
  <c r="U480" i="3"/>
  <c r="F480" i="3"/>
  <c r="M480" i="3"/>
  <c r="U431" i="3"/>
  <c r="F431" i="3"/>
  <c r="M431" i="3"/>
  <c r="U411" i="3"/>
  <c r="F411" i="3"/>
  <c r="M411" i="3"/>
  <c r="G401" i="3"/>
  <c r="I401" i="3"/>
  <c r="G194" i="3"/>
  <c r="I194" i="3"/>
  <c r="U760" i="3"/>
  <c r="U755" i="3"/>
  <c r="U740" i="3"/>
  <c r="U737" i="3"/>
  <c r="U734" i="3"/>
  <c r="G663" i="3"/>
  <c r="I663" i="3"/>
  <c r="G608" i="3"/>
  <c r="G602" i="3"/>
  <c r="U581" i="3"/>
  <c r="F581" i="3"/>
  <c r="M581" i="3"/>
  <c r="I567" i="3"/>
  <c r="G562" i="3"/>
  <c r="G551" i="3"/>
  <c r="I551" i="3"/>
  <c r="G538" i="3"/>
  <c r="I538" i="3"/>
  <c r="I535" i="3"/>
  <c r="I516" i="3"/>
  <c r="U509" i="3"/>
  <c r="F509" i="3"/>
  <c r="M509" i="3"/>
  <c r="F506" i="3"/>
  <c r="M506" i="3"/>
  <c r="U506" i="3"/>
  <c r="G447" i="3"/>
  <c r="I447" i="3"/>
  <c r="I440" i="3"/>
  <c r="I416" i="3"/>
  <c r="F359" i="3"/>
  <c r="M359" i="3"/>
  <c r="U359" i="3"/>
  <c r="F337" i="3"/>
  <c r="M337" i="3"/>
  <c r="U337" i="3"/>
  <c r="F313" i="3"/>
  <c r="M313" i="3"/>
  <c r="U313" i="3"/>
  <c r="U723" i="3"/>
  <c r="F701" i="3"/>
  <c r="M701" i="3"/>
  <c r="U673" i="3"/>
  <c r="U611" i="3"/>
  <c r="F611" i="3"/>
  <c r="M611" i="3"/>
  <c r="F605" i="3"/>
  <c r="M605" i="3"/>
  <c r="G589" i="3"/>
  <c r="I589" i="3"/>
  <c r="U586" i="3"/>
  <c r="U583" i="3"/>
  <c r="F559" i="3"/>
  <c r="M559" i="3"/>
  <c r="I556" i="3"/>
  <c r="I548" i="3"/>
  <c r="G535" i="3"/>
  <c r="U521" i="3"/>
  <c r="F491" i="3"/>
  <c r="M491" i="3"/>
  <c r="U491" i="3"/>
  <c r="G464" i="3"/>
  <c r="I464" i="3"/>
  <c r="G459" i="3"/>
  <c r="I459" i="3"/>
  <c r="I430" i="3"/>
  <c r="G424" i="3"/>
  <c r="I424" i="3"/>
  <c r="U406" i="3"/>
  <c r="F406" i="3"/>
  <c r="M406" i="3"/>
  <c r="G396" i="3"/>
  <c r="I396" i="3"/>
  <c r="G382" i="3"/>
  <c r="I382" i="3"/>
  <c r="G277" i="3"/>
  <c r="I277" i="3"/>
  <c r="F660" i="3"/>
  <c r="M660" i="3"/>
  <c r="U655" i="3"/>
  <c r="F648" i="3"/>
  <c r="M648" i="3"/>
  <c r="E689" i="3"/>
  <c r="E691" i="3"/>
  <c r="E692" i="3"/>
  <c r="I624" i="3"/>
  <c r="I617" i="3"/>
  <c r="I594" i="3"/>
  <c r="U591" i="3"/>
  <c r="I579" i="3"/>
  <c r="I508" i="3"/>
  <c r="F483" i="3"/>
  <c r="M483" i="3"/>
  <c r="U483" i="3"/>
  <c r="I419" i="3"/>
  <c r="G389" i="3"/>
  <c r="I389" i="3"/>
  <c r="U351" i="3"/>
  <c r="F351" i="3"/>
  <c r="M351" i="3"/>
  <c r="U322" i="3"/>
  <c r="G312" i="3"/>
  <c r="I312" i="3"/>
  <c r="U298" i="3"/>
  <c r="F298" i="3"/>
  <c r="M298" i="3"/>
  <c r="G293" i="3"/>
  <c r="I293" i="3"/>
  <c r="I685" i="3"/>
  <c r="I655" i="3"/>
  <c r="I591" i="3"/>
  <c r="I558" i="3"/>
  <c r="U547" i="3"/>
  <c r="I543" i="3"/>
  <c r="U540" i="3"/>
  <c r="U537" i="3"/>
  <c r="F524" i="3"/>
  <c r="M524" i="3"/>
  <c r="U524" i="3"/>
  <c r="U518" i="3"/>
  <c r="F518" i="3"/>
  <c r="M518" i="3"/>
  <c r="F515" i="3"/>
  <c r="M515" i="3"/>
  <c r="U515" i="3"/>
  <c r="G487" i="3"/>
  <c r="I487" i="3"/>
  <c r="G482" i="3"/>
  <c r="I482" i="3"/>
  <c r="U475" i="3"/>
  <c r="F475" i="3"/>
  <c r="M475" i="3"/>
  <c r="F445" i="3"/>
  <c r="M445" i="3"/>
  <c r="U445" i="3"/>
  <c r="F415" i="3"/>
  <c r="M415" i="3"/>
  <c r="U415" i="3"/>
  <c r="G399" i="3"/>
  <c r="I399" i="3"/>
  <c r="G395" i="3"/>
  <c r="I395" i="3"/>
  <c r="G388" i="3"/>
  <c r="I388" i="3"/>
  <c r="G364" i="3"/>
  <c r="I364" i="3"/>
  <c r="F325" i="3"/>
  <c r="M325" i="3"/>
  <c r="G322" i="3"/>
  <c r="I322" i="3"/>
  <c r="I281" i="3"/>
  <c r="I208" i="3"/>
  <c r="G604" i="3"/>
  <c r="I604" i="3"/>
  <c r="G558" i="3"/>
  <c r="I550" i="3"/>
  <c r="I540" i="3"/>
  <c r="F505" i="3"/>
  <c r="M505" i="3"/>
  <c r="U505" i="3"/>
  <c r="F501" i="3"/>
  <c r="M501" i="3"/>
  <c r="U501" i="3"/>
  <c r="I490" i="3"/>
  <c r="U468" i="3"/>
  <c r="F468" i="3"/>
  <c r="M468" i="3"/>
  <c r="F463" i="3"/>
  <c r="M463" i="3"/>
  <c r="U463" i="3"/>
  <c r="F458" i="3"/>
  <c r="U458" i="3"/>
  <c r="U438" i="3"/>
  <c r="I434" i="3"/>
  <c r="G394" i="3"/>
  <c r="I394" i="3"/>
  <c r="G370" i="3"/>
  <c r="I370" i="3"/>
  <c r="I335" i="3"/>
  <c r="G335" i="3"/>
  <c r="G225" i="3"/>
  <c r="I225" i="3"/>
  <c r="U197" i="3"/>
  <c r="F197" i="3"/>
  <c r="M197" i="3"/>
  <c r="F157" i="3"/>
  <c r="M157" i="3"/>
  <c r="U157" i="3"/>
  <c r="U152" i="3"/>
  <c r="F152" i="3"/>
  <c r="M152" i="3"/>
  <c r="E272" i="3"/>
  <c r="E748" i="3"/>
  <c r="I680" i="3"/>
  <c r="I623" i="3"/>
  <c r="I616" i="3"/>
  <c r="I613" i="3"/>
  <c r="I511" i="3"/>
  <c r="F478" i="3"/>
  <c r="M478" i="3"/>
  <c r="U478" i="3"/>
  <c r="G462" i="3"/>
  <c r="I462" i="3"/>
  <c r="G438" i="3"/>
  <c r="I438" i="3"/>
  <c r="G423" i="3"/>
  <c r="I423" i="3"/>
  <c r="G418" i="3"/>
  <c r="I418" i="3"/>
  <c r="U404" i="3"/>
  <c r="F404" i="3"/>
  <c r="M404" i="3"/>
  <c r="F363" i="3"/>
  <c r="M363" i="3"/>
  <c r="U363" i="3"/>
  <c r="G340" i="3"/>
  <c r="I340" i="3"/>
  <c r="F285" i="3"/>
  <c r="M285" i="3"/>
  <c r="U285" i="3"/>
  <c r="G680" i="3"/>
  <c r="F675" i="3"/>
  <c r="M675" i="3"/>
  <c r="U675" i="3"/>
  <c r="I670" i="3"/>
  <c r="F627" i="3"/>
  <c r="M627" i="3"/>
  <c r="U627" i="3"/>
  <c r="G623" i="3"/>
  <c r="I619" i="3"/>
  <c r="G616" i="3"/>
  <c r="U588" i="3"/>
  <c r="F588" i="3"/>
  <c r="M588" i="3"/>
  <c r="G555" i="3"/>
  <c r="I555" i="3"/>
  <c r="I528" i="3"/>
  <c r="I523" i="3"/>
  <c r="G517" i="3"/>
  <c r="I517" i="3"/>
  <c r="F504" i="3"/>
  <c r="M504" i="3"/>
  <c r="U504" i="3"/>
  <c r="I486" i="3"/>
  <c r="G477" i="3"/>
  <c r="I477" i="3"/>
  <c r="U467" i="3"/>
  <c r="F467" i="3"/>
  <c r="M467" i="3"/>
  <c r="I426" i="3"/>
  <c r="F355" i="3"/>
  <c r="M355" i="3"/>
  <c r="U355" i="3"/>
  <c r="G238" i="3"/>
  <c r="I238" i="3"/>
  <c r="U479" i="3"/>
  <c r="G437" i="3"/>
  <c r="I437" i="3"/>
  <c r="F410" i="3"/>
  <c r="M410" i="3"/>
  <c r="U410" i="3"/>
  <c r="I374" i="3"/>
  <c r="U371" i="3"/>
  <c r="F371" i="3"/>
  <c r="M371" i="3"/>
  <c r="F356" i="3"/>
  <c r="M356" i="3"/>
  <c r="U356" i="3"/>
  <c r="G347" i="3"/>
  <c r="I347" i="3"/>
  <c r="F294" i="3"/>
  <c r="M294" i="3"/>
  <c r="U294" i="3"/>
  <c r="I243" i="3"/>
  <c r="U226" i="3"/>
  <c r="F226" i="3"/>
  <c r="M226" i="3"/>
  <c r="G222" i="3"/>
  <c r="I222" i="3"/>
  <c r="I186" i="3"/>
  <c r="G169" i="3"/>
  <c r="I169" i="3"/>
  <c r="F153" i="3"/>
  <c r="M153" i="3"/>
  <c r="U153" i="3"/>
  <c r="F500" i="3"/>
  <c r="M500" i="3"/>
  <c r="I474" i="3"/>
  <c r="G457" i="3"/>
  <c r="I457" i="3"/>
  <c r="G444" i="3"/>
  <c r="I444" i="3"/>
  <c r="I425" i="3"/>
  <c r="F409" i="3"/>
  <c r="M409" i="3"/>
  <c r="U387" i="3"/>
  <c r="F377" i="3"/>
  <c r="M377" i="3"/>
  <c r="U377" i="3"/>
  <c r="F350" i="3"/>
  <c r="M350" i="3"/>
  <c r="F336" i="3"/>
  <c r="M336" i="3"/>
  <c r="U336" i="3"/>
  <c r="I321" i="3"/>
  <c r="F308" i="3"/>
  <c r="M308" i="3"/>
  <c r="U308" i="3"/>
  <c r="F297" i="3"/>
  <c r="M297" i="3"/>
  <c r="U297" i="3"/>
  <c r="U289" i="3"/>
  <c r="F289" i="3"/>
  <c r="M289" i="3"/>
  <c r="G261" i="3"/>
  <c r="I261" i="3"/>
  <c r="I242" i="3"/>
  <c r="G242" i="3"/>
  <c r="U237" i="3"/>
  <c r="F237" i="3"/>
  <c r="M237" i="3"/>
  <c r="I233" i="3"/>
  <c r="G233" i="3"/>
  <c r="I221" i="3"/>
  <c r="G221" i="3"/>
  <c r="G215" i="3"/>
  <c r="I215" i="3"/>
  <c r="U398" i="3"/>
  <c r="F398" i="3"/>
  <c r="M398" i="3"/>
  <c r="G387" i="3"/>
  <c r="I387" i="3"/>
  <c r="G346" i="3"/>
  <c r="I346" i="3"/>
  <c r="I331" i="3"/>
  <c r="G324" i="3"/>
  <c r="I324" i="3"/>
  <c r="G307" i="3"/>
  <c r="I307" i="3"/>
  <c r="U265" i="3"/>
  <c r="F265" i="3"/>
  <c r="M265" i="3"/>
  <c r="G232" i="3"/>
  <c r="I232" i="3"/>
  <c r="G219" i="3"/>
  <c r="I219" i="3"/>
  <c r="I476" i="3"/>
  <c r="E452" i="3"/>
  <c r="E453" i="3"/>
  <c r="G439" i="3"/>
  <c r="I439" i="3"/>
  <c r="I427" i="3"/>
  <c r="G408" i="3"/>
  <c r="I408" i="3"/>
  <c r="I376" i="3"/>
  <c r="U373" i="3"/>
  <c r="F373" i="3"/>
  <c r="M373" i="3"/>
  <c r="F358" i="3"/>
  <c r="M358" i="3"/>
  <c r="F354" i="3"/>
  <c r="M354" i="3"/>
  <c r="F342" i="3"/>
  <c r="M342" i="3"/>
  <c r="U342" i="3"/>
  <c r="G339" i="3"/>
  <c r="I339" i="3"/>
  <c r="G328" i="3"/>
  <c r="I328" i="3"/>
  <c r="U301" i="3"/>
  <c r="F301" i="3"/>
  <c r="M301" i="3"/>
  <c r="F280" i="3"/>
  <c r="M280" i="3"/>
  <c r="U280" i="3"/>
  <c r="G246" i="3"/>
  <c r="I246" i="3"/>
  <c r="F229" i="3"/>
  <c r="M229" i="3"/>
  <c r="U229" i="3"/>
  <c r="G210" i="3"/>
  <c r="I210" i="3"/>
  <c r="G201" i="3"/>
  <c r="I201" i="3"/>
  <c r="I193" i="3"/>
  <c r="G193" i="3"/>
  <c r="I390" i="3"/>
  <c r="F362" i="3"/>
  <c r="M362" i="3"/>
  <c r="U362" i="3"/>
  <c r="F288" i="3"/>
  <c r="M288" i="3"/>
  <c r="U288" i="3"/>
  <c r="F171" i="3"/>
  <c r="M171" i="3"/>
  <c r="U171" i="3"/>
  <c r="U166" i="3"/>
  <c r="F166" i="3"/>
  <c r="M166" i="3"/>
  <c r="F128" i="3"/>
  <c r="M128" i="3"/>
  <c r="U128" i="3"/>
  <c r="I469" i="3"/>
  <c r="U466" i="3"/>
  <c r="G435" i="3"/>
  <c r="I435" i="3"/>
  <c r="F432" i="3"/>
  <c r="M432" i="3"/>
  <c r="I429" i="3"/>
  <c r="I397" i="3"/>
  <c r="I379" i="3"/>
  <c r="I372" i="3"/>
  <c r="U369" i="3"/>
  <c r="F369" i="3"/>
  <c r="M369" i="3"/>
  <c r="U364" i="3"/>
  <c r="F361" i="3"/>
  <c r="M361" i="3"/>
  <c r="U361" i="3"/>
  <c r="U357" i="3"/>
  <c r="F357" i="3"/>
  <c r="M357" i="3"/>
  <c r="F353" i="3"/>
  <c r="M353" i="3"/>
  <c r="U353" i="3"/>
  <c r="G349" i="3"/>
  <c r="I349" i="3"/>
  <c r="I345" i="3"/>
  <c r="I341" i="3"/>
  <c r="F327" i="3"/>
  <c r="M327" i="3"/>
  <c r="U320" i="3"/>
  <c r="F292" i="3"/>
  <c r="M292" i="3"/>
  <c r="U292" i="3"/>
  <c r="F279" i="3"/>
  <c r="M279" i="3"/>
  <c r="U279" i="3"/>
  <c r="I270" i="3"/>
  <c r="G270" i="3"/>
  <c r="G257" i="3"/>
  <c r="I257" i="3"/>
  <c r="F250" i="3"/>
  <c r="M250" i="3"/>
  <c r="U250" i="3"/>
  <c r="I471" i="3"/>
  <c r="U368" i="3"/>
  <c r="G330" i="3"/>
  <c r="I330" i="3"/>
  <c r="G320" i="3"/>
  <c r="I320" i="3"/>
  <c r="F300" i="3"/>
  <c r="M300" i="3"/>
  <c r="U300" i="3"/>
  <c r="U287" i="3"/>
  <c r="F287" i="3"/>
  <c r="M287" i="3"/>
  <c r="G264" i="3"/>
  <c r="I264" i="3"/>
  <c r="I244" i="3"/>
  <c r="G244" i="3"/>
  <c r="I235" i="3"/>
  <c r="G223" i="3"/>
  <c r="I223" i="3"/>
  <c r="G218" i="3"/>
  <c r="I218" i="3"/>
  <c r="G213" i="3"/>
  <c r="I213" i="3"/>
  <c r="U206" i="3"/>
  <c r="F206" i="3"/>
  <c r="M206" i="3"/>
  <c r="F386" i="3"/>
  <c r="M386" i="3"/>
  <c r="U386" i="3"/>
  <c r="U338" i="3"/>
  <c r="F338" i="3"/>
  <c r="M338" i="3"/>
  <c r="F334" i="3"/>
  <c r="M334" i="3"/>
  <c r="U334" i="3"/>
  <c r="F311" i="3"/>
  <c r="M311" i="3"/>
  <c r="U311" i="3"/>
  <c r="F305" i="3"/>
  <c r="M305" i="3"/>
  <c r="U305" i="3"/>
  <c r="I295" i="3"/>
  <c r="G200" i="3"/>
  <c r="I200" i="3"/>
  <c r="F175" i="3"/>
  <c r="M175" i="3"/>
  <c r="U175" i="3"/>
  <c r="F147" i="3"/>
  <c r="M147" i="3"/>
  <c r="U147" i="3"/>
  <c r="I381" i="3"/>
  <c r="U375" i="3"/>
  <c r="F375" i="3"/>
  <c r="M375" i="3"/>
  <c r="F348" i="3"/>
  <c r="M348" i="3"/>
  <c r="U348" i="3"/>
  <c r="U344" i="3"/>
  <c r="F344" i="3"/>
  <c r="M344" i="3"/>
  <c r="M319" i="3"/>
  <c r="U299" i="3"/>
  <c r="F299" i="3"/>
  <c r="M299" i="3"/>
  <c r="I286" i="3"/>
  <c r="F282" i="3"/>
  <c r="M282" i="3"/>
  <c r="U282" i="3"/>
  <c r="I227" i="3"/>
  <c r="G227" i="3"/>
  <c r="G191" i="3"/>
  <c r="I191" i="3"/>
  <c r="U420" i="3"/>
  <c r="F420" i="3"/>
  <c r="M420" i="3"/>
  <c r="F414" i="3"/>
  <c r="M414" i="3"/>
  <c r="U414" i="3"/>
  <c r="I378" i="3"/>
  <c r="I333" i="3"/>
  <c r="I326" i="3"/>
  <c r="G326" i="3"/>
  <c r="F310" i="3"/>
  <c r="M310" i="3"/>
  <c r="U310" i="3"/>
  <c r="F303" i="3"/>
  <c r="M303" i="3"/>
  <c r="U303" i="3"/>
  <c r="F269" i="3"/>
  <c r="M269" i="3"/>
  <c r="U269" i="3"/>
  <c r="I259" i="3"/>
  <c r="I256" i="3"/>
  <c r="G253" i="3"/>
  <c r="I253" i="3"/>
  <c r="I239" i="3"/>
  <c r="G199" i="3"/>
  <c r="I199" i="3"/>
  <c r="G137" i="3"/>
  <c r="I137" i="3"/>
  <c r="I190" i="3"/>
  <c r="G182" i="3"/>
  <c r="I182" i="3"/>
  <c r="F129" i="3"/>
  <c r="M129" i="3"/>
  <c r="U129" i="3"/>
  <c r="F97" i="3"/>
  <c r="M97" i="3"/>
  <c r="U97" i="3"/>
  <c r="U57" i="3"/>
  <c r="F57" i="3"/>
  <c r="M57" i="3"/>
  <c r="G29" i="3"/>
  <c r="I29" i="3"/>
  <c r="I192" i="3"/>
  <c r="U189" i="3"/>
  <c r="F189" i="3"/>
  <c r="M189" i="3"/>
  <c r="F181" i="3"/>
  <c r="M181" i="3"/>
  <c r="U181" i="3"/>
  <c r="U174" i="3"/>
  <c r="F174" i="3"/>
  <c r="M174" i="3"/>
  <c r="F161" i="3"/>
  <c r="M161" i="3"/>
  <c r="U161" i="3"/>
  <c r="U151" i="3"/>
  <c r="G111" i="3"/>
  <c r="I111" i="3"/>
  <c r="F105" i="3"/>
  <c r="M105" i="3"/>
  <c r="U105" i="3"/>
  <c r="G73" i="3"/>
  <c r="I73" i="3"/>
  <c r="G165" i="3"/>
  <c r="I165" i="3"/>
  <c r="G151" i="3"/>
  <c r="I151" i="3"/>
  <c r="U146" i="3"/>
  <c r="F146" i="3"/>
  <c r="M146" i="3"/>
  <c r="F302" i="3"/>
  <c r="M302" i="3"/>
  <c r="F290" i="3"/>
  <c r="M290" i="3"/>
  <c r="F278" i="3"/>
  <c r="M278" i="3"/>
  <c r="I263" i="3"/>
  <c r="G231" i="3"/>
  <c r="I231" i="3"/>
  <c r="I228" i="3"/>
  <c r="U221" i="3"/>
  <c r="I207" i="3"/>
  <c r="I184" i="3"/>
  <c r="F177" i="3"/>
  <c r="M177" i="3"/>
  <c r="U177" i="3"/>
  <c r="G173" i="3"/>
  <c r="I173" i="3"/>
  <c r="G140" i="3"/>
  <c r="I140" i="3"/>
  <c r="U120" i="3"/>
  <c r="F120" i="3"/>
  <c r="M120" i="3"/>
  <c r="F100" i="3"/>
  <c r="M100" i="3"/>
  <c r="U100" i="3"/>
  <c r="G72" i="3"/>
  <c r="I72" i="3"/>
  <c r="G11" i="3"/>
  <c r="I11" i="3"/>
  <c r="F234" i="3"/>
  <c r="M234" i="3"/>
  <c r="F217" i="3"/>
  <c r="M217" i="3"/>
  <c r="G207" i="3"/>
  <c r="I202" i="3"/>
  <c r="U169" i="3"/>
  <c r="G160" i="3"/>
  <c r="I160" i="3"/>
  <c r="I155" i="3"/>
  <c r="U150" i="3"/>
  <c r="F150" i="3"/>
  <c r="M150" i="3"/>
  <c r="U136" i="3"/>
  <c r="F110" i="3"/>
  <c r="M110" i="3"/>
  <c r="U110" i="3"/>
  <c r="E70" i="3"/>
  <c r="E77" i="3"/>
  <c r="F252" i="3"/>
  <c r="M252" i="3"/>
  <c r="U252" i="3"/>
  <c r="F245" i="3"/>
  <c r="M245" i="3"/>
  <c r="U245" i="3"/>
  <c r="G224" i="3"/>
  <c r="I224" i="3"/>
  <c r="I195" i="3"/>
  <c r="U164" i="3"/>
  <c r="F164" i="3"/>
  <c r="M164" i="3"/>
  <c r="F149" i="3"/>
  <c r="M149" i="3"/>
  <c r="U149" i="3"/>
  <c r="F144" i="3"/>
  <c r="M144" i="3"/>
  <c r="U144" i="3"/>
  <c r="F99" i="3"/>
  <c r="M99" i="3"/>
  <c r="U99" i="3"/>
  <c r="G85" i="3"/>
  <c r="I85" i="3"/>
  <c r="G18" i="3"/>
  <c r="I18" i="3"/>
  <c r="U251" i="3"/>
  <c r="I209" i="3"/>
  <c r="I198" i="3"/>
  <c r="U172" i="3"/>
  <c r="F159" i="3"/>
  <c r="M159" i="3"/>
  <c r="U159" i="3"/>
  <c r="M136" i="3"/>
  <c r="I125" i="3"/>
  <c r="G125" i="3"/>
  <c r="U119" i="3"/>
  <c r="F119" i="3"/>
  <c r="M119" i="3"/>
  <c r="F109" i="3"/>
  <c r="M109" i="3"/>
  <c r="U109" i="3"/>
  <c r="G31" i="3"/>
  <c r="I31" i="3"/>
  <c r="U187" i="3"/>
  <c r="F187" i="3"/>
  <c r="M187" i="3"/>
  <c r="G143" i="3"/>
  <c r="I143" i="3"/>
  <c r="I84" i="3"/>
  <c r="G84" i="3"/>
  <c r="U240" i="3"/>
  <c r="F240" i="3"/>
  <c r="M240" i="3"/>
  <c r="G236" i="3"/>
  <c r="I236" i="3"/>
  <c r="I230" i="3"/>
  <c r="F216" i="3"/>
  <c r="M216" i="3"/>
  <c r="U216" i="3"/>
  <c r="I179" i="3"/>
  <c r="I168" i="3"/>
  <c r="G168" i="3"/>
  <c r="I158" i="3"/>
  <c r="G158" i="3"/>
  <c r="U108" i="3"/>
  <c r="F108" i="3"/>
  <c r="M108" i="3"/>
  <c r="F58" i="3"/>
  <c r="M58" i="3"/>
  <c r="U58" i="3"/>
  <c r="F162" i="3"/>
  <c r="M162" i="3"/>
  <c r="U162" i="3"/>
  <c r="F115" i="3"/>
  <c r="M115" i="3"/>
  <c r="U115" i="3"/>
  <c r="F104" i="3"/>
  <c r="M104" i="3"/>
  <c r="U104" i="3"/>
  <c r="I82" i="3"/>
  <c r="G82" i="3"/>
  <c r="U12" i="3"/>
  <c r="F12" i="3"/>
  <c r="M12" i="3"/>
  <c r="F183" i="3"/>
  <c r="M183" i="3"/>
  <c r="U183" i="3"/>
  <c r="I154" i="3"/>
  <c r="U142" i="3"/>
  <c r="F124" i="3"/>
  <c r="M124" i="3"/>
  <c r="U124" i="3"/>
  <c r="F103" i="3"/>
  <c r="M103" i="3"/>
  <c r="U103" i="3"/>
  <c r="G62" i="3"/>
  <c r="I62" i="3"/>
  <c r="R181" i="24"/>
  <c r="Q181" i="24"/>
  <c r="P181" i="24"/>
  <c r="F118" i="3"/>
  <c r="M118" i="3"/>
  <c r="U118" i="3"/>
  <c r="U96" i="3"/>
  <c r="F96" i="3"/>
  <c r="M96" i="3"/>
  <c r="I88" i="3"/>
  <c r="G88" i="3"/>
  <c r="U145" i="3"/>
  <c r="I142" i="3"/>
  <c r="U130" i="3"/>
  <c r="U127" i="3"/>
  <c r="F127" i="3"/>
  <c r="M127" i="3"/>
  <c r="U123" i="3"/>
  <c r="F123" i="3"/>
  <c r="M123" i="3"/>
  <c r="U107" i="3"/>
  <c r="F107" i="3"/>
  <c r="M107" i="3"/>
  <c r="H13" i="24"/>
  <c r="M13" i="24"/>
  <c r="U84" i="3"/>
  <c r="U16" i="3"/>
  <c r="F16" i="3"/>
  <c r="M16" i="3"/>
  <c r="G176" i="3"/>
  <c r="I176" i="3"/>
  <c r="G170" i="3"/>
  <c r="I170" i="3"/>
  <c r="F167" i="3"/>
  <c r="M167" i="3"/>
  <c r="U167" i="3"/>
  <c r="F156" i="3"/>
  <c r="M156" i="3"/>
  <c r="U156" i="3"/>
  <c r="I145" i="3"/>
  <c r="F138" i="3"/>
  <c r="M138" i="3"/>
  <c r="U138" i="3"/>
  <c r="I130" i="3"/>
  <c r="G122" i="3"/>
  <c r="I122" i="3"/>
  <c r="F117" i="3"/>
  <c r="M117" i="3"/>
  <c r="U117" i="3"/>
  <c r="F106" i="3"/>
  <c r="M106" i="3"/>
  <c r="U106" i="3"/>
  <c r="H16" i="24"/>
  <c r="M16" i="24"/>
  <c r="F87" i="3"/>
  <c r="M87" i="3"/>
  <c r="U87" i="3"/>
  <c r="G61" i="3"/>
  <c r="I61" i="3"/>
  <c r="F113" i="3"/>
  <c r="M113" i="3"/>
  <c r="U113" i="3"/>
  <c r="U95" i="3"/>
  <c r="F95" i="3"/>
  <c r="E132" i="3"/>
  <c r="G55" i="3"/>
  <c r="I55" i="3"/>
  <c r="I163" i="3"/>
  <c r="F116" i="3"/>
  <c r="M116" i="3"/>
  <c r="U116" i="3"/>
  <c r="F98" i="3"/>
  <c r="M98" i="3"/>
  <c r="U98" i="3"/>
  <c r="H8" i="24"/>
  <c r="M8" i="24"/>
  <c r="U79" i="3"/>
  <c r="F79" i="3"/>
  <c r="U64" i="3"/>
  <c r="F64" i="3"/>
  <c r="M64" i="3"/>
  <c r="M27" i="3"/>
  <c r="F35" i="3"/>
  <c r="G8" i="3"/>
  <c r="I8" i="3"/>
  <c r="F112" i="3"/>
  <c r="M112" i="3"/>
  <c r="U112" i="3"/>
  <c r="F101" i="3"/>
  <c r="M101" i="3"/>
  <c r="U101" i="3"/>
  <c r="I74" i="3"/>
  <c r="G74" i="3"/>
  <c r="G67" i="3"/>
  <c r="I67" i="3"/>
  <c r="G63" i="3"/>
  <c r="I63" i="3"/>
  <c r="G59" i="3"/>
  <c r="I59" i="3"/>
  <c r="F54" i="3"/>
  <c r="M54" i="3"/>
  <c r="U54" i="3"/>
  <c r="G22" i="3"/>
  <c r="I22" i="3"/>
  <c r="I186" i="22"/>
  <c r="F86" i="3"/>
  <c r="M86" i="3"/>
  <c r="F17" i="3"/>
  <c r="M17" i="3"/>
  <c r="U17" i="3"/>
  <c r="G10" i="3"/>
  <c r="I10" i="3"/>
  <c r="E81" i="3"/>
  <c r="G10" i="24"/>
  <c r="L10" i="24"/>
  <c r="G44" i="3"/>
  <c r="I44" i="3"/>
  <c r="G40" i="3"/>
  <c r="I40" i="3"/>
  <c r="G30" i="3"/>
  <c r="I30" i="3"/>
  <c r="U66" i="3"/>
  <c r="F66" i="3"/>
  <c r="M66" i="3"/>
  <c r="U60" i="3"/>
  <c r="M52" i="3"/>
  <c r="P160" i="24"/>
  <c r="Q160" i="24"/>
  <c r="R160" i="24"/>
  <c r="G56" i="3"/>
  <c r="I56" i="3"/>
  <c r="G28" i="3"/>
  <c r="I28" i="3"/>
  <c r="I20" i="3"/>
  <c r="G20" i="3"/>
  <c r="G15" i="3"/>
  <c r="I15" i="3"/>
  <c r="R128" i="24"/>
  <c r="Q128" i="24"/>
  <c r="P128" i="24"/>
  <c r="G9" i="24"/>
  <c r="L9" i="24"/>
  <c r="E80" i="3"/>
  <c r="G26" i="3"/>
  <c r="I26" i="3"/>
  <c r="S176" i="24"/>
  <c r="T176" i="24"/>
  <c r="G46" i="3"/>
  <c r="I46" i="3"/>
  <c r="G42" i="3"/>
  <c r="I42" i="3"/>
  <c r="E38" i="3"/>
  <c r="G9" i="22"/>
  <c r="O9" i="22"/>
  <c r="F34" i="3"/>
  <c r="G13" i="3"/>
  <c r="I13" i="3"/>
  <c r="Q173" i="24"/>
  <c r="R173" i="24"/>
  <c r="P173" i="24"/>
  <c r="S173" i="24"/>
  <c r="T173" i="24"/>
  <c r="F45" i="3"/>
  <c r="M45" i="3"/>
  <c r="F43" i="3"/>
  <c r="M43" i="3"/>
  <c r="F41" i="3"/>
  <c r="M41" i="3"/>
  <c r="F39" i="3"/>
  <c r="M39" i="3"/>
  <c r="F14" i="3"/>
  <c r="M14" i="3"/>
  <c r="Q159" i="24"/>
  <c r="P159" i="24"/>
  <c r="R159" i="24"/>
  <c r="H14" i="22"/>
  <c r="P14" i="22"/>
  <c r="P168" i="24"/>
  <c r="S168" i="24"/>
  <c r="T168" i="24"/>
  <c r="Q168" i="24"/>
  <c r="R168" i="24"/>
  <c r="F53" i="3"/>
  <c r="M53" i="3"/>
  <c r="I21" i="3"/>
  <c r="I19" i="3"/>
  <c r="U13" i="3"/>
  <c r="U11" i="3"/>
  <c r="I9" i="3"/>
  <c r="E37" i="3"/>
  <c r="R140" i="24"/>
  <c r="Q140" i="24"/>
  <c r="P140" i="24"/>
  <c r="S140" i="24"/>
  <c r="T140" i="24"/>
  <c r="P132" i="24"/>
  <c r="Q132" i="24"/>
  <c r="R132" i="24"/>
  <c r="P78" i="24"/>
  <c r="S78" i="24"/>
  <c r="T78" i="24"/>
  <c r="R78" i="24"/>
  <c r="Q78" i="24"/>
  <c r="E24" i="3"/>
  <c r="H10" i="22"/>
  <c r="P10" i="22"/>
  <c r="S145" i="24"/>
  <c r="T145" i="24"/>
  <c r="E35" i="3"/>
  <c r="P102" i="24"/>
  <c r="R102" i="24"/>
  <c r="Q102" i="24"/>
  <c r="S185" i="24"/>
  <c r="T185" i="24"/>
  <c r="U45" i="3"/>
  <c r="U41" i="3"/>
  <c r="R164" i="24"/>
  <c r="Q164" i="24"/>
  <c r="P164" i="24"/>
  <c r="P144" i="24"/>
  <c r="Q144" i="24"/>
  <c r="R144" i="24"/>
  <c r="P156" i="24"/>
  <c r="S156" i="24"/>
  <c r="T156" i="24"/>
  <c r="Q156" i="24"/>
  <c r="R156" i="24"/>
  <c r="R152" i="24"/>
  <c r="Q152" i="24"/>
  <c r="S152" i="24"/>
  <c r="T152" i="24"/>
  <c r="Q39" i="24"/>
  <c r="R39" i="24"/>
  <c r="P39" i="24"/>
  <c r="S39" i="24"/>
  <c r="T39" i="24"/>
  <c r="T183" i="24"/>
  <c r="P183" i="24"/>
  <c r="S183" i="24"/>
  <c r="P172" i="24"/>
  <c r="S172" i="24"/>
  <c r="T172" i="24"/>
  <c r="Q172" i="24"/>
  <c r="P148" i="24"/>
  <c r="Q148" i="24"/>
  <c r="R148" i="24"/>
  <c r="S126" i="24"/>
  <c r="T126" i="24"/>
  <c r="P180" i="24"/>
  <c r="Q180" i="24"/>
  <c r="R180" i="24"/>
  <c r="P90" i="24"/>
  <c r="S90" i="24"/>
  <c r="T90" i="24"/>
  <c r="R90" i="24"/>
  <c r="W8" i="22"/>
  <c r="Q185" i="24"/>
  <c r="R185" i="24"/>
  <c r="R176" i="24"/>
  <c r="Q171" i="24"/>
  <c r="P171" i="24"/>
  <c r="S171" i="24"/>
  <c r="T171" i="24"/>
  <c r="S150" i="24"/>
  <c r="T150" i="24"/>
  <c r="Q147" i="24"/>
  <c r="T147" i="24"/>
  <c r="P147" i="24"/>
  <c r="S147" i="24"/>
  <c r="S133" i="24"/>
  <c r="T133" i="24"/>
  <c r="P113" i="24"/>
  <c r="R113" i="24"/>
  <c r="S182" i="24"/>
  <c r="T182" i="24"/>
  <c r="Q176" i="24"/>
  <c r="P136" i="24"/>
  <c r="Q136" i="24"/>
  <c r="R136" i="24"/>
  <c r="S170" i="24"/>
  <c r="T170" i="24"/>
  <c r="S116" i="24"/>
  <c r="P184" i="24"/>
  <c r="Q184" i="24"/>
  <c r="S175" i="24"/>
  <c r="T175" i="24"/>
  <c r="S138" i="24"/>
  <c r="T138" i="24"/>
  <c r="Q135" i="24"/>
  <c r="P135" i="24"/>
  <c r="S135" i="24"/>
  <c r="T135" i="24"/>
  <c r="I187" i="24"/>
  <c r="O178" i="24"/>
  <c r="O166" i="24"/>
  <c r="O154" i="24"/>
  <c r="O142" i="24"/>
  <c r="O130" i="24"/>
  <c r="T116" i="24"/>
  <c r="R123" i="24"/>
  <c r="P123" i="24"/>
  <c r="S123" i="24"/>
  <c r="T123" i="24"/>
  <c r="O101" i="24"/>
  <c r="O89" i="24"/>
  <c r="O77" i="24"/>
  <c r="R182" i="24"/>
  <c r="O179" i="24"/>
  <c r="R170" i="24"/>
  <c r="O167" i="24"/>
  <c r="R158" i="24"/>
  <c r="S158" i="24"/>
  <c r="T158" i="24"/>
  <c r="O155" i="24"/>
  <c r="R146" i="24"/>
  <c r="S146" i="24"/>
  <c r="T146" i="24"/>
  <c r="O143" i="24"/>
  <c r="R134" i="24"/>
  <c r="S134" i="24"/>
  <c r="T134" i="24"/>
  <c r="O131" i="24"/>
  <c r="P115" i="24"/>
  <c r="Q115" i="24"/>
  <c r="R115" i="24"/>
  <c r="O177" i="24"/>
  <c r="O165" i="24"/>
  <c r="O153" i="24"/>
  <c r="O141" i="24"/>
  <c r="O129" i="24"/>
  <c r="O104" i="24"/>
  <c r="O92" i="24"/>
  <c r="O80" i="24"/>
  <c r="O68" i="24"/>
  <c r="O63" i="24"/>
  <c r="O51" i="24"/>
  <c r="R161" i="24"/>
  <c r="S161" i="24"/>
  <c r="T161" i="24"/>
  <c r="R149" i="24"/>
  <c r="S149" i="24"/>
  <c r="T149" i="24"/>
  <c r="R137" i="24"/>
  <c r="S137" i="24"/>
  <c r="T137" i="24"/>
  <c r="P125" i="24"/>
  <c r="S125" i="24"/>
  <c r="R125" i="24"/>
  <c r="T125" i="24"/>
  <c r="O29" i="24"/>
  <c r="O41" i="24"/>
  <c r="O53" i="24"/>
  <c r="O65" i="24"/>
  <c r="O36" i="24"/>
  <c r="O48" i="24"/>
  <c r="O60" i="24"/>
  <c r="O72" i="24"/>
  <c r="O84" i="24"/>
  <c r="O96" i="24"/>
  <c r="O108" i="24"/>
  <c r="O120" i="24"/>
  <c r="O31" i="24"/>
  <c r="O43" i="24"/>
  <c r="O55" i="24"/>
  <c r="O67" i="24"/>
  <c r="O79" i="24"/>
  <c r="O91" i="24"/>
  <c r="O103" i="24"/>
  <c r="O38" i="24"/>
  <c r="O50" i="24"/>
  <c r="O62" i="24"/>
  <c r="O74" i="24"/>
  <c r="O86" i="24"/>
  <c r="O98" i="24"/>
  <c r="O110" i="24"/>
  <c r="O122" i="24"/>
  <c r="O33" i="24"/>
  <c r="O45" i="24"/>
  <c r="O57" i="24"/>
  <c r="O69" i="24"/>
  <c r="O81" i="24"/>
  <c r="O93" i="24"/>
  <c r="O105" i="24"/>
  <c r="O117" i="24"/>
  <c r="O28" i="24"/>
  <c r="O40" i="24"/>
  <c r="O52" i="24"/>
  <c r="O64" i="24"/>
  <c r="O76" i="24"/>
  <c r="O88" i="24"/>
  <c r="O100" i="24"/>
  <c r="O112" i="24"/>
  <c r="O124" i="24"/>
  <c r="O35" i="24"/>
  <c r="O47" i="24"/>
  <c r="O59" i="24"/>
  <c r="O71" i="24"/>
  <c r="O83" i="24"/>
  <c r="O95" i="24"/>
  <c r="O107" i="24"/>
  <c r="O119" i="24"/>
  <c r="O30" i="24"/>
  <c r="O42" i="24"/>
  <c r="O54" i="24"/>
  <c r="O66" i="24"/>
  <c r="O37" i="24"/>
  <c r="O49" i="24"/>
  <c r="O61" i="24"/>
  <c r="O73" i="24"/>
  <c r="O85" i="24"/>
  <c r="O97" i="24"/>
  <c r="O109" i="24"/>
  <c r="O121" i="24"/>
  <c r="O34" i="24"/>
  <c r="O46" i="24"/>
  <c r="O58" i="24"/>
  <c r="O70" i="24"/>
  <c r="O82" i="24"/>
  <c r="O94" i="24"/>
  <c r="O106" i="24"/>
  <c r="O118" i="24"/>
  <c r="O151" i="24"/>
  <c r="O139" i="24"/>
  <c r="O127" i="24"/>
  <c r="R114" i="24"/>
  <c r="S114" i="24"/>
  <c r="T114" i="24"/>
  <c r="O56" i="24"/>
  <c r="O44" i="24"/>
  <c r="O32" i="24"/>
  <c r="R111" i="24"/>
  <c r="T111" i="24"/>
  <c r="P111" i="24"/>
  <c r="S111" i="24"/>
  <c r="R99" i="24"/>
  <c r="P99" i="24"/>
  <c r="S99" i="24"/>
  <c r="T99" i="24"/>
  <c r="R87" i="24"/>
  <c r="P87" i="24"/>
  <c r="S87" i="24"/>
  <c r="T87" i="24"/>
  <c r="R75" i="24"/>
  <c r="T75" i="24"/>
  <c r="P75" i="24"/>
  <c r="S75" i="24"/>
  <c r="P88" i="24"/>
  <c r="S88" i="24"/>
  <c r="T88" i="24"/>
  <c r="R88" i="24"/>
  <c r="Q88" i="24"/>
  <c r="G66" i="3"/>
  <c r="I66" i="3"/>
  <c r="G161" i="3"/>
  <c r="I161" i="3"/>
  <c r="G648" i="3"/>
  <c r="I648" i="3"/>
  <c r="G829" i="3"/>
  <c r="I829" i="3"/>
  <c r="Q119" i="24"/>
  <c r="P119" i="24"/>
  <c r="R119" i="24"/>
  <c r="G108" i="3"/>
  <c r="I108" i="3"/>
  <c r="G174" i="3"/>
  <c r="I174" i="3"/>
  <c r="F941" i="3"/>
  <c r="M941" i="3"/>
  <c r="U941" i="3"/>
  <c r="G776" i="3"/>
  <c r="I776" i="3"/>
  <c r="P127" i="24"/>
  <c r="Q127" i="24"/>
  <c r="R127" i="24"/>
  <c r="R109" i="24"/>
  <c r="P109" i="24"/>
  <c r="Q109" i="24"/>
  <c r="Q107" i="24"/>
  <c r="P107" i="24"/>
  <c r="R107" i="24"/>
  <c r="P64" i="24"/>
  <c r="Q64" i="24"/>
  <c r="R64" i="24"/>
  <c r="P122" i="24"/>
  <c r="S122" i="24"/>
  <c r="T122" i="24"/>
  <c r="Q122" i="24"/>
  <c r="R122" i="24"/>
  <c r="P55" i="24"/>
  <c r="Q55" i="24"/>
  <c r="R55" i="24"/>
  <c r="P53" i="24"/>
  <c r="Q53" i="24"/>
  <c r="R53" i="24"/>
  <c r="Q68" i="24"/>
  <c r="P68" i="24"/>
  <c r="R68" i="24"/>
  <c r="P131" i="24"/>
  <c r="Q131" i="24"/>
  <c r="R131" i="24"/>
  <c r="P101" i="24"/>
  <c r="Q101" i="24"/>
  <c r="R101" i="24"/>
  <c r="S159" i="24"/>
  <c r="T159" i="24"/>
  <c r="I86" i="3"/>
  <c r="G86" i="3"/>
  <c r="M79" i="3"/>
  <c r="G299" i="3"/>
  <c r="I299" i="3"/>
  <c r="G147" i="3"/>
  <c r="I147" i="3"/>
  <c r="G338" i="3"/>
  <c r="I338" i="3"/>
  <c r="G292" i="3"/>
  <c r="I292" i="3"/>
  <c r="G361" i="3"/>
  <c r="I361" i="3"/>
  <c r="G301" i="3"/>
  <c r="I301" i="3"/>
  <c r="G377" i="3"/>
  <c r="I377" i="3"/>
  <c r="G468" i="3"/>
  <c r="I468" i="3"/>
  <c r="G518" i="3"/>
  <c r="I518" i="3"/>
  <c r="G660" i="3"/>
  <c r="I660" i="3"/>
  <c r="G480" i="3"/>
  <c r="I480" i="3"/>
  <c r="F769" i="3"/>
  <c r="M769" i="3"/>
  <c r="U769" i="3"/>
  <c r="G539" i="3"/>
  <c r="I539" i="3"/>
  <c r="G831" i="3"/>
  <c r="I831" i="3"/>
  <c r="G761" i="3"/>
  <c r="I761" i="3"/>
  <c r="G507" i="3"/>
  <c r="I507" i="3"/>
  <c r="G916" i="3"/>
  <c r="I916" i="3"/>
  <c r="G1033" i="3"/>
  <c r="I1033" i="3"/>
  <c r="G730" i="3"/>
  <c r="I730" i="3"/>
  <c r="F1049" i="3"/>
  <c r="M1049" i="3"/>
  <c r="U1049" i="3"/>
  <c r="G1011" i="3"/>
  <c r="I1011" i="3"/>
  <c r="D1057" i="3"/>
  <c r="E1057" i="3"/>
  <c r="C1072" i="3"/>
  <c r="D1072" i="3"/>
  <c r="E1072" i="3"/>
  <c r="I861" i="3"/>
  <c r="G861" i="3"/>
  <c r="F1023" i="3"/>
  <c r="M1023" i="3"/>
  <c r="U1023" i="3"/>
  <c r="G1058" i="3"/>
  <c r="I1058" i="3"/>
  <c r="G936" i="3"/>
  <c r="I936" i="3"/>
  <c r="G1073" i="3"/>
  <c r="I1073" i="3"/>
  <c r="U797" i="3"/>
  <c r="F797" i="3"/>
  <c r="M797" i="3"/>
  <c r="R56" i="24"/>
  <c r="Q56" i="24"/>
  <c r="P56" i="24"/>
  <c r="S56" i="24"/>
  <c r="T56" i="24"/>
  <c r="P79" i="24"/>
  <c r="Q79" i="24"/>
  <c r="R79" i="24"/>
  <c r="H8" i="22"/>
  <c r="P8" i="22"/>
  <c r="F37" i="3"/>
  <c r="E48" i="3"/>
  <c r="U37" i="3"/>
  <c r="G183" i="3"/>
  <c r="I183" i="3"/>
  <c r="G282" i="3"/>
  <c r="I282" i="3"/>
  <c r="G350" i="3"/>
  <c r="I350" i="3"/>
  <c r="G559" i="3"/>
  <c r="I559" i="3"/>
  <c r="U923" i="3"/>
  <c r="F923" i="3"/>
  <c r="M923" i="3"/>
  <c r="G702" i="3"/>
  <c r="I702" i="3"/>
  <c r="I1060" i="3"/>
  <c r="G1060" i="3"/>
  <c r="T121" i="24"/>
  <c r="R121" i="24"/>
  <c r="P121" i="24"/>
  <c r="S121" i="24"/>
  <c r="Q121" i="24"/>
  <c r="Q63" i="24"/>
  <c r="R63" i="24"/>
  <c r="P63" i="24"/>
  <c r="F132" i="3"/>
  <c r="M95" i="3"/>
  <c r="G119" i="3"/>
  <c r="I119" i="3"/>
  <c r="I97" i="3"/>
  <c r="G97" i="3"/>
  <c r="G398" i="3"/>
  <c r="I398" i="3"/>
  <c r="G337" i="3"/>
  <c r="I337" i="3"/>
  <c r="F789" i="3"/>
  <c r="M789" i="3"/>
  <c r="U789" i="3"/>
  <c r="P139" i="24"/>
  <c r="Q139" i="24"/>
  <c r="R139" i="24"/>
  <c r="Q80" i="24"/>
  <c r="P80" i="24"/>
  <c r="R80" i="24"/>
  <c r="S180" i="24"/>
  <c r="T180" i="24"/>
  <c r="H9" i="24"/>
  <c r="M9" i="24"/>
  <c r="U80" i="3"/>
  <c r="F80" i="3"/>
  <c r="M80" i="3"/>
  <c r="E90" i="3"/>
  <c r="G100" i="3"/>
  <c r="I100" i="3"/>
  <c r="G129" i="3"/>
  <c r="I129" i="3"/>
  <c r="I289" i="3"/>
  <c r="G289" i="3"/>
  <c r="G356" i="3"/>
  <c r="I356" i="3"/>
  <c r="G355" i="3"/>
  <c r="I355" i="3"/>
  <c r="G415" i="3"/>
  <c r="I415" i="3"/>
  <c r="G359" i="3"/>
  <c r="I359" i="3"/>
  <c r="G637" i="3"/>
  <c r="I637" i="3"/>
  <c r="G726" i="3"/>
  <c r="I726" i="3"/>
  <c r="G909" i="3"/>
  <c r="I909" i="3"/>
  <c r="G770" i="3"/>
  <c r="I770" i="3"/>
  <c r="F632" i="3"/>
  <c r="G652" i="3"/>
  <c r="I652" i="3"/>
  <c r="I822" i="3"/>
  <c r="G822" i="3"/>
  <c r="G987" i="3"/>
  <c r="I987" i="3"/>
  <c r="G873" i="3"/>
  <c r="I873" i="3"/>
  <c r="F984" i="3"/>
  <c r="M984" i="3"/>
  <c r="U984" i="3"/>
  <c r="U719" i="3"/>
  <c r="F719" i="3"/>
  <c r="M719" i="3"/>
  <c r="G449" i="3"/>
  <c r="I449" i="3"/>
  <c r="I1020" i="3"/>
  <c r="G1020" i="3"/>
  <c r="I820" i="3"/>
  <c r="G820" i="3"/>
  <c r="G983" i="3"/>
  <c r="I983" i="3"/>
  <c r="I870" i="3"/>
  <c r="G870" i="3"/>
  <c r="G957" i="3"/>
  <c r="I957" i="3"/>
  <c r="F784" i="3"/>
  <c r="M784" i="3"/>
  <c r="U784" i="3"/>
  <c r="G979" i="3"/>
  <c r="I979" i="3"/>
  <c r="I950" i="3"/>
  <c r="G950" i="3"/>
  <c r="G1074" i="3"/>
  <c r="I1074" i="3"/>
  <c r="F921" i="3"/>
  <c r="M921" i="3"/>
  <c r="U921" i="3"/>
  <c r="G1009" i="3"/>
  <c r="I1009" i="3"/>
  <c r="G109" i="3"/>
  <c r="I109" i="3"/>
  <c r="I833" i="3"/>
  <c r="G833" i="3"/>
  <c r="P40" i="24"/>
  <c r="S40" i="24"/>
  <c r="T40" i="24"/>
  <c r="Q40" i="24"/>
  <c r="R40" i="24"/>
  <c r="S102" i="24"/>
  <c r="T102" i="24"/>
  <c r="G113" i="3"/>
  <c r="I113" i="3"/>
  <c r="I16" i="3"/>
  <c r="G16" i="3"/>
  <c r="G120" i="3"/>
  <c r="I120" i="3"/>
  <c r="G181" i="3"/>
  <c r="I181" i="3"/>
  <c r="I414" i="3"/>
  <c r="G414" i="3"/>
  <c r="F452" i="3"/>
  <c r="I175" i="3"/>
  <c r="G175" i="3"/>
  <c r="G327" i="3"/>
  <c r="I327" i="3"/>
  <c r="G369" i="3"/>
  <c r="I369" i="3"/>
  <c r="I128" i="3"/>
  <c r="G128" i="3"/>
  <c r="G409" i="3"/>
  <c r="I409" i="3"/>
  <c r="G371" i="3"/>
  <c r="I371" i="3"/>
  <c r="G588" i="3"/>
  <c r="I588" i="3"/>
  <c r="G285" i="3"/>
  <c r="I285" i="3"/>
  <c r="G483" i="3"/>
  <c r="I483" i="3"/>
  <c r="G605" i="3"/>
  <c r="I605" i="3"/>
  <c r="F689" i="3"/>
  <c r="F691" i="3"/>
  <c r="G949" i="3"/>
  <c r="I949" i="3"/>
  <c r="G536" i="3"/>
  <c r="I536" i="3"/>
  <c r="G774" i="3"/>
  <c r="I774" i="3"/>
  <c r="G499" i="3"/>
  <c r="I499" i="3"/>
  <c r="G837" i="3"/>
  <c r="I837" i="3"/>
  <c r="G728" i="3"/>
  <c r="I728" i="3"/>
  <c r="G975" i="3"/>
  <c r="I975" i="3"/>
  <c r="G563" i="3"/>
  <c r="I563" i="3"/>
  <c r="D1056" i="3"/>
  <c r="E1056" i="3"/>
  <c r="C1071" i="3"/>
  <c r="D1071" i="3"/>
  <c r="E1071" i="3"/>
  <c r="G1030" i="3"/>
  <c r="I1030" i="3"/>
  <c r="G855" i="3"/>
  <c r="I855" i="3"/>
  <c r="G596" i="3"/>
  <c r="I596" i="3"/>
  <c r="F1041" i="3"/>
  <c r="M1041" i="3"/>
  <c r="U1041" i="3"/>
  <c r="G894" i="3"/>
  <c r="I894" i="3"/>
  <c r="G1013" i="3"/>
  <c r="I1013" i="3"/>
  <c r="G874" i="3"/>
  <c r="I874" i="3"/>
  <c r="G1012" i="3"/>
  <c r="I1012" i="3"/>
  <c r="S115" i="24"/>
  <c r="T115" i="24"/>
  <c r="G117" i="3"/>
  <c r="I117" i="3"/>
  <c r="G334" i="3"/>
  <c r="I334" i="3"/>
  <c r="I265" i="3"/>
  <c r="G265" i="3"/>
  <c r="G715" i="3"/>
  <c r="I715" i="3"/>
  <c r="F1047" i="3"/>
  <c r="M1047" i="3"/>
  <c r="U1047" i="3"/>
  <c r="P52" i="24"/>
  <c r="Q52" i="24"/>
  <c r="R52" i="24"/>
  <c r="P98" i="24"/>
  <c r="Q98" i="24"/>
  <c r="R98" i="24"/>
  <c r="S144" i="24"/>
  <c r="T144" i="24"/>
  <c r="S132" i="24"/>
  <c r="T132" i="24"/>
  <c r="Q118" i="24"/>
  <c r="P118" i="24"/>
  <c r="R118" i="24"/>
  <c r="R73" i="24"/>
  <c r="P73" i="24"/>
  <c r="Q73" i="24"/>
  <c r="Q71" i="24"/>
  <c r="P71" i="24"/>
  <c r="S71" i="24"/>
  <c r="T71" i="24"/>
  <c r="R71" i="24"/>
  <c r="P28" i="24"/>
  <c r="S28" i="24"/>
  <c r="S187" i="24"/>
  <c r="Q28" i="24"/>
  <c r="R28" i="24"/>
  <c r="O187" i="24"/>
  <c r="O188" i="24"/>
  <c r="T28" i="24"/>
  <c r="T187" i="24"/>
  <c r="P86" i="24"/>
  <c r="Q86" i="24"/>
  <c r="R86" i="24"/>
  <c r="Q120" i="24"/>
  <c r="R120" i="24"/>
  <c r="P120" i="24"/>
  <c r="Q104" i="24"/>
  <c r="P104" i="24"/>
  <c r="R104" i="24"/>
  <c r="S164" i="24"/>
  <c r="T164" i="24"/>
  <c r="G14" i="3"/>
  <c r="I14" i="3"/>
  <c r="S128" i="24"/>
  <c r="T128" i="24"/>
  <c r="G101" i="3"/>
  <c r="I101" i="3"/>
  <c r="F272" i="3"/>
  <c r="G245" i="3"/>
  <c r="I245" i="3"/>
  <c r="G189" i="3"/>
  <c r="I189" i="3"/>
  <c r="I420" i="3"/>
  <c r="G420" i="3"/>
  <c r="G319" i="3"/>
  <c r="I319" i="3"/>
  <c r="G386" i="3"/>
  <c r="I386" i="3"/>
  <c r="G250" i="3"/>
  <c r="I250" i="3"/>
  <c r="G166" i="3"/>
  <c r="I166" i="3"/>
  <c r="G467" i="3"/>
  <c r="I467" i="3"/>
  <c r="E273" i="3"/>
  <c r="G325" i="3"/>
  <c r="I325" i="3"/>
  <c r="I445" i="3"/>
  <c r="G445" i="3"/>
  <c r="G524" i="3"/>
  <c r="I524" i="3"/>
  <c r="G298" i="3"/>
  <c r="I298" i="3"/>
  <c r="G611" i="3"/>
  <c r="I611" i="3"/>
  <c r="G514" i="3"/>
  <c r="I514" i="3"/>
  <c r="G661" i="3"/>
  <c r="I661" i="3"/>
  <c r="I859" i="3"/>
  <c r="G859" i="3"/>
  <c r="F965" i="3"/>
  <c r="M965" i="3"/>
  <c r="U965" i="3"/>
  <c r="E966" i="3"/>
  <c r="G777" i="3"/>
  <c r="I777" i="3"/>
  <c r="G834" i="3"/>
  <c r="I834" i="3"/>
  <c r="G866" i="3"/>
  <c r="I866" i="3"/>
  <c r="G840" i="3"/>
  <c r="I840" i="3"/>
  <c r="G843" i="3"/>
  <c r="I843" i="3"/>
  <c r="G461" i="3"/>
  <c r="I461" i="3"/>
  <c r="G597" i="3"/>
  <c r="I597" i="3"/>
  <c r="G924" i="3"/>
  <c r="I924" i="3"/>
  <c r="F773" i="3"/>
  <c r="M773" i="3"/>
  <c r="U773" i="3"/>
  <c r="G1059" i="3"/>
  <c r="I1059" i="3"/>
  <c r="G875" i="3"/>
  <c r="I875" i="3"/>
  <c r="I1016" i="3"/>
  <c r="G1016" i="3"/>
  <c r="G956" i="3"/>
  <c r="I956" i="3"/>
  <c r="G934" i="3"/>
  <c r="I934" i="3"/>
  <c r="I954" i="3"/>
  <c r="G954" i="3"/>
  <c r="G1025" i="3"/>
  <c r="I1025" i="3"/>
  <c r="G1026" i="3"/>
  <c r="I1026" i="3"/>
  <c r="G58" i="3"/>
  <c r="I58" i="3"/>
  <c r="R97" i="24"/>
  <c r="P97" i="24"/>
  <c r="Q97" i="24"/>
  <c r="R61" i="24"/>
  <c r="P61" i="24"/>
  <c r="Q61" i="24"/>
  <c r="G98" i="3"/>
  <c r="I98" i="3"/>
  <c r="G138" i="3"/>
  <c r="I138" i="3"/>
  <c r="G103" i="3"/>
  <c r="I103" i="3"/>
  <c r="G104" i="3"/>
  <c r="I104" i="3"/>
  <c r="I136" i="3"/>
  <c r="G136" i="3"/>
  <c r="G99" i="3"/>
  <c r="I99" i="3"/>
  <c r="G269" i="3"/>
  <c r="I269" i="3"/>
  <c r="I344" i="3"/>
  <c r="G344" i="3"/>
  <c r="G206" i="3"/>
  <c r="I206" i="3"/>
  <c r="G287" i="3"/>
  <c r="I287" i="3"/>
  <c r="G297" i="3"/>
  <c r="I297" i="3"/>
  <c r="G152" i="3"/>
  <c r="I152" i="3"/>
  <c r="G501" i="3"/>
  <c r="I501" i="3"/>
  <c r="G475" i="3"/>
  <c r="I475" i="3"/>
  <c r="G248" i="3"/>
  <c r="I248" i="3"/>
  <c r="F943" i="3"/>
  <c r="M943" i="3"/>
  <c r="U943" i="3"/>
  <c r="G782" i="3"/>
  <c r="I782" i="3"/>
  <c r="G857" i="3"/>
  <c r="I857" i="3"/>
  <c r="G758" i="3"/>
  <c r="I758" i="3"/>
  <c r="E992" i="3"/>
  <c r="F781" i="3"/>
  <c r="M781" i="3"/>
  <c r="U781" i="3"/>
  <c r="F1070" i="3"/>
  <c r="M1070" i="3"/>
  <c r="E1070" i="3"/>
  <c r="U1070" i="3"/>
  <c r="G735" i="3"/>
  <c r="I735" i="3"/>
  <c r="F935" i="3"/>
  <c r="M935" i="3"/>
  <c r="U935" i="3"/>
  <c r="I836" i="3"/>
  <c r="G836" i="3"/>
  <c r="G1024" i="3"/>
  <c r="I1024" i="3"/>
  <c r="G880" i="3"/>
  <c r="I880" i="3"/>
  <c r="I1010" i="3"/>
  <c r="G1010" i="3"/>
  <c r="G1004" i="3"/>
  <c r="I1004" i="3"/>
  <c r="G1076" i="3"/>
  <c r="I1076" i="3"/>
  <c r="P77" i="24"/>
  <c r="Q77" i="24"/>
  <c r="R77" i="24"/>
  <c r="G127" i="3"/>
  <c r="I127" i="3"/>
  <c r="I279" i="3"/>
  <c r="G279" i="3"/>
  <c r="I742" i="3"/>
  <c r="G742" i="3"/>
  <c r="G835" i="3"/>
  <c r="I835" i="3"/>
  <c r="G942" i="3"/>
  <c r="I942" i="3"/>
  <c r="P76" i="24"/>
  <c r="R76" i="24"/>
  <c r="Q76" i="24"/>
  <c r="G675" i="3"/>
  <c r="I675" i="3"/>
  <c r="G403" i="3"/>
  <c r="I403" i="3"/>
  <c r="I1022" i="3"/>
  <c r="G1022" i="3"/>
  <c r="G1028" i="3"/>
  <c r="I1028" i="3"/>
  <c r="G876" i="3"/>
  <c r="I876" i="3"/>
  <c r="P41" i="24"/>
  <c r="Q41" i="24"/>
  <c r="R41" i="24"/>
  <c r="P151" i="24"/>
  <c r="S151" i="24"/>
  <c r="T151" i="24"/>
  <c r="Q151" i="24"/>
  <c r="R151" i="24"/>
  <c r="P143" i="24"/>
  <c r="Q143" i="24"/>
  <c r="R143" i="24"/>
  <c r="P74" i="24"/>
  <c r="Q74" i="24"/>
  <c r="R74" i="24"/>
  <c r="P155" i="24"/>
  <c r="S155" i="24"/>
  <c r="T155" i="24"/>
  <c r="Q155" i="24"/>
  <c r="R155" i="24"/>
  <c r="G39" i="3"/>
  <c r="I39" i="3"/>
  <c r="Q94" i="24"/>
  <c r="R94" i="24"/>
  <c r="P94" i="24"/>
  <c r="S94" i="24"/>
  <c r="T94" i="24"/>
  <c r="R49" i="24"/>
  <c r="P49" i="24"/>
  <c r="S49" i="24"/>
  <c r="T49" i="24"/>
  <c r="Q49" i="24"/>
  <c r="P47" i="24"/>
  <c r="Q47" i="24"/>
  <c r="R47" i="24"/>
  <c r="P105" i="24"/>
  <c r="S105" i="24"/>
  <c r="Q105" i="24"/>
  <c r="R105" i="24"/>
  <c r="T105" i="24"/>
  <c r="P62" i="24"/>
  <c r="Q62" i="24"/>
  <c r="R62" i="24"/>
  <c r="P96" i="24"/>
  <c r="Q96" i="24"/>
  <c r="R96" i="24"/>
  <c r="Q141" i="24"/>
  <c r="R141" i="24"/>
  <c r="P141" i="24"/>
  <c r="S141" i="24"/>
  <c r="T141" i="24"/>
  <c r="P130" i="24"/>
  <c r="R130" i="24"/>
  <c r="Q130" i="24"/>
  <c r="S184" i="24"/>
  <c r="T184" i="24"/>
  <c r="S113" i="24"/>
  <c r="T113" i="24"/>
  <c r="R35" i="22"/>
  <c r="R37" i="22"/>
  <c r="R49" i="22"/>
  <c r="R61" i="22"/>
  <c r="R73" i="22"/>
  <c r="R85" i="22"/>
  <c r="R39" i="22"/>
  <c r="R51" i="22"/>
  <c r="R63" i="22"/>
  <c r="R75" i="22"/>
  <c r="R87" i="22"/>
  <c r="R34" i="22"/>
  <c r="R38" i="22"/>
  <c r="R50" i="22"/>
  <c r="R62" i="22"/>
  <c r="R74" i="22"/>
  <c r="R86" i="22"/>
  <c r="R30" i="22"/>
  <c r="R45" i="22"/>
  <c r="R47" i="22"/>
  <c r="R56" i="22"/>
  <c r="R58" i="22"/>
  <c r="R67" i="22"/>
  <c r="R69" i="22"/>
  <c r="R71" i="22"/>
  <c r="R80" i="22"/>
  <c r="R82" i="22"/>
  <c r="R91" i="22"/>
  <c r="R93" i="22"/>
  <c r="R95" i="22"/>
  <c r="R97" i="22"/>
  <c r="R109" i="22"/>
  <c r="R121" i="22"/>
  <c r="R133" i="22"/>
  <c r="R145" i="22"/>
  <c r="R28" i="22"/>
  <c r="R33" i="22"/>
  <c r="R41" i="22"/>
  <c r="R52" i="22"/>
  <c r="R76" i="22"/>
  <c r="R99" i="22"/>
  <c r="R111" i="22"/>
  <c r="R123" i="22"/>
  <c r="R135" i="22"/>
  <c r="R36" i="22"/>
  <c r="R106" i="22"/>
  <c r="R118" i="22"/>
  <c r="R130" i="22"/>
  <c r="R142" i="22"/>
  <c r="R154" i="22"/>
  <c r="R166" i="22"/>
  <c r="R178" i="22"/>
  <c r="R48" i="22"/>
  <c r="R72" i="22"/>
  <c r="R96" i="22"/>
  <c r="R108" i="22"/>
  <c r="R120" i="22"/>
  <c r="R132" i="22"/>
  <c r="R144" i="22"/>
  <c r="R156" i="22"/>
  <c r="R168" i="22"/>
  <c r="R180" i="22"/>
  <c r="R29" i="22"/>
  <c r="R44" i="22"/>
  <c r="R46" i="22"/>
  <c r="R55" i="22"/>
  <c r="R57" i="22"/>
  <c r="R59" i="22"/>
  <c r="R68" i="22"/>
  <c r="R70" i="22"/>
  <c r="R79" i="22"/>
  <c r="R81" i="22"/>
  <c r="R83" i="22"/>
  <c r="R92" i="22"/>
  <c r="R94" i="22"/>
  <c r="R103" i="22"/>
  <c r="R115" i="22"/>
  <c r="R127" i="22"/>
  <c r="R139" i="22"/>
  <c r="R151" i="22"/>
  <c r="R163" i="22"/>
  <c r="R175" i="22"/>
  <c r="R32" i="22"/>
  <c r="R100" i="22"/>
  <c r="R112" i="22"/>
  <c r="R124" i="22"/>
  <c r="R136" i="22"/>
  <c r="R148" i="22"/>
  <c r="R160" i="22"/>
  <c r="R172" i="22"/>
  <c r="R184" i="22"/>
  <c r="R53" i="22"/>
  <c r="R150" i="22"/>
  <c r="R162" i="22"/>
  <c r="R174" i="22"/>
  <c r="R60" i="22"/>
  <c r="R64" i="22"/>
  <c r="R155" i="22"/>
  <c r="R167" i="22"/>
  <c r="R179" i="22"/>
  <c r="R42" i="22"/>
  <c r="R90" i="22"/>
  <c r="R153" i="22"/>
  <c r="R165" i="22"/>
  <c r="R177" i="22"/>
  <c r="R158" i="22"/>
  <c r="R170" i="22"/>
  <c r="R182" i="22"/>
  <c r="R54" i="22"/>
  <c r="R65" i="22"/>
  <c r="R98" i="22"/>
  <c r="R101" i="22"/>
  <c r="R110" i="22"/>
  <c r="R113" i="22"/>
  <c r="R122" i="22"/>
  <c r="R125" i="22"/>
  <c r="R134" i="22"/>
  <c r="R137" i="22"/>
  <c r="R146" i="22"/>
  <c r="R43" i="22"/>
  <c r="R77" i="22"/>
  <c r="R104" i="22"/>
  <c r="R107" i="22"/>
  <c r="R116" i="22"/>
  <c r="R119" i="22"/>
  <c r="R128" i="22"/>
  <c r="R131" i="22"/>
  <c r="R140" i="22"/>
  <c r="R143" i="22"/>
  <c r="R84" i="22"/>
  <c r="R88" i="22"/>
  <c r="R31" i="22"/>
  <c r="R66" i="22"/>
  <c r="R149" i="22"/>
  <c r="R161" i="22"/>
  <c r="R173" i="22"/>
  <c r="R185" i="22"/>
  <c r="R40" i="22"/>
  <c r="R102" i="22"/>
  <c r="R105" i="22"/>
  <c r="R114" i="22"/>
  <c r="R117" i="22"/>
  <c r="R126" i="22"/>
  <c r="R129" i="22"/>
  <c r="R138" i="22"/>
  <c r="R141" i="22"/>
  <c r="R78" i="22"/>
  <c r="R89" i="22"/>
  <c r="R152" i="22"/>
  <c r="R157" i="22"/>
  <c r="R164" i="22"/>
  <c r="R169" i="22"/>
  <c r="R176" i="22"/>
  <c r="R181" i="22"/>
  <c r="R183" i="22"/>
  <c r="R147" i="22"/>
  <c r="R159" i="22"/>
  <c r="R171" i="22"/>
  <c r="G41" i="3"/>
  <c r="I41" i="3"/>
  <c r="H9" i="22"/>
  <c r="P9" i="22"/>
  <c r="F38" i="3"/>
  <c r="M38" i="3"/>
  <c r="U38" i="3"/>
  <c r="G54" i="3"/>
  <c r="I54" i="3"/>
  <c r="G112" i="3"/>
  <c r="I112" i="3"/>
  <c r="G96" i="3"/>
  <c r="I96" i="3"/>
  <c r="I187" i="3"/>
  <c r="G187" i="3"/>
  <c r="G252" i="3"/>
  <c r="I252" i="3"/>
  <c r="I278" i="3"/>
  <c r="G278" i="3"/>
  <c r="G105" i="3"/>
  <c r="I105" i="3"/>
  <c r="F315" i="3"/>
  <c r="G226" i="3"/>
  <c r="I226" i="3"/>
  <c r="G491" i="3"/>
  <c r="I491" i="3"/>
  <c r="G581" i="3"/>
  <c r="I581" i="3"/>
  <c r="F753" i="3"/>
  <c r="M753" i="3"/>
  <c r="U753" i="3"/>
  <c r="G267" i="3"/>
  <c r="I267" i="3"/>
  <c r="F706" i="3"/>
  <c r="M706" i="3"/>
  <c r="U706" i="3"/>
  <c r="G785" i="3"/>
  <c r="I785" i="3"/>
  <c r="G939" i="3"/>
  <c r="I939" i="3"/>
  <c r="G727" i="3"/>
  <c r="I727" i="3"/>
  <c r="G582" i="3"/>
  <c r="I582" i="3"/>
  <c r="G871" i="3"/>
  <c r="I871" i="3"/>
  <c r="G937" i="3"/>
  <c r="I937" i="3"/>
  <c r="G872" i="3"/>
  <c r="I872" i="3"/>
  <c r="G908" i="3"/>
  <c r="I908" i="3"/>
  <c r="E1052" i="3"/>
  <c r="F1038" i="3"/>
  <c r="M1038" i="3"/>
  <c r="U1038" i="3"/>
  <c r="F1055" i="3"/>
  <c r="M1055" i="3"/>
  <c r="E1055" i="3"/>
  <c r="U1055" i="3"/>
  <c r="G948" i="3"/>
  <c r="I948" i="3"/>
  <c r="G959" i="3"/>
  <c r="I959" i="3"/>
  <c r="G901" i="3"/>
  <c r="I901" i="3"/>
  <c r="I1062" i="3"/>
  <c r="G1062" i="3"/>
  <c r="G985" i="3"/>
  <c r="I985" i="3"/>
  <c r="G973" i="3"/>
  <c r="I973" i="3"/>
  <c r="G714" i="3"/>
  <c r="I714" i="3"/>
  <c r="G1006" i="3"/>
  <c r="I1006" i="3"/>
  <c r="I962" i="3"/>
  <c r="G962" i="3"/>
  <c r="P36" i="24"/>
  <c r="S36" i="24"/>
  <c r="T36" i="24"/>
  <c r="Q36" i="24"/>
  <c r="R36" i="24"/>
  <c r="G362" i="3"/>
  <c r="I362" i="3"/>
  <c r="U915" i="3"/>
  <c r="F915" i="3"/>
  <c r="M915" i="3"/>
  <c r="G907" i="3"/>
  <c r="I907" i="3"/>
  <c r="F704" i="3"/>
  <c r="M704" i="3"/>
  <c r="U704" i="3"/>
  <c r="I1077" i="3"/>
  <c r="G1077" i="3"/>
  <c r="P67" i="24"/>
  <c r="S67" i="24"/>
  <c r="T67" i="24"/>
  <c r="Q67" i="24"/>
  <c r="R67" i="24"/>
  <c r="S136" i="24"/>
  <c r="T136" i="24"/>
  <c r="G958" i="3"/>
  <c r="I958" i="3"/>
  <c r="G1061" i="3"/>
  <c r="I1061" i="3"/>
  <c r="P31" i="24"/>
  <c r="Q31" i="24"/>
  <c r="R31" i="24"/>
  <c r="P59" i="24"/>
  <c r="S59" i="24"/>
  <c r="T59" i="24"/>
  <c r="Q59" i="24"/>
  <c r="R59" i="24"/>
  <c r="Q108" i="24"/>
  <c r="R108" i="24"/>
  <c r="P108" i="24"/>
  <c r="S108" i="24"/>
  <c r="T108" i="24"/>
  <c r="Q82" i="24"/>
  <c r="R82" i="24"/>
  <c r="P82" i="24"/>
  <c r="R37" i="24"/>
  <c r="P37" i="24"/>
  <c r="Q37" i="24"/>
  <c r="P35" i="24"/>
  <c r="Q35" i="24"/>
  <c r="R35" i="24"/>
  <c r="P93" i="24"/>
  <c r="Q93" i="24"/>
  <c r="R93" i="24"/>
  <c r="P50" i="24"/>
  <c r="S50" i="24"/>
  <c r="T50" i="24"/>
  <c r="Q50" i="24"/>
  <c r="R50" i="24"/>
  <c r="P84" i="24"/>
  <c r="Q84" i="24"/>
  <c r="R84" i="24"/>
  <c r="Q153" i="24"/>
  <c r="R153" i="24"/>
  <c r="P153" i="24"/>
  <c r="S153" i="24"/>
  <c r="T153" i="24"/>
  <c r="P167" i="24"/>
  <c r="S167" i="24"/>
  <c r="T167" i="24"/>
  <c r="Q167" i="24"/>
  <c r="R167" i="24"/>
  <c r="P142" i="24"/>
  <c r="R142" i="24"/>
  <c r="Q142" i="24"/>
  <c r="S148" i="24"/>
  <c r="T148" i="24"/>
  <c r="G43" i="3"/>
  <c r="I43" i="3"/>
  <c r="S160" i="24"/>
  <c r="T160" i="24"/>
  <c r="G116" i="3"/>
  <c r="I116" i="3"/>
  <c r="G87" i="3"/>
  <c r="I87" i="3"/>
  <c r="G107" i="3"/>
  <c r="I107" i="3"/>
  <c r="G124" i="3"/>
  <c r="I124" i="3"/>
  <c r="G115" i="3"/>
  <c r="I115" i="3"/>
  <c r="I159" i="3"/>
  <c r="G159" i="3"/>
  <c r="G144" i="3"/>
  <c r="I144" i="3"/>
  <c r="G217" i="3"/>
  <c r="I217" i="3"/>
  <c r="I290" i="3"/>
  <c r="G290" i="3"/>
  <c r="G303" i="3"/>
  <c r="I303" i="3"/>
  <c r="G171" i="3"/>
  <c r="I171" i="3"/>
  <c r="I342" i="3"/>
  <c r="G342" i="3"/>
  <c r="G308" i="3"/>
  <c r="I308" i="3"/>
  <c r="G410" i="3"/>
  <c r="I410" i="3"/>
  <c r="G363" i="3"/>
  <c r="I363" i="3"/>
  <c r="G478" i="3"/>
  <c r="I478" i="3"/>
  <c r="G505" i="3"/>
  <c r="I505" i="3"/>
  <c r="G701" i="3"/>
  <c r="I701" i="3"/>
  <c r="G533" i="3"/>
  <c r="I533" i="3"/>
  <c r="G291" i="3"/>
  <c r="I291" i="3"/>
  <c r="G705" i="3"/>
  <c r="I705" i="3"/>
  <c r="F884" i="3"/>
  <c r="M884" i="3"/>
  <c r="U884" i="3"/>
  <c r="U972" i="3"/>
  <c r="F972" i="3"/>
  <c r="M972" i="3"/>
  <c r="G577" i="3"/>
  <c r="I577" i="3"/>
  <c r="G788" i="3"/>
  <c r="I788" i="3"/>
  <c r="G893" i="3"/>
  <c r="I893" i="3"/>
  <c r="E804" i="3"/>
  <c r="G814" i="3"/>
  <c r="I814" i="3"/>
  <c r="I990" i="3"/>
  <c r="G990" i="3"/>
  <c r="G1003" i="3"/>
  <c r="I1003" i="3"/>
  <c r="G938" i="3"/>
  <c r="I938" i="3"/>
  <c r="F913" i="3"/>
  <c r="M913" i="3"/>
  <c r="U913" i="3"/>
  <c r="G460" i="3"/>
  <c r="I460" i="3"/>
  <c r="G1017" i="3"/>
  <c r="I1017" i="3"/>
  <c r="I1018" i="3"/>
  <c r="G1018" i="3"/>
  <c r="G974" i="3"/>
  <c r="I974" i="3"/>
  <c r="G1031" i="3"/>
  <c r="I1031" i="3"/>
  <c r="P45" i="24"/>
  <c r="Q45" i="24"/>
  <c r="R45" i="24"/>
  <c r="G64" i="3"/>
  <c r="I64" i="3"/>
  <c r="G807" i="3"/>
  <c r="I807" i="3"/>
  <c r="G529" i="3"/>
  <c r="I529" i="3"/>
  <c r="P65" i="24"/>
  <c r="Q65" i="24"/>
  <c r="R65" i="24"/>
  <c r="G17" i="3"/>
  <c r="I17" i="3"/>
  <c r="I12" i="3"/>
  <c r="G12" i="3"/>
  <c r="G153" i="3"/>
  <c r="I153" i="3"/>
  <c r="G515" i="3"/>
  <c r="I515" i="3"/>
  <c r="F919" i="3"/>
  <c r="M919" i="3"/>
  <c r="U919" i="3"/>
  <c r="U917" i="3"/>
  <c r="F917" i="3"/>
  <c r="M917" i="3"/>
  <c r="G810" i="3"/>
  <c r="I810" i="3"/>
  <c r="G1083" i="3"/>
  <c r="I1083" i="3"/>
  <c r="P43" i="24"/>
  <c r="S43" i="24"/>
  <c r="T43" i="24"/>
  <c r="Q43" i="24"/>
  <c r="R43" i="24"/>
  <c r="R85" i="24"/>
  <c r="P85" i="24"/>
  <c r="Q85" i="24"/>
  <c r="Q92" i="24"/>
  <c r="P92" i="24"/>
  <c r="S92" i="24"/>
  <c r="T92" i="24"/>
  <c r="R92" i="24"/>
  <c r="Q106" i="24"/>
  <c r="R106" i="24"/>
  <c r="P106" i="24"/>
  <c r="P117" i="24"/>
  <c r="Q117" i="24"/>
  <c r="R117" i="24"/>
  <c r="Q129" i="24"/>
  <c r="R129" i="24"/>
  <c r="P129" i="24"/>
  <c r="S129" i="24"/>
  <c r="T129" i="24"/>
  <c r="I53" i="3"/>
  <c r="G53" i="3"/>
  <c r="Q70" i="24"/>
  <c r="R70" i="24"/>
  <c r="P70" i="24"/>
  <c r="P66" i="24"/>
  <c r="S66" i="24"/>
  <c r="T66" i="24"/>
  <c r="R66" i="24"/>
  <c r="Q66" i="24"/>
  <c r="P124" i="24"/>
  <c r="S124" i="24"/>
  <c r="T124" i="24"/>
  <c r="R124" i="24"/>
  <c r="Q124" i="24"/>
  <c r="P81" i="24"/>
  <c r="Q81" i="24"/>
  <c r="R81" i="24"/>
  <c r="P38" i="24"/>
  <c r="Q38" i="24"/>
  <c r="R38" i="24"/>
  <c r="P72" i="24"/>
  <c r="S72" i="24"/>
  <c r="T72" i="24"/>
  <c r="Q72" i="24"/>
  <c r="R72" i="24"/>
  <c r="Q165" i="24"/>
  <c r="R165" i="24"/>
  <c r="P165" i="24"/>
  <c r="P154" i="24"/>
  <c r="R154" i="24"/>
  <c r="Q154" i="24"/>
  <c r="G45" i="3"/>
  <c r="I45" i="3"/>
  <c r="F70" i="3"/>
  <c r="F77" i="3"/>
  <c r="H10" i="24"/>
  <c r="M10" i="24"/>
  <c r="U81" i="3"/>
  <c r="F81" i="3"/>
  <c r="M81" i="3"/>
  <c r="G156" i="3"/>
  <c r="I156" i="3"/>
  <c r="G216" i="3"/>
  <c r="I216" i="3"/>
  <c r="G234" i="3"/>
  <c r="I234" i="3"/>
  <c r="I302" i="3"/>
  <c r="G302" i="3"/>
  <c r="G348" i="3"/>
  <c r="I348" i="3"/>
  <c r="G305" i="3"/>
  <c r="I305" i="3"/>
  <c r="G300" i="3"/>
  <c r="I300" i="3"/>
  <c r="G229" i="3"/>
  <c r="I229" i="3"/>
  <c r="G354" i="3"/>
  <c r="I354" i="3"/>
  <c r="G237" i="3"/>
  <c r="I237" i="3"/>
  <c r="I404" i="3"/>
  <c r="G404" i="3"/>
  <c r="G157" i="3"/>
  <c r="I157" i="3"/>
  <c r="G406" i="3"/>
  <c r="I406" i="3"/>
  <c r="G506" i="3"/>
  <c r="I506" i="3"/>
  <c r="G585" i="3"/>
  <c r="I585" i="3"/>
  <c r="G441" i="3"/>
  <c r="I441" i="3"/>
  <c r="G791" i="3"/>
  <c r="I791" i="3"/>
  <c r="G647" i="3"/>
  <c r="I647" i="3"/>
  <c r="I914" i="3"/>
  <c r="G914" i="3"/>
  <c r="G677" i="3"/>
  <c r="I677" i="3"/>
  <c r="G771" i="3"/>
  <c r="I771" i="3"/>
  <c r="F1069" i="3"/>
  <c r="M1069" i="3"/>
  <c r="E1069" i="3"/>
  <c r="G827" i="3"/>
  <c r="I827" i="3"/>
  <c r="F787" i="3"/>
  <c r="M787" i="3"/>
  <c r="U787" i="3"/>
  <c r="E929" i="3"/>
  <c r="I1015" i="3"/>
  <c r="G1015" i="3"/>
  <c r="P34" i="24"/>
  <c r="Q34" i="24"/>
  <c r="R34" i="24"/>
  <c r="Q51" i="24"/>
  <c r="R51" i="24"/>
  <c r="P51" i="24"/>
  <c r="G150" i="3"/>
  <c r="I150" i="3"/>
  <c r="G431" i="3"/>
  <c r="I431" i="3"/>
  <c r="F793" i="3"/>
  <c r="M793" i="3"/>
  <c r="U793" i="3"/>
  <c r="G744" i="3"/>
  <c r="I744" i="3"/>
  <c r="P33" i="24"/>
  <c r="S33" i="24"/>
  <c r="T33" i="24"/>
  <c r="Q33" i="24"/>
  <c r="R33" i="24"/>
  <c r="P89" i="24"/>
  <c r="Q89" i="24"/>
  <c r="R89" i="24"/>
  <c r="G463" i="3"/>
  <c r="I463" i="3"/>
  <c r="I738" i="3"/>
  <c r="G738" i="3"/>
  <c r="Q95" i="24"/>
  <c r="P95" i="24"/>
  <c r="R95" i="24"/>
  <c r="P29" i="24"/>
  <c r="Q29" i="24"/>
  <c r="R29" i="24"/>
  <c r="R32" i="24"/>
  <c r="Q32" i="24"/>
  <c r="P32" i="24"/>
  <c r="P54" i="24"/>
  <c r="R54" i="24"/>
  <c r="Q54" i="24"/>
  <c r="P69" i="24"/>
  <c r="Q69" i="24"/>
  <c r="R69" i="24"/>
  <c r="P60" i="24"/>
  <c r="Q60" i="24"/>
  <c r="R60" i="24"/>
  <c r="Q177" i="24"/>
  <c r="R177" i="24"/>
  <c r="P177" i="24"/>
  <c r="P166" i="24"/>
  <c r="R166" i="24"/>
  <c r="Q166" i="24"/>
  <c r="G52" i="3"/>
  <c r="I52" i="3"/>
  <c r="I123" i="3"/>
  <c r="G123" i="3"/>
  <c r="G118" i="3"/>
  <c r="I118" i="3"/>
  <c r="G162" i="3"/>
  <c r="I162" i="3"/>
  <c r="G149" i="3"/>
  <c r="I149" i="3"/>
  <c r="G110" i="3"/>
  <c r="I110" i="3"/>
  <c r="G146" i="3"/>
  <c r="I146" i="3"/>
  <c r="G57" i="3"/>
  <c r="I57" i="3"/>
  <c r="I310" i="3"/>
  <c r="G310" i="3"/>
  <c r="G375" i="3"/>
  <c r="I375" i="3"/>
  <c r="I353" i="3"/>
  <c r="G353" i="3"/>
  <c r="G432" i="3"/>
  <c r="I432" i="3"/>
  <c r="G288" i="3"/>
  <c r="I288" i="3"/>
  <c r="G358" i="3"/>
  <c r="I358" i="3"/>
  <c r="G627" i="3"/>
  <c r="I627" i="3"/>
  <c r="G197" i="3"/>
  <c r="I197" i="3"/>
  <c r="G351" i="3"/>
  <c r="I351" i="3"/>
  <c r="G509" i="3"/>
  <c r="I509" i="3"/>
  <c r="G411" i="3"/>
  <c r="I411" i="3"/>
  <c r="I600" i="3"/>
  <c r="G600" i="3"/>
  <c r="I412" i="3"/>
  <c r="G412" i="3"/>
  <c r="G794" i="3"/>
  <c r="I794" i="3"/>
  <c r="U696" i="3"/>
  <c r="F696" i="3"/>
  <c r="M696" i="3"/>
  <c r="F1005" i="3"/>
  <c r="M1005" i="3"/>
  <c r="U1005" i="3"/>
  <c r="F912" i="3"/>
  <c r="M912" i="3"/>
  <c r="U912" i="3"/>
  <c r="I846" i="3"/>
  <c r="G846" i="3"/>
  <c r="F1075" i="3"/>
  <c r="M1075" i="3"/>
  <c r="U1075" i="3"/>
  <c r="G1014" i="3"/>
  <c r="I1014" i="3"/>
  <c r="G815" i="3"/>
  <c r="I815" i="3"/>
  <c r="F1044" i="3"/>
  <c r="M1044" i="3"/>
  <c r="U1044" i="3"/>
  <c r="G953" i="3"/>
  <c r="I953" i="3"/>
  <c r="G933" i="3"/>
  <c r="I933" i="3"/>
  <c r="G800" i="3"/>
  <c r="I800" i="3"/>
  <c r="G981" i="3"/>
  <c r="I981" i="3"/>
  <c r="I849" i="3"/>
  <c r="G849" i="3"/>
  <c r="G844" i="3"/>
  <c r="I844" i="3"/>
  <c r="G832" i="3"/>
  <c r="I832" i="3"/>
  <c r="I1002" i="3"/>
  <c r="G1002" i="3"/>
  <c r="I1021" i="3"/>
  <c r="G1021" i="3"/>
  <c r="G649" i="3"/>
  <c r="I649" i="3"/>
  <c r="P30" i="24"/>
  <c r="S30" i="24"/>
  <c r="T30" i="24"/>
  <c r="R30" i="24"/>
  <c r="Q30" i="24"/>
  <c r="G732" i="3"/>
  <c r="I732" i="3"/>
  <c r="F790" i="3"/>
  <c r="M790" i="3"/>
  <c r="U790" i="3"/>
  <c r="G240" i="3"/>
  <c r="I240" i="3"/>
  <c r="G280" i="3"/>
  <c r="I280" i="3"/>
  <c r="G721" i="3"/>
  <c r="I721" i="3"/>
  <c r="G1027" i="3"/>
  <c r="I1027" i="3"/>
  <c r="G895" i="3"/>
  <c r="I895" i="3"/>
  <c r="P110" i="24"/>
  <c r="Q110" i="24"/>
  <c r="R110" i="24"/>
  <c r="Q83" i="24"/>
  <c r="P83" i="24"/>
  <c r="R83" i="24"/>
  <c r="P58" i="24"/>
  <c r="S58" i="24"/>
  <c r="T58" i="24"/>
  <c r="Q58" i="24"/>
  <c r="R58" i="24"/>
  <c r="P112" i="24"/>
  <c r="R112" i="24"/>
  <c r="Q112" i="24"/>
  <c r="P103" i="24"/>
  <c r="Q103" i="24"/>
  <c r="R103" i="24"/>
  <c r="P179" i="24"/>
  <c r="S179" i="24"/>
  <c r="T179" i="24"/>
  <c r="Q179" i="24"/>
  <c r="R179" i="24"/>
  <c r="R44" i="24"/>
  <c r="Q44" i="24"/>
  <c r="P44" i="24"/>
  <c r="P46" i="24"/>
  <c r="Q46" i="24"/>
  <c r="R46" i="24"/>
  <c r="P42" i="24"/>
  <c r="R42" i="24"/>
  <c r="Q42" i="24"/>
  <c r="P100" i="24"/>
  <c r="R100" i="24"/>
  <c r="Q100" i="24"/>
  <c r="P57" i="24"/>
  <c r="Q57" i="24"/>
  <c r="R57" i="24"/>
  <c r="P91" i="24"/>
  <c r="S91" i="24"/>
  <c r="T91" i="24"/>
  <c r="Q91" i="24"/>
  <c r="R91" i="24"/>
  <c r="P48" i="24"/>
  <c r="Q48" i="24"/>
  <c r="R48" i="24"/>
  <c r="R178" i="24"/>
  <c r="P178" i="24"/>
  <c r="Q178" i="24"/>
  <c r="F24" i="3"/>
  <c r="G27" i="3"/>
  <c r="I27" i="3"/>
  <c r="G106" i="3"/>
  <c r="I106" i="3"/>
  <c r="G167" i="3"/>
  <c r="I167" i="3"/>
  <c r="S181" i="24"/>
  <c r="T181" i="24"/>
  <c r="G164" i="3"/>
  <c r="I164" i="3"/>
  <c r="G177" i="3"/>
  <c r="I177" i="3"/>
  <c r="I311" i="3"/>
  <c r="G311" i="3"/>
  <c r="G357" i="3"/>
  <c r="I357" i="3"/>
  <c r="G373" i="3"/>
  <c r="I373" i="3"/>
  <c r="G336" i="3"/>
  <c r="I336" i="3"/>
  <c r="G500" i="3"/>
  <c r="I500" i="3"/>
  <c r="G294" i="3"/>
  <c r="I294" i="3"/>
  <c r="I504" i="3"/>
  <c r="G504" i="3"/>
  <c r="M458" i="3"/>
  <c r="F495" i="3"/>
  <c r="G313" i="3"/>
  <c r="I313" i="3"/>
  <c r="I520" i="3"/>
  <c r="G520" i="3"/>
  <c r="G700" i="3"/>
  <c r="I700" i="3"/>
  <c r="U964" i="3"/>
  <c r="F964" i="3"/>
  <c r="M964" i="3"/>
  <c r="I413" i="3"/>
  <c r="G413" i="3"/>
  <c r="G545" i="3"/>
  <c r="I545" i="3"/>
  <c r="F786" i="3"/>
  <c r="M786" i="3"/>
  <c r="U786" i="3"/>
  <c r="I470" i="3"/>
  <c r="G470" i="3"/>
  <c r="F1078" i="3"/>
  <c r="M1078" i="3"/>
  <c r="U1078" i="3"/>
  <c r="G716" i="3"/>
  <c r="I716" i="3"/>
  <c r="U980" i="3"/>
  <c r="F980" i="3"/>
  <c r="M980" i="3"/>
  <c r="G819" i="3"/>
  <c r="I819" i="3"/>
  <c r="G1008" i="3"/>
  <c r="I1008" i="3"/>
  <c r="I960" i="3"/>
  <c r="G960" i="3"/>
  <c r="G698" i="3"/>
  <c r="I698" i="3"/>
  <c r="G510" i="3"/>
  <c r="I510" i="3"/>
  <c r="I1032" i="3"/>
  <c r="G1032" i="3"/>
  <c r="G1007" i="3"/>
  <c r="I1007" i="3"/>
  <c r="F1029" i="3"/>
  <c r="M1029" i="3"/>
  <c r="U1029" i="3"/>
  <c r="I1063" i="3"/>
  <c r="G1063" i="3"/>
  <c r="I917" i="3"/>
  <c r="G917" i="3"/>
  <c r="U163" i="22"/>
  <c r="S163" i="22"/>
  <c r="T163" i="22"/>
  <c r="G1044" i="3"/>
  <c r="I1044" i="3"/>
  <c r="S125" i="22"/>
  <c r="T125" i="22"/>
  <c r="U125" i="22"/>
  <c r="S135" i="22"/>
  <c r="V135" i="22"/>
  <c r="W135" i="22"/>
  <c r="U135" i="22"/>
  <c r="T135" i="22"/>
  <c r="T109" i="22"/>
  <c r="U109" i="22"/>
  <c r="S109" i="22"/>
  <c r="T47" i="22"/>
  <c r="U47" i="22"/>
  <c r="S47" i="22"/>
  <c r="W51" i="22"/>
  <c r="S51" i="22"/>
  <c r="V51" i="22"/>
  <c r="T51" i="22"/>
  <c r="U51" i="22"/>
  <c r="S73" i="24"/>
  <c r="T73" i="24"/>
  <c r="S98" i="24"/>
  <c r="T98" i="24"/>
  <c r="F1071" i="3"/>
  <c r="M1071" i="3"/>
  <c r="U1071" i="3"/>
  <c r="E1085" i="3"/>
  <c r="E1194" i="3"/>
  <c r="E1196" i="3"/>
  <c r="S107" i="24"/>
  <c r="T107" i="24"/>
  <c r="S119" i="24"/>
  <c r="T119" i="24"/>
  <c r="S44" i="24"/>
  <c r="T44" i="24"/>
  <c r="G696" i="3"/>
  <c r="I696" i="3"/>
  <c r="S165" i="24"/>
  <c r="T165" i="24"/>
  <c r="S70" i="24"/>
  <c r="T70" i="24"/>
  <c r="T164" i="22"/>
  <c r="S164" i="22"/>
  <c r="U164" i="22"/>
  <c r="S102" i="22"/>
  <c r="V102" i="22"/>
  <c r="W102" i="22"/>
  <c r="U102" i="22"/>
  <c r="T102" i="22"/>
  <c r="T131" i="22"/>
  <c r="S131" i="22"/>
  <c r="V131" i="22"/>
  <c r="W131" i="22"/>
  <c r="U131" i="22"/>
  <c r="T122" i="22"/>
  <c r="S122" i="22"/>
  <c r="U122" i="22"/>
  <c r="S153" i="22"/>
  <c r="V153" i="22"/>
  <c r="W153" i="22"/>
  <c r="T153" i="22"/>
  <c r="U153" i="22"/>
  <c r="S184" i="22"/>
  <c r="T184" i="22"/>
  <c r="U184" i="22"/>
  <c r="U139" i="22"/>
  <c r="S139" i="22"/>
  <c r="V139" i="22"/>
  <c r="T139" i="22"/>
  <c r="W139" i="22"/>
  <c r="U57" i="22"/>
  <c r="S57" i="22"/>
  <c r="T57" i="22"/>
  <c r="S96" i="22"/>
  <c r="U96" i="22"/>
  <c r="T96" i="22"/>
  <c r="S123" i="22"/>
  <c r="U123" i="22"/>
  <c r="T123" i="22"/>
  <c r="T97" i="22"/>
  <c r="U97" i="22"/>
  <c r="S97" i="22"/>
  <c r="T45" i="22"/>
  <c r="U45" i="22"/>
  <c r="S45" i="22"/>
  <c r="V45" i="22"/>
  <c r="W45" i="22"/>
  <c r="S39" i="22"/>
  <c r="T39" i="22"/>
  <c r="U39" i="22"/>
  <c r="S130" i="24"/>
  <c r="T130" i="24"/>
  <c r="S62" i="24"/>
  <c r="T62" i="24"/>
  <c r="G943" i="3"/>
  <c r="I943" i="3"/>
  <c r="S97" i="24"/>
  <c r="T97" i="24"/>
  <c r="S86" i="24"/>
  <c r="T86" i="24"/>
  <c r="F1056" i="3"/>
  <c r="M1056" i="3"/>
  <c r="U1056" i="3"/>
  <c r="E1066" i="3"/>
  <c r="S63" i="24"/>
  <c r="T63" i="24"/>
  <c r="G1049" i="3"/>
  <c r="I1049" i="3"/>
  <c r="S154" i="24"/>
  <c r="T154" i="24"/>
  <c r="G793" i="3"/>
  <c r="I793" i="3"/>
  <c r="S142" i="24"/>
  <c r="T142" i="24"/>
  <c r="S35" i="24"/>
  <c r="T35" i="24"/>
  <c r="G1055" i="3"/>
  <c r="I1055" i="3"/>
  <c r="G38" i="3"/>
  <c r="I38" i="3"/>
  <c r="U157" i="22"/>
  <c r="S157" i="22"/>
  <c r="T157" i="22"/>
  <c r="S40" i="22"/>
  <c r="U40" i="22"/>
  <c r="T40" i="22"/>
  <c r="S128" i="22"/>
  <c r="T128" i="22"/>
  <c r="U128" i="22"/>
  <c r="S113" i="22"/>
  <c r="V113" i="22"/>
  <c r="W113" i="22"/>
  <c r="T113" i="22"/>
  <c r="U113" i="22"/>
  <c r="S90" i="22"/>
  <c r="U90" i="22"/>
  <c r="T90" i="22"/>
  <c r="S55" i="22"/>
  <c r="T55" i="22"/>
  <c r="U55" i="22"/>
  <c r="T72" i="22"/>
  <c r="S72" i="22"/>
  <c r="U72" i="22"/>
  <c r="S111" i="22"/>
  <c r="U111" i="22"/>
  <c r="T111" i="22"/>
  <c r="T95" i="22"/>
  <c r="U95" i="22"/>
  <c r="S95" i="22"/>
  <c r="V95" i="22"/>
  <c r="W95" i="22"/>
  <c r="S30" i="22"/>
  <c r="V30" i="22"/>
  <c r="W30" i="22"/>
  <c r="U30" i="22"/>
  <c r="T30" i="22"/>
  <c r="T85" i="22"/>
  <c r="S85" i="22"/>
  <c r="U85" i="22"/>
  <c r="S77" i="24"/>
  <c r="T77" i="24"/>
  <c r="I1070" i="3"/>
  <c r="G1070" i="3"/>
  <c r="G773" i="3"/>
  <c r="I773" i="3"/>
  <c r="G921" i="3"/>
  <c r="I921" i="3"/>
  <c r="G984" i="3"/>
  <c r="I984" i="3"/>
  <c r="G789" i="3"/>
  <c r="I789" i="3"/>
  <c r="F90" i="3"/>
  <c r="S131" i="24"/>
  <c r="T131" i="24"/>
  <c r="S55" i="24"/>
  <c r="T55" i="24"/>
  <c r="T36" i="22"/>
  <c r="U36" i="22"/>
  <c r="S36" i="22"/>
  <c r="S57" i="24"/>
  <c r="T57" i="24"/>
  <c r="S108" i="22"/>
  <c r="V108" i="22"/>
  <c r="W108" i="22"/>
  <c r="U108" i="22"/>
  <c r="T108" i="22"/>
  <c r="S65" i="24"/>
  <c r="T65" i="24"/>
  <c r="S84" i="24"/>
  <c r="T84" i="24"/>
  <c r="S172" i="22"/>
  <c r="V172" i="22"/>
  <c r="W172" i="22"/>
  <c r="T172" i="22"/>
  <c r="U172" i="22"/>
  <c r="G81" i="3"/>
  <c r="I81" i="3"/>
  <c r="S106" i="24"/>
  <c r="T106" i="24"/>
  <c r="G753" i="3"/>
  <c r="I753" i="3"/>
  <c r="T152" i="22"/>
  <c r="W152" i="22"/>
  <c r="S152" i="22"/>
  <c r="V152" i="22"/>
  <c r="U152" i="22"/>
  <c r="S185" i="22"/>
  <c r="T185" i="22"/>
  <c r="U185" i="22"/>
  <c r="T119" i="22"/>
  <c r="S119" i="22"/>
  <c r="U119" i="22"/>
  <c r="T110" i="22"/>
  <c r="S110" i="22"/>
  <c r="U110" i="22"/>
  <c r="S42" i="22"/>
  <c r="U42" i="22"/>
  <c r="T42" i="22"/>
  <c r="S160" i="22"/>
  <c r="T160" i="22"/>
  <c r="U160" i="22"/>
  <c r="U115" i="22"/>
  <c r="S115" i="22"/>
  <c r="V115" i="22"/>
  <c r="W115" i="22"/>
  <c r="T115" i="22"/>
  <c r="U46" i="22"/>
  <c r="S46" i="22"/>
  <c r="V46" i="22"/>
  <c r="W46" i="22"/>
  <c r="T46" i="22"/>
  <c r="T48" i="22"/>
  <c r="S48" i="22"/>
  <c r="U48" i="22"/>
  <c r="S99" i="22"/>
  <c r="U99" i="22"/>
  <c r="T99" i="22"/>
  <c r="T93" i="22"/>
  <c r="U93" i="22"/>
  <c r="S93" i="22"/>
  <c r="U86" i="22"/>
  <c r="S86" i="22"/>
  <c r="T86" i="22"/>
  <c r="T73" i="22"/>
  <c r="U73" i="22"/>
  <c r="S73" i="22"/>
  <c r="S74" i="24"/>
  <c r="T74" i="24"/>
  <c r="S41" i="24"/>
  <c r="T41" i="24"/>
  <c r="S104" i="24"/>
  <c r="T104" i="24"/>
  <c r="G1023" i="3"/>
  <c r="I1023" i="3"/>
  <c r="G769" i="3"/>
  <c r="I769" i="3"/>
  <c r="G79" i="3"/>
  <c r="I79" i="3"/>
  <c r="T143" i="22"/>
  <c r="S143" i="22"/>
  <c r="U143" i="22"/>
  <c r="S56" i="22"/>
  <c r="V56" i="22"/>
  <c r="W56" i="22"/>
  <c r="U56" i="22"/>
  <c r="T56" i="22"/>
  <c r="G1078" i="3"/>
  <c r="I1078" i="3"/>
  <c r="S105" i="22"/>
  <c r="V105" i="22"/>
  <c r="W105" i="22"/>
  <c r="U105" i="22"/>
  <c r="T105" i="22"/>
  <c r="U127" i="22"/>
  <c r="S127" i="22"/>
  <c r="T127" i="22"/>
  <c r="G1029" i="3"/>
  <c r="I1029" i="3"/>
  <c r="G786" i="3"/>
  <c r="I786" i="3"/>
  <c r="S48" i="24"/>
  <c r="T48" i="24"/>
  <c r="S100" i="24"/>
  <c r="T100" i="24"/>
  <c r="S112" i="24"/>
  <c r="T112" i="24"/>
  <c r="S110" i="24"/>
  <c r="T110" i="24"/>
  <c r="S177" i="24"/>
  <c r="T177" i="24"/>
  <c r="S95" i="24"/>
  <c r="T95" i="24"/>
  <c r="I787" i="3"/>
  <c r="G787" i="3"/>
  <c r="S81" i="24"/>
  <c r="T81" i="24"/>
  <c r="S45" i="24"/>
  <c r="T45" i="24"/>
  <c r="S37" i="24"/>
  <c r="T37" i="24"/>
  <c r="G1038" i="3"/>
  <c r="I1038" i="3"/>
  <c r="U89" i="22"/>
  <c r="S89" i="22"/>
  <c r="V89" i="22"/>
  <c r="W89" i="22"/>
  <c r="T89" i="22"/>
  <c r="S173" i="22"/>
  <c r="T173" i="22"/>
  <c r="U173" i="22"/>
  <c r="S116" i="22"/>
  <c r="T116" i="22"/>
  <c r="U116" i="22"/>
  <c r="S101" i="22"/>
  <c r="T101" i="22"/>
  <c r="U101" i="22"/>
  <c r="S179" i="22"/>
  <c r="V179" i="22"/>
  <c r="W179" i="22"/>
  <c r="T179" i="22"/>
  <c r="U179" i="22"/>
  <c r="S148" i="22"/>
  <c r="T148" i="22"/>
  <c r="U148" i="22"/>
  <c r="U103" i="22"/>
  <c r="S103" i="22"/>
  <c r="V103" i="22"/>
  <c r="W103" i="22"/>
  <c r="T103" i="22"/>
  <c r="S44" i="22"/>
  <c r="T44" i="22"/>
  <c r="U44" i="22"/>
  <c r="T178" i="22"/>
  <c r="U178" i="22"/>
  <c r="S178" i="22"/>
  <c r="V178" i="22"/>
  <c r="W178" i="22"/>
  <c r="U76" i="22"/>
  <c r="W76" i="22"/>
  <c r="S76" i="22"/>
  <c r="V76" i="22"/>
  <c r="T76" i="22"/>
  <c r="S91" i="22"/>
  <c r="U91" i="22"/>
  <c r="T91" i="22"/>
  <c r="T74" i="22"/>
  <c r="U74" i="22"/>
  <c r="S74" i="22"/>
  <c r="V74" i="22"/>
  <c r="W74" i="22"/>
  <c r="T61" i="22"/>
  <c r="S61" i="22"/>
  <c r="V61" i="22"/>
  <c r="W61" i="22"/>
  <c r="U61" i="22"/>
  <c r="G781" i="3"/>
  <c r="I781" i="3"/>
  <c r="S118" i="24"/>
  <c r="T118" i="24"/>
  <c r="S52" i="24"/>
  <c r="T52" i="24"/>
  <c r="S80" i="24"/>
  <c r="T80" i="24"/>
  <c r="S68" i="24"/>
  <c r="T68" i="24"/>
  <c r="S109" i="24"/>
  <c r="T109" i="24"/>
  <c r="T134" i="22"/>
  <c r="S134" i="22"/>
  <c r="U134" i="22"/>
  <c r="S63" i="22"/>
  <c r="U63" i="22"/>
  <c r="T63" i="22"/>
  <c r="G719" i="3"/>
  <c r="I719" i="3"/>
  <c r="S165" i="22"/>
  <c r="V165" i="22"/>
  <c r="W165" i="22"/>
  <c r="T165" i="22"/>
  <c r="U165" i="22"/>
  <c r="S166" i="24"/>
  <c r="T166" i="24"/>
  <c r="S34" i="24"/>
  <c r="T34" i="24"/>
  <c r="G919" i="3"/>
  <c r="I919" i="3"/>
  <c r="S54" i="24"/>
  <c r="T54" i="24"/>
  <c r="G913" i="3"/>
  <c r="I913" i="3"/>
  <c r="S78" i="22"/>
  <c r="U78" i="22"/>
  <c r="T78" i="22"/>
  <c r="S161" i="22"/>
  <c r="T161" i="22"/>
  <c r="U161" i="22"/>
  <c r="T107" i="22"/>
  <c r="S107" i="22"/>
  <c r="U107" i="22"/>
  <c r="T98" i="22"/>
  <c r="S98" i="22"/>
  <c r="U98" i="22"/>
  <c r="S167" i="22"/>
  <c r="V167" i="22"/>
  <c r="W167" i="22"/>
  <c r="T167" i="22"/>
  <c r="U167" i="22"/>
  <c r="U136" i="22"/>
  <c r="S136" i="22"/>
  <c r="T136" i="22"/>
  <c r="U94" i="22"/>
  <c r="S94" i="22"/>
  <c r="V94" i="22"/>
  <c r="W94" i="22"/>
  <c r="T94" i="22"/>
  <c r="U29" i="22"/>
  <c r="S29" i="22"/>
  <c r="V29" i="22"/>
  <c r="W29" i="22"/>
  <c r="T29" i="22"/>
  <c r="T166" i="22"/>
  <c r="U166" i="22"/>
  <c r="S166" i="22"/>
  <c r="V166" i="22"/>
  <c r="W166" i="22"/>
  <c r="U52" i="22"/>
  <c r="W52" i="22"/>
  <c r="S52" i="22"/>
  <c r="V52" i="22"/>
  <c r="T52" i="22"/>
  <c r="T82" i="22"/>
  <c r="U82" i="22"/>
  <c r="S82" i="22"/>
  <c r="U62" i="22"/>
  <c r="S62" i="22"/>
  <c r="T62" i="22"/>
  <c r="T49" i="22"/>
  <c r="U49" i="22"/>
  <c r="S49" i="22"/>
  <c r="G1041" i="3"/>
  <c r="I1041" i="3"/>
  <c r="G923" i="3"/>
  <c r="I923" i="3"/>
  <c r="F48" i="3"/>
  <c r="M37" i="3"/>
  <c r="S114" i="22"/>
  <c r="U114" i="22"/>
  <c r="T114" i="22"/>
  <c r="T121" i="22"/>
  <c r="U121" i="22"/>
  <c r="S121" i="22"/>
  <c r="G1005" i="3"/>
  <c r="I1005" i="3"/>
  <c r="S85" i="24"/>
  <c r="T85" i="24"/>
  <c r="T59" i="22"/>
  <c r="U59" i="22"/>
  <c r="S59" i="22"/>
  <c r="S69" i="24"/>
  <c r="T69" i="24"/>
  <c r="S89" i="24"/>
  <c r="T89" i="24"/>
  <c r="S117" i="24"/>
  <c r="T117" i="24"/>
  <c r="G790" i="3"/>
  <c r="I790" i="3"/>
  <c r="S171" i="22"/>
  <c r="U171" i="22"/>
  <c r="T171" i="22"/>
  <c r="S141" i="22"/>
  <c r="U141" i="22"/>
  <c r="T141" i="22"/>
  <c r="S149" i="22"/>
  <c r="T149" i="22"/>
  <c r="U149" i="22"/>
  <c r="S104" i="22"/>
  <c r="T104" i="22"/>
  <c r="U104" i="22"/>
  <c r="U65" i="22"/>
  <c r="S65" i="22"/>
  <c r="T65" i="22"/>
  <c r="S155" i="22"/>
  <c r="T155" i="22"/>
  <c r="U155" i="22"/>
  <c r="U124" i="22"/>
  <c r="S124" i="22"/>
  <c r="T124" i="22"/>
  <c r="S92" i="22"/>
  <c r="T92" i="22"/>
  <c r="U92" i="22"/>
  <c r="S180" i="22"/>
  <c r="T180" i="22"/>
  <c r="U180" i="22"/>
  <c r="T154" i="22"/>
  <c r="U154" i="22"/>
  <c r="S154" i="22"/>
  <c r="U41" i="22"/>
  <c r="S41" i="22"/>
  <c r="T41" i="22"/>
  <c r="S80" i="22"/>
  <c r="U80" i="22"/>
  <c r="T80" i="22"/>
  <c r="T50" i="22"/>
  <c r="U50" i="22"/>
  <c r="S50" i="22"/>
  <c r="T37" i="22"/>
  <c r="U37" i="22"/>
  <c r="S37" i="22"/>
  <c r="S120" i="24"/>
  <c r="T120" i="24"/>
  <c r="G797" i="3"/>
  <c r="I797" i="3"/>
  <c r="F1072" i="3"/>
  <c r="M1072" i="3"/>
  <c r="U1072" i="3"/>
  <c r="G941" i="3"/>
  <c r="I941" i="3"/>
  <c r="S177" i="22"/>
  <c r="V177" i="22"/>
  <c r="W177" i="22"/>
  <c r="T177" i="22"/>
  <c r="U177" i="22"/>
  <c r="G80" i="3"/>
  <c r="I80" i="3"/>
  <c r="G884" i="3"/>
  <c r="I884" i="3"/>
  <c r="U169" i="22"/>
  <c r="S169" i="22"/>
  <c r="T169" i="22"/>
  <c r="S29" i="24"/>
  <c r="T29" i="24"/>
  <c r="G458" i="3"/>
  <c r="I458" i="3"/>
  <c r="I1075" i="3"/>
  <c r="G1075" i="3"/>
  <c r="G980" i="3"/>
  <c r="I980" i="3"/>
  <c r="S42" i="24"/>
  <c r="T42" i="24"/>
  <c r="S32" i="24"/>
  <c r="T32" i="24"/>
  <c r="S51" i="24"/>
  <c r="T51" i="24"/>
  <c r="U1069" i="3"/>
  <c r="E1086" i="3"/>
  <c r="E1195" i="3"/>
  <c r="S82" i="24"/>
  <c r="T82" i="24"/>
  <c r="S159" i="22"/>
  <c r="V159" i="22"/>
  <c r="U159" i="22"/>
  <c r="W159" i="22"/>
  <c r="T159" i="22"/>
  <c r="S138" i="22"/>
  <c r="U138" i="22"/>
  <c r="T138" i="22"/>
  <c r="S66" i="22"/>
  <c r="V66" i="22"/>
  <c r="U66" i="22"/>
  <c r="T66" i="22"/>
  <c r="W66" i="22"/>
  <c r="U77" i="22"/>
  <c r="T77" i="22"/>
  <c r="S77" i="22"/>
  <c r="V77" i="22"/>
  <c r="W77" i="22"/>
  <c r="S54" i="22"/>
  <c r="U54" i="22"/>
  <c r="T54" i="22"/>
  <c r="U64" i="22"/>
  <c r="S64" i="22"/>
  <c r="T64" i="22"/>
  <c r="U112" i="22"/>
  <c r="S112" i="22"/>
  <c r="V112" i="22"/>
  <c r="W112" i="22"/>
  <c r="T112" i="22"/>
  <c r="T83" i="22"/>
  <c r="S83" i="22"/>
  <c r="U83" i="22"/>
  <c r="S168" i="22"/>
  <c r="V168" i="22"/>
  <c r="T168" i="22"/>
  <c r="U168" i="22"/>
  <c r="W168" i="22"/>
  <c r="T142" i="22"/>
  <c r="U142" i="22"/>
  <c r="S142" i="22"/>
  <c r="V142" i="22"/>
  <c r="W142" i="22"/>
  <c r="T33" i="22"/>
  <c r="S33" i="22"/>
  <c r="V33" i="22"/>
  <c r="W33" i="22"/>
  <c r="U33" i="22"/>
  <c r="T71" i="22"/>
  <c r="U71" i="22"/>
  <c r="S71" i="22"/>
  <c r="V71" i="22"/>
  <c r="W71" i="22"/>
  <c r="U38" i="22"/>
  <c r="T38" i="22"/>
  <c r="S38" i="22"/>
  <c r="T35" i="22"/>
  <c r="S35" i="22"/>
  <c r="U35" i="22"/>
  <c r="S143" i="24"/>
  <c r="T143" i="24"/>
  <c r="S76" i="24"/>
  <c r="T76" i="24"/>
  <c r="U1057" i="3"/>
  <c r="F1057" i="3"/>
  <c r="M1057" i="3"/>
  <c r="I706" i="3"/>
  <c r="G706" i="3"/>
  <c r="S150" i="22"/>
  <c r="T150" i="22"/>
  <c r="U150" i="22"/>
  <c r="S103" i="24"/>
  <c r="T103" i="24"/>
  <c r="U151" i="22"/>
  <c r="S151" i="22"/>
  <c r="T151" i="22"/>
  <c r="G704" i="3"/>
  <c r="I704" i="3"/>
  <c r="S147" i="22"/>
  <c r="U147" i="22"/>
  <c r="T147" i="22"/>
  <c r="S129" i="22"/>
  <c r="V129" i="22"/>
  <c r="W129" i="22"/>
  <c r="U129" i="22"/>
  <c r="T129" i="22"/>
  <c r="S31" i="22"/>
  <c r="T31" i="22"/>
  <c r="U31" i="22"/>
  <c r="S43" i="22"/>
  <c r="T43" i="22"/>
  <c r="U43" i="22"/>
  <c r="T182" i="22"/>
  <c r="S182" i="22"/>
  <c r="U182" i="22"/>
  <c r="T60" i="22"/>
  <c r="S60" i="22"/>
  <c r="U60" i="22"/>
  <c r="U100" i="22"/>
  <c r="S100" i="22"/>
  <c r="T100" i="22"/>
  <c r="U81" i="22"/>
  <c r="S81" i="22"/>
  <c r="T81" i="22"/>
  <c r="S156" i="22"/>
  <c r="T156" i="22"/>
  <c r="U156" i="22"/>
  <c r="T130" i="22"/>
  <c r="U130" i="22"/>
  <c r="S130" i="22"/>
  <c r="S28" i="22"/>
  <c r="V28" i="22"/>
  <c r="V186" i="22"/>
  <c r="U28" i="22"/>
  <c r="T28" i="22"/>
  <c r="R186" i="22"/>
  <c r="R187" i="22"/>
  <c r="T69" i="22"/>
  <c r="U69" i="22"/>
  <c r="S69" i="22"/>
  <c r="U34" i="22"/>
  <c r="S34" i="22"/>
  <c r="T34" i="22"/>
  <c r="G915" i="3"/>
  <c r="I915" i="3"/>
  <c r="T176" i="22"/>
  <c r="S176" i="22"/>
  <c r="U176" i="22"/>
  <c r="S120" i="22"/>
  <c r="U120" i="22"/>
  <c r="T120" i="22"/>
  <c r="G95" i="3"/>
  <c r="I95" i="3"/>
  <c r="S46" i="24"/>
  <c r="T46" i="24"/>
  <c r="S38" i="24"/>
  <c r="T38" i="24"/>
  <c r="U53" i="22"/>
  <c r="T53" i="22"/>
  <c r="S53" i="22"/>
  <c r="I1069" i="3"/>
  <c r="G1069" i="3"/>
  <c r="G972" i="3"/>
  <c r="I972" i="3"/>
  <c r="S183" i="22"/>
  <c r="U183" i="22"/>
  <c r="T183" i="22"/>
  <c r="S126" i="22"/>
  <c r="U126" i="22"/>
  <c r="T126" i="22"/>
  <c r="U88" i="22"/>
  <c r="S88" i="22"/>
  <c r="V88" i="22"/>
  <c r="W88" i="22"/>
  <c r="T88" i="22"/>
  <c r="T146" i="22"/>
  <c r="S146" i="22"/>
  <c r="U146" i="22"/>
  <c r="T170" i="22"/>
  <c r="S170" i="22"/>
  <c r="U170" i="22"/>
  <c r="S174" i="22"/>
  <c r="T174" i="22"/>
  <c r="U174" i="22"/>
  <c r="S32" i="22"/>
  <c r="T32" i="22"/>
  <c r="U32" i="22"/>
  <c r="S79" i="22"/>
  <c r="V79" i="22"/>
  <c r="T79" i="22"/>
  <c r="U79" i="22"/>
  <c r="W79" i="22"/>
  <c r="S144" i="22"/>
  <c r="U144" i="22"/>
  <c r="T144" i="22"/>
  <c r="T118" i="22"/>
  <c r="U118" i="22"/>
  <c r="S118" i="22"/>
  <c r="T145" i="22"/>
  <c r="U145" i="22"/>
  <c r="S145" i="22"/>
  <c r="V145" i="22"/>
  <c r="W145" i="22"/>
  <c r="S67" i="22"/>
  <c r="U67" i="22"/>
  <c r="T67" i="22"/>
  <c r="S87" i="22"/>
  <c r="V87" i="22"/>
  <c r="W87" i="22"/>
  <c r="U87" i="22"/>
  <c r="T87" i="22"/>
  <c r="S96" i="24"/>
  <c r="T96" i="24"/>
  <c r="S47" i="24"/>
  <c r="T47" i="24"/>
  <c r="S61" i="24"/>
  <c r="T61" i="24"/>
  <c r="G965" i="3"/>
  <c r="I965" i="3"/>
  <c r="S68" i="22"/>
  <c r="T68" i="22"/>
  <c r="U68" i="22"/>
  <c r="S140" i="22"/>
  <c r="V140" i="22"/>
  <c r="W140" i="22"/>
  <c r="T140" i="22"/>
  <c r="U140" i="22"/>
  <c r="G964" i="3"/>
  <c r="I964" i="3"/>
  <c r="S178" i="24"/>
  <c r="T178" i="24"/>
  <c r="S83" i="24"/>
  <c r="T83" i="24"/>
  <c r="G912" i="3"/>
  <c r="I912" i="3"/>
  <c r="S60" i="24"/>
  <c r="T60" i="24"/>
  <c r="S93" i="24"/>
  <c r="T93" i="24"/>
  <c r="S31" i="24"/>
  <c r="T31" i="24"/>
  <c r="U181" i="22"/>
  <c r="W181" i="22"/>
  <c r="S181" i="22"/>
  <c r="V181" i="22"/>
  <c r="T181" i="22"/>
  <c r="S117" i="22"/>
  <c r="U117" i="22"/>
  <c r="T117" i="22"/>
  <c r="T84" i="22"/>
  <c r="S84" i="22"/>
  <c r="V84" i="22"/>
  <c r="W84" i="22"/>
  <c r="U84" i="22"/>
  <c r="S137" i="22"/>
  <c r="T137" i="22"/>
  <c r="U137" i="22"/>
  <c r="T158" i="22"/>
  <c r="S158" i="22"/>
  <c r="U158" i="22"/>
  <c r="S162" i="22"/>
  <c r="T162" i="22"/>
  <c r="U162" i="22"/>
  <c r="U175" i="22"/>
  <c r="S175" i="22"/>
  <c r="V175" i="22"/>
  <c r="W175" i="22"/>
  <c r="T175" i="22"/>
  <c r="U70" i="22"/>
  <c r="T70" i="22"/>
  <c r="S70" i="22"/>
  <c r="V70" i="22"/>
  <c r="W70" i="22"/>
  <c r="S132" i="22"/>
  <c r="U132" i="22"/>
  <c r="T132" i="22"/>
  <c r="T106" i="22"/>
  <c r="U106" i="22"/>
  <c r="S106" i="22"/>
  <c r="T133" i="22"/>
  <c r="U133" i="22"/>
  <c r="S133" i="22"/>
  <c r="V133" i="22"/>
  <c r="W133" i="22"/>
  <c r="T58" i="22"/>
  <c r="U58" i="22"/>
  <c r="S58" i="22"/>
  <c r="S75" i="22"/>
  <c r="V75" i="22"/>
  <c r="W75" i="22"/>
  <c r="T75" i="22"/>
  <c r="U75" i="22"/>
  <c r="G935" i="3"/>
  <c r="I935" i="3"/>
  <c r="G1047" i="3"/>
  <c r="I1047" i="3"/>
  <c r="G784" i="3"/>
  <c r="I784" i="3"/>
  <c r="S139" i="24"/>
  <c r="T139" i="24"/>
  <c r="S79" i="24"/>
  <c r="T79" i="24"/>
  <c r="S101" i="24"/>
  <c r="T101" i="24"/>
  <c r="S53" i="24"/>
  <c r="T53" i="24"/>
  <c r="S64" i="24"/>
  <c r="T64" i="24"/>
  <c r="S127" i="24"/>
  <c r="T127" i="24"/>
  <c r="V32" i="22"/>
  <c r="W32" i="22"/>
  <c r="V86" i="22"/>
  <c r="W86" i="22"/>
  <c r="W28" i="22"/>
  <c r="W186" i="22"/>
  <c r="V169" i="22"/>
  <c r="W169" i="22"/>
  <c r="V50" i="22"/>
  <c r="W50" i="22"/>
  <c r="V132" i="22"/>
  <c r="W132" i="22"/>
  <c r="V162" i="22"/>
  <c r="W162" i="22"/>
  <c r="V118" i="22"/>
  <c r="W118" i="22"/>
  <c r="V146" i="22"/>
  <c r="W146" i="22"/>
  <c r="V81" i="22"/>
  <c r="W81" i="22"/>
  <c r="V182" i="22"/>
  <c r="W182" i="22"/>
  <c r="V35" i="22"/>
  <c r="W35" i="22"/>
  <c r="V83" i="22"/>
  <c r="W83" i="22"/>
  <c r="V154" i="22"/>
  <c r="W154" i="22"/>
  <c r="V124" i="22"/>
  <c r="W124" i="22"/>
  <c r="V114" i="22"/>
  <c r="W114" i="22"/>
  <c r="V78" i="22"/>
  <c r="W78" i="22"/>
  <c r="V101" i="22"/>
  <c r="W101" i="22"/>
  <c r="V99" i="22"/>
  <c r="W99" i="22"/>
  <c r="V72" i="22"/>
  <c r="W72" i="22"/>
  <c r="V57" i="22"/>
  <c r="W57" i="22"/>
  <c r="V47" i="22"/>
  <c r="W47" i="22"/>
  <c r="V138" i="22"/>
  <c r="W138" i="22"/>
  <c r="V104" i="22"/>
  <c r="W104" i="22"/>
  <c r="V62" i="22"/>
  <c r="W62" i="22"/>
  <c r="V127" i="22"/>
  <c r="W127" i="22"/>
  <c r="V158" i="22"/>
  <c r="W158" i="22"/>
  <c r="V34" i="22"/>
  <c r="W34" i="22"/>
  <c r="V130" i="22"/>
  <c r="W130" i="22"/>
  <c r="V100" i="22"/>
  <c r="W100" i="22"/>
  <c r="V38" i="22"/>
  <c r="W38" i="22"/>
  <c r="G1072" i="3"/>
  <c r="I1072" i="3"/>
  <c r="V143" i="22"/>
  <c r="W143" i="22"/>
  <c r="V48" i="22"/>
  <c r="W48" i="22"/>
  <c r="V122" i="22"/>
  <c r="W122" i="22"/>
  <c r="V164" i="22"/>
  <c r="W164" i="22"/>
  <c r="G1071" i="3"/>
  <c r="I1071" i="3"/>
  <c r="V125" i="22"/>
  <c r="W125" i="22"/>
  <c r="V117" i="22"/>
  <c r="W117" i="22"/>
  <c r="V150" i="22"/>
  <c r="W150" i="22"/>
  <c r="V148" i="22"/>
  <c r="W148" i="22"/>
  <c r="V116" i="22"/>
  <c r="W116" i="22"/>
  <c r="V160" i="22"/>
  <c r="W160" i="22"/>
  <c r="V39" i="22"/>
  <c r="W39" i="22"/>
  <c r="V109" i="22"/>
  <c r="W109" i="22"/>
  <c r="V54" i="22"/>
  <c r="W54" i="22"/>
  <c r="V136" i="22"/>
  <c r="W136" i="22"/>
  <c r="V68" i="22"/>
  <c r="W68" i="22"/>
  <c r="V43" i="22"/>
  <c r="W43" i="22"/>
  <c r="V147" i="22"/>
  <c r="W147" i="22"/>
  <c r="V155" i="22"/>
  <c r="W155" i="22"/>
  <c r="V121" i="22"/>
  <c r="W121" i="22"/>
  <c r="V55" i="22"/>
  <c r="W55" i="22"/>
  <c r="V128" i="22"/>
  <c r="W128" i="22"/>
  <c r="V123" i="22"/>
  <c r="W123" i="22"/>
  <c r="V107" i="22"/>
  <c r="W107" i="22"/>
  <c r="V106" i="22"/>
  <c r="W106" i="22"/>
  <c r="V67" i="22"/>
  <c r="W67" i="22"/>
  <c r="V144" i="22"/>
  <c r="W144" i="22"/>
  <c r="V174" i="22"/>
  <c r="W174" i="22"/>
  <c r="V120" i="22"/>
  <c r="W120" i="22"/>
  <c r="V69" i="22"/>
  <c r="W69" i="22"/>
  <c r="V80" i="22"/>
  <c r="W80" i="22"/>
  <c r="V180" i="22"/>
  <c r="W180" i="22"/>
  <c r="V149" i="22"/>
  <c r="W149" i="22"/>
  <c r="V82" i="22"/>
  <c r="W82" i="22"/>
  <c r="V63" i="22"/>
  <c r="W63" i="22"/>
  <c r="V93" i="22"/>
  <c r="W93" i="22"/>
  <c r="G37" i="3"/>
  <c r="I37" i="3"/>
  <c r="G1056" i="3"/>
  <c r="I1056" i="3"/>
  <c r="V119" i="22"/>
  <c r="W119" i="22"/>
  <c r="G1057" i="3"/>
  <c r="I1057" i="3"/>
  <c r="V53" i="22"/>
  <c r="W53" i="22"/>
  <c r="V176" i="22"/>
  <c r="W176" i="22"/>
  <c r="V60" i="22"/>
  <c r="W60" i="22"/>
  <c r="V64" i="22"/>
  <c r="W64" i="22"/>
  <c r="V37" i="22"/>
  <c r="W37" i="22"/>
  <c r="V161" i="22"/>
  <c r="W161" i="22"/>
  <c r="V91" i="22"/>
  <c r="W91" i="22"/>
  <c r="V44" i="22"/>
  <c r="W44" i="22"/>
  <c r="V173" i="22"/>
  <c r="W173" i="22"/>
  <c r="V42" i="22"/>
  <c r="W42" i="22"/>
  <c r="V185" i="22"/>
  <c r="W185" i="22"/>
  <c r="V85" i="22"/>
  <c r="W85" i="22"/>
  <c r="V163" i="22"/>
  <c r="W163" i="22"/>
  <c r="V183" i="22"/>
  <c r="W183" i="22"/>
  <c r="V137" i="22"/>
  <c r="W137" i="22"/>
  <c r="V170" i="22"/>
  <c r="W170" i="22"/>
  <c r="V156" i="22"/>
  <c r="W156" i="22"/>
  <c r="V31" i="22"/>
  <c r="W31" i="22"/>
  <c r="V41" i="22"/>
  <c r="W41" i="22"/>
  <c r="V65" i="22"/>
  <c r="W65" i="22"/>
  <c r="V49" i="22"/>
  <c r="W49" i="22"/>
  <c r="V134" i="22"/>
  <c r="W134" i="22"/>
  <c r="V73" i="22"/>
  <c r="W73" i="22"/>
  <c r="V36" i="22"/>
  <c r="W36" i="22"/>
  <c r="V111" i="22"/>
  <c r="W111" i="22"/>
  <c r="V90" i="22"/>
  <c r="W90" i="22"/>
  <c r="V40" i="22"/>
  <c r="W40" i="22"/>
  <c r="V96" i="22"/>
  <c r="W96" i="22"/>
  <c r="V184" i="22"/>
  <c r="W184" i="22"/>
  <c r="V58" i="22"/>
  <c r="W58" i="22"/>
  <c r="V126" i="22"/>
  <c r="W126" i="22"/>
  <c r="V151" i="22"/>
  <c r="W151" i="22"/>
  <c r="V92" i="22"/>
  <c r="W92" i="22"/>
  <c r="V141" i="22"/>
  <c r="W141" i="22"/>
  <c r="V59" i="22"/>
  <c r="W59" i="22"/>
  <c r="V98" i="22"/>
  <c r="W98" i="22"/>
  <c r="V110" i="22"/>
  <c r="W110" i="22"/>
  <c r="V97" i="22"/>
  <c r="W97" i="22"/>
  <c r="V171" i="22"/>
  <c r="W171" i="22"/>
  <c r="V157" i="22"/>
  <c r="W157" i="22"/>
  <c r="F22" i="27"/>
  <c r="M22" i="27"/>
  <c r="C84" i="27"/>
  <c r="D84" i="27"/>
  <c r="C2409" i="27"/>
  <c r="D2409" i="27"/>
  <c r="E2409" i="27"/>
  <c r="U2409" i="27"/>
  <c r="F1196" i="27"/>
  <c r="M1196" i="27"/>
  <c r="G1196" i="27"/>
  <c r="Z875" i="27"/>
  <c r="AA875" i="27"/>
  <c r="F875" i="27"/>
  <c r="M875" i="27"/>
  <c r="G875" i="27"/>
  <c r="Z594" i="27"/>
  <c r="Z564" i="27"/>
  <c r="AA564" i="27"/>
  <c r="Z499" i="27"/>
  <c r="AA499" i="27"/>
  <c r="Z467" i="27"/>
  <c r="AA467" i="27"/>
  <c r="F916" i="27"/>
  <c r="M916" i="27"/>
  <c r="G916" i="27"/>
  <c r="AB916" i="27"/>
  <c r="AA916" i="27"/>
  <c r="U916" i="27"/>
  <c r="F931" i="27"/>
  <c r="M931" i="27"/>
  <c r="Z931" i="27"/>
  <c r="AA931" i="27"/>
  <c r="Z636" i="27"/>
  <c r="U2491" i="27"/>
  <c r="Z2491" i="27"/>
  <c r="AA2491" i="27"/>
  <c r="F2491" i="27"/>
  <c r="M2491" i="27"/>
  <c r="U3159" i="27"/>
  <c r="F3159" i="27"/>
  <c r="M3159" i="27"/>
  <c r="U415" i="27"/>
  <c r="Z415" i="27"/>
  <c r="AA415" i="27"/>
  <c r="F415" i="27"/>
  <c r="M415" i="27"/>
  <c r="G415" i="27"/>
  <c r="C2701" i="27"/>
  <c r="E2701" i="27"/>
  <c r="U2701" i="27"/>
  <c r="C2056" i="27"/>
  <c r="E2056" i="27"/>
  <c r="U2056" i="27"/>
  <c r="C2618" i="27"/>
  <c r="E2618" i="27"/>
  <c r="Z2618" i="27"/>
  <c r="AA2618" i="27"/>
  <c r="C2163" i="27"/>
  <c r="E2163" i="27"/>
  <c r="F2163" i="27"/>
  <c r="M2163" i="27"/>
  <c r="E1964" i="27"/>
  <c r="C2800" i="27"/>
  <c r="E2800" i="27"/>
  <c r="U2800" i="27"/>
  <c r="E2284" i="27"/>
  <c r="Z245" i="27"/>
  <c r="AA245" i="27"/>
  <c r="F245" i="27"/>
  <c r="M245" i="27"/>
  <c r="G245" i="27"/>
  <c r="C3084" i="27"/>
  <c r="D3084" i="27"/>
  <c r="AA3084" i="27"/>
  <c r="C3083" i="27"/>
  <c r="D3083" i="27"/>
  <c r="AA3083" i="27"/>
  <c r="D3060" i="27"/>
  <c r="AA3060" i="27"/>
  <c r="D1693" i="27"/>
  <c r="E1693" i="27"/>
  <c r="U1693" i="27"/>
  <c r="C1839" i="27"/>
  <c r="D1839" i="27"/>
  <c r="E1839" i="27"/>
  <c r="U1839" i="27"/>
  <c r="Z144" i="27"/>
  <c r="AA144" i="27"/>
  <c r="U144" i="27"/>
  <c r="AB387" i="27"/>
  <c r="AA387" i="27"/>
  <c r="U387" i="27"/>
  <c r="E3147" i="27"/>
  <c r="U3147" i="27"/>
  <c r="D1267" i="27"/>
  <c r="E1267" i="27"/>
  <c r="G1111" i="27"/>
  <c r="I1111" i="27"/>
  <c r="F1069" i="27"/>
  <c r="M1069" i="27"/>
  <c r="U1069" i="27"/>
  <c r="F1027" i="27"/>
  <c r="M1027" i="27"/>
  <c r="G1027" i="27"/>
  <c r="C2134" i="27"/>
  <c r="E2134" i="27"/>
  <c r="F2134" i="27"/>
  <c r="M2134" i="27"/>
  <c r="Z190" i="27"/>
  <c r="AA190" i="27"/>
  <c r="U190" i="27"/>
  <c r="C2194" i="27"/>
  <c r="D2194" i="27"/>
  <c r="E2194" i="27"/>
  <c r="U1818" i="27"/>
  <c r="U1109" i="27"/>
  <c r="F1109" i="27"/>
  <c r="Z1109" i="27"/>
  <c r="AA1109" i="27"/>
  <c r="U872" i="27"/>
  <c r="F662" i="27"/>
  <c r="M662" i="27"/>
  <c r="G662" i="27"/>
  <c r="F616" i="27"/>
  <c r="M616" i="27"/>
  <c r="G616" i="27"/>
  <c r="U559" i="27"/>
  <c r="U529" i="27"/>
  <c r="Z495" i="27"/>
  <c r="U495" i="27"/>
  <c r="F495" i="27"/>
  <c r="M495" i="27"/>
  <c r="C2069" i="27"/>
  <c r="E2069" i="27"/>
  <c r="F2069" i="27"/>
  <c r="M2069" i="27"/>
  <c r="G2069" i="27"/>
  <c r="F449" i="27"/>
  <c r="M449" i="27"/>
  <c r="G449" i="27"/>
  <c r="AA3149" i="27"/>
  <c r="G3113" i="27"/>
  <c r="I3113" i="27"/>
  <c r="Z775" i="27"/>
  <c r="AA775" i="27"/>
  <c r="F775" i="27"/>
  <c r="M775" i="27"/>
  <c r="G775" i="27"/>
  <c r="U954" i="27"/>
  <c r="F2718" i="27"/>
  <c r="F755" i="27"/>
  <c r="M755" i="27"/>
  <c r="G755" i="27"/>
  <c r="Z755" i="27"/>
  <c r="AA755" i="27"/>
  <c r="Z2638" i="27"/>
  <c r="AA2638" i="27"/>
  <c r="F2638" i="27"/>
  <c r="M2638" i="27"/>
  <c r="U2638" i="27"/>
  <c r="U927" i="27"/>
  <c r="F926" i="27"/>
  <c r="M926" i="27"/>
  <c r="G926" i="27"/>
  <c r="Z1155" i="27"/>
  <c r="AA1155" i="27"/>
  <c r="U1155" i="27"/>
  <c r="F1155" i="27"/>
  <c r="M1155" i="27"/>
  <c r="F840" i="27"/>
  <c r="M840" i="27"/>
  <c r="F2061" i="27"/>
  <c r="M2061" i="27"/>
  <c r="AA2864" i="27"/>
  <c r="Z2260" i="27"/>
  <c r="AA2260" i="27"/>
  <c r="F1201" i="27"/>
  <c r="M1201" i="27"/>
  <c r="U966" i="27"/>
  <c r="Z1119" i="27"/>
  <c r="U922" i="27"/>
  <c r="F1142" i="27"/>
  <c r="M1142" i="27"/>
  <c r="F2343" i="27"/>
  <c r="M2343" i="27"/>
  <c r="G2343" i="27"/>
  <c r="Z335" i="27"/>
  <c r="AA335" i="27"/>
  <c r="AB547" i="27"/>
  <c r="AA547" i="27"/>
  <c r="F547" i="27"/>
  <c r="M547" i="27"/>
  <c r="Z547" i="27"/>
  <c r="U547" i="27"/>
  <c r="U3170" i="27"/>
  <c r="U631" i="27"/>
  <c r="U2331" i="27"/>
  <c r="F1604" i="27"/>
  <c r="M1604" i="27"/>
  <c r="U1604" i="27"/>
  <c r="Z1604" i="27"/>
  <c r="AA1604" i="27"/>
  <c r="F874" i="27"/>
  <c r="M874" i="27"/>
  <c r="AB1011" i="27"/>
  <c r="AA1011" i="27"/>
  <c r="F966" i="27"/>
  <c r="M966" i="27"/>
  <c r="F954" i="27"/>
  <c r="U2718" i="27"/>
  <c r="U2572" i="27"/>
  <c r="U1080" i="27"/>
  <c r="C1875" i="27"/>
  <c r="D1875" i="27"/>
  <c r="E1875" i="27"/>
  <c r="Z1080" i="27"/>
  <c r="M1780" i="27"/>
  <c r="G1780" i="27"/>
  <c r="U399" i="27"/>
  <c r="AB1080" i="27"/>
  <c r="AA1080" i="27"/>
  <c r="AA3128" i="27"/>
  <c r="E3150" i="27"/>
  <c r="F930" i="27"/>
  <c r="M930" i="27"/>
  <c r="U658" i="27"/>
  <c r="C2148" i="27"/>
  <c r="E2148" i="27"/>
  <c r="U2148" i="27"/>
  <c r="U930" i="27"/>
  <c r="C1931" i="27"/>
  <c r="Z1818" i="27"/>
  <c r="AA1818" i="27"/>
  <c r="Z2717" i="27"/>
  <c r="AA2717" i="27"/>
  <c r="Z912" i="27"/>
  <c r="AA912" i="27"/>
  <c r="U2717" i="27"/>
  <c r="C1827" i="27"/>
  <c r="D1827" i="27"/>
  <c r="E1827" i="27"/>
  <c r="C2393" i="27"/>
  <c r="D2393" i="27"/>
  <c r="E2393" i="27"/>
  <c r="F2393" i="27"/>
  <c r="M2393" i="27"/>
  <c r="G2393" i="27"/>
  <c r="F2808" i="27"/>
  <c r="AB812" i="27"/>
  <c r="AA812" i="27"/>
  <c r="C1889" i="27"/>
  <c r="D1889" i="27"/>
  <c r="E1889" i="27"/>
  <c r="U1889" i="27"/>
  <c r="Z812" i="27"/>
  <c r="D51" i="27"/>
  <c r="E51" i="27"/>
  <c r="Z51" i="27"/>
  <c r="AA51" i="27"/>
  <c r="U812" i="27"/>
  <c r="Z823" i="27"/>
  <c r="AA823" i="27"/>
  <c r="Z293" i="27"/>
  <c r="AA293" i="27"/>
  <c r="Z433" i="27"/>
  <c r="U823" i="27"/>
  <c r="F293" i="27"/>
  <c r="M293" i="27"/>
  <c r="G293" i="27"/>
  <c r="I293" i="27"/>
  <c r="U536" i="27"/>
  <c r="F878" i="27"/>
  <c r="M878" i="27"/>
  <c r="AB724" i="27"/>
  <c r="AA724" i="27"/>
  <c r="F11" i="27"/>
  <c r="M11" i="27"/>
  <c r="G11" i="27"/>
  <c r="F369" i="27"/>
  <c r="M369" i="27"/>
  <c r="U11" i="27"/>
  <c r="U487" i="27"/>
  <c r="F2819" i="27"/>
  <c r="M2819" i="27"/>
  <c r="F407" i="27"/>
  <c r="M407" i="27"/>
  <c r="F2621" i="27"/>
  <c r="M2621" i="27"/>
  <c r="Z2718" i="27"/>
  <c r="AA2718" i="27"/>
  <c r="Z724" i="27"/>
  <c r="F2524" i="27"/>
  <c r="M2524" i="27"/>
  <c r="Z891" i="27"/>
  <c r="AA891" i="27"/>
  <c r="Z407" i="27"/>
  <c r="AA407" i="27"/>
  <c r="Z1084" i="27"/>
  <c r="AB397" i="27"/>
  <c r="AA397" i="27"/>
  <c r="AB725" i="27"/>
  <c r="AA725" i="27"/>
  <c r="U891" i="27"/>
  <c r="Z1308" i="27"/>
  <c r="AA1308" i="27"/>
  <c r="Z1145" i="27"/>
  <c r="AA1145" i="27"/>
  <c r="F837" i="27"/>
  <c r="M837" i="27"/>
  <c r="G837" i="27"/>
  <c r="Z1223" i="27"/>
  <c r="AA1223" i="27"/>
  <c r="F1223" i="27"/>
  <c r="M1223" i="27"/>
  <c r="U504" i="27"/>
  <c r="U837" i="27"/>
  <c r="U822" i="27"/>
  <c r="F463" i="27"/>
  <c r="M463" i="27"/>
  <c r="F487" i="27"/>
  <c r="M487" i="27"/>
  <c r="Z822" i="27"/>
  <c r="Z463" i="27"/>
  <c r="AA463" i="27"/>
  <c r="Z487" i="27"/>
  <c r="F2607" i="27"/>
  <c r="M2607" i="27"/>
  <c r="G2607" i="27"/>
  <c r="U214" i="27"/>
  <c r="F227" i="27"/>
  <c r="M227" i="27"/>
  <c r="E114" i="27"/>
  <c r="U2607" i="27"/>
  <c r="Z227" i="27"/>
  <c r="AA227" i="27"/>
  <c r="Z504" i="27"/>
  <c r="AA504" i="27"/>
  <c r="Z643" i="27"/>
  <c r="AA643" i="27"/>
  <c r="Z409" i="27"/>
  <c r="F758" i="27"/>
  <c r="M758" i="27"/>
  <c r="Z398" i="27"/>
  <c r="AA398" i="27"/>
  <c r="F657" i="27"/>
  <c r="M657" i="27"/>
  <c r="C2426" i="27"/>
  <c r="D2426" i="27"/>
  <c r="E2426" i="27"/>
  <c r="Z2426" i="27"/>
  <c r="AA2426" i="27"/>
  <c r="U398" i="27"/>
  <c r="Z657" i="27"/>
  <c r="AA657" i="27"/>
  <c r="Z180" i="27"/>
  <c r="AA180" i="27"/>
  <c r="Z422" i="27"/>
  <c r="AA422" i="27"/>
  <c r="F326" i="27"/>
  <c r="M326" i="27"/>
  <c r="Z2309" i="27"/>
  <c r="AA2309" i="27"/>
  <c r="F180" i="27"/>
  <c r="M180" i="27"/>
  <c r="Z161" i="27"/>
  <c r="AA161" i="27"/>
  <c r="U14" i="27"/>
  <c r="F422" i="27"/>
  <c r="M422" i="27"/>
  <c r="U879" i="27"/>
  <c r="Z326" i="27"/>
  <c r="F2309" i="27"/>
  <c r="M2309" i="27"/>
  <c r="G2309" i="27"/>
  <c r="F2729" i="27"/>
  <c r="M2729" i="27"/>
  <c r="G2729" i="27"/>
  <c r="F14" i="27"/>
  <c r="M14" i="27"/>
  <c r="U758" i="27"/>
  <c r="F520" i="27"/>
  <c r="M520" i="27"/>
  <c r="Z2729" i="27"/>
  <c r="AA2729" i="27"/>
  <c r="F822" i="27"/>
  <c r="M822" i="27"/>
  <c r="G822" i="27"/>
  <c r="F2523" i="27"/>
  <c r="M2523" i="27"/>
  <c r="G2523" i="27"/>
  <c r="U724" i="27"/>
  <c r="U520" i="27"/>
  <c r="Z2787" i="27"/>
  <c r="D1989" i="27"/>
  <c r="E1989" i="27"/>
  <c r="Z1989" i="27"/>
  <c r="C1842" i="27"/>
  <c r="D1842" i="27"/>
  <c r="E1842" i="27"/>
  <c r="C2983" i="27"/>
  <c r="E2983" i="27"/>
  <c r="Z22" i="27"/>
  <c r="AA22" i="27"/>
  <c r="U167" i="27"/>
  <c r="U1196" i="27"/>
  <c r="Z2572" i="27"/>
  <c r="AA2572" i="27"/>
  <c r="AB630" i="27"/>
  <c r="AA630" i="27"/>
  <c r="F888" i="27"/>
  <c r="M888" i="27"/>
  <c r="Z203" i="27"/>
  <c r="AA203" i="27"/>
  <c r="U888" i="27"/>
  <c r="F1111" i="27"/>
  <c r="C1620" i="27"/>
  <c r="E1620" i="27"/>
  <c r="Z1620" i="27"/>
  <c r="U314" i="27"/>
  <c r="F203" i="27"/>
  <c r="M203" i="27"/>
  <c r="U2293" i="27"/>
  <c r="U908" i="27"/>
  <c r="Z1111" i="27"/>
  <c r="AA1111" i="27"/>
  <c r="C1553" i="27"/>
  <c r="E1553" i="27"/>
  <c r="AA1553" i="27"/>
  <c r="F714" i="27"/>
  <c r="M714" i="27"/>
  <c r="G714" i="27"/>
  <c r="U272" i="27"/>
  <c r="Z908" i="27"/>
  <c r="AA908" i="27"/>
  <c r="C1370" i="27"/>
  <c r="D1370" i="27"/>
  <c r="E1370" i="27"/>
  <c r="U1370" i="27"/>
  <c r="C2187" i="27"/>
  <c r="C1570" i="27"/>
  <c r="D1570" i="27"/>
  <c r="E1570" i="27"/>
  <c r="F272" i="27"/>
  <c r="M272" i="27"/>
  <c r="F1126" i="27"/>
  <c r="M1126" i="27"/>
  <c r="AA3122" i="27"/>
  <c r="U302" i="27"/>
  <c r="F651" i="27"/>
  <c r="M651" i="27"/>
  <c r="F335" i="27"/>
  <c r="M335" i="27"/>
  <c r="G335" i="27"/>
  <c r="I335" i="27"/>
  <c r="F933" i="27"/>
  <c r="M933" i="27"/>
  <c r="Z302" i="27"/>
  <c r="AA302" i="27"/>
  <c r="F513" i="27"/>
  <c r="M513" i="27"/>
  <c r="C1895" i="27"/>
  <c r="D1895" i="27"/>
  <c r="E1895" i="27"/>
  <c r="U1895" i="27"/>
  <c r="C1536" i="27"/>
  <c r="E1536" i="27"/>
  <c r="Z382" i="27"/>
  <c r="AB382" i="27"/>
  <c r="AA382" i="27"/>
  <c r="D3059" i="27"/>
  <c r="AA3059" i="27"/>
  <c r="U2781" i="27"/>
  <c r="Z2781" i="27"/>
  <c r="AA2781" i="27"/>
  <c r="F2781" i="27"/>
  <c r="M2781" i="27"/>
  <c r="G2781" i="27"/>
  <c r="F522" i="27"/>
  <c r="M522" i="27"/>
  <c r="G522" i="27"/>
  <c r="U522" i="27"/>
  <c r="Z241" i="27"/>
  <c r="F241" i="27"/>
  <c r="M241" i="27"/>
  <c r="G241" i="27"/>
  <c r="F186" i="27"/>
  <c r="M186" i="27"/>
  <c r="G186" i="27"/>
  <c r="Z186" i="27"/>
  <c r="U186" i="27"/>
  <c r="G2808" i="27"/>
  <c r="I2808" i="27"/>
  <c r="Z712" i="27"/>
  <c r="AA712" i="27"/>
  <c r="U712" i="27"/>
  <c r="F712" i="27"/>
  <c r="M712" i="27"/>
  <c r="G712" i="27"/>
  <c r="AA3180" i="27"/>
  <c r="E3180" i="27"/>
  <c r="F3180" i="27"/>
  <c r="M3180" i="27"/>
  <c r="AA3144" i="27"/>
  <c r="F471" i="27"/>
  <c r="M471" i="27"/>
  <c r="F638" i="27"/>
  <c r="M638" i="27"/>
  <c r="AB638" i="27"/>
  <c r="AA638" i="27"/>
  <c r="U187" i="27"/>
  <c r="AB187" i="27"/>
  <c r="AA187" i="27"/>
  <c r="E3177" i="27"/>
  <c r="U3177" i="27"/>
  <c r="AA3177" i="27"/>
  <c r="U2808" i="27"/>
  <c r="C2606" i="27"/>
  <c r="E2606" i="27"/>
  <c r="C2707" i="27"/>
  <c r="E2707" i="27"/>
  <c r="C1622" i="27"/>
  <c r="E1622" i="27"/>
  <c r="AA1622" i="27"/>
  <c r="C2166" i="27"/>
  <c r="E2166" i="27"/>
  <c r="E2105" i="27"/>
  <c r="F2105" i="27"/>
  <c r="M2105" i="27"/>
  <c r="G2105" i="27"/>
  <c r="C1555" i="27"/>
  <c r="E1555" i="27"/>
  <c r="C1350" i="27"/>
  <c r="D1350" i="27"/>
  <c r="E1350" i="27"/>
  <c r="C1325" i="27"/>
  <c r="D1325" i="27"/>
  <c r="E1325" i="27"/>
  <c r="Z1325" i="27"/>
  <c r="AA1325" i="27"/>
  <c r="D1237" i="27"/>
  <c r="E1237" i="27"/>
  <c r="Z1237" i="27"/>
  <c r="AA1237" i="27"/>
  <c r="U1219" i="27"/>
  <c r="Z1219" i="27"/>
  <c r="AA1219" i="27"/>
  <c r="F1219" i="27"/>
  <c r="M1219" i="27"/>
  <c r="U733" i="27"/>
  <c r="Z700" i="27"/>
  <c r="U700" i="27"/>
  <c r="F700" i="27"/>
  <c r="M700" i="27"/>
  <c r="G700" i="27"/>
  <c r="AB700" i="27"/>
  <c r="AA700" i="27"/>
  <c r="AB651" i="27"/>
  <c r="AA651" i="27"/>
  <c r="U651" i="27"/>
  <c r="AB616" i="27"/>
  <c r="AA616" i="27"/>
  <c r="Z616" i="27"/>
  <c r="U616" i="27"/>
  <c r="F542" i="27"/>
  <c r="M542" i="27"/>
  <c r="U542" i="27"/>
  <c r="AB542" i="27"/>
  <c r="AA542" i="27"/>
  <c r="Z542" i="27"/>
  <c r="F529" i="27"/>
  <c r="M529" i="27"/>
  <c r="Z529" i="27"/>
  <c r="AA529" i="27"/>
  <c r="U510" i="27"/>
  <c r="F441" i="27"/>
  <c r="M441" i="27"/>
  <c r="G441" i="27"/>
  <c r="I441" i="27"/>
  <c r="Z441" i="27"/>
  <c r="AB441" i="27"/>
  <c r="AA441" i="27"/>
  <c r="U441" i="27"/>
  <c r="U330" i="27"/>
  <c r="D2297" i="27"/>
  <c r="E2297" i="27"/>
  <c r="F2297" i="27"/>
  <c r="M2297" i="27"/>
  <c r="C2412" i="27"/>
  <c r="D2412" i="27"/>
  <c r="E2412" i="27"/>
  <c r="Z2411" i="27"/>
  <c r="AA2411" i="27"/>
  <c r="F2411" i="27"/>
  <c r="M2411" i="27"/>
  <c r="G2411" i="27"/>
  <c r="U2411" i="27"/>
  <c r="D2327" i="27"/>
  <c r="E2327" i="27"/>
  <c r="Z2327" i="27"/>
  <c r="AA2327" i="27"/>
  <c r="C2435" i="27"/>
  <c r="D2435" i="27"/>
  <c r="E2435" i="27"/>
  <c r="U2435" i="27"/>
  <c r="Z2726" i="27"/>
  <c r="AA2726" i="27"/>
  <c r="U1641" i="27"/>
  <c r="F1641" i="27"/>
  <c r="M1641" i="27"/>
  <c r="C1359" i="27"/>
  <c r="D1359" i="27"/>
  <c r="E1359" i="27"/>
  <c r="U1359" i="27"/>
  <c r="D1271" i="27"/>
  <c r="E1271" i="27"/>
  <c r="U2438" i="27"/>
  <c r="U906" i="27"/>
  <c r="Z906" i="27"/>
  <c r="AA906" i="27"/>
  <c r="F906" i="27"/>
  <c r="M906" i="27"/>
  <c r="G906" i="27"/>
  <c r="F393" i="27"/>
  <c r="M393" i="27"/>
  <c r="Z393" i="27"/>
  <c r="AA393" i="27"/>
  <c r="U393" i="27"/>
  <c r="U270" i="27"/>
  <c r="Z697" i="27"/>
  <c r="AA697" i="27"/>
  <c r="C2424" i="27"/>
  <c r="D2424" i="27"/>
  <c r="E2424" i="27"/>
  <c r="F2424" i="27"/>
  <c r="M2424" i="27"/>
  <c r="D2307" i="27"/>
  <c r="E2307" i="27"/>
  <c r="D1250" i="27"/>
  <c r="E1250" i="27"/>
  <c r="C1340" i="27"/>
  <c r="D1340" i="27"/>
  <c r="E1340" i="27"/>
  <c r="C1324" i="27"/>
  <c r="D1324" i="27"/>
  <c r="E1324" i="27"/>
  <c r="F1324" i="27"/>
  <c r="M1324" i="27"/>
  <c r="D1236" i="27"/>
  <c r="E1236" i="27"/>
  <c r="U1236" i="27"/>
  <c r="U1123" i="27"/>
  <c r="Z1123" i="27"/>
  <c r="AA1123" i="27"/>
  <c r="F1123" i="27"/>
  <c r="M1123" i="27"/>
  <c r="G1123" i="27"/>
  <c r="AB1049" i="27"/>
  <c r="AA1049" i="27"/>
  <c r="F1049" i="27"/>
  <c r="M1049" i="27"/>
  <c r="Z1049" i="27"/>
  <c r="AB885" i="27"/>
  <c r="AA885" i="27"/>
  <c r="Z872" i="27"/>
  <c r="AA872" i="27"/>
  <c r="F872" i="27"/>
  <c r="M872" i="27"/>
  <c r="G872" i="27"/>
  <c r="C1509" i="27"/>
  <c r="E1509" i="27"/>
  <c r="C2021" i="27"/>
  <c r="E2021" i="27"/>
  <c r="E2091" i="27"/>
  <c r="F2091" i="27"/>
  <c r="M2091" i="27"/>
  <c r="G2091" i="27"/>
  <c r="U228" i="27"/>
  <c r="Z228" i="27"/>
  <c r="AA228" i="27"/>
  <c r="F228" i="27"/>
  <c r="M228" i="27"/>
  <c r="G228" i="27"/>
  <c r="F697" i="27"/>
  <c r="M697" i="27"/>
  <c r="G697" i="27"/>
  <c r="Z2492" i="27"/>
  <c r="AA2492" i="27"/>
  <c r="U2492" i="27"/>
  <c r="U2708" i="27"/>
  <c r="Z2708" i="27"/>
  <c r="AA2708" i="27"/>
  <c r="F2708" i="27"/>
  <c r="M2708" i="27"/>
  <c r="F220" i="27"/>
  <c r="M220" i="27"/>
  <c r="F1798" i="27"/>
  <c r="M1798" i="27"/>
  <c r="Z1798" i="27"/>
  <c r="AA1798" i="27"/>
  <c r="U1798" i="27"/>
  <c r="C2133" i="27"/>
  <c r="E2133" i="27"/>
  <c r="Z707" i="27"/>
  <c r="AA707" i="27"/>
  <c r="U331" i="27"/>
  <c r="Z331" i="27"/>
  <c r="AA331" i="27"/>
  <c r="F331" i="27"/>
  <c r="M331" i="27"/>
  <c r="G331" i="27"/>
  <c r="Z1153" i="27"/>
  <c r="AA1153" i="27"/>
  <c r="F1153" i="27"/>
  <c r="M1153" i="27"/>
  <c r="U1153" i="27"/>
  <c r="F382" i="27"/>
  <c r="M382" i="27"/>
  <c r="U638" i="27"/>
  <c r="F215" i="27"/>
  <c r="M215" i="27"/>
  <c r="G215" i="27"/>
  <c r="U215" i="27"/>
  <c r="Z215" i="27"/>
  <c r="AA215" i="27"/>
  <c r="C1390" i="27"/>
  <c r="D1390" i="27"/>
  <c r="E1390" i="27"/>
  <c r="D1295" i="27"/>
  <c r="E1295" i="27"/>
  <c r="Z617" i="27"/>
  <c r="F617" i="27"/>
  <c r="M617" i="27"/>
  <c r="F444" i="27"/>
  <c r="M444" i="27"/>
  <c r="G444" i="27"/>
  <c r="I444" i="27"/>
  <c r="U241" i="27"/>
  <c r="Z1729" i="27"/>
  <c r="AA1729" i="27"/>
  <c r="AA3119" i="27"/>
  <c r="E2277" i="27"/>
  <c r="U460" i="27"/>
  <c r="Z460" i="27"/>
  <c r="AA460" i="27"/>
  <c r="F460" i="27"/>
  <c r="M460" i="27"/>
  <c r="Z2851" i="27"/>
  <c r="AA2851" i="27"/>
  <c r="F1729" i="27"/>
  <c r="M1729" i="27"/>
  <c r="Z472" i="27"/>
  <c r="AA472" i="27"/>
  <c r="Z714" i="27"/>
  <c r="AA714" i="27"/>
  <c r="Z187" i="27"/>
  <c r="C2294" i="27"/>
  <c r="E2294" i="27"/>
  <c r="Z2294" i="27"/>
  <c r="F2331" i="27"/>
  <c r="M2331" i="27"/>
  <c r="G2331" i="27"/>
  <c r="U2413" i="27"/>
  <c r="F817" i="27"/>
  <c r="M817" i="27"/>
  <c r="U817" i="27"/>
  <c r="U2810" i="27"/>
  <c r="F2810" i="27"/>
  <c r="M2810" i="27"/>
  <c r="Z2810" i="27"/>
  <c r="AA2810" i="27"/>
  <c r="Z1739" i="27"/>
  <c r="AA1739" i="27"/>
  <c r="F1739" i="27"/>
  <c r="M1739" i="27"/>
  <c r="U1739" i="27"/>
  <c r="Z2333" i="27"/>
  <c r="AA2333" i="27"/>
  <c r="U2333" i="27"/>
  <c r="Z2821" i="27"/>
  <c r="AA2821" i="27"/>
  <c r="F2821" i="27"/>
  <c r="M2821" i="27"/>
  <c r="G2821" i="27"/>
  <c r="C2985" i="27"/>
  <c r="E2985" i="27"/>
  <c r="E2942" i="27"/>
  <c r="Z2942" i="27"/>
  <c r="AA2942" i="27"/>
  <c r="AB181" i="27"/>
  <c r="AA181" i="27"/>
  <c r="F181" i="27"/>
  <c r="M181" i="27"/>
  <c r="G181" i="27"/>
  <c r="AA3169" i="27"/>
  <c r="E3169" i="27"/>
  <c r="U443" i="27"/>
  <c r="Z443" i="27"/>
  <c r="AA443" i="27"/>
  <c r="F557" i="27"/>
  <c r="M557" i="27"/>
  <c r="AB557" i="27"/>
  <c r="AA557" i="27"/>
  <c r="F223" i="27"/>
  <c r="M223" i="27"/>
  <c r="U223" i="27"/>
  <c r="F481" i="27"/>
  <c r="M481" i="27"/>
  <c r="G481" i="27"/>
  <c r="I481" i="27"/>
  <c r="Z481" i="27"/>
  <c r="AA481" i="27"/>
  <c r="U481" i="27"/>
  <c r="U233" i="27"/>
  <c r="U466" i="27"/>
  <c r="F466" i="27"/>
  <c r="M466" i="27"/>
  <c r="G466" i="27"/>
  <c r="Z466" i="27"/>
  <c r="AA466" i="27"/>
  <c r="Z518" i="27"/>
  <c r="F518" i="27"/>
  <c r="M518" i="27"/>
  <c r="U518" i="27"/>
  <c r="AB518" i="27"/>
  <c r="AA518" i="27"/>
  <c r="F412" i="27"/>
  <c r="M412" i="27"/>
  <c r="U412" i="27"/>
  <c r="Z412" i="27"/>
  <c r="AA412" i="27"/>
  <c r="U2278" i="27"/>
  <c r="F2278" i="27"/>
  <c r="M2278" i="27"/>
  <c r="G2278" i="27"/>
  <c r="Z2278" i="27"/>
  <c r="AA2278" i="27"/>
  <c r="U417" i="27"/>
  <c r="Z417" i="27"/>
  <c r="AA417" i="27"/>
  <c r="F417" i="27"/>
  <c r="M417" i="27"/>
  <c r="G417" i="27"/>
  <c r="U287" i="27"/>
  <c r="U831" i="27"/>
  <c r="F858" i="27"/>
  <c r="M858" i="27"/>
  <c r="G858" i="27"/>
  <c r="Z858" i="27"/>
  <c r="AA858" i="27"/>
  <c r="Z1098" i="27"/>
  <c r="AA1098" i="27"/>
  <c r="U1098" i="27"/>
  <c r="F1098" i="27"/>
  <c r="M1098" i="27"/>
  <c r="G1098" i="27"/>
  <c r="AA3134" i="27"/>
  <c r="E3134" i="27"/>
  <c r="AA3130" i="27"/>
  <c r="E3130" i="27"/>
  <c r="D1676" i="27"/>
  <c r="E1676" i="27"/>
  <c r="F1676" i="27"/>
  <c r="M1676" i="27"/>
  <c r="G1676" i="27"/>
  <c r="C1834" i="27"/>
  <c r="D1834" i="27"/>
  <c r="E1834" i="27"/>
  <c r="U20" i="27"/>
  <c r="Z1457" i="27"/>
  <c r="U960" i="27"/>
  <c r="Z287" i="27"/>
  <c r="AA287" i="27"/>
  <c r="AB341" i="27"/>
  <c r="AA341" i="27"/>
  <c r="F20" i="27"/>
  <c r="M20" i="27"/>
  <c r="Z223" i="27"/>
  <c r="AA223" i="27"/>
  <c r="D1759" i="27"/>
  <c r="E1759" i="27"/>
  <c r="C1848" i="27"/>
  <c r="D1848" i="27"/>
  <c r="E1848" i="27"/>
  <c r="F1848" i="27"/>
  <c r="M1848" i="27"/>
  <c r="C1858" i="27"/>
  <c r="D1858" i="27"/>
  <c r="E1858" i="27"/>
  <c r="D1745" i="27"/>
  <c r="E1745" i="27"/>
  <c r="U1708" i="27"/>
  <c r="C2443" i="27"/>
  <c r="D2443" i="27"/>
  <c r="E2443" i="27"/>
  <c r="Z2443" i="27"/>
  <c r="AA2443" i="27"/>
  <c r="U2269" i="27"/>
  <c r="Z2269" i="27"/>
  <c r="AA2269" i="27"/>
  <c r="F2269" i="27"/>
  <c r="M2269" i="27"/>
  <c r="G2269" i="27"/>
  <c r="U2254" i="27"/>
  <c r="F2254" i="27"/>
  <c r="M2254" i="27"/>
  <c r="D1744" i="27"/>
  <c r="E1744" i="27"/>
  <c r="F1744" i="27"/>
  <c r="M1744" i="27"/>
  <c r="G1744" i="27"/>
  <c r="C1857" i="27"/>
  <c r="D1857" i="27"/>
  <c r="E1857" i="27"/>
  <c r="F1857" i="27"/>
  <c r="M1857" i="27"/>
  <c r="G1857" i="27"/>
  <c r="I1857" i="27"/>
  <c r="D1719" i="27"/>
  <c r="E1719" i="27"/>
  <c r="D1294" i="27"/>
  <c r="E1294" i="27"/>
  <c r="F1294" i="27"/>
  <c r="M1294" i="27"/>
  <c r="G1294" i="27"/>
  <c r="I443" i="27"/>
  <c r="G827" i="27"/>
  <c r="D3065" i="27"/>
  <c r="AA3065" i="27"/>
  <c r="C3093" i="27"/>
  <c r="D3093" i="27"/>
  <c r="D3055" i="27"/>
  <c r="AA3055" i="27"/>
  <c r="C3074" i="27"/>
  <c r="D3074" i="27"/>
  <c r="AA3074" i="27"/>
  <c r="C3073" i="27"/>
  <c r="D3073" i="27"/>
  <c r="AA3073" i="27"/>
  <c r="C2987" i="27"/>
  <c r="E2987" i="27"/>
  <c r="Z2987" i="27"/>
  <c r="E2944" i="27"/>
  <c r="Z2944" i="27"/>
  <c r="AA2944" i="27"/>
  <c r="E2938" i="27"/>
  <c r="Z2938" i="27"/>
  <c r="AA2938" i="27"/>
  <c r="C2981" i="27"/>
  <c r="E2981" i="27"/>
  <c r="Z2981" i="27"/>
  <c r="Z2832" i="27"/>
  <c r="AA2832" i="27"/>
  <c r="D1794" i="27"/>
  <c r="E1794" i="27"/>
  <c r="C1897" i="27"/>
  <c r="D1897" i="27"/>
  <c r="E1897" i="27"/>
  <c r="U1897" i="27"/>
  <c r="D2357" i="27"/>
  <c r="E2357" i="27"/>
  <c r="C2459" i="27"/>
  <c r="D2459" i="27"/>
  <c r="E2459" i="27"/>
  <c r="U175" i="27"/>
  <c r="U1682" i="27"/>
  <c r="F1682" i="27"/>
  <c r="M1682" i="27"/>
  <c r="G1682" i="27"/>
  <c r="U2821" i="27"/>
  <c r="Z1204" i="27"/>
  <c r="AA1204" i="27"/>
  <c r="U1201" i="27"/>
  <c r="F1310" i="27"/>
  <c r="M1310" i="27"/>
  <c r="G1310" i="27"/>
  <c r="Z557" i="27"/>
  <c r="F2333" i="27"/>
  <c r="M2333" i="27"/>
  <c r="U1220" i="27"/>
  <c r="Z1220" i="27"/>
  <c r="AA1220" i="27"/>
  <c r="U1310" i="27"/>
  <c r="Z612" i="27"/>
  <c r="Z894" i="27"/>
  <c r="AA894" i="27"/>
  <c r="U424" i="27"/>
  <c r="F479" i="27"/>
  <c r="M479" i="27"/>
  <c r="G479" i="27"/>
  <c r="U647" i="27"/>
  <c r="F388" i="27"/>
  <c r="M388" i="27"/>
  <c r="G388" i="27"/>
  <c r="F537" i="27"/>
  <c r="M537" i="27"/>
  <c r="G537" i="27"/>
  <c r="AB424" i="27"/>
  <c r="AA424" i="27"/>
  <c r="AB479" i="27"/>
  <c r="AA479" i="27"/>
  <c r="Z624" i="27"/>
  <c r="AA624" i="27"/>
  <c r="Z537" i="27"/>
  <c r="AA537" i="27"/>
  <c r="Z727" i="27"/>
  <c r="F424" i="27"/>
  <c r="M424" i="27"/>
  <c r="G424" i="27"/>
  <c r="U2495" i="27"/>
  <c r="U624" i="27"/>
  <c r="F727" i="27"/>
  <c r="M727" i="27"/>
  <c r="U727" i="27"/>
  <c r="Z659" i="27"/>
  <c r="AA659" i="27"/>
  <c r="Z525" i="27"/>
  <c r="AA525" i="27"/>
  <c r="F659" i="27"/>
  <c r="M659" i="27"/>
  <c r="U479" i="27"/>
  <c r="AB647" i="27"/>
  <c r="AA647" i="27"/>
  <c r="U525" i="27"/>
  <c r="C1864" i="27"/>
  <c r="D1864" i="27"/>
  <c r="E1864" i="27"/>
  <c r="D1718" i="27"/>
  <c r="E1718" i="27"/>
  <c r="F2268" i="27"/>
  <c r="M2268" i="27"/>
  <c r="U2268" i="27"/>
  <c r="Z2268" i="27"/>
  <c r="AA2268" i="27"/>
  <c r="Z2253" i="27"/>
  <c r="AA2253" i="27"/>
  <c r="U2253" i="27"/>
  <c r="D1480" i="27"/>
  <c r="E1480" i="27"/>
  <c r="U1480" i="27"/>
  <c r="C1374" i="27"/>
  <c r="D1374" i="27"/>
  <c r="E1374" i="27"/>
  <c r="U1374" i="27"/>
  <c r="C1319" i="27"/>
  <c r="D1319" i="27"/>
  <c r="E1319" i="27"/>
  <c r="Z298" i="27"/>
  <c r="AA298" i="27"/>
  <c r="I1733" i="27"/>
  <c r="AA3157" i="27"/>
  <c r="Z275" i="27"/>
  <c r="AA275" i="27"/>
  <c r="F275" i="27"/>
  <c r="M275" i="27"/>
  <c r="G275" i="27"/>
  <c r="F170" i="27"/>
  <c r="M170" i="27"/>
  <c r="G170" i="27"/>
  <c r="U170" i="27"/>
  <c r="Z170" i="27"/>
  <c r="AA170" i="27"/>
  <c r="F142" i="27"/>
  <c r="M142" i="27"/>
  <c r="AB142" i="27"/>
  <c r="AA142" i="27"/>
  <c r="Z142" i="27"/>
  <c r="U142" i="27"/>
  <c r="C1930" i="27"/>
  <c r="C1516" i="27"/>
  <c r="D1516" i="27"/>
  <c r="E1516" i="27"/>
  <c r="Z12" i="27"/>
  <c r="U12" i="27"/>
  <c r="U2248" i="27"/>
  <c r="Z2248" i="27"/>
  <c r="AA2248" i="27"/>
  <c r="F708" i="27"/>
  <c r="M708" i="27"/>
  <c r="Z708" i="27"/>
  <c r="AB708" i="27"/>
  <c r="AA708" i="27"/>
  <c r="U708" i="27"/>
  <c r="F666" i="27"/>
  <c r="M666" i="27"/>
  <c r="Z666" i="27"/>
  <c r="AA666" i="27"/>
  <c r="U630" i="27"/>
  <c r="Z630" i="27"/>
  <c r="U618" i="27"/>
  <c r="F618" i="27"/>
  <c r="M618" i="27"/>
  <c r="G618" i="27"/>
  <c r="Z618" i="27"/>
  <c r="AB618" i="27"/>
  <c r="AA618" i="27"/>
  <c r="AB594" i="27"/>
  <c r="AA594" i="27"/>
  <c r="U594" i="27"/>
  <c r="Z544" i="27"/>
  <c r="F544" i="27"/>
  <c r="M544" i="27"/>
  <c r="G544" i="27"/>
  <c r="AB544" i="27"/>
  <c r="AA544" i="27"/>
  <c r="U544" i="27"/>
  <c r="U531" i="27"/>
  <c r="F531" i="27"/>
  <c r="M531" i="27"/>
  <c r="G531" i="27"/>
  <c r="Z531" i="27"/>
  <c r="AA531" i="27"/>
  <c r="U499" i="27"/>
  <c r="F499" i="27"/>
  <c r="M499" i="27"/>
  <c r="G499" i="27"/>
  <c r="F445" i="27"/>
  <c r="M445" i="27"/>
  <c r="U445" i="27"/>
  <c r="AA2788" i="27"/>
  <c r="U1154" i="27"/>
  <c r="F1154" i="27"/>
  <c r="M1154" i="27"/>
  <c r="Z1154" i="27"/>
  <c r="AA1154" i="27"/>
  <c r="U1110" i="27"/>
  <c r="Z1110" i="27"/>
  <c r="AA1110" i="27"/>
  <c r="F1110" i="27"/>
  <c r="U1096" i="27"/>
  <c r="Z1096" i="27"/>
  <c r="AA1096" i="27"/>
  <c r="U1064" i="27"/>
  <c r="F1064" i="27"/>
  <c r="M1064" i="27"/>
  <c r="G1064" i="27"/>
  <c r="F1050" i="27"/>
  <c r="M1050" i="27"/>
  <c r="G1050" i="27"/>
  <c r="Z1050" i="27"/>
  <c r="AB1050" i="27"/>
  <c r="AA1050" i="27"/>
  <c r="U1050" i="27"/>
  <c r="U997" i="27"/>
  <c r="F997" i="27"/>
  <c r="M997" i="27"/>
  <c r="Z1218" i="27"/>
  <c r="AA1218" i="27"/>
  <c r="F1218" i="27"/>
  <c r="M1218" i="27"/>
  <c r="G1218" i="27"/>
  <c r="I1218" i="27"/>
  <c r="Z311" i="27"/>
  <c r="F311" i="27"/>
  <c r="M311" i="27"/>
  <c r="AB311" i="27"/>
  <c r="AA311" i="27"/>
  <c r="U216" i="27"/>
  <c r="C2385" i="27"/>
  <c r="D2385" i="27"/>
  <c r="E2385" i="27"/>
  <c r="U2385" i="27"/>
  <c r="Z772" i="27"/>
  <c r="AA772" i="27"/>
  <c r="Z625" i="27"/>
  <c r="U2486" i="27"/>
  <c r="F764" i="27"/>
  <c r="M764" i="27"/>
  <c r="F824" i="27"/>
  <c r="M824" i="27"/>
  <c r="G824" i="27"/>
  <c r="AA3137" i="27"/>
  <c r="U617" i="27"/>
  <c r="Z299" i="27"/>
  <c r="AA299" i="27"/>
  <c r="Z824" i="27"/>
  <c r="AA824" i="27"/>
  <c r="F777" i="27"/>
  <c r="M777" i="27"/>
  <c r="G777" i="27"/>
  <c r="AB617" i="27"/>
  <c r="AA617" i="27"/>
  <c r="U3151" i="27"/>
  <c r="Z741" i="27"/>
  <c r="AA741" i="27"/>
  <c r="D1474" i="27"/>
  <c r="E1474" i="27"/>
  <c r="AA3151" i="27"/>
  <c r="Z777" i="27"/>
  <c r="AA777" i="27"/>
  <c r="U741" i="27"/>
  <c r="U2506" i="27"/>
  <c r="I894" i="27"/>
  <c r="I560" i="27"/>
  <c r="F2506" i="27"/>
  <c r="M2506" i="27"/>
  <c r="G2506" i="27"/>
  <c r="F543" i="27"/>
  <c r="M543" i="27"/>
  <c r="G543" i="27"/>
  <c r="F772" i="27"/>
  <c r="M772" i="27"/>
  <c r="G772" i="27"/>
  <c r="U1063" i="27"/>
  <c r="U1049" i="27"/>
  <c r="Z629" i="27"/>
  <c r="AA629" i="27"/>
  <c r="Z1063" i="27"/>
  <c r="AA1063" i="27"/>
  <c r="U629" i="27"/>
  <c r="Z1511" i="27"/>
  <c r="AA1511" i="27"/>
  <c r="F1511" i="27"/>
  <c r="M1511" i="27"/>
  <c r="G1511" i="27"/>
  <c r="E1957" i="27"/>
  <c r="F1957" i="27"/>
  <c r="M1957" i="27"/>
  <c r="G1957" i="27"/>
  <c r="AA1957" i="27"/>
  <c r="E3117" i="27"/>
  <c r="AA3117" i="27"/>
  <c r="Z442" i="27"/>
  <c r="AA442" i="27"/>
  <c r="F442" i="27"/>
  <c r="M442" i="27"/>
  <c r="G442" i="27"/>
  <c r="U442" i="27"/>
  <c r="U2535" i="27"/>
  <c r="F2535" i="27"/>
  <c r="M2535" i="27"/>
  <c r="G2535" i="27"/>
  <c r="Z2535" i="27"/>
  <c r="AA2535" i="27"/>
  <c r="Z473" i="27"/>
  <c r="AA473" i="27"/>
  <c r="F473" i="27"/>
  <c r="M473" i="27"/>
  <c r="U473" i="27"/>
  <c r="Z728" i="27"/>
  <c r="AA728" i="27"/>
  <c r="U728" i="27"/>
  <c r="F728" i="27"/>
  <c r="M728" i="27"/>
  <c r="AA3161" i="27"/>
  <c r="E3161" i="27"/>
  <c r="F3161" i="27"/>
  <c r="M3161" i="27"/>
  <c r="U2282" i="27"/>
  <c r="Z2282" i="27"/>
  <c r="AA2282" i="27"/>
  <c r="F1477" i="27"/>
  <c r="M1477" i="27"/>
  <c r="G1477" i="27"/>
  <c r="Z1477" i="27"/>
  <c r="AA1477" i="27"/>
  <c r="U1477" i="27"/>
  <c r="C2415" i="27"/>
  <c r="D2415" i="27"/>
  <c r="E2415" i="27"/>
  <c r="D2321" i="27"/>
  <c r="E2321" i="27"/>
  <c r="U2321" i="27"/>
  <c r="Z2288" i="27"/>
  <c r="AA2288" i="27"/>
  <c r="U2288" i="27"/>
  <c r="F2288" i="27"/>
  <c r="M2288" i="27"/>
  <c r="G2288" i="27"/>
  <c r="U1095" i="27"/>
  <c r="Z1095" i="27"/>
  <c r="AA1095" i="27"/>
  <c r="F1095" i="27"/>
  <c r="M1095" i="27"/>
  <c r="G1095" i="27"/>
  <c r="F1415" i="27"/>
  <c r="M1415" i="27"/>
  <c r="G1415" i="27"/>
  <c r="AA1415" i="27"/>
  <c r="Z1415" i="27"/>
  <c r="F63" i="27"/>
  <c r="M63" i="27"/>
  <c r="G63" i="27"/>
  <c r="F383" i="27"/>
  <c r="M383" i="27"/>
  <c r="G383" i="27"/>
  <c r="Z383" i="27"/>
  <c r="AA383" i="27"/>
  <c r="Z465" i="27"/>
  <c r="AA465" i="27"/>
  <c r="F465" i="27"/>
  <c r="M465" i="27"/>
  <c r="G465" i="27"/>
  <c r="U465" i="27"/>
  <c r="F2282" i="27"/>
  <c r="M2282" i="27"/>
  <c r="G2282" i="27"/>
  <c r="F2489" i="27"/>
  <c r="M2489" i="27"/>
  <c r="Z2489" i="27"/>
  <c r="AA2489" i="27"/>
  <c r="U2489" i="27"/>
  <c r="Z1654" i="27"/>
  <c r="AA1654" i="27"/>
  <c r="C2827" i="27"/>
  <c r="E2827" i="27"/>
  <c r="F2827" i="27"/>
  <c r="M2827" i="27"/>
  <c r="C2737" i="27"/>
  <c r="E2737" i="27"/>
  <c r="E2092" i="27"/>
  <c r="Z2092" i="27"/>
  <c r="AA2092" i="27"/>
  <c r="C2135" i="27"/>
  <c r="E2135" i="27"/>
  <c r="F2135" i="27"/>
  <c r="M2135" i="27"/>
  <c r="G2135" i="27"/>
  <c r="C2647" i="27"/>
  <c r="E2647" i="27"/>
  <c r="C2023" i="27"/>
  <c r="E2023" i="27"/>
  <c r="Z726" i="27"/>
  <c r="AA726" i="27"/>
  <c r="U726" i="27"/>
  <c r="F726" i="27"/>
  <c r="M726" i="27"/>
  <c r="U185" i="27"/>
  <c r="F185" i="27"/>
  <c r="M185" i="27"/>
  <c r="G185" i="27"/>
  <c r="Z185" i="27"/>
  <c r="AA185" i="27"/>
  <c r="Z2421" i="27"/>
  <c r="Z285" i="27"/>
  <c r="AA285" i="27"/>
  <c r="U285" i="27"/>
  <c r="Z752" i="27"/>
  <c r="AA752" i="27"/>
  <c r="F752" i="27"/>
  <c r="M752" i="27"/>
  <c r="G752" i="27"/>
  <c r="U181" i="27"/>
  <c r="Z181" i="27"/>
  <c r="F384" i="27"/>
  <c r="M384" i="27"/>
  <c r="AB384" i="27"/>
  <c r="AA384" i="27"/>
  <c r="Z384" i="27"/>
  <c r="E3156" i="27"/>
  <c r="F3156" i="27"/>
  <c r="M3156" i="27"/>
  <c r="AA3156" i="27"/>
  <c r="Z225" i="27"/>
  <c r="AA225" i="27"/>
  <c r="F225" i="27"/>
  <c r="M225" i="27"/>
  <c r="G225" i="27"/>
  <c r="U225" i="27"/>
  <c r="U913" i="27"/>
  <c r="AB913" i="27"/>
  <c r="AA913" i="27"/>
  <c r="F913" i="27"/>
  <c r="M913" i="27"/>
  <c r="G913" i="27"/>
  <c r="I913" i="27"/>
  <c r="Z1058" i="27"/>
  <c r="AA1058" i="27"/>
  <c r="F1058" i="27"/>
  <c r="M1058" i="27"/>
  <c r="Z839" i="27"/>
  <c r="AB839" i="27"/>
  <c r="AA839" i="27"/>
  <c r="U864" i="27"/>
  <c r="Z864" i="27"/>
  <c r="AA864" i="27"/>
  <c r="E3133" i="27"/>
  <c r="AA3133" i="27"/>
  <c r="F932" i="27"/>
  <c r="M932" i="27"/>
  <c r="Z932" i="27"/>
  <c r="AA932" i="27"/>
  <c r="D1956" i="27"/>
  <c r="E1956" i="27"/>
  <c r="U1956" i="27"/>
  <c r="D1275" i="27"/>
  <c r="E1275" i="27"/>
  <c r="C1363" i="27"/>
  <c r="D1363" i="27"/>
  <c r="E1363" i="27"/>
  <c r="C1341" i="27"/>
  <c r="D1341" i="27"/>
  <c r="E1341" i="27"/>
  <c r="D1251" i="27"/>
  <c r="E1251" i="27"/>
  <c r="U470" i="27"/>
  <c r="F470" i="27"/>
  <c r="M470" i="27"/>
  <c r="I470" i="27"/>
  <c r="G470" i="27"/>
  <c r="AB470" i="27"/>
  <c r="AA470" i="27"/>
  <c r="F816" i="27"/>
  <c r="M816" i="27"/>
  <c r="U816" i="27"/>
  <c r="Z816" i="27"/>
  <c r="C1375" i="27"/>
  <c r="D1375" i="27"/>
  <c r="E1375" i="27"/>
  <c r="Z1375" i="27"/>
  <c r="AA1375" i="27"/>
  <c r="Z918" i="27"/>
  <c r="AA918" i="27"/>
  <c r="U889" i="27"/>
  <c r="Z723" i="27"/>
  <c r="F31" i="27"/>
  <c r="M31" i="27"/>
  <c r="E31" i="27"/>
  <c r="Z31" i="27"/>
  <c r="AA31" i="27"/>
  <c r="F19" i="27"/>
  <c r="M19" i="27"/>
  <c r="U19" i="27"/>
  <c r="D1768" i="27"/>
  <c r="E1768" i="27"/>
  <c r="Z1768" i="27"/>
  <c r="AA1768" i="27"/>
  <c r="C1855" i="27"/>
  <c r="D1855" i="27"/>
  <c r="E1855" i="27"/>
  <c r="F1855" i="27"/>
  <c r="M1855" i="27"/>
  <c r="Z1707" i="27"/>
  <c r="AA1707" i="27"/>
  <c r="F1707" i="27"/>
  <c r="M1707" i="27"/>
  <c r="G1707" i="27"/>
  <c r="U1707" i="27"/>
  <c r="U2354" i="27"/>
  <c r="F2354" i="27"/>
  <c r="M2354" i="27"/>
  <c r="G2354" i="27"/>
  <c r="C2401" i="27"/>
  <c r="D2401" i="27"/>
  <c r="E2401" i="27"/>
  <c r="D2313" i="27"/>
  <c r="E2313" i="27"/>
  <c r="U2313" i="27"/>
  <c r="E2221" i="27"/>
  <c r="C2285" i="27"/>
  <c r="E2285" i="27"/>
  <c r="U1066" i="27"/>
  <c r="AB196" i="27"/>
  <c r="AA196" i="27"/>
  <c r="U196" i="27"/>
  <c r="F196" i="27"/>
  <c r="M196" i="27"/>
  <c r="G196" i="27"/>
  <c r="D1756" i="27"/>
  <c r="E1756" i="27"/>
  <c r="F1756" i="27"/>
  <c r="M1756" i="27"/>
  <c r="G1756" i="27"/>
  <c r="C1845" i="27"/>
  <c r="D1845" i="27"/>
  <c r="E1845" i="27"/>
  <c r="Z1845" i="27"/>
  <c r="AA1845" i="27"/>
  <c r="U532" i="27"/>
  <c r="F532" i="27"/>
  <c r="M532" i="27"/>
  <c r="Z500" i="27"/>
  <c r="AA500" i="27"/>
  <c r="U500" i="27"/>
  <c r="F418" i="27"/>
  <c r="M418" i="27"/>
  <c r="G418" i="27"/>
  <c r="Z418" i="27"/>
  <c r="AA418" i="27"/>
  <c r="Z1429" i="27"/>
  <c r="AA1429" i="27"/>
  <c r="Z1092" i="27"/>
  <c r="AA1092" i="27"/>
  <c r="U1092" i="27"/>
  <c r="F1092" i="27"/>
  <c r="M1092" i="27"/>
  <c r="G1092" i="27"/>
  <c r="Z1010" i="27"/>
  <c r="F1010" i="27"/>
  <c r="M1010" i="27"/>
  <c r="U1010" i="27"/>
  <c r="Z997" i="27"/>
  <c r="AB997" i="27"/>
  <c r="AA997" i="27"/>
  <c r="F965" i="27"/>
  <c r="M965" i="27"/>
  <c r="G965" i="27"/>
  <c r="Z965" i="27"/>
  <c r="AA965" i="27"/>
  <c r="F903" i="27"/>
  <c r="M903" i="27"/>
  <c r="G903" i="27"/>
  <c r="Z903" i="27"/>
  <c r="AA903" i="27"/>
  <c r="F886" i="27"/>
  <c r="M886" i="27"/>
  <c r="Z886" i="27"/>
  <c r="AA886" i="27"/>
  <c r="U886" i="27"/>
  <c r="F750" i="27"/>
  <c r="M750" i="27"/>
  <c r="Z750" i="27"/>
  <c r="AA750" i="27"/>
  <c r="U290" i="27"/>
  <c r="Z290" i="27"/>
  <c r="AA290" i="27"/>
  <c r="F290" i="27"/>
  <c r="M290" i="27"/>
  <c r="Z1135" i="27"/>
  <c r="U1135" i="27"/>
  <c r="Z1120" i="27"/>
  <c r="AA1120" i="27"/>
  <c r="F1120" i="27"/>
  <c r="M1120" i="27"/>
  <c r="U1120" i="27"/>
  <c r="Z1023" i="27"/>
  <c r="AA1023" i="27"/>
  <c r="U1023" i="27"/>
  <c r="F1023" i="27"/>
  <c r="M1023" i="27"/>
  <c r="G1023" i="27"/>
  <c r="U1009" i="27"/>
  <c r="F1009" i="27"/>
  <c r="M1009" i="27"/>
  <c r="Z1009" i="27"/>
  <c r="AB1009" i="27"/>
  <c r="AA1009" i="27"/>
  <c r="U996" i="27"/>
  <c r="Z996" i="27"/>
  <c r="AB996" i="27"/>
  <c r="AA996" i="27"/>
  <c r="Z746" i="27"/>
  <c r="AA746" i="27"/>
  <c r="AB652" i="27"/>
  <c r="AA652" i="27"/>
  <c r="Z652" i="27"/>
  <c r="U652" i="27"/>
  <c r="C2192" i="27"/>
  <c r="C1575" i="27"/>
  <c r="D1575" i="27"/>
  <c r="E1575" i="27"/>
  <c r="D53" i="27"/>
  <c r="E53" i="27"/>
  <c r="F12" i="27"/>
  <c r="M12" i="27"/>
  <c r="C77" i="27"/>
  <c r="D77" i="27"/>
  <c r="AB12" i="27"/>
  <c r="AA12" i="27"/>
  <c r="AA3118" i="27"/>
  <c r="Z243" i="27"/>
  <c r="AA243" i="27"/>
  <c r="I829" i="27"/>
  <c r="U2787" i="27"/>
  <c r="U829" i="27"/>
  <c r="C2372" i="27"/>
  <c r="D2372" i="27"/>
  <c r="E2372" i="27"/>
  <c r="F677" i="27"/>
  <c r="M677" i="27"/>
  <c r="G677" i="27"/>
  <c r="F2602" i="27"/>
  <c r="M2602" i="27"/>
  <c r="AA2602" i="27"/>
  <c r="Z2602" i="27"/>
  <c r="D3058" i="27"/>
  <c r="AA3058" i="27"/>
  <c r="C3080" i="27"/>
  <c r="D3080" i="27"/>
  <c r="AA3080" i="27"/>
  <c r="C3079" i="27"/>
  <c r="D3079" i="27"/>
  <c r="AA3079" i="27"/>
  <c r="F2822" i="27"/>
  <c r="M2822" i="27"/>
  <c r="G2822" i="27"/>
  <c r="Z2822" i="27"/>
  <c r="AA2822" i="27"/>
  <c r="U405" i="27"/>
  <c r="Z405" i="27"/>
  <c r="AA405" i="27"/>
  <c r="AB365" i="27"/>
  <c r="AA365" i="27"/>
  <c r="Z365" i="27"/>
  <c r="D1778" i="27"/>
  <c r="E1778" i="27"/>
  <c r="U1778" i="27"/>
  <c r="C2583" i="27"/>
  <c r="C2667" i="27"/>
  <c r="D2667" i="27"/>
  <c r="E2667" i="27"/>
  <c r="F2667" i="27"/>
  <c r="M2667" i="27"/>
  <c r="Z2391" i="27"/>
  <c r="AA2391" i="27"/>
  <c r="F2786" i="27"/>
  <c r="M2786" i="27"/>
  <c r="AA2786" i="27"/>
  <c r="Z2786" i="27"/>
  <c r="U2786" i="27"/>
  <c r="Z951" i="27"/>
  <c r="U951" i="27"/>
  <c r="AB951" i="27"/>
  <c r="AA951" i="27"/>
  <c r="C2445" i="27"/>
  <c r="D2445" i="27"/>
  <c r="E2445" i="27"/>
  <c r="F2445" i="27"/>
  <c r="M2445" i="27"/>
  <c r="G2445" i="27"/>
  <c r="D1980" i="27"/>
  <c r="E1980" i="27"/>
  <c r="U3118" i="27"/>
  <c r="F3118" i="27"/>
  <c r="M3118" i="27"/>
  <c r="I504" i="27"/>
  <c r="U2602" i="27"/>
  <c r="C1333" i="27"/>
  <c r="D1333" i="27"/>
  <c r="E1333" i="27"/>
  <c r="D1205" i="27"/>
  <c r="E1205" i="27"/>
  <c r="C1331" i="27"/>
  <c r="D1331" i="27"/>
  <c r="E1331" i="27"/>
  <c r="Z1331" i="27"/>
  <c r="AA1331" i="27"/>
  <c r="Z551" i="27"/>
  <c r="AA551" i="27"/>
  <c r="F551" i="27"/>
  <c r="M551" i="27"/>
  <c r="F404" i="27"/>
  <c r="M404" i="27"/>
  <c r="G404" i="27"/>
  <c r="F1084" i="27"/>
  <c r="M1084" i="27"/>
  <c r="G1084" i="27"/>
  <c r="AB1084" i="27"/>
  <c r="AA1084" i="27"/>
  <c r="Z1057" i="27"/>
  <c r="AA1057" i="27"/>
  <c r="U1030" i="27"/>
  <c r="Z1030" i="27"/>
  <c r="AA1030" i="27"/>
  <c r="U1018" i="27"/>
  <c r="F1018" i="27"/>
  <c r="M1018" i="27"/>
  <c r="F760" i="27"/>
  <c r="M760" i="27"/>
  <c r="Z760" i="27"/>
  <c r="AA760" i="27"/>
  <c r="U760" i="27"/>
  <c r="U910" i="27"/>
  <c r="U1733" i="27"/>
  <c r="Z1733" i="27"/>
  <c r="AA1733" i="27"/>
  <c r="Z1672" i="27"/>
  <c r="AA1672" i="27"/>
  <c r="E1206" i="27"/>
  <c r="U1206" i="27"/>
  <c r="U1016" i="27"/>
  <c r="F1016" i="27"/>
  <c r="M1016" i="27"/>
  <c r="Z1003" i="27"/>
  <c r="F1003" i="27"/>
  <c r="M1003" i="27"/>
  <c r="D2304" i="27"/>
  <c r="E2304" i="27"/>
  <c r="Z2304" i="27"/>
  <c r="AA2304" i="27"/>
  <c r="E1947" i="27"/>
  <c r="C2043" i="27"/>
  <c r="E2043" i="27"/>
  <c r="Z1376" i="27"/>
  <c r="AA1376" i="27"/>
  <c r="F1376" i="27"/>
  <c r="M1376" i="27"/>
  <c r="Z1215" i="27"/>
  <c r="AA1215" i="27"/>
  <c r="U622" i="27"/>
  <c r="F610" i="27"/>
  <c r="M610" i="27"/>
  <c r="G610" i="27"/>
  <c r="AB610" i="27"/>
  <c r="AA610" i="27"/>
  <c r="U585" i="27"/>
  <c r="Z585" i="27"/>
  <c r="AA585" i="27"/>
  <c r="F436" i="27"/>
  <c r="M436" i="27"/>
  <c r="G436" i="27"/>
  <c r="Z436" i="27"/>
  <c r="AA436" i="27"/>
  <c r="U255" i="27"/>
  <c r="F255" i="27"/>
  <c r="M255" i="27"/>
  <c r="G255" i="27"/>
  <c r="Z255" i="27"/>
  <c r="AA255" i="27"/>
  <c r="E3164" i="27"/>
  <c r="F3164" i="27"/>
  <c r="M3164" i="27"/>
  <c r="C1315" i="27"/>
  <c r="D1315" i="27"/>
  <c r="E1315" i="27"/>
  <c r="Z692" i="27"/>
  <c r="AA692" i="27"/>
  <c r="U692" i="27"/>
  <c r="F692" i="27"/>
  <c r="M692" i="27"/>
  <c r="C1871" i="27"/>
  <c r="D1871" i="27"/>
  <c r="E1871" i="27"/>
  <c r="F1871" i="27"/>
  <c r="M1871" i="27"/>
  <c r="G1871" i="27"/>
  <c r="D1753" i="27"/>
  <c r="E1753" i="27"/>
  <c r="U1753" i="27"/>
  <c r="F489" i="27"/>
  <c r="M489" i="27"/>
  <c r="U489" i="27"/>
  <c r="Z489" i="27"/>
  <c r="AA489" i="27"/>
  <c r="F634" i="27"/>
  <c r="M634" i="27"/>
  <c r="G634" i="27"/>
  <c r="C2189" i="27"/>
  <c r="C1496" i="27"/>
  <c r="D1496" i="27"/>
  <c r="E1496" i="27"/>
  <c r="C2020" i="27"/>
  <c r="E2020" i="27"/>
  <c r="Z2020" i="27"/>
  <c r="U262" i="27"/>
  <c r="Z262" i="27"/>
  <c r="AA262" i="27"/>
  <c r="F262" i="27"/>
  <c r="M262" i="27"/>
  <c r="U691" i="27"/>
  <c r="F691" i="27"/>
  <c r="M691" i="27"/>
  <c r="G691" i="27"/>
  <c r="Z691" i="27"/>
  <c r="AA691" i="27"/>
  <c r="G864" i="27"/>
  <c r="I864" i="27"/>
  <c r="U634" i="27"/>
  <c r="U667" i="27"/>
  <c r="F667" i="27"/>
  <c r="M667" i="27"/>
  <c r="Z667" i="27"/>
  <c r="AA667" i="27"/>
  <c r="U565" i="27"/>
  <c r="F565" i="27"/>
  <c r="M565" i="27"/>
  <c r="Z565" i="27"/>
  <c r="AA565" i="27"/>
  <c r="F176" i="27"/>
  <c r="M176" i="27"/>
  <c r="AB176" i="27"/>
  <c r="AA176" i="27"/>
  <c r="Z164" i="27"/>
  <c r="AA164" i="27"/>
  <c r="F164" i="27"/>
  <c r="M164" i="27"/>
  <c r="G164" i="27"/>
  <c r="U164" i="27"/>
  <c r="E60" i="27"/>
  <c r="F60" i="27"/>
  <c r="M60" i="27"/>
  <c r="C1924" i="27"/>
  <c r="C1507" i="27"/>
  <c r="E1507" i="27"/>
  <c r="F1507" i="27"/>
  <c r="M1507" i="27"/>
  <c r="G1507" i="27"/>
  <c r="G996" i="27"/>
  <c r="I996" i="27"/>
  <c r="F765" i="27"/>
  <c r="M765" i="27"/>
  <c r="G765" i="27"/>
  <c r="Z765" i="27"/>
  <c r="AA765" i="27"/>
  <c r="U635" i="27"/>
  <c r="AB1003" i="27"/>
  <c r="AA1003" i="27"/>
  <c r="U1831" i="27"/>
  <c r="F1831" i="27"/>
  <c r="M1831" i="27"/>
  <c r="Z2544" i="27"/>
  <c r="AA2544" i="27"/>
  <c r="U2544" i="27"/>
  <c r="Z277" i="27"/>
  <c r="AA277" i="27"/>
  <c r="U277" i="27"/>
  <c r="U263" i="27"/>
  <c r="AB263" i="27"/>
  <c r="AA263" i="27"/>
  <c r="E3127" i="27"/>
  <c r="U3127" i="27"/>
  <c r="AA3127" i="27"/>
  <c r="C1843" i="27"/>
  <c r="D1843" i="27"/>
  <c r="E1843" i="27"/>
  <c r="D1687" i="27"/>
  <c r="E1687" i="27"/>
  <c r="U1687" i="27"/>
  <c r="U523" i="27"/>
  <c r="U436" i="27"/>
  <c r="U1003" i="27"/>
  <c r="F663" i="27"/>
  <c r="M663" i="27"/>
  <c r="U663" i="27"/>
  <c r="Z663" i="27"/>
  <c r="AB663" i="27"/>
  <c r="AA663" i="27"/>
  <c r="F2573" i="27"/>
  <c r="M2573" i="27"/>
  <c r="G2573" i="27"/>
  <c r="U2573" i="27"/>
  <c r="I214" i="27"/>
  <c r="Z2277" i="27"/>
  <c r="AA2277" i="27"/>
  <c r="Z214" i="27"/>
  <c r="AA214" i="27"/>
  <c r="Z829" i="27"/>
  <c r="Z1644" i="27"/>
  <c r="AA1644" i="27"/>
  <c r="AB829" i="27"/>
  <c r="AA829" i="27"/>
  <c r="Z2808" i="27"/>
  <c r="AA2808" i="27"/>
  <c r="C2149" i="27"/>
  <c r="E2149" i="27"/>
  <c r="C2044" i="27"/>
  <c r="E2044" i="27"/>
  <c r="D1694" i="27"/>
  <c r="E1694" i="27"/>
  <c r="F713" i="27"/>
  <c r="M713" i="27"/>
  <c r="AB186" i="27"/>
  <c r="AA186" i="27"/>
  <c r="Z1984" i="27"/>
  <c r="U1984" i="27"/>
  <c r="F1984" i="27"/>
  <c r="M1984" i="27"/>
  <c r="G2491" i="27"/>
  <c r="I2491" i="27"/>
  <c r="U637" i="27"/>
  <c r="Z637" i="27"/>
  <c r="F637" i="27"/>
  <c r="M637" i="27"/>
  <c r="G637" i="27"/>
  <c r="AB637" i="27"/>
  <c r="AA637" i="27"/>
  <c r="Z1446" i="27"/>
  <c r="AA1446" i="27"/>
  <c r="U1446" i="27"/>
  <c r="F1446" i="27"/>
  <c r="M1446" i="27"/>
  <c r="G1446" i="27"/>
  <c r="Z483" i="27"/>
  <c r="AA483" i="27"/>
  <c r="F483" i="27"/>
  <c r="M483" i="27"/>
  <c r="G483" i="27"/>
  <c r="U483" i="27"/>
  <c r="U1029" i="27"/>
  <c r="F1029" i="27"/>
  <c r="M1029" i="27"/>
  <c r="G1029" i="27"/>
  <c r="Z1029" i="27"/>
  <c r="AA1029" i="27"/>
  <c r="U2538" i="27"/>
  <c r="Z2538" i="27"/>
  <c r="AA2538" i="27"/>
  <c r="F2525" i="27"/>
  <c r="M2525" i="27"/>
  <c r="U2525" i="27"/>
  <c r="Z2525" i="27"/>
  <c r="AA2525" i="27"/>
  <c r="Z1036" i="27"/>
  <c r="F1036" i="27"/>
  <c r="M1036" i="27"/>
  <c r="G1036" i="27"/>
  <c r="U769" i="27"/>
  <c r="U1151" i="27"/>
  <c r="Z1151" i="27"/>
  <c r="AA1151" i="27"/>
  <c r="F1151" i="27"/>
  <c r="M1151" i="27"/>
  <c r="F938" i="27"/>
  <c r="M938" i="27"/>
  <c r="Z938" i="27"/>
  <c r="AA938" i="27"/>
  <c r="F709" i="27"/>
  <c r="M709" i="27"/>
  <c r="U709" i="27"/>
  <c r="Z2505" i="27"/>
  <c r="AA2505" i="27"/>
  <c r="Z1150" i="27"/>
  <c r="AA1150" i="27"/>
  <c r="U538" i="27"/>
  <c r="Z2755" i="27"/>
  <c r="AA2755" i="27"/>
  <c r="AB241" i="27"/>
  <c r="AA241" i="27"/>
  <c r="AB664" i="27"/>
  <c r="AA664" i="27"/>
  <c r="Z664" i="27"/>
  <c r="U664" i="27"/>
  <c r="F664" i="27"/>
  <c r="M664" i="27"/>
  <c r="G664" i="27"/>
  <c r="C2154" i="27"/>
  <c r="E2154" i="27"/>
  <c r="D1466" i="27"/>
  <c r="E1466" i="27"/>
  <c r="Z1466" i="27"/>
  <c r="AA1466" i="27"/>
  <c r="C1318" i="27"/>
  <c r="D1318" i="27"/>
  <c r="E1318" i="27"/>
  <c r="D1238" i="27"/>
  <c r="E1238" i="27"/>
  <c r="F1238" i="27"/>
  <c r="M1238" i="27"/>
  <c r="G1238" i="27"/>
  <c r="C1326" i="27"/>
  <c r="D1326" i="27"/>
  <c r="E1326" i="27"/>
  <c r="Z1326" i="27"/>
  <c r="AA1326" i="27"/>
  <c r="F329" i="27"/>
  <c r="M329" i="27"/>
  <c r="G329" i="27"/>
  <c r="U329" i="27"/>
  <c r="Z329" i="27"/>
  <c r="AA329" i="27"/>
  <c r="U696" i="27"/>
  <c r="Z696" i="27"/>
  <c r="AA696" i="27"/>
  <c r="F696" i="27"/>
  <c r="M696" i="27"/>
  <c r="G696" i="27"/>
  <c r="Z339" i="27"/>
  <c r="AA339" i="27"/>
  <c r="AB709" i="27"/>
  <c r="AA709" i="27"/>
  <c r="C2722" i="27"/>
  <c r="D2722" i="27"/>
  <c r="E2722" i="27"/>
  <c r="C2812" i="27"/>
  <c r="D2812" i="27"/>
  <c r="E2812" i="27"/>
  <c r="F2820" i="27"/>
  <c r="M2820" i="27"/>
  <c r="Z2820" i="27"/>
  <c r="AA2820" i="27"/>
  <c r="U1671" i="27"/>
  <c r="AB901" i="27"/>
  <c r="AA901" i="27"/>
  <c r="AA3108" i="27"/>
  <c r="E3108" i="27"/>
  <c r="F3108" i="27"/>
  <c r="M3108" i="27"/>
  <c r="G3108" i="27"/>
  <c r="Z461" i="27"/>
  <c r="AA461" i="27"/>
  <c r="U461" i="27"/>
  <c r="F461" i="27"/>
  <c r="M461" i="27"/>
  <c r="G461" i="27"/>
  <c r="F232" i="27"/>
  <c r="U232" i="27"/>
  <c r="Z232" i="27"/>
  <c r="AA232" i="27"/>
  <c r="I956" i="27"/>
  <c r="Z709" i="27"/>
  <c r="F2233" i="27"/>
  <c r="M2233" i="27"/>
  <c r="G2233" i="27"/>
  <c r="U770" i="27"/>
  <c r="F770" i="27"/>
  <c r="M770" i="27"/>
  <c r="Z770" i="27"/>
  <c r="AA770" i="27"/>
  <c r="F474" i="27"/>
  <c r="M474" i="27"/>
  <c r="G474" i="27"/>
  <c r="Z474" i="27"/>
  <c r="AA474" i="27"/>
  <c r="U474" i="27"/>
  <c r="U238" i="27"/>
  <c r="Z862" i="27"/>
  <c r="AA862" i="27"/>
  <c r="U862" i="27"/>
  <c r="F909" i="27"/>
  <c r="M909" i="27"/>
  <c r="G909" i="27"/>
  <c r="AB909" i="27"/>
  <c r="AA909" i="27"/>
  <c r="U909" i="27"/>
  <c r="Z2436" i="27"/>
  <c r="AA2436" i="27"/>
  <c r="F2436" i="27"/>
  <c r="M2436" i="27"/>
  <c r="F887" i="27"/>
  <c r="M887" i="27"/>
  <c r="Z887" i="27"/>
  <c r="AA887" i="27"/>
  <c r="U839" i="27"/>
  <c r="F839" i="27"/>
  <c r="M839" i="27"/>
  <c r="Z2275" i="27"/>
  <c r="AA2275" i="27"/>
  <c r="U767" i="27"/>
  <c r="F767" i="27"/>
  <c r="M767" i="27"/>
  <c r="Z767" i="27"/>
  <c r="AA767" i="27"/>
  <c r="U448" i="27"/>
  <c r="Z448" i="27"/>
  <c r="AA448" i="27"/>
  <c r="G244" i="27"/>
  <c r="I244" i="27"/>
  <c r="U365" i="27"/>
  <c r="F365" i="27"/>
  <c r="M365" i="27"/>
  <c r="F219" i="27"/>
  <c r="M219" i="27"/>
  <c r="G219" i="27"/>
  <c r="Z2504" i="27"/>
  <c r="AA2504" i="27"/>
  <c r="Z411" i="27"/>
  <c r="AA411" i="27"/>
  <c r="F411" i="27"/>
  <c r="M411" i="27"/>
  <c r="G411" i="27"/>
  <c r="I411" i="27"/>
  <c r="U411" i="27"/>
  <c r="U307" i="27"/>
  <c r="Z307" i="27"/>
  <c r="AA307" i="27"/>
  <c r="C2193" i="27"/>
  <c r="E2193" i="27"/>
  <c r="G2532" i="27"/>
  <c r="I2532" i="27"/>
  <c r="G931" i="27"/>
  <c r="I931" i="27"/>
  <c r="F172" i="27"/>
  <c r="M172" i="27"/>
  <c r="U172" i="27"/>
  <c r="Z172" i="27"/>
  <c r="AA172" i="27"/>
  <c r="Z2628" i="27"/>
  <c r="AA2628" i="27"/>
  <c r="U2628" i="27"/>
  <c r="Z2761" i="27"/>
  <c r="AA2761" i="27"/>
  <c r="U2761" i="27"/>
  <c r="F2761" i="27"/>
  <c r="M2761" i="27"/>
  <c r="G2761" i="27"/>
  <c r="I630" i="27"/>
  <c r="G2248" i="27"/>
  <c r="I2248" i="27"/>
  <c r="G144" i="27"/>
  <c r="I144" i="27"/>
  <c r="G2544" i="27"/>
  <c r="I2544" i="27"/>
  <c r="D1454" i="27"/>
  <c r="E1454" i="27"/>
  <c r="F1454" i="27"/>
  <c r="M1454" i="27"/>
  <c r="F628" i="27"/>
  <c r="M628" i="27"/>
  <c r="G628" i="27"/>
  <c r="U628" i="27"/>
  <c r="U1256" i="27"/>
  <c r="U2537" i="27"/>
  <c r="F2478" i="27"/>
  <c r="M2478" i="27"/>
  <c r="G2478" i="27"/>
  <c r="U2478" i="27"/>
  <c r="AA3143" i="27"/>
  <c r="F2300" i="27"/>
  <c r="M2300" i="27"/>
  <c r="Z2532" i="27"/>
  <c r="AA2532" i="27"/>
  <c r="U2532" i="27"/>
  <c r="Z514" i="27"/>
  <c r="AA514" i="27"/>
  <c r="U514" i="27"/>
  <c r="F386" i="27"/>
  <c r="M386" i="27"/>
  <c r="G386" i="27"/>
  <c r="Z386" i="27"/>
  <c r="U2542" i="27"/>
  <c r="F856" i="27"/>
  <c r="M856" i="27"/>
  <c r="G856" i="27"/>
  <c r="Z856" i="27"/>
  <c r="AA856" i="27"/>
  <c r="F1135" i="27"/>
  <c r="M1135" i="27"/>
  <c r="AB619" i="27"/>
  <c r="AA619" i="27"/>
  <c r="U619" i="27"/>
  <c r="AB248" i="27"/>
  <c r="AA248" i="27"/>
  <c r="F248" i="27"/>
  <c r="M248" i="27"/>
  <c r="U248" i="27"/>
  <c r="Z248" i="27"/>
  <c r="U1036" i="27"/>
  <c r="AB1036" i="27"/>
  <c r="AA1036" i="27"/>
  <c r="Z970" i="27"/>
  <c r="AA970" i="27"/>
  <c r="F970" i="27"/>
  <c r="M970" i="27"/>
  <c r="G970" i="27"/>
  <c r="F782" i="27"/>
  <c r="M782" i="27"/>
  <c r="Z782" i="27"/>
  <c r="AB782" i="27"/>
  <c r="AA782" i="27"/>
  <c r="U145" i="27"/>
  <c r="E3146" i="27"/>
  <c r="F3146" i="27"/>
  <c r="M3146" i="27"/>
  <c r="G3146" i="27"/>
  <c r="U2340" i="27"/>
  <c r="F2340" i="27"/>
  <c r="M2340" i="27"/>
  <c r="Z2340" i="27"/>
  <c r="AA2340" i="27"/>
  <c r="Z2263" i="27"/>
  <c r="AA2263" i="27"/>
  <c r="F2263" i="27"/>
  <c r="M2263" i="27"/>
  <c r="G2263" i="27"/>
  <c r="U2263" i="27"/>
  <c r="U1129" i="27"/>
  <c r="U907" i="27"/>
  <c r="Z907" i="27"/>
  <c r="AA907" i="27"/>
  <c r="F907" i="27"/>
  <c r="M907" i="27"/>
  <c r="G907" i="27"/>
  <c r="G1201" i="27"/>
  <c r="I1201" i="27"/>
  <c r="G2726" i="27"/>
  <c r="I2726" i="27"/>
  <c r="Z2788" i="27"/>
  <c r="F2788" i="27"/>
  <c r="M2788" i="27"/>
  <c r="G405" i="27"/>
  <c r="I405" i="27"/>
  <c r="G823" i="27"/>
  <c r="I823" i="27"/>
  <c r="I2717" i="27"/>
  <c r="I908" i="27"/>
  <c r="G1080" i="27"/>
  <c r="I1080" i="27"/>
  <c r="I287" i="27"/>
  <c r="U2381" i="27"/>
  <c r="G2253" i="27"/>
  <c r="I2253" i="27"/>
  <c r="G302" i="27"/>
  <c r="I302" i="27"/>
  <c r="Z1639" i="27"/>
  <c r="AA1639" i="27"/>
  <c r="U1639" i="27"/>
  <c r="G257" i="27"/>
  <c r="I257" i="27"/>
  <c r="U2457" i="27"/>
  <c r="F2457" i="27"/>
  <c r="M2457" i="27"/>
  <c r="G2457" i="27"/>
  <c r="Z2457" i="27"/>
  <c r="AA2457" i="27"/>
  <c r="I285" i="27"/>
  <c r="Z1193" i="27"/>
  <c r="AA1193" i="27"/>
  <c r="U1193" i="27"/>
  <c r="F1193" i="27"/>
  <c r="M1193" i="27"/>
  <c r="F320" i="27"/>
  <c r="M320" i="27"/>
  <c r="G320" i="27"/>
  <c r="G2495" i="27"/>
  <c r="I2495" i="27"/>
  <c r="F2499" i="27"/>
  <c r="M2499" i="27"/>
  <c r="Z2499" i="27"/>
  <c r="AA2499" i="27"/>
  <c r="I891" i="27"/>
  <c r="G2740" i="27"/>
  <c r="I2740" i="27"/>
  <c r="I954" i="27"/>
  <c r="U3150" i="27"/>
  <c r="F3150" i="27"/>
  <c r="M3150" i="27"/>
  <c r="G3150" i="27"/>
  <c r="F1262" i="27"/>
  <c r="M1262" i="27"/>
  <c r="Z2133" i="27"/>
  <c r="AA2133" i="27"/>
  <c r="F2133" i="27"/>
  <c r="M2133" i="27"/>
  <c r="F1237" i="27"/>
  <c r="M1237" i="27"/>
  <c r="G1237" i="27"/>
  <c r="F2327" i="27"/>
  <c r="M2327" i="27"/>
  <c r="G2327" i="27"/>
  <c r="U2327" i="27"/>
  <c r="Z1324" i="27"/>
  <c r="AA1324" i="27"/>
  <c r="U2277" i="27"/>
  <c r="F2277" i="27"/>
  <c r="M2277" i="27"/>
  <c r="U1250" i="27"/>
  <c r="F1250" i="27"/>
  <c r="M1250" i="27"/>
  <c r="Z1250" i="27"/>
  <c r="AA1250" i="27"/>
  <c r="U1289" i="27"/>
  <c r="Z1289" i="27"/>
  <c r="AA1289" i="27"/>
  <c r="F1289" i="27"/>
  <c r="M1289" i="27"/>
  <c r="F3169" i="27"/>
  <c r="M3169" i="27"/>
  <c r="G3169" i="27"/>
  <c r="U3169" i="27"/>
  <c r="F2326" i="27"/>
  <c r="M2326" i="27"/>
  <c r="Z2326" i="27"/>
  <c r="AA2326" i="27"/>
  <c r="U2326" i="27"/>
  <c r="F1845" i="27"/>
  <c r="M1845" i="27"/>
  <c r="F1331" i="27"/>
  <c r="M1331" i="27"/>
  <c r="G1331" i="27"/>
  <c r="D2189" i="27"/>
  <c r="E2189" i="27"/>
  <c r="Z1238" i="27"/>
  <c r="AA1238" i="27"/>
  <c r="U1475" i="27"/>
  <c r="Z1475" i="27"/>
  <c r="AA1475" i="27"/>
  <c r="F1475" i="27"/>
  <c r="M1475" i="27"/>
  <c r="U1320" i="27"/>
  <c r="Z1320" i="27"/>
  <c r="AA1320" i="27"/>
  <c r="F1320" i="27"/>
  <c r="M1320" i="27"/>
  <c r="Z1881" i="27"/>
  <c r="AA1881" i="27"/>
  <c r="F1881" i="27"/>
  <c r="M1881" i="27"/>
  <c r="G1881" i="27"/>
  <c r="U1881" i="27"/>
  <c r="F976" i="27"/>
  <c r="M976" i="27"/>
  <c r="G976" i="27"/>
  <c r="U976" i="27"/>
  <c r="Z976" i="27"/>
  <c r="AA976" i="27"/>
  <c r="E67" i="27"/>
  <c r="U67" i="27"/>
  <c r="F67" i="27"/>
  <c r="M67" i="27"/>
  <c r="G67" i="27"/>
  <c r="F1660" i="27"/>
  <c r="M1660" i="27"/>
  <c r="Z1660" i="27"/>
  <c r="AA1660" i="27"/>
  <c r="G161" i="27"/>
  <c r="I161" i="27"/>
  <c r="D2190" i="27"/>
  <c r="E2190" i="27"/>
  <c r="C2009" i="27"/>
  <c r="D2009" i="27"/>
  <c r="E2009" i="27"/>
  <c r="Z2009" i="27"/>
  <c r="AA2009" i="27"/>
  <c r="C1573" i="27"/>
  <c r="D1573" i="27"/>
  <c r="E1573" i="27"/>
  <c r="C2121" i="27"/>
  <c r="D2121" i="27"/>
  <c r="E2121" i="27"/>
  <c r="C1497" i="27"/>
  <c r="D1497" i="27"/>
  <c r="E1497" i="27"/>
  <c r="Z1497" i="27"/>
  <c r="AA1497" i="27"/>
  <c r="C2929" i="27"/>
  <c r="Z1734" i="27"/>
  <c r="AA1734" i="27"/>
  <c r="U1734" i="27"/>
  <c r="F1734" i="27"/>
  <c r="M1734" i="27"/>
  <c r="Z1668" i="27"/>
  <c r="AA1668" i="27"/>
  <c r="Z306" i="27"/>
  <c r="AA306" i="27"/>
  <c r="F306" i="27"/>
  <c r="M306" i="27"/>
  <c r="U306" i="27"/>
  <c r="C2011" i="27"/>
  <c r="D2011" i="27"/>
  <c r="E2011" i="27"/>
  <c r="Z2011" i="27"/>
  <c r="AA2011" i="27"/>
  <c r="U2250" i="27"/>
  <c r="F2250" i="27"/>
  <c r="M2250" i="27"/>
  <c r="G2250" i="27"/>
  <c r="Z2250" i="27"/>
  <c r="AA2250" i="27"/>
  <c r="F2413" i="27"/>
  <c r="M2413" i="27"/>
  <c r="Z2413" i="27"/>
  <c r="AA2413" i="27"/>
  <c r="U1653" i="27"/>
  <c r="Z1609" i="27"/>
  <c r="AA1609" i="27"/>
  <c r="F1609" i="27"/>
  <c r="M1609" i="27"/>
  <c r="U1609" i="27"/>
  <c r="D1463" i="27"/>
  <c r="E1463" i="27"/>
  <c r="AB249" i="27"/>
  <c r="AA249" i="27"/>
  <c r="AA2134" i="27"/>
  <c r="Z416" i="27"/>
  <c r="AA416" i="27"/>
  <c r="C1546" i="27"/>
  <c r="E1546" i="27"/>
  <c r="F1546" i="27"/>
  <c r="M1546" i="27"/>
  <c r="D1684" i="27"/>
  <c r="E1684" i="27"/>
  <c r="U1684" i="27"/>
  <c r="E1437" i="27"/>
  <c r="Z1437" i="27"/>
  <c r="AA1437" i="27"/>
  <c r="Z998" i="27"/>
  <c r="F207" i="27"/>
  <c r="M207" i="27"/>
  <c r="F2498" i="27"/>
  <c r="M2498" i="27"/>
  <c r="G2498" i="27"/>
  <c r="F3147" i="27"/>
  <c r="M3147" i="27"/>
  <c r="F2056" i="27"/>
  <c r="M2056" i="27"/>
  <c r="G2056" i="27"/>
  <c r="F876" i="27"/>
  <c r="M876" i="27"/>
  <c r="G876" i="27"/>
  <c r="Z876" i="27"/>
  <c r="AA876" i="27"/>
  <c r="U876" i="27"/>
  <c r="U1262" i="27"/>
  <c r="Z1262" i="27"/>
  <c r="AA1262" i="27"/>
  <c r="D1793" i="27"/>
  <c r="E1793" i="27"/>
  <c r="F1793" i="27"/>
  <c r="M1793" i="27"/>
  <c r="C1887" i="27"/>
  <c r="D1887" i="27"/>
  <c r="E1887" i="27"/>
  <c r="C1835" i="27"/>
  <c r="D1835" i="27"/>
  <c r="E1835" i="27"/>
  <c r="D1678" i="27"/>
  <c r="E1678" i="27"/>
  <c r="F1678" i="27"/>
  <c r="I2637" i="27"/>
  <c r="U509" i="27"/>
  <c r="U1276" i="27"/>
  <c r="Z1276" i="27"/>
  <c r="AA1276" i="27"/>
  <c r="F1276" i="27"/>
  <c r="M1276" i="27"/>
  <c r="D1779" i="27"/>
  <c r="E1779" i="27"/>
  <c r="M1779" i="27"/>
  <c r="G1779" i="27"/>
  <c r="C1874" i="27"/>
  <c r="M1874" i="27"/>
  <c r="G1874" i="27"/>
  <c r="U1657" i="27"/>
  <c r="Z1657" i="27"/>
  <c r="AA1657" i="27"/>
  <c r="F2555" i="27"/>
  <c r="M2555" i="27"/>
  <c r="G2555" i="27"/>
  <c r="U2555" i="27"/>
  <c r="Z2555" i="27"/>
  <c r="AA2555" i="27"/>
  <c r="AA1450" i="27"/>
  <c r="Z1450" i="27"/>
  <c r="F1450" i="27"/>
  <c r="M1450" i="27"/>
  <c r="G1450" i="27"/>
  <c r="F791" i="27"/>
  <c r="M791" i="27"/>
  <c r="Z1140" i="27"/>
  <c r="U1140" i="27"/>
  <c r="F1102" i="27"/>
  <c r="M1102" i="27"/>
  <c r="U1102" i="27"/>
  <c r="Z1102" i="27"/>
  <c r="AA1102" i="27"/>
  <c r="Z899" i="27"/>
  <c r="AA899" i="27"/>
  <c r="U899" i="27"/>
  <c r="Z2271" i="27"/>
  <c r="AA2271" i="27"/>
  <c r="U2271" i="27"/>
  <c r="F2271" i="27"/>
  <c r="M2271" i="27"/>
  <c r="G2271" i="27"/>
  <c r="F2720" i="27"/>
  <c r="M2720" i="27"/>
  <c r="G2720" i="27"/>
  <c r="Z2720" i="27"/>
  <c r="AA2720" i="27"/>
  <c r="U2720" i="27"/>
  <c r="U234" i="27"/>
  <c r="Z962" i="27"/>
  <c r="AA962" i="27"/>
  <c r="C2449" i="27"/>
  <c r="D2449" i="27"/>
  <c r="E2449" i="27"/>
  <c r="U391" i="27"/>
  <c r="Z2704" i="27"/>
  <c r="F2704" i="27"/>
  <c r="M2704" i="27"/>
  <c r="U2704" i="27"/>
  <c r="AA2704" i="27"/>
  <c r="F541" i="27"/>
  <c r="M541" i="27"/>
  <c r="C2802" i="27"/>
  <c r="D2802" i="27"/>
  <c r="E2802" i="27"/>
  <c r="U2802" i="27"/>
  <c r="U506" i="27"/>
  <c r="Z506" i="27"/>
  <c r="AA506" i="27"/>
  <c r="U299" i="27"/>
  <c r="F299" i="27"/>
  <c r="M299" i="27"/>
  <c r="G299" i="27"/>
  <c r="AA2787" i="27"/>
  <c r="F2787" i="27"/>
  <c r="M2787" i="27"/>
  <c r="G2787" i="27"/>
  <c r="Z686" i="27"/>
  <c r="AA686" i="27"/>
  <c r="U686" i="27"/>
  <c r="F686" i="27"/>
  <c r="M686" i="27"/>
  <c r="G686" i="27"/>
  <c r="U231" i="27"/>
  <c r="F231" i="27"/>
  <c r="M231" i="27"/>
  <c r="G231" i="27"/>
  <c r="Z231" i="27"/>
  <c r="AA231" i="27"/>
  <c r="Z684" i="27"/>
  <c r="AA684" i="27"/>
  <c r="U684" i="27"/>
  <c r="F684" i="27"/>
  <c r="M684" i="27"/>
  <c r="F569" i="27"/>
  <c r="M569" i="27"/>
  <c r="G569" i="27"/>
  <c r="Z569" i="27"/>
  <c r="AA569" i="27"/>
  <c r="Z2852" i="27"/>
  <c r="AA2852" i="27"/>
  <c r="F2852" i="27"/>
  <c r="M2852" i="27"/>
  <c r="U2852" i="27"/>
  <c r="Z974" i="27"/>
  <c r="AA974" i="27"/>
  <c r="U974" i="27"/>
  <c r="F974" i="27"/>
  <c r="M974" i="27"/>
  <c r="E2234" i="27"/>
  <c r="F2234" i="27"/>
  <c r="M2234" i="27"/>
  <c r="G2234" i="27"/>
  <c r="C2290" i="27"/>
  <c r="E2290" i="27"/>
  <c r="Z922" i="27"/>
  <c r="AA922" i="27"/>
  <c r="F922" i="27"/>
  <c r="M922" i="27"/>
  <c r="Z1784" i="27"/>
  <c r="AA1784" i="27"/>
  <c r="F1784" i="27"/>
  <c r="M1784" i="27"/>
  <c r="Z1012" i="27"/>
  <c r="U1012" i="27"/>
  <c r="F1012" i="27"/>
  <c r="M1012" i="27"/>
  <c r="F505" i="27"/>
  <c r="M505" i="27"/>
  <c r="G505" i="27"/>
  <c r="U505" i="27"/>
  <c r="Z505" i="27"/>
  <c r="AA505" i="27"/>
  <c r="F30" i="27"/>
  <c r="M30" i="27"/>
  <c r="C92" i="27"/>
  <c r="D92" i="27"/>
  <c r="D61" i="27"/>
  <c r="E61" i="27"/>
  <c r="C1927" i="27"/>
  <c r="C1512" i="27"/>
  <c r="D1512" i="27"/>
  <c r="E1512" i="27"/>
  <c r="C2403" i="27"/>
  <c r="D2403" i="27"/>
  <c r="E2403" i="27"/>
  <c r="Z138" i="27"/>
  <c r="AA138" i="27"/>
  <c r="U138" i="27"/>
  <c r="F138" i="27"/>
  <c r="M138" i="27"/>
  <c r="F850" i="27"/>
  <c r="M850" i="27"/>
  <c r="G850" i="27"/>
  <c r="U850" i="27"/>
  <c r="Z850" i="27"/>
  <c r="AA850" i="27"/>
  <c r="F863" i="27"/>
  <c r="M863" i="27"/>
  <c r="Z863" i="27"/>
  <c r="U863" i="27"/>
  <c r="AB863" i="27"/>
  <c r="AA863" i="27"/>
  <c r="F2691" i="27"/>
  <c r="M2691" i="27"/>
  <c r="G2691" i="27"/>
  <c r="U2691" i="27"/>
  <c r="Z2691" i="27"/>
  <c r="AA2691" i="27"/>
  <c r="Z469" i="27"/>
  <c r="AA469" i="27"/>
  <c r="U2524" i="27"/>
  <c r="Z2524" i="27"/>
  <c r="AA2524" i="27"/>
  <c r="E3162" i="27"/>
  <c r="F3162" i="27"/>
  <c r="M3162" i="27"/>
  <c r="G3162" i="27"/>
  <c r="AA3162" i="27"/>
  <c r="D2310" i="27"/>
  <c r="E2310" i="27"/>
  <c r="AB2310" i="27"/>
  <c r="C2427" i="27"/>
  <c r="D2427" i="27"/>
  <c r="E2427" i="27"/>
  <c r="F2427" i="27"/>
  <c r="M2427" i="27"/>
  <c r="Z590" i="27"/>
  <c r="AA590" i="27"/>
  <c r="F26" i="27"/>
  <c r="M26" i="27"/>
  <c r="C88" i="27"/>
  <c r="D88" i="27"/>
  <c r="Z26" i="27"/>
  <c r="AA26" i="27"/>
  <c r="Z482" i="27"/>
  <c r="AA482" i="27"/>
  <c r="U482" i="27"/>
  <c r="F482" i="27"/>
  <c r="M482" i="27"/>
  <c r="G482" i="27"/>
  <c r="F2283" i="27"/>
  <c r="M2283" i="27"/>
  <c r="G2283" i="27"/>
  <c r="F158" i="27"/>
  <c r="M158" i="27"/>
  <c r="G158" i="27"/>
  <c r="AB158" i="27"/>
  <c r="AA158" i="27"/>
  <c r="M2608" i="27"/>
  <c r="G2608" i="27"/>
  <c r="Z2608" i="27"/>
  <c r="AA2608" i="27"/>
  <c r="U2608" i="27"/>
  <c r="U2851" i="27"/>
  <c r="F2851" i="27"/>
  <c r="M2851" i="27"/>
  <c r="F1659" i="27"/>
  <c r="M1659" i="27"/>
  <c r="Z1659" i="27"/>
  <c r="AA1659" i="27"/>
  <c r="U1659" i="27"/>
  <c r="M232" i="27"/>
  <c r="G232" i="27"/>
  <c r="I442" i="27"/>
  <c r="Z1236" i="27"/>
  <c r="AA1236" i="27"/>
  <c r="F2701" i="27"/>
  <c r="M2701" i="27"/>
  <c r="G2701" i="27"/>
  <c r="Z2701" i="27"/>
  <c r="AA2701" i="27"/>
  <c r="G547" i="27"/>
  <c r="I547" i="27"/>
  <c r="Z2637" i="27"/>
  <c r="AA2637" i="27"/>
  <c r="U2637" i="27"/>
  <c r="C2022" i="27"/>
  <c r="E2022" i="27"/>
  <c r="Z2022" i="27"/>
  <c r="E1926" i="27"/>
  <c r="F1926" i="27"/>
  <c r="M1926" i="27"/>
  <c r="F675" i="27"/>
  <c r="M675" i="27"/>
  <c r="G675" i="27"/>
  <c r="Z675" i="27"/>
  <c r="AA675" i="27"/>
  <c r="F559" i="27"/>
  <c r="M559" i="27"/>
  <c r="G559" i="27"/>
  <c r="Z559" i="27"/>
  <c r="AA559" i="27"/>
  <c r="F1104" i="27"/>
  <c r="M1104" i="27"/>
  <c r="U999" i="27"/>
  <c r="Z999" i="27"/>
  <c r="AA999" i="27"/>
  <c r="G3159" i="27"/>
  <c r="I3159" i="27"/>
  <c r="U2514" i="27"/>
  <c r="F2514" i="27"/>
  <c r="M2514" i="27"/>
  <c r="Z1118" i="27"/>
  <c r="AA1118" i="27"/>
  <c r="F1118" i="27"/>
  <c r="M1118" i="27"/>
  <c r="U1118" i="27"/>
  <c r="U2760" i="27"/>
  <c r="F2760" i="27"/>
  <c r="M2760" i="27"/>
  <c r="Z2760" i="27"/>
  <c r="AA2760" i="27"/>
  <c r="AB317" i="27"/>
  <c r="AA317" i="27"/>
  <c r="U317" i="27"/>
  <c r="Z317" i="27"/>
  <c r="F317" i="27"/>
  <c r="M317" i="27"/>
  <c r="G317" i="27"/>
  <c r="C1876" i="27"/>
  <c r="D1876" i="27"/>
  <c r="E1876" i="27"/>
  <c r="U1876" i="27"/>
  <c r="G1030" i="27"/>
  <c r="I1030" i="27"/>
  <c r="I875" i="27"/>
  <c r="AB2174" i="27"/>
  <c r="U2174" i="27"/>
  <c r="F2174" i="27"/>
  <c r="M2174" i="27"/>
  <c r="Z2174" i="27"/>
  <c r="AA2174" i="27"/>
  <c r="U848" i="27"/>
  <c r="I1639" i="27"/>
  <c r="AA3123" i="27"/>
  <c r="E3123" i="27"/>
  <c r="U414" i="27"/>
  <c r="F414" i="27"/>
  <c r="M414" i="27"/>
  <c r="Z747" i="27"/>
  <c r="AA747" i="27"/>
  <c r="F747" i="27"/>
  <c r="M747" i="27"/>
  <c r="G747" i="27"/>
  <c r="U747" i="27"/>
  <c r="Z1413" i="27"/>
  <c r="F1413" i="27"/>
  <c r="M1413" i="27"/>
  <c r="G1413" i="27"/>
  <c r="AA1413" i="27"/>
  <c r="G2670" i="27"/>
  <c r="I2670" i="27"/>
  <c r="I525" i="27"/>
  <c r="I740" i="27"/>
  <c r="I2431" i="27"/>
  <c r="G290" i="27"/>
  <c r="I290" i="27"/>
  <c r="G951" i="27"/>
  <c r="I951" i="27"/>
  <c r="G708" i="27"/>
  <c r="I708" i="27"/>
  <c r="G445" i="27"/>
  <c r="I445" i="27"/>
  <c r="I1050" i="27"/>
  <c r="G542" i="27"/>
  <c r="I542" i="27"/>
  <c r="I275" i="27"/>
  <c r="I1682" i="27"/>
  <c r="G638" i="27"/>
  <c r="I638" i="27"/>
  <c r="G369" i="27"/>
  <c r="I369" i="27"/>
  <c r="G2485" i="27"/>
  <c r="I2485" i="27"/>
  <c r="I592" i="27"/>
  <c r="I822" i="27"/>
  <c r="G2638" i="27"/>
  <c r="I2638" i="27"/>
  <c r="I236" i="27"/>
  <c r="I245" i="27"/>
  <c r="G22" i="27"/>
  <c r="I22" i="27"/>
  <c r="I755" i="27"/>
  <c r="I3170" i="27"/>
  <c r="I619" i="27"/>
  <c r="F135" i="27"/>
  <c r="M135" i="27"/>
  <c r="G135" i="27"/>
  <c r="Z135" i="27"/>
  <c r="AA135" i="27"/>
  <c r="U135" i="27"/>
  <c r="I448" i="27"/>
  <c r="F2521" i="27"/>
  <c r="M2521" i="27"/>
  <c r="G2521" i="27"/>
  <c r="Z2521" i="27"/>
  <c r="AA2521" i="27"/>
  <c r="G322" i="27"/>
  <c r="I322" i="27"/>
  <c r="I2816" i="27"/>
  <c r="G2432" i="27"/>
  <c r="I2432" i="27"/>
  <c r="I2492" i="27"/>
  <c r="F1279" i="27"/>
  <c r="M1279" i="27"/>
  <c r="G1279" i="27"/>
  <c r="I1096" i="27"/>
  <c r="G585" i="27"/>
  <c r="I585" i="27"/>
  <c r="G652" i="27"/>
  <c r="I652" i="27"/>
  <c r="G862" i="27"/>
  <c r="I862" i="27"/>
  <c r="I1109" i="27"/>
  <c r="I1818" i="27"/>
  <c r="G741" i="27"/>
  <c r="I741" i="27"/>
  <c r="G624" i="27"/>
  <c r="I624" i="27"/>
  <c r="G193" i="27"/>
  <c r="I193" i="27"/>
  <c r="G812" i="27"/>
  <c r="I812" i="27"/>
  <c r="G190" i="27"/>
  <c r="I190" i="27"/>
  <c r="G724" i="27"/>
  <c r="I724" i="27"/>
  <c r="I398" i="27"/>
  <c r="I629" i="27"/>
  <c r="G3107" i="27"/>
  <c r="I3107" i="27"/>
  <c r="G2718" i="27"/>
  <c r="I2718" i="27"/>
  <c r="I3114" i="27"/>
  <c r="G2572" i="27"/>
  <c r="I2572" i="27"/>
  <c r="I187" i="27"/>
  <c r="Z2315" i="27"/>
  <c r="AA2315" i="27"/>
  <c r="F2315" i="27"/>
  <c r="M2315" i="27"/>
  <c r="G2315" i="27"/>
  <c r="U2315" i="27"/>
  <c r="D1874" i="27"/>
  <c r="E1874" i="27"/>
  <c r="G1657" i="27"/>
  <c r="I1657" i="27"/>
  <c r="M1678" i="27"/>
  <c r="G1678" i="27"/>
  <c r="G666" i="27"/>
  <c r="I666" i="27"/>
  <c r="D2948" i="27"/>
  <c r="E2948" i="27"/>
  <c r="Z2948" i="27"/>
  <c r="AA2948" i="27"/>
  <c r="Z1714" i="27"/>
  <c r="AA1714" i="27"/>
  <c r="U1950" i="27"/>
  <c r="AB1249" i="27"/>
  <c r="AA1249" i="27"/>
  <c r="F1249" i="27"/>
  <c r="M1249" i="27"/>
  <c r="G1249" i="27"/>
  <c r="Z1249" i="27"/>
  <c r="G1798" i="27"/>
  <c r="I1798" i="27"/>
  <c r="G1223" i="27"/>
  <c r="I1223" i="27"/>
  <c r="G2708" i="27"/>
  <c r="I2708" i="27"/>
  <c r="G3151" i="27"/>
  <c r="I3151" i="27"/>
  <c r="I899" i="27"/>
  <c r="G307" i="27"/>
  <c r="I307" i="27"/>
  <c r="F2518" i="27"/>
  <c r="M2518" i="27"/>
  <c r="Z2518" i="27"/>
  <c r="AA2518" i="27"/>
  <c r="C1339" i="27"/>
  <c r="D1339" i="27"/>
  <c r="E1339" i="27"/>
  <c r="D1772" i="27"/>
  <c r="E1772" i="27"/>
  <c r="G912" i="27"/>
  <c r="I912" i="27"/>
  <c r="C2042" i="27"/>
  <c r="E2042" i="27"/>
  <c r="E1945" i="27"/>
  <c r="F1693" i="27"/>
  <c r="M1693" i="27"/>
  <c r="G1693" i="27"/>
  <c r="Z1956" i="27"/>
  <c r="Z1693" i="27"/>
  <c r="AA1693" i="27"/>
  <c r="U1383" i="27"/>
  <c r="I1310" i="27"/>
  <c r="I522" i="27"/>
  <c r="F1325" i="27"/>
  <c r="M1325" i="27"/>
  <c r="Z2091" i="27"/>
  <c r="AA2091" i="27"/>
  <c r="U254" i="27"/>
  <c r="F1236" i="27"/>
  <c r="M1236" i="27"/>
  <c r="Z2105" i="27"/>
  <c r="AA2105" i="27"/>
  <c r="Z282" i="27"/>
  <c r="AA282" i="27"/>
  <c r="F620" i="27"/>
  <c r="M620" i="27"/>
  <c r="U2311" i="27"/>
  <c r="I331" i="27"/>
  <c r="C1323" i="27"/>
  <c r="D1323" i="27"/>
  <c r="E1323" i="27"/>
  <c r="U1323" i="27"/>
  <c r="D1787" i="27"/>
  <c r="E1787" i="27"/>
  <c r="Z1787" i="27"/>
  <c r="D1972" i="27"/>
  <c r="E1972" i="27"/>
  <c r="Z1083" i="27"/>
  <c r="U1237" i="27"/>
  <c r="Z204" i="27"/>
  <c r="AA204" i="27"/>
  <c r="D1770" i="27"/>
  <c r="E1770" i="27"/>
  <c r="F1770" i="27"/>
  <c r="M1770" i="27"/>
  <c r="U969" i="27"/>
  <c r="C2395" i="27"/>
  <c r="D2395" i="27"/>
  <c r="E2395" i="27"/>
  <c r="Z853" i="27"/>
  <c r="Z2409" i="27"/>
  <c r="AA2409" i="27"/>
  <c r="E1434" i="27"/>
  <c r="U1434" i="27"/>
  <c r="C2428" i="27"/>
  <c r="D2428" i="27"/>
  <c r="E2428" i="27"/>
  <c r="F2428" i="27"/>
  <c r="M2428" i="27"/>
  <c r="C1619" i="27"/>
  <c r="E1619" i="27"/>
  <c r="C2386" i="27"/>
  <c r="D2386" i="27"/>
  <c r="E2386" i="27"/>
  <c r="Z915" i="27"/>
  <c r="E1451" i="27"/>
  <c r="U1451" i="27"/>
  <c r="U450" i="27"/>
  <c r="Z341" i="27"/>
  <c r="U341" i="27"/>
  <c r="G2345" i="27"/>
  <c r="I2345" i="27"/>
  <c r="C2025" i="27"/>
  <c r="D2025" i="27"/>
  <c r="E2025" i="27"/>
  <c r="C1513" i="27"/>
  <c r="D1513" i="27"/>
  <c r="E1513" i="27"/>
  <c r="C1585" i="27"/>
  <c r="D1585" i="27"/>
  <c r="E1585" i="27"/>
  <c r="F1585" i="27"/>
  <c r="M1585" i="27"/>
  <c r="C2934" i="27"/>
  <c r="D2934" i="27"/>
  <c r="E2934" i="27"/>
  <c r="U2934" i="27"/>
  <c r="D1928" i="27"/>
  <c r="E1928" i="27"/>
  <c r="C2137" i="27"/>
  <c r="D2137" i="27"/>
  <c r="E2137" i="27"/>
  <c r="F2188" i="27"/>
  <c r="M2188" i="27"/>
  <c r="G2188" i="27"/>
  <c r="Z2188" i="27"/>
  <c r="AA2188" i="27"/>
  <c r="U2188" i="27"/>
  <c r="AB191" i="27"/>
  <c r="AA191" i="27"/>
  <c r="I490" i="27"/>
  <c r="F596" i="27"/>
  <c r="M596" i="27"/>
  <c r="G596" i="27"/>
  <c r="E1441" i="27"/>
  <c r="Z1441" i="27"/>
  <c r="AA1441" i="27"/>
  <c r="U337" i="27"/>
  <c r="F2323" i="27"/>
  <c r="M2323" i="27"/>
  <c r="AB915" i="27"/>
  <c r="AA915" i="27"/>
  <c r="D1468" i="27"/>
  <c r="E1468" i="27"/>
  <c r="U1468" i="27"/>
  <c r="D1674" i="27"/>
  <c r="E1674" i="27"/>
  <c r="F867" i="27"/>
  <c r="M867" i="27"/>
  <c r="G867" i="27"/>
  <c r="Z235" i="27"/>
  <c r="AA235" i="27"/>
  <c r="F168" i="27"/>
  <c r="M168" i="27"/>
  <c r="U515" i="27"/>
  <c r="U23" i="27"/>
  <c r="F2503" i="27"/>
  <c r="M2503" i="27"/>
  <c r="Z1070" i="27"/>
  <c r="AA1070" i="27"/>
  <c r="Z337" i="27"/>
  <c r="AA337" i="27"/>
  <c r="F915" i="27"/>
  <c r="M915" i="27"/>
  <c r="G915" i="27"/>
  <c r="F1377" i="27"/>
  <c r="M1377" i="27"/>
  <c r="G1377" i="27"/>
  <c r="E1638" i="27"/>
  <c r="F1638" i="27"/>
  <c r="M1638" i="27"/>
  <c r="U867" i="27"/>
  <c r="Z498" i="27"/>
  <c r="AA498" i="27"/>
  <c r="Z783" i="27"/>
  <c r="U548" i="27"/>
  <c r="E1419" i="27"/>
  <c r="E1489" i="27"/>
  <c r="U1128" i="27"/>
  <c r="U204" i="27"/>
  <c r="C2041" i="27"/>
  <c r="E2041" i="27"/>
  <c r="Z2041" i="27"/>
  <c r="AA2041" i="27"/>
  <c r="U140" i="27"/>
  <c r="U1041" i="27"/>
  <c r="F1047" i="27"/>
  <c r="M1047" i="27"/>
  <c r="G1047" i="27"/>
  <c r="U191" i="27"/>
  <c r="F567" i="27"/>
  <c r="M567" i="27"/>
  <c r="G567" i="27"/>
  <c r="F969" i="27"/>
  <c r="M969" i="27"/>
  <c r="F23" i="27"/>
  <c r="M23" i="27"/>
  <c r="F282" i="27"/>
  <c r="M282" i="27"/>
  <c r="G282" i="27"/>
  <c r="U1056" i="27"/>
  <c r="Z2840" i="27"/>
  <c r="AA2840" i="27"/>
  <c r="U701" i="27"/>
  <c r="E2228" i="27"/>
  <c r="F2228" i="27"/>
  <c r="M2228" i="27"/>
  <c r="F254" i="27"/>
  <c r="M254" i="27"/>
  <c r="G254" i="27"/>
  <c r="Z2509" i="27"/>
  <c r="AA2509" i="27"/>
  <c r="F853" i="27"/>
  <c r="M853" i="27"/>
  <c r="F1014" i="27"/>
  <c r="M1014" i="27"/>
  <c r="I548" i="27"/>
  <c r="AB419" i="27"/>
  <c r="AA419" i="27"/>
  <c r="F191" i="27"/>
  <c r="M191" i="27"/>
  <c r="Z1946" i="27"/>
  <c r="C2433" i="27"/>
  <c r="F1256" i="27"/>
  <c r="M1256" i="27"/>
  <c r="Z2302" i="27"/>
  <c r="AA2302" i="27"/>
  <c r="U567" i="27"/>
  <c r="C3095" i="27"/>
  <c r="D3095" i="27"/>
  <c r="AA3095" i="27"/>
  <c r="Z1056" i="27"/>
  <c r="AA1056" i="27"/>
  <c r="Z701" i="27"/>
  <c r="AB240" i="27"/>
  <c r="AA240" i="27"/>
  <c r="F826" i="27"/>
  <c r="M826" i="27"/>
  <c r="G826" i="27"/>
  <c r="F1735" i="27"/>
  <c r="M1735" i="27"/>
  <c r="U853" i="27"/>
  <c r="U168" i="27"/>
  <c r="F768" i="27"/>
  <c r="M768" i="27"/>
  <c r="F140" i="27"/>
  <c r="M140" i="27"/>
  <c r="G140" i="27"/>
  <c r="F1946" i="27"/>
  <c r="M1946" i="27"/>
  <c r="G1946" i="27"/>
  <c r="AA1946" i="27"/>
  <c r="Z717" i="27"/>
  <c r="I2509" i="27"/>
  <c r="F533" i="27"/>
  <c r="M533" i="27"/>
  <c r="C3096" i="27"/>
  <c r="D3096" i="27"/>
  <c r="AA3096" i="27"/>
  <c r="AB701" i="27"/>
  <c r="AA701" i="27"/>
  <c r="F240" i="27"/>
  <c r="M240" i="27"/>
  <c r="Z814" i="27"/>
  <c r="Z2255" i="27"/>
  <c r="AA2255" i="27"/>
  <c r="E3165" i="27"/>
  <c r="Z2636" i="27"/>
  <c r="AA2636" i="27"/>
  <c r="F498" i="27"/>
  <c r="M498" i="27"/>
  <c r="G498" i="27"/>
  <c r="F419" i="27"/>
  <c r="M419" i="27"/>
  <c r="Z515" i="27"/>
  <c r="AA515" i="27"/>
  <c r="AB717" i="27"/>
  <c r="AA717" i="27"/>
  <c r="I449" i="27"/>
  <c r="Z533" i="27"/>
  <c r="AA533" i="27"/>
  <c r="Z286" i="27"/>
  <c r="AA286" i="27"/>
  <c r="I273" i="27"/>
  <c r="Z1001" i="27"/>
  <c r="AA1001" i="27"/>
  <c r="U1070" i="27"/>
  <c r="U240" i="27"/>
  <c r="F2255" i="27"/>
  <c r="M2255" i="27"/>
  <c r="F2719" i="27"/>
  <c r="M2719" i="27"/>
  <c r="Z2719" i="27"/>
  <c r="AA2719" i="27"/>
  <c r="U2636" i="27"/>
  <c r="U841" i="27"/>
  <c r="U235" i="27"/>
  <c r="Z548" i="27"/>
  <c r="AA548" i="27"/>
  <c r="AA3173" i="27"/>
  <c r="F717" i="27"/>
  <c r="M717" i="27"/>
  <c r="U396" i="27"/>
  <c r="F2834" i="27"/>
  <c r="M2834" i="27"/>
  <c r="Z2763" i="27"/>
  <c r="AA2763" i="27"/>
  <c r="U1294" i="27"/>
  <c r="Z2313" i="27"/>
  <c r="AA2313" i="27"/>
  <c r="AA2981" i="27"/>
  <c r="Z273" i="27"/>
  <c r="AA273" i="27"/>
  <c r="F2296" i="27"/>
  <c r="M2296" i="27"/>
  <c r="C2982" i="27"/>
  <c r="E2982" i="27"/>
  <c r="F1001" i="27"/>
  <c r="M1001" i="27"/>
  <c r="G1001" i="27"/>
  <c r="AB315" i="27"/>
  <c r="AA315" i="27"/>
  <c r="F751" i="27"/>
  <c r="M751" i="27"/>
  <c r="G751" i="27"/>
  <c r="E1958" i="27"/>
  <c r="AB1137" i="27"/>
  <c r="AA1137" i="27"/>
  <c r="F2541" i="27"/>
  <c r="M2541" i="27"/>
  <c r="Z826" i="27"/>
  <c r="AA826" i="27"/>
  <c r="Z841" i="27"/>
  <c r="AA841" i="27"/>
  <c r="D1481" i="27"/>
  <c r="E1481" i="27"/>
  <c r="U620" i="27"/>
  <c r="U419" i="27"/>
  <c r="F396" i="27"/>
  <c r="M396" i="27"/>
  <c r="I783" i="27"/>
  <c r="Z794" i="27"/>
  <c r="AA794" i="27"/>
  <c r="U2834" i="27"/>
  <c r="C2419" i="27"/>
  <c r="D2419" i="27"/>
  <c r="E2419" i="27"/>
  <c r="F2763" i="27"/>
  <c r="M2763" i="27"/>
  <c r="F2313" i="27"/>
  <c r="M2313" i="27"/>
  <c r="U273" i="27"/>
  <c r="Z8" i="27"/>
  <c r="AA8" i="27"/>
  <c r="F315" i="27"/>
  <c r="M315" i="27"/>
  <c r="U315" i="27"/>
  <c r="F814" i="27"/>
  <c r="M814" i="27"/>
  <c r="G814" i="27"/>
  <c r="D49" i="27"/>
  <c r="E49" i="27"/>
  <c r="U2541" i="27"/>
  <c r="F2389" i="27"/>
  <c r="M2389" i="27"/>
  <c r="U2345" i="27"/>
  <c r="U1014" i="27"/>
  <c r="Z450" i="27"/>
  <c r="AA450" i="27"/>
  <c r="F1041" i="27"/>
  <c r="M1041" i="27"/>
  <c r="Z432" i="27"/>
  <c r="AA432" i="27"/>
  <c r="U737" i="27"/>
  <c r="F189" i="27"/>
  <c r="M189" i="27"/>
  <c r="I691" i="27"/>
  <c r="U794" i="27"/>
  <c r="F8" i="27"/>
  <c r="M8" i="27"/>
  <c r="C73" i="27"/>
  <c r="D73" i="27"/>
  <c r="D62" i="27"/>
  <c r="E62" i="27"/>
  <c r="Z2488" i="27"/>
  <c r="AA2488" i="27"/>
  <c r="U814" i="27"/>
  <c r="C2984" i="27"/>
  <c r="E2984" i="27"/>
  <c r="Z2984" i="27"/>
  <c r="Z2389" i="27"/>
  <c r="AA2389" i="27"/>
  <c r="Z2345" i="27"/>
  <c r="AA2345" i="27"/>
  <c r="Z768" i="27"/>
  <c r="AA768" i="27"/>
  <c r="Z756" i="27"/>
  <c r="AA756" i="27"/>
  <c r="Z737" i="27"/>
  <c r="AA737" i="27"/>
  <c r="U783" i="27"/>
  <c r="Z596" i="27"/>
  <c r="AA596" i="27"/>
  <c r="I756" i="27"/>
  <c r="C1346" i="27"/>
  <c r="D1346" i="27"/>
  <c r="E1346" i="27"/>
  <c r="Z1346" i="27"/>
  <c r="AA1346" i="27"/>
  <c r="U2323" i="27"/>
  <c r="C1624" i="27"/>
  <c r="D1624" i="27"/>
  <c r="E1624" i="27"/>
  <c r="U189" i="27"/>
  <c r="U1735" i="27"/>
  <c r="AB783" i="27"/>
  <c r="AA783" i="27"/>
  <c r="AB140" i="27"/>
  <c r="AA140" i="27"/>
  <c r="F432" i="27"/>
  <c r="M432" i="27"/>
  <c r="Z893" i="27"/>
  <c r="AA893" i="27"/>
  <c r="G1033" i="27"/>
  <c r="I1033" i="27"/>
  <c r="G1869" i="27"/>
  <c r="I1869" i="27"/>
  <c r="F787" i="27"/>
  <c r="M787" i="27"/>
  <c r="G787" i="27"/>
  <c r="I787" i="27"/>
  <c r="Z787" i="27"/>
  <c r="AA787" i="27"/>
  <c r="U787" i="27"/>
  <c r="D1460" i="27"/>
  <c r="E1460" i="27"/>
  <c r="F2479" i="27"/>
  <c r="M2479" i="27"/>
  <c r="D1991" i="27"/>
  <c r="E1991" i="27"/>
  <c r="U1991" i="27"/>
  <c r="F1203" i="27"/>
  <c r="M1203" i="27"/>
  <c r="G1203" i="27"/>
  <c r="Z960" i="27"/>
  <c r="AA960" i="27"/>
  <c r="U2260" i="27"/>
  <c r="C2423" i="27"/>
  <c r="D2423" i="27"/>
  <c r="E2423" i="27"/>
  <c r="Z1090" i="27"/>
  <c r="F1714" i="27"/>
  <c r="M1714" i="27"/>
  <c r="G1714" i="27"/>
  <c r="C2614" i="27"/>
  <c r="E2614" i="27"/>
  <c r="U2614" i="27"/>
  <c r="F1006" i="27"/>
  <c r="M1006" i="27"/>
  <c r="U1033" i="27"/>
  <c r="U1768" i="27"/>
  <c r="Z2398" i="27"/>
  <c r="AA2398" i="27"/>
  <c r="I916" i="27"/>
  <c r="U2493" i="27"/>
  <c r="E2103" i="27"/>
  <c r="U994" i="27"/>
  <c r="Z1033" i="27"/>
  <c r="AA1033" i="27"/>
  <c r="F1148" i="27"/>
  <c r="M1148" i="27"/>
  <c r="G1148" i="27"/>
  <c r="C1494" i="27"/>
  <c r="D1494" i="27"/>
  <c r="E1494" i="27"/>
  <c r="AA3102" i="27"/>
  <c r="E2992" i="27"/>
  <c r="AA2992" i="27"/>
  <c r="Z2060" i="27"/>
  <c r="AA2060" i="27"/>
  <c r="U2530" i="27"/>
  <c r="M2493" i="27"/>
  <c r="G2493" i="27"/>
  <c r="C2697" i="27"/>
  <c r="E2697" i="27"/>
  <c r="U1231" i="27"/>
  <c r="F2407" i="27"/>
  <c r="M2407" i="27"/>
  <c r="Z994" i="27"/>
  <c r="F2530" i="27"/>
  <c r="M2530" i="27"/>
  <c r="E2232" i="27"/>
  <c r="F2493" i="27"/>
  <c r="C1608" i="27"/>
  <c r="E1608" i="27"/>
  <c r="Z1608" i="27"/>
  <c r="AA1608" i="27"/>
  <c r="Z1216" i="27"/>
  <c r="AA1216" i="27"/>
  <c r="F994" i="27"/>
  <c r="M994" i="27"/>
  <c r="I1676" i="27"/>
  <c r="C2052" i="27"/>
  <c r="E2052" i="27"/>
  <c r="F1216" i="27"/>
  <c r="M1216" i="27"/>
  <c r="C1336" i="27"/>
  <c r="D1336" i="27"/>
  <c r="E1336" i="27"/>
  <c r="C1541" i="27"/>
  <c r="E1541" i="27"/>
  <c r="Z1541" i="27"/>
  <c r="AA1541" i="27"/>
  <c r="Z2510" i="27"/>
  <c r="AA2510" i="27"/>
  <c r="F1061" i="27"/>
  <c r="M1061" i="27"/>
  <c r="G1061" i="27"/>
  <c r="C2444" i="27"/>
  <c r="D2444" i="27"/>
  <c r="E2444" i="27"/>
  <c r="U2444" i="27"/>
  <c r="D1472" i="27"/>
  <c r="E1472" i="27"/>
  <c r="F1472" i="27"/>
  <c r="M1472" i="27"/>
  <c r="U1316" i="27"/>
  <c r="U1061" i="27"/>
  <c r="D1751" i="27"/>
  <c r="E1751" i="27"/>
  <c r="D1286" i="27"/>
  <c r="E1286" i="27"/>
  <c r="F1286" i="27"/>
  <c r="M1286" i="27"/>
  <c r="U1046" i="27"/>
  <c r="C2118" i="27"/>
  <c r="D2118" i="27"/>
  <c r="E2118" i="27"/>
  <c r="C2796" i="27"/>
  <c r="E2796" i="27"/>
  <c r="Z1676" i="27"/>
  <c r="AA1676" i="27"/>
  <c r="Z1273" i="27"/>
  <c r="AA1273" i="27"/>
  <c r="F1316" i="27"/>
  <c r="M1316" i="27"/>
  <c r="AB1090" i="27"/>
  <c r="AA1090" i="27"/>
  <c r="F1046" i="27"/>
  <c r="M1046" i="27"/>
  <c r="G1046" i="27"/>
  <c r="Z1231" i="27"/>
  <c r="AA1231" i="27"/>
  <c r="F1273" i="27"/>
  <c r="M1273" i="27"/>
  <c r="U1090" i="27"/>
  <c r="D2319" i="27"/>
  <c r="E2319" i="27"/>
  <c r="F2319" i="27"/>
  <c r="M2319" i="27"/>
  <c r="D2949" i="27"/>
  <c r="U1006" i="27"/>
  <c r="C1328" i="27"/>
  <c r="D1328" i="27"/>
  <c r="E1328" i="27"/>
  <c r="Z2479" i="27"/>
  <c r="AA2479" i="27"/>
  <c r="E2949" i="27"/>
  <c r="Z2949" i="27"/>
  <c r="AA2949" i="27"/>
  <c r="U286" i="27"/>
  <c r="F1886" i="27"/>
  <c r="M1886" i="27"/>
  <c r="G1886" i="27"/>
  <c r="U1886" i="27"/>
  <c r="Z1886" i="27"/>
  <c r="AA1886" i="27"/>
  <c r="Z2104" i="27"/>
  <c r="AA2104" i="27"/>
  <c r="U2104" i="27"/>
  <c r="Z1261" i="27"/>
  <c r="AA1261" i="27"/>
  <c r="F1261" i="27"/>
  <c r="M1261" i="27"/>
  <c r="U1261" i="27"/>
  <c r="G1247" i="27"/>
  <c r="I1247" i="27"/>
  <c r="G763" i="27"/>
  <c r="I763" i="27"/>
  <c r="Z30" i="27"/>
  <c r="AA30" i="27"/>
  <c r="U30" i="27"/>
  <c r="F3132" i="27"/>
  <c r="M3132" i="27"/>
  <c r="U3132" i="27"/>
  <c r="U2330" i="27"/>
  <c r="F2330" i="27"/>
  <c r="M2330" i="27"/>
  <c r="G2330" i="27"/>
  <c r="Z2330" i="27"/>
  <c r="AA2330" i="27"/>
  <c r="U972" i="27"/>
  <c r="F403" i="27"/>
  <c r="M403" i="27"/>
  <c r="Z1447" i="27"/>
  <c r="AA1447" i="27"/>
  <c r="U627" i="27"/>
  <c r="Z1872" i="27"/>
  <c r="AA1872" i="27"/>
  <c r="U2233" i="27"/>
  <c r="C2993" i="27"/>
  <c r="E2993" i="27"/>
  <c r="Z2993" i="27"/>
  <c r="U1602" i="27"/>
  <c r="F1731" i="27"/>
  <c r="M1731" i="27"/>
  <c r="G1731" i="27"/>
  <c r="C2351" i="27"/>
  <c r="Z328" i="27"/>
  <c r="AA328" i="27"/>
  <c r="I2353" i="27"/>
  <c r="U298" i="27"/>
  <c r="U936" i="27"/>
  <c r="F1204" i="27"/>
  <c r="M1204" i="27"/>
  <c r="Z1149" i="27"/>
  <c r="AA1149" i="27"/>
  <c r="U1149" i="27"/>
  <c r="F1702" i="27"/>
  <c r="M1702" i="27"/>
  <c r="G1702" i="27"/>
  <c r="F558" i="27"/>
  <c r="M558" i="27"/>
  <c r="F699" i="27"/>
  <c r="M699" i="27"/>
  <c r="G699" i="27"/>
  <c r="U2353" i="27"/>
  <c r="F1768" i="27"/>
  <c r="M1768" i="27"/>
  <c r="F2623" i="27"/>
  <c r="M2623" i="27"/>
  <c r="Z972" i="27"/>
  <c r="AA972" i="27"/>
  <c r="AB403" i="27"/>
  <c r="AA403" i="27"/>
  <c r="U1872" i="27"/>
  <c r="U925" i="27"/>
  <c r="C1522" i="27"/>
  <c r="D1522" i="27"/>
  <c r="E1522" i="27"/>
  <c r="U1731" i="27"/>
  <c r="U265" i="27"/>
  <c r="U163" i="27"/>
  <c r="U1247" i="27"/>
  <c r="Z558" i="27"/>
  <c r="AA558" i="27"/>
  <c r="F494" i="27"/>
  <c r="M494" i="27"/>
  <c r="U699" i="27"/>
  <c r="C2747" i="27"/>
  <c r="E2747" i="27"/>
  <c r="Z2747" i="27"/>
  <c r="AA2747" i="27"/>
  <c r="F2618" i="27"/>
  <c r="M2618" i="27"/>
  <c r="U2623" i="27"/>
  <c r="Z403" i="27"/>
  <c r="F2783" i="27"/>
  <c r="M2783" i="27"/>
  <c r="F925" i="27"/>
  <c r="M925" i="27"/>
  <c r="G925" i="27"/>
  <c r="AB199" i="27"/>
  <c r="AA199" i="27"/>
  <c r="C2034" i="27"/>
  <c r="D2034" i="27"/>
  <c r="E2034" i="27"/>
  <c r="F2034" i="27"/>
  <c r="M2034" i="27"/>
  <c r="G2034" i="27"/>
  <c r="U1766" i="27"/>
  <c r="AB163" i="27"/>
  <c r="AA163" i="27"/>
  <c r="F16" i="27"/>
  <c r="M16" i="27"/>
  <c r="G16" i="27"/>
  <c r="Z391" i="27"/>
  <c r="Z900" i="27"/>
  <c r="AA900" i="27"/>
  <c r="U1410" i="27"/>
  <c r="Z904" i="27"/>
  <c r="AA904" i="27"/>
  <c r="U2618" i="27"/>
  <c r="U2783" i="27"/>
  <c r="E1924" i="27"/>
  <c r="F897" i="27"/>
  <c r="M897" i="27"/>
  <c r="G897" i="27"/>
  <c r="U2480" i="27"/>
  <c r="Z199" i="27"/>
  <c r="C2377" i="27"/>
  <c r="D2377" i="27"/>
  <c r="E2377" i="27"/>
  <c r="F1766" i="27"/>
  <c r="M1766" i="27"/>
  <c r="AB175" i="27"/>
  <c r="AA175" i="27"/>
  <c r="Z163" i="27"/>
  <c r="C1337" i="27"/>
  <c r="D1337" i="27"/>
  <c r="E1337" i="27"/>
  <c r="U16" i="27"/>
  <c r="U900" i="27"/>
  <c r="F1410" i="27"/>
  <c r="M1410" i="27"/>
  <c r="F904" i="27"/>
  <c r="M904" i="27"/>
  <c r="Z1076" i="27"/>
  <c r="AA1076" i="27"/>
  <c r="Z427" i="27"/>
  <c r="C2131" i="27"/>
  <c r="E2131" i="27"/>
  <c r="F2131" i="27"/>
  <c r="M2131" i="27"/>
  <c r="U1857" i="27"/>
  <c r="Z897" i="27"/>
  <c r="AA897" i="27"/>
  <c r="F2480" i="27"/>
  <c r="M2480" i="27"/>
  <c r="C1589" i="27"/>
  <c r="D1589" i="27"/>
  <c r="E1589" i="27"/>
  <c r="F175" i="27"/>
  <c r="M175" i="27"/>
  <c r="G175" i="27"/>
  <c r="C1921" i="27"/>
  <c r="F883" i="27"/>
  <c r="M883" i="27"/>
  <c r="Z1247" i="27"/>
  <c r="AA1247" i="27"/>
  <c r="Z2261" i="27"/>
  <c r="AA2261" i="27"/>
  <c r="E3120" i="27"/>
  <c r="U540" i="27"/>
  <c r="I417" i="27"/>
  <c r="U362" i="27"/>
  <c r="AB427" i="27"/>
  <c r="AA427" i="27"/>
  <c r="C1583" i="27"/>
  <c r="E1583" i="27"/>
  <c r="C2801" i="27"/>
  <c r="E2801" i="27"/>
  <c r="F2801" i="27"/>
  <c r="M2801" i="27"/>
  <c r="G2801" i="27"/>
  <c r="U328" i="27"/>
  <c r="F948" i="27"/>
  <c r="M948" i="27"/>
  <c r="G948" i="27"/>
  <c r="U199" i="27"/>
  <c r="U2261" i="27"/>
  <c r="F1008" i="27"/>
  <c r="M1008" i="27"/>
  <c r="I537" i="27"/>
  <c r="F362" i="27"/>
  <c r="M362" i="27"/>
  <c r="Z1121" i="27"/>
  <c r="AA1121" i="27"/>
  <c r="F427" i="27"/>
  <c r="M427" i="27"/>
  <c r="G427" i="27"/>
  <c r="F3127" i="27"/>
  <c r="M3127" i="27"/>
  <c r="C2702" i="27"/>
  <c r="E2702" i="27"/>
  <c r="Z1232" i="27"/>
  <c r="AA1232" i="27"/>
  <c r="U948" i="27"/>
  <c r="Z134" i="27"/>
  <c r="AA134" i="27"/>
  <c r="Z883" i="27"/>
  <c r="AA883" i="27"/>
  <c r="U2069" i="27"/>
  <c r="D1754" i="27"/>
  <c r="E1754" i="27"/>
  <c r="U2672" i="27"/>
  <c r="F650" i="27"/>
  <c r="M650" i="27"/>
  <c r="E2963" i="27"/>
  <c r="E1647" i="27"/>
  <c r="Z1389" i="27"/>
  <c r="AA1389" i="27"/>
  <c r="F1783" i="27"/>
  <c r="M1783" i="27"/>
  <c r="D1274" i="27"/>
  <c r="E1274" i="27"/>
  <c r="C1853" i="27"/>
  <c r="D1853" i="27"/>
  <c r="E1853" i="27"/>
  <c r="F1232" i="27"/>
  <c r="M1232" i="27"/>
  <c r="G1232" i="27"/>
  <c r="I1232" i="27"/>
  <c r="AB948" i="27"/>
  <c r="AA948" i="27"/>
  <c r="Z265" i="27"/>
  <c r="C2414" i="27"/>
  <c r="D2414" i="27"/>
  <c r="E2414" i="27"/>
  <c r="F2414" i="27"/>
  <c r="M2414" i="27"/>
  <c r="Z2069" i="27"/>
  <c r="AA2069" i="27"/>
  <c r="U134" i="27"/>
  <c r="F2672" i="27"/>
  <c r="M2672" i="27"/>
  <c r="Z650" i="27"/>
  <c r="AA650" i="27"/>
  <c r="F2955" i="27"/>
  <c r="M2955" i="27"/>
  <c r="G2955" i="27"/>
  <c r="C2047" i="27"/>
  <c r="E2047" i="27"/>
  <c r="F2047" i="27"/>
  <c r="M2047" i="27"/>
  <c r="F1121" i="27"/>
  <c r="M1121" i="27"/>
  <c r="C2619" i="27"/>
  <c r="E2619" i="27"/>
  <c r="Z1702" i="27"/>
  <c r="AA1702" i="27"/>
  <c r="U1389" i="27"/>
  <c r="Z978" i="27"/>
  <c r="AA978" i="27"/>
  <c r="I185" i="27"/>
  <c r="Z1857" i="27"/>
  <c r="AA1857" i="27"/>
  <c r="C1534" i="27"/>
  <c r="E1534" i="27"/>
  <c r="C1349" i="27"/>
  <c r="D1349" i="27"/>
  <c r="E1349" i="27"/>
  <c r="F1349" i="27"/>
  <c r="M1349" i="27"/>
  <c r="G1349" i="27"/>
  <c r="Z2148" i="27"/>
  <c r="AA2148" i="27"/>
  <c r="U1134" i="27"/>
  <c r="F310" i="27"/>
  <c r="M310" i="27"/>
  <c r="F265" i="27"/>
  <c r="M265" i="27"/>
  <c r="G265" i="27"/>
  <c r="Z763" i="27"/>
  <c r="AA763" i="27"/>
  <c r="C2371" i="27"/>
  <c r="D2371" i="27"/>
  <c r="E2371" i="27"/>
  <c r="F2371" i="27"/>
  <c r="M2371" i="27"/>
  <c r="Z2435" i="27"/>
  <c r="AA2435" i="27"/>
  <c r="I662" i="27"/>
  <c r="I872" i="27"/>
  <c r="U590" i="27"/>
  <c r="U978" i="27"/>
  <c r="F1737" i="27"/>
  <c r="AB391" i="27"/>
  <c r="AA391" i="27"/>
  <c r="F962" i="27"/>
  <c r="M962" i="27"/>
  <c r="C2748" i="27"/>
  <c r="E2748" i="27"/>
  <c r="D2085" i="27"/>
  <c r="E2085" i="27"/>
  <c r="D1792" i="27"/>
  <c r="E1792" i="27"/>
  <c r="F1792" i="27"/>
  <c r="M1792" i="27"/>
  <c r="G1792" i="27"/>
  <c r="F2148" i="27"/>
  <c r="M2148" i="27"/>
  <c r="F1134" i="27"/>
  <c r="M1134" i="27"/>
  <c r="G1134" i="27"/>
  <c r="AB310" i="27"/>
  <c r="AA310" i="27"/>
  <c r="F2338" i="27"/>
  <c r="M2338" i="27"/>
  <c r="G2338" i="27"/>
  <c r="U763" i="27"/>
  <c r="Z662" i="27"/>
  <c r="E3163" i="27"/>
  <c r="F3163" i="27"/>
  <c r="M3163" i="27"/>
  <c r="I2821" i="27"/>
  <c r="Z2578" i="27"/>
  <c r="Z509" i="27"/>
  <c r="AA509" i="27"/>
  <c r="Z2134" i="27"/>
  <c r="Z1282" i="27"/>
  <c r="AA1282" i="27"/>
  <c r="F2336" i="27"/>
  <c r="M2336" i="27"/>
  <c r="G2336" i="27"/>
  <c r="Z2336" i="27"/>
  <c r="AA2336" i="27"/>
  <c r="U2336" i="27"/>
  <c r="Z2318" i="27"/>
  <c r="AA2318" i="27"/>
  <c r="U2318" i="27"/>
  <c r="F2318" i="27"/>
  <c r="M2318" i="27"/>
  <c r="G2318" i="27"/>
  <c r="U1524" i="27"/>
  <c r="F1524" i="27"/>
  <c r="M1524" i="27"/>
  <c r="G1524" i="27"/>
  <c r="Z1524" i="27"/>
  <c r="AA1524" i="27"/>
  <c r="G2504" i="27"/>
  <c r="I2504" i="27"/>
  <c r="G2475" i="27"/>
  <c r="I2475" i="27"/>
  <c r="F1852" i="27"/>
  <c r="M1852" i="27"/>
  <c r="Z1852" i="27"/>
  <c r="AA1852" i="27"/>
  <c r="G2424" i="27"/>
  <c r="I2424" i="27"/>
  <c r="Z944" i="27"/>
  <c r="AA944" i="27"/>
  <c r="F944" i="27"/>
  <c r="M944" i="27"/>
  <c r="G944" i="27"/>
  <c r="U944" i="27"/>
  <c r="I824" i="27"/>
  <c r="I199" i="27"/>
  <c r="F2381" i="27"/>
  <c r="M2381" i="27"/>
  <c r="F2274" i="27"/>
  <c r="M2274" i="27"/>
  <c r="G2274" i="27"/>
  <c r="U2504" i="27"/>
  <c r="U1215" i="27"/>
  <c r="C2292" i="27"/>
  <c r="C2831" i="27"/>
  <c r="E2831" i="27"/>
  <c r="F1724" i="27"/>
  <c r="M1724" i="27"/>
  <c r="G1724" i="27"/>
  <c r="AA3111" i="27"/>
  <c r="E1230" i="27"/>
  <c r="U1230" i="27"/>
  <c r="U2231" i="27"/>
  <c r="U1724" i="27"/>
  <c r="I628" i="27"/>
  <c r="U2528" i="27"/>
  <c r="D1259" i="27"/>
  <c r="E1259" i="27"/>
  <c r="U1259" i="27"/>
  <c r="D1763" i="27"/>
  <c r="E1763" i="27"/>
  <c r="U1763" i="27"/>
  <c r="C1825" i="27"/>
  <c r="D1825" i="27"/>
  <c r="E1825" i="27"/>
  <c r="F1359" i="27"/>
  <c r="M1359" i="27"/>
  <c r="Z2528" i="27"/>
  <c r="AA2528" i="27"/>
  <c r="F2258" i="27"/>
  <c r="M2258" i="27"/>
  <c r="C2422" i="27"/>
  <c r="D2422" i="27"/>
  <c r="E2422" i="27"/>
  <c r="U2422" i="27"/>
  <c r="D1968" i="27"/>
  <c r="E1968" i="27"/>
  <c r="D1940" i="27"/>
  <c r="E1940" i="27"/>
  <c r="Z1940" i="27"/>
  <c r="Z1359" i="27"/>
  <c r="AA1359" i="27"/>
  <c r="I1092" i="27"/>
  <c r="AA3155" i="27"/>
  <c r="U264" i="27"/>
  <c r="Z2258" i="27"/>
  <c r="AA2258" i="27"/>
  <c r="Z2554" i="27"/>
  <c r="AA2554" i="27"/>
  <c r="C1360" i="27"/>
  <c r="D1360" i="27"/>
  <c r="E1360" i="27"/>
  <c r="Z1360" i="27"/>
  <c r="AA1360" i="27"/>
  <c r="F2543" i="27"/>
  <c r="M2543" i="27"/>
  <c r="G2543" i="27"/>
  <c r="U1699" i="27"/>
  <c r="C1591" i="27"/>
  <c r="D1591" i="27"/>
  <c r="E1591" i="27"/>
  <c r="Z1848" i="27"/>
  <c r="AA1848" i="27"/>
  <c r="U2561" i="27"/>
  <c r="F2554" i="27"/>
  <c r="M2554" i="27"/>
  <c r="Z1245" i="27"/>
  <c r="AA1245" i="27"/>
  <c r="U1285" i="27"/>
  <c r="Z2543" i="27"/>
  <c r="AA2543" i="27"/>
  <c r="Z2231" i="27"/>
  <c r="AA2231" i="27"/>
  <c r="F2011" i="27"/>
  <c r="M2011" i="27"/>
  <c r="F2561" i="27"/>
  <c r="M2561" i="27"/>
  <c r="C1335" i="27"/>
  <c r="D1335" i="27"/>
  <c r="E1335" i="27"/>
  <c r="F1789" i="27"/>
  <c r="M1789" i="27"/>
  <c r="G1789" i="27"/>
  <c r="C2406" i="27"/>
  <c r="D2406" i="27"/>
  <c r="E2406" i="27"/>
  <c r="Z1712" i="27"/>
  <c r="AA1712" i="27"/>
  <c r="C2442" i="27"/>
  <c r="D2442" i="27"/>
  <c r="E2442" i="27"/>
  <c r="D2947" i="27"/>
  <c r="I2781" i="27"/>
  <c r="I2522" i="27"/>
  <c r="F1712" i="27"/>
  <c r="M1712" i="27"/>
  <c r="G1712" i="27"/>
  <c r="C2990" i="27"/>
  <c r="E1444" i="27"/>
  <c r="F1444" i="27"/>
  <c r="C1610" i="27"/>
  <c r="E1610" i="27"/>
  <c r="I1245" i="27"/>
  <c r="D1749" i="27"/>
  <c r="E1749" i="27"/>
  <c r="F1749" i="27"/>
  <c r="M1749" i="27"/>
  <c r="G1749" i="27"/>
  <c r="Z2274" i="27"/>
  <c r="AA2274" i="27"/>
  <c r="U2490" i="27"/>
  <c r="Z1285" i="27"/>
  <c r="AA1285" i="27"/>
  <c r="F1074" i="27"/>
  <c r="M1074" i="27"/>
  <c r="Z1699" i="27"/>
  <c r="AA1699" i="27"/>
  <c r="I1084" i="27"/>
  <c r="F2490" i="27"/>
  <c r="M2490" i="27"/>
  <c r="G2490" i="27"/>
  <c r="U1245" i="27"/>
  <c r="AB480" i="27"/>
  <c r="AA480" i="27"/>
  <c r="G1063" i="27"/>
  <c r="I1063" i="27"/>
  <c r="U1496" i="27"/>
  <c r="Z1496" i="27"/>
  <c r="AA1496" i="27"/>
  <c r="U2211" i="27"/>
  <c r="Z2211" i="27"/>
  <c r="AA2211" i="27"/>
  <c r="F2211" i="27"/>
  <c r="M2211" i="27"/>
  <c r="G2211" i="27"/>
  <c r="G2488" i="27"/>
  <c r="I2488" i="27"/>
  <c r="Z1748" i="27"/>
  <c r="AA1748" i="27"/>
  <c r="F1748" i="27"/>
  <c r="M1748" i="27"/>
  <c r="G1748" i="27"/>
  <c r="U1748" i="27"/>
  <c r="Z1601" i="27"/>
  <c r="AA1601" i="27"/>
  <c r="U1601" i="27"/>
  <c r="F1601" i="27"/>
  <c r="M1601" i="27"/>
  <c r="Z1228" i="27"/>
  <c r="AA1228" i="27"/>
  <c r="F1228" i="27"/>
  <c r="M1228" i="27"/>
  <c r="G1228" i="27"/>
  <c r="U1228" i="27"/>
  <c r="G1855" i="27"/>
  <c r="G1000" i="27"/>
  <c r="I1000" i="27"/>
  <c r="G2391" i="27"/>
  <c r="I2391" i="27"/>
  <c r="F3144" i="27"/>
  <c r="M3144" i="27"/>
  <c r="U3144" i="27"/>
  <c r="F1439" i="27"/>
  <c r="M1439" i="27"/>
  <c r="G1439" i="27"/>
  <c r="I1439" i="27"/>
  <c r="U1439" i="27"/>
  <c r="Z1439" i="27"/>
  <c r="AA1439" i="27"/>
  <c r="U2059" i="27"/>
  <c r="F2059" i="27"/>
  <c r="M2059" i="27"/>
  <c r="Z2059" i="27"/>
  <c r="AA2059" i="27"/>
  <c r="G2750" i="27"/>
  <c r="I2750" i="27"/>
  <c r="G1317" i="27"/>
  <c r="I1317" i="27"/>
  <c r="F2540" i="27"/>
  <c r="M2540" i="27"/>
  <c r="G2540" i="27"/>
  <c r="F847" i="27"/>
  <c r="F169" i="27"/>
  <c r="M169" i="27"/>
  <c r="G169" i="27"/>
  <c r="F852" i="27"/>
  <c r="M852" i="27"/>
  <c r="Z534" i="27"/>
  <c r="AA534" i="27"/>
  <c r="U1546" i="27"/>
  <c r="F860" i="27"/>
  <c r="M860" i="27"/>
  <c r="G860" i="27"/>
  <c r="Z866" i="27"/>
  <c r="AA866" i="27"/>
  <c r="Z2056" i="27"/>
  <c r="AA2056" i="27"/>
  <c r="C2008" i="27"/>
  <c r="D2008" i="27"/>
  <c r="E2008" i="27"/>
  <c r="Z1855" i="27"/>
  <c r="AA1855" i="27"/>
  <c r="Z1374" i="27"/>
  <c r="AA1374" i="27"/>
  <c r="Z589" i="27"/>
  <c r="AA589" i="27"/>
  <c r="AB316" i="27"/>
  <c r="AA316" i="27"/>
  <c r="U1139" i="27"/>
  <c r="F825" i="27"/>
  <c r="M825" i="27"/>
  <c r="Z2503" i="27"/>
  <c r="AA2503" i="27"/>
  <c r="U9" i="27"/>
  <c r="U1125" i="27"/>
  <c r="F3119" i="27"/>
  <c r="M3119" i="27"/>
  <c r="G3119" i="27"/>
  <c r="U2488" i="27"/>
  <c r="Z820" i="27"/>
  <c r="AA820" i="27"/>
  <c r="AA3139" i="27"/>
  <c r="U1637" i="27"/>
  <c r="U471" i="27"/>
  <c r="D1771" i="27"/>
  <c r="E1771" i="27"/>
  <c r="Z1458" i="27"/>
  <c r="C2378" i="27"/>
  <c r="D2378" i="27"/>
  <c r="E2378" i="27"/>
  <c r="F2378" i="27"/>
  <c r="M2378" i="27"/>
  <c r="AB205" i="27"/>
  <c r="AA205" i="27"/>
  <c r="F289" i="27"/>
  <c r="M289" i="27"/>
  <c r="G289" i="27"/>
  <c r="I289" i="27"/>
  <c r="C1576" i="27"/>
  <c r="D1576" i="27"/>
  <c r="E1576" i="27"/>
  <c r="F397" i="27"/>
  <c r="M397" i="27"/>
  <c r="Z1000" i="27"/>
  <c r="AA1000" i="27"/>
  <c r="F1081" i="27"/>
  <c r="M1081" i="27"/>
  <c r="I2327" i="27"/>
  <c r="F2578" i="27"/>
  <c r="M2578" i="27"/>
  <c r="Z516" i="27"/>
  <c r="AA516" i="27"/>
  <c r="Z2149" i="27"/>
  <c r="AA2149" i="27"/>
  <c r="Z549" i="27"/>
  <c r="AA549" i="27"/>
  <c r="F234" i="27"/>
  <c r="M234" i="27"/>
  <c r="U1677" i="27"/>
  <c r="Z2629" i="27"/>
  <c r="AA2629" i="27"/>
  <c r="F1956" i="27"/>
  <c r="M1956" i="27"/>
  <c r="G1956" i="27"/>
  <c r="AA1956" i="27"/>
  <c r="C1572" i="27"/>
  <c r="D1572" i="27"/>
  <c r="E1572" i="27"/>
  <c r="C3179" i="27"/>
  <c r="D3179" i="27"/>
  <c r="AA3179" i="27"/>
  <c r="C2989" i="27"/>
  <c r="C1605" i="27"/>
  <c r="E1605" i="27"/>
  <c r="Z1605" i="27"/>
  <c r="AA1605" i="27"/>
  <c r="U2391" i="27"/>
  <c r="U1429" i="27"/>
  <c r="C2072" i="27"/>
  <c r="D2072" i="27"/>
  <c r="E2072" i="27"/>
  <c r="F2527" i="27"/>
  <c r="M2527" i="27"/>
  <c r="G2527" i="27"/>
  <c r="Z252" i="27"/>
  <c r="AA252" i="27"/>
  <c r="AB471" i="27"/>
  <c r="AA471" i="27"/>
  <c r="C1828" i="27"/>
  <c r="D1828" i="27"/>
  <c r="E1828" i="27"/>
  <c r="F813" i="27"/>
  <c r="M813" i="27"/>
  <c r="F260" i="27"/>
  <c r="M260" i="27"/>
  <c r="C1329" i="27"/>
  <c r="D1329" i="27"/>
  <c r="E1329" i="27"/>
  <c r="C2753" i="27"/>
  <c r="D2753" i="27"/>
  <c r="E2753" i="27"/>
  <c r="F2753" i="27"/>
  <c r="M2753" i="27"/>
  <c r="G2753" i="27"/>
  <c r="C1824" i="27"/>
  <c r="D1824" i="27"/>
  <c r="E1824" i="27"/>
  <c r="F205" i="27"/>
  <c r="M205" i="27"/>
  <c r="U534" i="27"/>
  <c r="Z369" i="27"/>
  <c r="AA369" i="27"/>
  <c r="Z503" i="27"/>
  <c r="AA503" i="27"/>
  <c r="F1013" i="27"/>
  <c r="M1013" i="27"/>
  <c r="G1013" i="27"/>
  <c r="Z217" i="27"/>
  <c r="AA217" i="27"/>
  <c r="U2667" i="27"/>
  <c r="I225" i="27"/>
  <c r="U2578" i="27"/>
  <c r="U516" i="27"/>
  <c r="U549" i="27"/>
  <c r="U1195" i="27"/>
  <c r="F2629" i="27"/>
  <c r="M2629" i="27"/>
  <c r="C2120" i="27"/>
  <c r="D2120" i="27"/>
  <c r="E2120" i="27"/>
  <c r="Z2135" i="27"/>
  <c r="AA2135" i="27"/>
  <c r="F1374" i="27"/>
  <c r="M1374" i="27"/>
  <c r="U1989" i="27"/>
  <c r="Z1698" i="27"/>
  <c r="AA1698" i="27"/>
  <c r="Z1073" i="27"/>
  <c r="AA1073" i="27"/>
  <c r="D2946" i="27"/>
  <c r="E2096" i="27"/>
  <c r="U2096" i="27"/>
  <c r="D2335" i="27"/>
  <c r="E2335" i="27"/>
  <c r="C1533" i="27"/>
  <c r="D1533" i="27"/>
  <c r="E1533" i="27"/>
  <c r="U2527" i="27"/>
  <c r="U252" i="27"/>
  <c r="C1613" i="27"/>
  <c r="E1613" i="27"/>
  <c r="C1856" i="27"/>
  <c r="D1856" i="27"/>
  <c r="E1856" i="27"/>
  <c r="Z1856" i="27"/>
  <c r="AA1856" i="27"/>
  <c r="C1548" i="27"/>
  <c r="E1548" i="27"/>
  <c r="F1880" i="27"/>
  <c r="M1880" i="27"/>
  <c r="F597" i="27"/>
  <c r="M597" i="27"/>
  <c r="G597" i="27"/>
  <c r="F325" i="27"/>
  <c r="M325" i="27"/>
  <c r="Z840" i="27"/>
  <c r="D1265" i="27"/>
  <c r="E1265" i="27"/>
  <c r="F217" i="27"/>
  <c r="M217" i="27"/>
  <c r="G217" i="27"/>
  <c r="I217" i="27"/>
  <c r="U833" i="27"/>
  <c r="I970" i="27"/>
  <c r="Z1950" i="27"/>
  <c r="Z2667" i="27"/>
  <c r="AA2667" i="27"/>
  <c r="I2309" i="27"/>
  <c r="I298" i="27"/>
  <c r="F1195" i="27"/>
  <c r="M1195" i="27"/>
  <c r="C2928" i="27"/>
  <c r="D2928" i="27"/>
  <c r="E2928" i="27"/>
  <c r="I677" i="27"/>
  <c r="F1989" i="27"/>
  <c r="M1989" i="27"/>
  <c r="G1989" i="27"/>
  <c r="AA1989" i="27"/>
  <c r="I1196" i="27"/>
  <c r="U1698" i="27"/>
  <c r="C1538" i="27"/>
  <c r="E1538" i="27"/>
  <c r="F1538" i="27"/>
  <c r="M1538" i="27"/>
  <c r="F1418" i="27"/>
  <c r="M1418" i="27"/>
  <c r="G1418" i="27"/>
  <c r="AA1418" i="27"/>
  <c r="Z2035" i="27"/>
  <c r="AA2035" i="27"/>
  <c r="U723" i="27"/>
  <c r="Z1130" i="27"/>
  <c r="AA1130" i="27"/>
  <c r="C2165" i="27"/>
  <c r="E2165" i="27"/>
  <c r="U2165" i="27"/>
  <c r="C1545" i="27"/>
  <c r="E1545" i="27"/>
  <c r="C1615" i="27"/>
  <c r="E1615" i="27"/>
  <c r="F1637" i="27"/>
  <c r="M1637" i="27"/>
  <c r="Z1081" i="27"/>
  <c r="AA1081" i="27"/>
  <c r="Z1880" i="27"/>
  <c r="AA1880" i="27"/>
  <c r="U1458" i="27"/>
  <c r="U289" i="27"/>
  <c r="F433" i="27"/>
  <c r="M433" i="27"/>
  <c r="F584" i="27"/>
  <c r="M584" i="27"/>
  <c r="G584" i="27"/>
  <c r="U1208" i="27"/>
  <c r="F141" i="27"/>
  <c r="M141" i="27"/>
  <c r="U840" i="27"/>
  <c r="U1027" i="27"/>
  <c r="C2663" i="27"/>
  <c r="D2663" i="27"/>
  <c r="E2663" i="27"/>
  <c r="U2663" i="27"/>
  <c r="C1851" i="27"/>
  <c r="D1851" i="27"/>
  <c r="E1851" i="27"/>
  <c r="Z1851" i="27"/>
  <c r="AA1851" i="27"/>
  <c r="I1653" i="27"/>
  <c r="I826" i="27"/>
  <c r="Z1677" i="27"/>
  <c r="AA1677" i="27"/>
  <c r="Z1653" i="27"/>
  <c r="AA1653" i="27"/>
  <c r="F1282" i="27"/>
  <c r="M1282" i="27"/>
  <c r="Z1251" i="27"/>
  <c r="AA1251" i="27"/>
  <c r="I1027" i="27"/>
  <c r="Z769" i="27"/>
  <c r="U2035" i="27"/>
  <c r="F910" i="27"/>
  <c r="M910" i="27"/>
  <c r="AB723" i="27"/>
  <c r="AA723" i="27"/>
  <c r="F865" i="27"/>
  <c r="M865" i="27"/>
  <c r="Z63" i="27"/>
  <c r="AA63" i="27"/>
  <c r="U2540" i="27"/>
  <c r="U1086" i="27"/>
  <c r="U260" i="27"/>
  <c r="C2843" i="27"/>
  <c r="D2843" i="27"/>
  <c r="E2843" i="27"/>
  <c r="F2843" i="27"/>
  <c r="M2843" i="27"/>
  <c r="AB141" i="27"/>
  <c r="AA141" i="27"/>
  <c r="U503" i="27"/>
  <c r="U1126" i="27"/>
  <c r="Z1027" i="27"/>
  <c r="U1386" i="27"/>
  <c r="Z1926" i="27"/>
  <c r="AA1787" i="27"/>
  <c r="U2262" i="27"/>
  <c r="U2105" i="27"/>
  <c r="Z1386" i="27"/>
  <c r="AA1386" i="27"/>
  <c r="U2356" i="27"/>
  <c r="U2746" i="27"/>
  <c r="U2755" i="27"/>
  <c r="U2505" i="27"/>
  <c r="AB769" i="27"/>
  <c r="AA769" i="27"/>
  <c r="F523" i="27"/>
  <c r="M523" i="27"/>
  <c r="G523" i="27"/>
  <c r="C1866" i="27"/>
  <c r="D1866" i="27"/>
  <c r="E1866" i="27"/>
  <c r="F1100" i="27"/>
  <c r="M1100" i="27"/>
  <c r="Z910" i="27"/>
  <c r="F319" i="27"/>
  <c r="M319" i="27"/>
  <c r="U852" i="27"/>
  <c r="Z1551" i="27"/>
  <c r="U2560" i="27"/>
  <c r="D1258" i="27"/>
  <c r="E1258" i="27"/>
  <c r="U1258" i="27"/>
  <c r="D1244" i="27"/>
  <c r="E1244" i="27"/>
  <c r="Z716" i="27"/>
  <c r="C3081" i="27"/>
  <c r="D3081" i="27"/>
  <c r="AA3081" i="27"/>
  <c r="U2332" i="27"/>
  <c r="D1939" i="27"/>
  <c r="E1939" i="27"/>
  <c r="Z1939" i="27"/>
  <c r="U205" i="27"/>
  <c r="C2986" i="27"/>
  <c r="E2986" i="27"/>
  <c r="Z141" i="27"/>
  <c r="F1040" i="27"/>
  <c r="M1040" i="27"/>
  <c r="G1040" i="27"/>
  <c r="D1478" i="27"/>
  <c r="E1478" i="27"/>
  <c r="Z385" i="27"/>
  <c r="AA385" i="27"/>
  <c r="Z1546" i="27"/>
  <c r="AA1546" i="27"/>
  <c r="F1743" i="27"/>
  <c r="M1743" i="27"/>
  <c r="Z356" i="27"/>
  <c r="AA356" i="27"/>
  <c r="U993" i="27"/>
  <c r="F1005" i="27"/>
  <c r="M1005" i="27"/>
  <c r="G1005" i="27"/>
  <c r="Z597" i="27"/>
  <c r="AA597" i="27"/>
  <c r="I714" i="27"/>
  <c r="I2354" i="27"/>
  <c r="Z562" i="27"/>
  <c r="AA562" i="27"/>
  <c r="Z2262" i="27"/>
  <c r="AA2262" i="27"/>
  <c r="F2435" i="27"/>
  <c r="M2435" i="27"/>
  <c r="Z2827" i="27"/>
  <c r="AA2827" i="27"/>
  <c r="F3157" i="27"/>
  <c r="M3157" i="27"/>
  <c r="G3157" i="27"/>
  <c r="I1415" i="27"/>
  <c r="Z1139" i="27"/>
  <c r="U1100" i="27"/>
  <c r="AB169" i="27"/>
  <c r="AA169" i="27"/>
  <c r="F716" i="27"/>
  <c r="M716" i="27"/>
  <c r="G716" i="27"/>
  <c r="U2580" i="27"/>
  <c r="Z2474" i="27"/>
  <c r="AA2474" i="27"/>
  <c r="Z2560" i="27"/>
  <c r="AA2560" i="27"/>
  <c r="F1443" i="27"/>
  <c r="M1443" i="27"/>
  <c r="G1443" i="27"/>
  <c r="C2384" i="27"/>
  <c r="D2384" i="27"/>
  <c r="E2384" i="27"/>
  <c r="U2384" i="27"/>
  <c r="AA1458" i="27"/>
  <c r="C1590" i="27"/>
  <c r="D1590" i="27"/>
  <c r="E1590" i="27"/>
  <c r="C2405" i="27"/>
  <c r="D2405" i="27"/>
  <c r="E2405" i="27"/>
  <c r="U193" i="27"/>
  <c r="C1353" i="27"/>
  <c r="Z1040" i="27"/>
  <c r="AA1040" i="27"/>
  <c r="E3171" i="27"/>
  <c r="AA1551" i="27"/>
  <c r="U716" i="27"/>
  <c r="Z584" i="27"/>
  <c r="AA584" i="27"/>
  <c r="I2607" i="27"/>
  <c r="F2695" i="27"/>
  <c r="M2695" i="27"/>
  <c r="I1060" i="27"/>
  <c r="F562" i="27"/>
  <c r="M562" i="27"/>
  <c r="I1095" i="27"/>
  <c r="F1139" i="27"/>
  <c r="M1139" i="27"/>
  <c r="F9" i="27"/>
  <c r="M9" i="27"/>
  <c r="F1125" i="27"/>
  <c r="M1125" i="27"/>
  <c r="Z169" i="27"/>
  <c r="F955" i="27"/>
  <c r="Z2317" i="27"/>
  <c r="AA2317" i="27"/>
  <c r="Z2580" i="27"/>
  <c r="AA2580" i="27"/>
  <c r="U2474" i="27"/>
  <c r="Z1443" i="27"/>
  <c r="AA1443" i="27"/>
  <c r="Z2641" i="27"/>
  <c r="AA2641" i="27"/>
  <c r="U813" i="27"/>
  <c r="U397" i="27"/>
  <c r="Z1208" i="27"/>
  <c r="AA1208" i="27"/>
  <c r="C2752" i="27"/>
  <c r="E2752" i="27"/>
  <c r="U2752" i="27"/>
  <c r="U1000" i="27"/>
  <c r="U1068" i="27"/>
  <c r="Z2356" i="27"/>
  <c r="AA2356" i="27"/>
  <c r="C1523" i="27"/>
  <c r="D1523" i="27"/>
  <c r="E1523" i="27"/>
  <c r="Z1523" i="27"/>
  <c r="AA1523" i="27"/>
  <c r="M246" i="27"/>
  <c r="G246" i="27"/>
  <c r="U2695" i="27"/>
  <c r="I1677" i="27"/>
  <c r="I1477" i="27"/>
  <c r="U744" i="27"/>
  <c r="U825" i="27"/>
  <c r="E116" i="27"/>
  <c r="F116" i="27"/>
  <c r="F2317" i="27"/>
  <c r="M2317" i="27"/>
  <c r="F2332" i="27"/>
  <c r="M2332" i="27"/>
  <c r="G2332" i="27"/>
  <c r="Z193" i="27"/>
  <c r="AA193" i="27"/>
  <c r="AB433" i="27"/>
  <c r="AA433" i="27"/>
  <c r="F1068" i="27"/>
  <c r="M1068" i="27"/>
  <c r="G2558" i="27"/>
  <c r="I2558" i="27"/>
  <c r="Z2303" i="27"/>
  <c r="AA2303" i="27"/>
  <c r="F2303" i="27"/>
  <c r="M2303" i="27"/>
  <c r="G2303" i="27"/>
  <c r="Z2153" i="27"/>
  <c r="AA2153" i="27"/>
  <c r="F2153" i="27"/>
  <c r="M2153" i="27"/>
  <c r="G2153" i="27"/>
  <c r="U2153" i="27"/>
  <c r="Z1357" i="27"/>
  <c r="AA1357" i="27"/>
  <c r="U1357" i="27"/>
  <c r="F1357" i="27"/>
  <c r="M1357" i="27"/>
  <c r="G1357" i="27"/>
  <c r="Z1347" i="27"/>
  <c r="AA1347" i="27"/>
  <c r="F1347" i="27"/>
  <c r="M1347" i="27"/>
  <c r="F1888" i="27"/>
  <c r="M1888" i="27"/>
  <c r="G1888" i="27"/>
  <c r="Z1888" i="27"/>
  <c r="AA1888" i="27"/>
  <c r="U1888" i="27"/>
  <c r="U3111" i="27"/>
  <c r="F3111" i="27"/>
  <c r="M3111" i="27"/>
  <c r="F3136" i="27"/>
  <c r="M3136" i="27"/>
  <c r="U3136" i="27"/>
  <c r="G1089" i="27"/>
  <c r="I1089" i="27"/>
  <c r="G1073" i="27"/>
  <c r="I1073" i="27"/>
  <c r="U1773" i="27"/>
  <c r="F1773" i="27"/>
  <c r="M1773" i="27"/>
  <c r="Z1773" i="27"/>
  <c r="AA1773" i="27"/>
  <c r="G882" i="27"/>
  <c r="I882" i="27"/>
  <c r="I1698" i="27"/>
  <c r="I267" i="27"/>
  <c r="U3146" i="27"/>
  <c r="F1466" i="27"/>
  <c r="M1466" i="27"/>
  <c r="G1466" i="27"/>
  <c r="F2092" i="27"/>
  <c r="M2092" i="27"/>
  <c r="G2092" i="27"/>
  <c r="C81" i="27"/>
  <c r="D81" i="27"/>
  <c r="U316" i="27"/>
  <c r="Z744" i="27"/>
  <c r="AA744" i="27"/>
  <c r="U1073" i="27"/>
  <c r="AB993" i="27"/>
  <c r="AA993" i="27"/>
  <c r="E3138" i="27"/>
  <c r="F820" i="27"/>
  <c r="M820" i="27"/>
  <c r="G820" i="27"/>
  <c r="D1269" i="27"/>
  <c r="E1269" i="27"/>
  <c r="F1269" i="27"/>
  <c r="M1269" i="27"/>
  <c r="U1005" i="27"/>
  <c r="U1709" i="27"/>
  <c r="F1839" i="27"/>
  <c r="M1839" i="27"/>
  <c r="G1839" i="27"/>
  <c r="I1237" i="27"/>
  <c r="Z860" i="27"/>
  <c r="AA860" i="27"/>
  <c r="Z847" i="27"/>
  <c r="F1212" i="27"/>
  <c r="M1212" i="27"/>
  <c r="G1212" i="27"/>
  <c r="U3161" i="27"/>
  <c r="F1375" i="27"/>
  <c r="M1375" i="27"/>
  <c r="G1375" i="27"/>
  <c r="U1674" i="27"/>
  <c r="U1130" i="27"/>
  <c r="F896" i="27"/>
  <c r="M896" i="27"/>
  <c r="U1457" i="27"/>
  <c r="Z1146" i="27"/>
  <c r="AA1146" i="27"/>
  <c r="F1159" i="27"/>
  <c r="M1159" i="27"/>
  <c r="G1159" i="27"/>
  <c r="Z2526" i="27"/>
  <c r="AA2526" i="27"/>
  <c r="C2842" i="27"/>
  <c r="E2842" i="27"/>
  <c r="U1087" i="27"/>
  <c r="AA3105" i="27"/>
  <c r="AB847" i="27"/>
  <c r="AA847" i="27"/>
  <c r="F833" i="27"/>
  <c r="M833" i="27"/>
  <c r="I680" i="27"/>
  <c r="Z2643" i="27"/>
  <c r="AA2643" i="27"/>
  <c r="U2393" i="27"/>
  <c r="F1206" i="27"/>
  <c r="M1206" i="27"/>
  <c r="U1375" i="27"/>
  <c r="F1457" i="27"/>
  <c r="M1457" i="27"/>
  <c r="G1457" i="27"/>
  <c r="AB1020" i="27"/>
  <c r="AA1020" i="27"/>
  <c r="Z1902" i="27"/>
  <c r="AA1902" i="27"/>
  <c r="Z1114" i="27"/>
  <c r="AA1114" i="27"/>
  <c r="Z704" i="27"/>
  <c r="AA704" i="27"/>
  <c r="F2526" i="27"/>
  <c r="M2526" i="27"/>
  <c r="G2526" i="27"/>
  <c r="C2662" i="27"/>
  <c r="E2662" i="27"/>
  <c r="F1087" i="27"/>
  <c r="M1087" i="27"/>
  <c r="C1882" i="27"/>
  <c r="D1882" i="27"/>
  <c r="E1882" i="27"/>
  <c r="Z2393" i="27"/>
  <c r="AA2393" i="27"/>
  <c r="I1411" i="27"/>
  <c r="Z160" i="27"/>
  <c r="C2448" i="27"/>
  <c r="D2448" i="27"/>
  <c r="E2448" i="27"/>
  <c r="F2448" i="27"/>
  <c r="M2448" i="27"/>
  <c r="G2448" i="27"/>
  <c r="F1283" i="27"/>
  <c r="M1283" i="27"/>
  <c r="C1607" i="27"/>
  <c r="E1607" i="27"/>
  <c r="F1607" i="27"/>
  <c r="M1607" i="27"/>
  <c r="C2440" i="27"/>
  <c r="D2440" i="27"/>
  <c r="E2440" i="27"/>
  <c r="U2440" i="27"/>
  <c r="F1086" i="27"/>
  <c r="M1086" i="27"/>
  <c r="G1086" i="27"/>
  <c r="E1955" i="27"/>
  <c r="F1955" i="27"/>
  <c r="M1955" i="27"/>
  <c r="G1955" i="27"/>
  <c r="AA1955" i="27"/>
  <c r="U1020" i="27"/>
  <c r="F462" i="27"/>
  <c r="M462" i="27"/>
  <c r="G462" i="27"/>
  <c r="AA113" i="27"/>
  <c r="Z993" i="27"/>
  <c r="E1650" i="27"/>
  <c r="Z1897" i="27"/>
  <c r="AA1897" i="27"/>
  <c r="AB160" i="27"/>
  <c r="AA160" i="27"/>
  <c r="Z1227" i="27"/>
  <c r="AA1227" i="27"/>
  <c r="C2156" i="27"/>
  <c r="E2156" i="27"/>
  <c r="Z2156" i="27"/>
  <c r="AA2156" i="27"/>
  <c r="U1032" i="27"/>
  <c r="U1411" i="27"/>
  <c r="Z1060" i="27"/>
  <c r="AA1060" i="27"/>
  <c r="Z949" i="27"/>
  <c r="C2058" i="27"/>
  <c r="E2058" i="27"/>
  <c r="Z2058" i="27"/>
  <c r="AA2058" i="27"/>
  <c r="F2502" i="27"/>
  <c r="M2502" i="27"/>
  <c r="G2502" i="27"/>
  <c r="Z2051" i="27"/>
  <c r="AA2051" i="27"/>
  <c r="AA1620" i="27"/>
  <c r="U2316" i="27"/>
  <c r="F1227" i="27"/>
  <c r="M1227" i="27"/>
  <c r="E2100" i="27"/>
  <c r="D1979" i="27"/>
  <c r="E1979" i="27"/>
  <c r="F1032" i="27"/>
  <c r="M1032" i="27"/>
  <c r="Z2452" i="27"/>
  <c r="AA2452" i="27"/>
  <c r="U1902" i="27"/>
  <c r="U704" i="27"/>
  <c r="U1060" i="27"/>
  <c r="U184" i="27"/>
  <c r="AB949" i="27"/>
  <c r="AA949" i="27"/>
  <c r="D1785" i="27"/>
  <c r="E1785" i="27"/>
  <c r="U1785" i="27"/>
  <c r="F949" i="27"/>
  <c r="M949" i="27"/>
  <c r="D1752" i="27"/>
  <c r="E1752" i="27"/>
  <c r="F1752" i="27"/>
  <c r="M1752" i="27"/>
  <c r="I2051" i="27"/>
  <c r="U2502" i="27"/>
  <c r="I2729" i="27"/>
  <c r="AA2987" i="27"/>
  <c r="U2051" i="27"/>
  <c r="U1620" i="27"/>
  <c r="F2316" i="27"/>
  <c r="M2316" i="27"/>
  <c r="C1540" i="27"/>
  <c r="E1540" i="27"/>
  <c r="Z1540" i="27"/>
  <c r="AA1540" i="27"/>
  <c r="U589" i="27"/>
  <c r="I906" i="27"/>
  <c r="U1159" i="27"/>
  <c r="Z1411" i="27"/>
  <c r="F184" i="27"/>
  <c r="M184" i="27"/>
  <c r="AA3136" i="27"/>
  <c r="Z695" i="27"/>
  <c r="AA695" i="27"/>
  <c r="Z2234" i="27"/>
  <c r="AA2234" i="27"/>
  <c r="E3152" i="27"/>
  <c r="F3152" i="27"/>
  <c r="M3152" i="27"/>
  <c r="D1689" i="27"/>
  <c r="E1689" i="27"/>
  <c r="F1689" i="27"/>
  <c r="M1689" i="27"/>
  <c r="F1200" i="27"/>
  <c r="M1200" i="27"/>
  <c r="G1200" i="27"/>
  <c r="Z1622" i="27"/>
  <c r="F2146" i="27"/>
  <c r="M2146" i="27"/>
  <c r="F527" i="27"/>
  <c r="M527" i="27"/>
  <c r="Z1544" i="27"/>
  <c r="AA1544" i="27"/>
  <c r="U882" i="27"/>
  <c r="F1045" i="27"/>
  <c r="M1045" i="27"/>
  <c r="Z1020" i="27"/>
  <c r="F722" i="27"/>
  <c r="M722" i="27"/>
  <c r="U695" i="27"/>
  <c r="U2473" i="27"/>
  <c r="F2473" i="27"/>
  <c r="M2473" i="27"/>
  <c r="Z2800" i="27"/>
  <c r="AA2800" i="27"/>
  <c r="Z1200" i="27"/>
  <c r="AA1200" i="27"/>
  <c r="F1622" i="27"/>
  <c r="M1622" i="27"/>
  <c r="Z2146" i="27"/>
  <c r="AA2146" i="27"/>
  <c r="I695" i="27"/>
  <c r="U527" i="27"/>
  <c r="U940" i="27"/>
  <c r="C2404" i="27"/>
  <c r="D2404" i="27"/>
  <c r="E2404" i="27"/>
  <c r="F2404" i="27"/>
  <c r="M2404" i="27"/>
  <c r="Z661" i="27"/>
  <c r="Z882" i="27"/>
  <c r="AA882" i="27"/>
  <c r="D1257" i="27"/>
  <c r="E1257" i="27"/>
  <c r="U1045" i="27"/>
  <c r="U1146" i="27"/>
  <c r="F1114" i="27"/>
  <c r="M1114" i="27"/>
  <c r="U462" i="27"/>
  <c r="Z722" i="27"/>
  <c r="AA722" i="27"/>
  <c r="F2800" i="27"/>
  <c r="M2800" i="27"/>
  <c r="G2800" i="27"/>
  <c r="U2848" i="27"/>
  <c r="U1622" i="27"/>
  <c r="F1620" i="27"/>
  <c r="M1620" i="27"/>
  <c r="Z316" i="27"/>
  <c r="C1612" i="27"/>
  <c r="E1612" i="27"/>
  <c r="U1612" i="27"/>
  <c r="F924" i="27"/>
  <c r="M924" i="27"/>
  <c r="C1863" i="27"/>
  <c r="D1863" i="27"/>
  <c r="E1863" i="27"/>
  <c r="F940" i="27"/>
  <c r="M940" i="27"/>
  <c r="Z680" i="27"/>
  <c r="AA680" i="27"/>
  <c r="Z896" i="27"/>
  <c r="AA896" i="27"/>
  <c r="F2452" i="27"/>
  <c r="M2452" i="27"/>
  <c r="F455" i="27"/>
  <c r="M455" i="27"/>
  <c r="U1953" i="27"/>
  <c r="Z1839" i="27"/>
  <c r="AA1839" i="27"/>
  <c r="F1234" i="27"/>
  <c r="M1234" i="27"/>
  <c r="F1953" i="27"/>
  <c r="M1953" i="27"/>
  <c r="G1953" i="27"/>
  <c r="AA1953" i="27"/>
  <c r="F2848" i="27"/>
  <c r="M2848" i="27"/>
  <c r="U1466" i="27"/>
  <c r="F1897" i="27"/>
  <c r="M1897" i="27"/>
  <c r="I1902" i="27"/>
  <c r="E1442" i="27"/>
  <c r="U924" i="27"/>
  <c r="U1234" i="27"/>
  <c r="Z455" i="27"/>
  <c r="AA455" i="27"/>
  <c r="C1505" i="27"/>
  <c r="E1505" i="27"/>
  <c r="C2017" i="27"/>
  <c r="E2017" i="27"/>
  <c r="U2017" i="27"/>
  <c r="Z182" i="27"/>
  <c r="F182" i="27"/>
  <c r="M182" i="27"/>
  <c r="AB182" i="27"/>
  <c r="AA182" i="27"/>
  <c r="U182" i="27"/>
  <c r="AB641" i="27"/>
  <c r="AA641" i="27"/>
  <c r="F641" i="27"/>
  <c r="M641" i="27"/>
  <c r="Z641" i="27"/>
  <c r="U641" i="27"/>
  <c r="F1078" i="27"/>
  <c r="U1078" i="27"/>
  <c r="M1078" i="27"/>
  <c r="G1078" i="27"/>
  <c r="Z159" i="27"/>
  <c r="AA159" i="27"/>
  <c r="F159" i="27"/>
  <c r="M159" i="27"/>
  <c r="F2738" i="27"/>
  <c r="M2738" i="27"/>
  <c r="Z2738" i="27"/>
  <c r="AA2738" i="27"/>
  <c r="Z678" i="27"/>
  <c r="AA678" i="27"/>
  <c r="U678" i="27"/>
  <c r="F678" i="27"/>
  <c r="M678" i="27"/>
  <c r="F2826" i="27"/>
  <c r="M2826" i="27"/>
  <c r="Z2826" i="27"/>
  <c r="AA2826" i="27"/>
  <c r="AA3109" i="27"/>
  <c r="E3109" i="27"/>
  <c r="F3109" i="27"/>
  <c r="M3109" i="27"/>
  <c r="U266" i="27"/>
  <c r="F266" i="27"/>
  <c r="M266" i="27"/>
  <c r="Z266" i="27"/>
  <c r="AA266" i="27"/>
  <c r="F703" i="27"/>
  <c r="M703" i="27"/>
  <c r="U703" i="27"/>
  <c r="Z703" i="27"/>
  <c r="AA703" i="27"/>
  <c r="F453" i="27"/>
  <c r="M453" i="27"/>
  <c r="G453" i="27"/>
  <c r="Z453" i="27"/>
  <c r="AA453" i="27"/>
  <c r="Z694" i="27"/>
  <c r="AA694" i="27"/>
  <c r="U694" i="27"/>
  <c r="D1248" i="27"/>
  <c r="E1248" i="27"/>
  <c r="C1338" i="27"/>
  <c r="D1338" i="27"/>
  <c r="E1338" i="27"/>
  <c r="F1338" i="27"/>
  <c r="M1338" i="27"/>
  <c r="U2520" i="27"/>
  <c r="AB2520" i="27"/>
  <c r="F2520" i="27"/>
  <c r="M2520" i="27"/>
  <c r="G2520" i="27"/>
  <c r="Z1961" i="27"/>
  <c r="F1961" i="27"/>
  <c r="M1961" i="27"/>
  <c r="G1961" i="27"/>
  <c r="F898" i="27"/>
  <c r="M898" i="27"/>
  <c r="U898" i="27"/>
  <c r="Z898" i="27"/>
  <c r="AA898" i="27"/>
  <c r="U291" i="27"/>
  <c r="U931" i="27"/>
  <c r="F291" i="27"/>
  <c r="M291" i="27"/>
  <c r="G291" i="27"/>
  <c r="Z291" i="27"/>
  <c r="AA291" i="27"/>
  <c r="G886" i="27"/>
  <c r="I886" i="27"/>
  <c r="Z2094" i="27"/>
  <c r="AA2094" i="27"/>
  <c r="F2094" i="27"/>
  <c r="M2094" i="27"/>
  <c r="U2094" i="27"/>
  <c r="F2099" i="27"/>
  <c r="M2099" i="27"/>
  <c r="Z2099" i="27"/>
  <c r="AA2099" i="27"/>
  <c r="U2099" i="27"/>
  <c r="D1268" i="27"/>
  <c r="E1268" i="27"/>
  <c r="Z1268" i="27"/>
  <c r="AA1268" i="27"/>
  <c r="C1356" i="27"/>
  <c r="D1356" i="27"/>
  <c r="E1356" i="27"/>
  <c r="M1268" i="27"/>
  <c r="G1268" i="27"/>
  <c r="D1242" i="27"/>
  <c r="E1242" i="27"/>
  <c r="C1379" i="27"/>
  <c r="D1379" i="27"/>
  <c r="E1379" i="27"/>
  <c r="F1226" i="27"/>
  <c r="M1226" i="27"/>
  <c r="U1226" i="27"/>
  <c r="D1211" i="27"/>
  <c r="E1211" i="27"/>
  <c r="C2735" i="27"/>
  <c r="D2735" i="27"/>
  <c r="E2735" i="27"/>
  <c r="F2735" i="27"/>
  <c r="M2735" i="27"/>
  <c r="G2735" i="27"/>
  <c r="C2825" i="27"/>
  <c r="D2825" i="27"/>
  <c r="E2825" i="27"/>
  <c r="Z2825" i="27"/>
  <c r="AA2825" i="27"/>
  <c r="C2645" i="27"/>
  <c r="D2645" i="27"/>
  <c r="E2645" i="27"/>
  <c r="F1129" i="27"/>
  <c r="M1129" i="27"/>
  <c r="G1129" i="27"/>
  <c r="Z1129" i="27"/>
  <c r="AA1129" i="27"/>
  <c r="Z1104" i="27"/>
  <c r="AA1104" i="27"/>
  <c r="U1104" i="27"/>
  <c r="AB625" i="27"/>
  <c r="AA625" i="27"/>
  <c r="F625" i="27"/>
  <c r="M625" i="27"/>
  <c r="U625" i="27"/>
  <c r="Z613" i="27"/>
  <c r="AA613" i="27"/>
  <c r="F613" i="27"/>
  <c r="M613" i="27"/>
  <c r="Z425" i="27"/>
  <c r="AA425" i="27"/>
  <c r="F425" i="27"/>
  <c r="M425" i="27"/>
  <c r="G425" i="27"/>
  <c r="U425" i="27"/>
  <c r="Z401" i="27"/>
  <c r="AA401" i="27"/>
  <c r="F401" i="27"/>
  <c r="M401" i="27"/>
  <c r="U401" i="27"/>
  <c r="Z323" i="27"/>
  <c r="AA323" i="27"/>
  <c r="F323" i="27"/>
  <c r="M323" i="27"/>
  <c r="U308" i="27"/>
  <c r="Z308" i="27"/>
  <c r="AA308" i="27"/>
  <c r="F308" i="27"/>
  <c r="M308" i="27"/>
  <c r="U296" i="27"/>
  <c r="U934" i="27"/>
  <c r="F296" i="27"/>
  <c r="M296" i="27"/>
  <c r="Z296" i="27"/>
  <c r="AA296" i="27"/>
  <c r="F278" i="27"/>
  <c r="M278" i="27"/>
  <c r="G278" i="27"/>
  <c r="Z278" i="27"/>
  <c r="AA278" i="27"/>
  <c r="U278" i="27"/>
  <c r="F263" i="27"/>
  <c r="M263" i="27"/>
  <c r="Z263" i="27"/>
  <c r="F197" i="27"/>
  <c r="M197" i="27"/>
  <c r="G197" i="27"/>
  <c r="Z197" i="27"/>
  <c r="AA197" i="27"/>
  <c r="F173" i="27"/>
  <c r="M173" i="27"/>
  <c r="U173" i="27"/>
  <c r="Z173" i="27"/>
  <c r="AA173" i="27"/>
  <c r="E54" i="27"/>
  <c r="U54" i="27"/>
  <c r="C1919" i="27"/>
  <c r="U28" i="27"/>
  <c r="F28" i="27"/>
  <c r="M28" i="27"/>
  <c r="Z28" i="27"/>
  <c r="AA28" i="27"/>
  <c r="E34" i="27"/>
  <c r="U2251" i="27"/>
  <c r="F2251" i="27"/>
  <c r="M2251" i="27"/>
  <c r="Z2251" i="27"/>
  <c r="AA2251" i="27"/>
  <c r="Z1817" i="27"/>
  <c r="AA1817" i="27"/>
  <c r="U1817" i="27"/>
  <c r="F1817" i="27"/>
  <c r="M1817" i="27"/>
  <c r="F1309" i="27"/>
  <c r="M1309" i="27"/>
  <c r="U1309" i="27"/>
  <c r="Z1309" i="27"/>
  <c r="AA1309" i="27"/>
  <c r="Z821" i="27"/>
  <c r="AA821" i="27"/>
  <c r="U821" i="27"/>
  <c r="F821" i="27"/>
  <c r="M821" i="27"/>
  <c r="Z848" i="27"/>
  <c r="AA848" i="27"/>
  <c r="F848" i="27"/>
  <c r="M848" i="27"/>
  <c r="G848" i="27"/>
  <c r="I848" i="27"/>
  <c r="U2803" i="27"/>
  <c r="F2803" i="27"/>
  <c r="M2803" i="27"/>
  <c r="Z2803" i="27"/>
  <c r="AA2803" i="27"/>
  <c r="AA3129" i="27"/>
  <c r="E3129" i="27"/>
  <c r="F3129" i="27"/>
  <c r="M3129" i="27"/>
  <c r="C2064" i="27"/>
  <c r="E2064" i="27"/>
  <c r="Z2064" i="27"/>
  <c r="AA2064" i="27"/>
  <c r="C2167" i="27"/>
  <c r="E2167" i="27"/>
  <c r="E1662" i="27"/>
  <c r="Z2705" i="27"/>
  <c r="AA2705" i="27"/>
  <c r="F2705" i="27"/>
  <c r="M2705" i="27"/>
  <c r="U2705" i="27"/>
  <c r="D1667" i="27"/>
  <c r="E1667" i="27"/>
  <c r="C2198" i="27"/>
  <c r="Z2732" i="27"/>
  <c r="AA2732" i="27"/>
  <c r="F2732" i="27"/>
  <c r="M2732" i="27"/>
  <c r="U1668" i="27"/>
  <c r="F1668" i="27"/>
  <c r="M1668" i="27"/>
  <c r="G1668" i="27"/>
  <c r="F1654" i="27"/>
  <c r="M1654" i="27"/>
  <c r="U1654" i="27"/>
  <c r="F2639" i="27"/>
  <c r="M2639" i="27"/>
  <c r="Z2639" i="27"/>
  <c r="AA2639" i="27"/>
  <c r="U2639" i="27"/>
  <c r="D1776" i="27"/>
  <c r="E1776" i="27"/>
  <c r="C1885" i="27"/>
  <c r="D1885" i="27"/>
  <c r="E1885" i="27"/>
  <c r="F2221" i="27"/>
  <c r="M2221" i="27"/>
  <c r="Z2221" i="27"/>
  <c r="AA2221" i="27"/>
  <c r="U2221" i="27"/>
  <c r="G933" i="27"/>
  <c r="I933" i="27"/>
  <c r="C1623" i="27"/>
  <c r="D1623" i="27"/>
  <c r="E1623" i="27"/>
  <c r="Z1623" i="27"/>
  <c r="AA1623" i="27"/>
  <c r="D1467" i="27"/>
  <c r="E1467" i="27"/>
  <c r="C1556" i="27"/>
  <c r="D1556" i="27"/>
  <c r="E1556" i="27"/>
  <c r="U1556" i="27"/>
  <c r="U1455" i="27"/>
  <c r="Z1455" i="27"/>
  <c r="AA1455" i="27"/>
  <c r="F1455" i="27"/>
  <c r="M1455" i="27"/>
  <c r="G1455" i="27"/>
  <c r="C2692" i="27"/>
  <c r="E2692" i="27"/>
  <c r="E1440" i="27"/>
  <c r="C2609" i="27"/>
  <c r="E2609" i="27"/>
  <c r="F2609" i="27"/>
  <c r="M2609" i="27"/>
  <c r="C2791" i="27"/>
  <c r="E2791" i="27"/>
  <c r="E1426" i="27"/>
  <c r="C1597" i="27"/>
  <c r="E1597" i="27"/>
  <c r="F1597" i="27"/>
  <c r="M1597" i="27"/>
  <c r="D1281" i="27"/>
  <c r="E1281" i="27"/>
  <c r="AA1281" i="27"/>
  <c r="C1365" i="27"/>
  <c r="D1365" i="27"/>
  <c r="E1365" i="27"/>
  <c r="C2028" i="27"/>
  <c r="D2028" i="27"/>
  <c r="E2028" i="27"/>
  <c r="C1587" i="27"/>
  <c r="D1587" i="27"/>
  <c r="E1587" i="27"/>
  <c r="U1587" i="27"/>
  <c r="C2936" i="27"/>
  <c r="C2979" i="27"/>
  <c r="D2979" i="27"/>
  <c r="E2979" i="27"/>
  <c r="F2979" i="27"/>
  <c r="M2979" i="27"/>
  <c r="D1930" i="27"/>
  <c r="E1930" i="27"/>
  <c r="C2140" i="27"/>
  <c r="D2140" i="27"/>
  <c r="E2140" i="27"/>
  <c r="U2140" i="27"/>
  <c r="G659" i="27"/>
  <c r="I659" i="27"/>
  <c r="F2155" i="27"/>
  <c r="M2155" i="27"/>
  <c r="Z2155" i="27"/>
  <c r="AA2155" i="27"/>
  <c r="D1976" i="27"/>
  <c r="E1976" i="27"/>
  <c r="U1976" i="27"/>
  <c r="C2434" i="27"/>
  <c r="D2434" i="27"/>
  <c r="E2434" i="27"/>
  <c r="U2434" i="27"/>
  <c r="D1479" i="27"/>
  <c r="E1479" i="27"/>
  <c r="C1373" i="27"/>
  <c r="D1373" i="27"/>
  <c r="E1373" i="27"/>
  <c r="D1354" i="27"/>
  <c r="E1354" i="27"/>
  <c r="M1354" i="27"/>
  <c r="U2276" i="27"/>
  <c r="Z2276" i="27"/>
  <c r="AA2276" i="27"/>
  <c r="F2276" i="27"/>
  <c r="M2276" i="27"/>
  <c r="G932" i="27"/>
  <c r="I932" i="27"/>
  <c r="Z2401" i="27"/>
  <c r="AA2401" i="27"/>
  <c r="F2401" i="27"/>
  <c r="M2401" i="27"/>
  <c r="G2401" i="27"/>
  <c r="Z1509" i="27"/>
  <c r="AA1509" i="27"/>
  <c r="F1509" i="27"/>
  <c r="M1509" i="27"/>
  <c r="U2424" i="27"/>
  <c r="Z2424" i="27"/>
  <c r="AA2424" i="27"/>
  <c r="G471" i="27"/>
  <c r="I471" i="27"/>
  <c r="Z1530" i="27"/>
  <c r="AA1530" i="27"/>
  <c r="U1530" i="27"/>
  <c r="F1530" i="27"/>
  <c r="M1530" i="27"/>
  <c r="G670" i="27"/>
  <c r="I670" i="27"/>
  <c r="C2996" i="27"/>
  <c r="E2996" i="27"/>
  <c r="E2953" i="27"/>
  <c r="Z2953" i="27"/>
  <c r="AA2953" i="27"/>
  <c r="AA2863" i="27"/>
  <c r="E2867" i="27"/>
  <c r="F2550" i="27"/>
  <c r="M2550" i="27"/>
  <c r="Z2550" i="27"/>
  <c r="AA2550" i="27"/>
  <c r="F2483" i="27"/>
  <c r="M2483" i="27"/>
  <c r="U2483" i="27"/>
  <c r="Z2483" i="27"/>
  <c r="AA2483" i="27"/>
  <c r="D1795" i="27"/>
  <c r="E1795" i="27"/>
  <c r="U1795" i="27"/>
  <c r="C1898" i="27"/>
  <c r="D1898" i="27"/>
  <c r="E1898" i="27"/>
  <c r="Z1898" i="27"/>
  <c r="AA1898" i="27"/>
  <c r="D1757" i="27"/>
  <c r="E1757" i="27"/>
  <c r="C1846" i="27"/>
  <c r="D1846" i="27"/>
  <c r="E1846" i="27"/>
  <c r="U1717" i="27"/>
  <c r="F1717" i="27"/>
  <c r="M1717" i="27"/>
  <c r="C2400" i="27"/>
  <c r="D2400" i="27"/>
  <c r="E2400" i="27"/>
  <c r="Z2400" i="27"/>
  <c r="AA2400" i="27"/>
  <c r="D2312" i="27"/>
  <c r="E2312" i="27"/>
  <c r="Z2312" i="27"/>
  <c r="AA2312" i="27"/>
  <c r="E2267" i="27"/>
  <c r="C2715" i="27"/>
  <c r="E2715" i="27"/>
  <c r="C2805" i="27"/>
  <c r="E2805" i="27"/>
  <c r="C2625" i="27"/>
  <c r="E2625" i="27"/>
  <c r="Z2625" i="27"/>
  <c r="AA2625" i="27"/>
  <c r="C2259" i="27"/>
  <c r="E2259" i="27"/>
  <c r="Z2259" i="27"/>
  <c r="E2219" i="27"/>
  <c r="F2219" i="27"/>
  <c r="M2219" i="27"/>
  <c r="G2219" i="27"/>
  <c r="U2043" i="27"/>
  <c r="F2043" i="27"/>
  <c r="M2043" i="27"/>
  <c r="G2043" i="27"/>
  <c r="F2430" i="27"/>
  <c r="U2430" i="27"/>
  <c r="U1840" i="27"/>
  <c r="F1840" i="27"/>
  <c r="M1840" i="27"/>
  <c r="Z1840" i="27"/>
  <c r="AA1840" i="27"/>
  <c r="U1269" i="27"/>
  <c r="Z2444" i="27"/>
  <c r="AA2444" i="27"/>
  <c r="G551" i="27"/>
  <c r="I551" i="27"/>
  <c r="U2806" i="27"/>
  <c r="Z2806" i="27"/>
  <c r="AA2806" i="27"/>
  <c r="I723" i="27"/>
  <c r="G2852" i="27"/>
  <c r="I2852" i="27"/>
  <c r="U2610" i="27"/>
  <c r="Z2610" i="27"/>
  <c r="AA2610" i="27"/>
  <c r="U1957" i="27"/>
  <c r="Z1957" i="27"/>
  <c r="F1552" i="27"/>
  <c r="AA1552" i="27"/>
  <c r="U1552" i="27"/>
  <c r="G594" i="27"/>
  <c r="I594" i="27"/>
  <c r="D2929" i="27"/>
  <c r="E2929" i="27"/>
  <c r="C2972" i="27"/>
  <c r="D2972" i="27"/>
  <c r="E2972" i="27"/>
  <c r="U2972" i="27"/>
  <c r="G485" i="27"/>
  <c r="I485" i="27"/>
  <c r="Z2329" i="27"/>
  <c r="AA2329" i="27"/>
  <c r="F2329" i="27"/>
  <c r="M2329" i="27"/>
  <c r="G2329" i="27"/>
  <c r="U102" i="27"/>
  <c r="F102" i="27"/>
  <c r="M102" i="27"/>
  <c r="Z102" i="27"/>
  <c r="AA102" i="27"/>
  <c r="U719" i="27"/>
  <c r="Z719" i="27"/>
  <c r="AA719" i="27"/>
  <c r="F719" i="27"/>
  <c r="M719" i="27"/>
  <c r="G719" i="27"/>
  <c r="U715" i="27"/>
  <c r="Z715" i="27"/>
  <c r="AA715" i="27"/>
  <c r="F715" i="27"/>
  <c r="M715" i="27"/>
  <c r="C2582" i="27"/>
  <c r="D1777" i="27"/>
  <c r="E1777" i="27"/>
  <c r="Z1777" i="27"/>
  <c r="AA1777" i="27"/>
  <c r="U2548" i="27"/>
  <c r="F2548" i="27"/>
  <c r="M2548" i="27"/>
  <c r="G2548" i="27"/>
  <c r="Z2548" i="27"/>
  <c r="AA2548" i="27"/>
  <c r="U261" i="27"/>
  <c r="F261" i="27"/>
  <c r="M261" i="27"/>
  <c r="Z261" i="27"/>
  <c r="AA261" i="27"/>
  <c r="F977" i="27"/>
  <c r="M977" i="27"/>
  <c r="G977" i="27"/>
  <c r="U977" i="27"/>
  <c r="Z977" i="27"/>
  <c r="AA977" i="27"/>
  <c r="U1409" i="27"/>
  <c r="U469" i="27"/>
  <c r="F469" i="27"/>
  <c r="M469" i="27"/>
  <c r="G2849" i="27"/>
  <c r="I2849" i="27"/>
  <c r="F781" i="27"/>
  <c r="M781" i="27"/>
  <c r="U781" i="27"/>
  <c r="Z781" i="27"/>
  <c r="AB781" i="27"/>
  <c r="AA781" i="27"/>
  <c r="D1799" i="27"/>
  <c r="E1799" i="27"/>
  <c r="U1799" i="27"/>
  <c r="C1896" i="27"/>
  <c r="D1896" i="27"/>
  <c r="E1896" i="27"/>
  <c r="F1992" i="27"/>
  <c r="M1992" i="27"/>
  <c r="G1992" i="27"/>
  <c r="Z1992" i="27"/>
  <c r="U476" i="27"/>
  <c r="Z11" i="27"/>
  <c r="D1691" i="27"/>
  <c r="E1691" i="27"/>
  <c r="F387" i="27"/>
  <c r="M387" i="27"/>
  <c r="G387" i="27"/>
  <c r="I616" i="27"/>
  <c r="Z1424" i="27"/>
  <c r="AA1424" i="27"/>
  <c r="D2308" i="27"/>
  <c r="E2308" i="27"/>
  <c r="F2308" i="27"/>
  <c r="M2308" i="27"/>
  <c r="G2308" i="27"/>
  <c r="F2574" i="27"/>
  <c r="M2574" i="27"/>
  <c r="Z476" i="27"/>
  <c r="F658" i="27"/>
  <c r="M658" i="27"/>
  <c r="U195" i="27"/>
  <c r="U1127" i="27"/>
  <c r="AB435" i="27"/>
  <c r="AA435" i="27"/>
  <c r="F1424" i="27"/>
  <c r="M1424" i="27"/>
  <c r="F921" i="27"/>
  <c r="M921" i="27"/>
  <c r="G921" i="27"/>
  <c r="U2574" i="27"/>
  <c r="Z674" i="27"/>
  <c r="AA674" i="27"/>
  <c r="U759" i="27"/>
  <c r="F476" i="27"/>
  <c r="M476" i="27"/>
  <c r="G476" i="27"/>
  <c r="AB195" i="27"/>
  <c r="AA195" i="27"/>
  <c r="F1127" i="27"/>
  <c r="M1127" i="27"/>
  <c r="Z1418" i="27"/>
  <c r="F771" i="27"/>
  <c r="M771" i="27"/>
  <c r="F937" i="27"/>
  <c r="M937" i="27"/>
  <c r="C2191" i="27"/>
  <c r="F143" i="27"/>
  <c r="M143" i="27"/>
  <c r="Z195" i="27"/>
  <c r="AB959" i="27"/>
  <c r="AA959" i="27"/>
  <c r="U171" i="27"/>
  <c r="U2547" i="27"/>
  <c r="C2655" i="27"/>
  <c r="E2655" i="27"/>
  <c r="U740" i="27"/>
  <c r="D1266" i="27"/>
  <c r="E1266" i="27"/>
  <c r="F838" i="27"/>
  <c r="M838" i="27"/>
  <c r="G838" i="27"/>
  <c r="F171" i="27"/>
  <c r="M171" i="27"/>
  <c r="G171" i="27"/>
  <c r="C2147" i="27"/>
  <c r="E2147" i="27"/>
  <c r="U2147" i="27"/>
  <c r="F435" i="27"/>
  <c r="M435" i="27"/>
  <c r="M1266" i="27"/>
  <c r="F249" i="27"/>
  <c r="M249" i="27"/>
  <c r="Z2547" i="27"/>
  <c r="AA2547" i="27"/>
  <c r="U51" i="27"/>
  <c r="U2445" i="27"/>
  <c r="Z2495" i="27"/>
  <c r="AA2495" i="27"/>
  <c r="C1528" i="27"/>
  <c r="E1528" i="27"/>
  <c r="U921" i="27"/>
  <c r="U524" i="27"/>
  <c r="F674" i="27"/>
  <c r="M674" i="27"/>
  <c r="F725" i="27"/>
  <c r="M725" i="27"/>
  <c r="F959" i="27"/>
  <c r="M959" i="27"/>
  <c r="Z249" i="27"/>
  <c r="U1002" i="27"/>
  <c r="F51" i="27"/>
  <c r="M51" i="27"/>
  <c r="G51" i="27"/>
  <c r="Z2445" i="27"/>
  <c r="AA2445" i="27"/>
  <c r="U3155" i="27"/>
  <c r="U2426" i="27"/>
  <c r="AB1083" i="27"/>
  <c r="AA1083" i="27"/>
  <c r="F879" i="27"/>
  <c r="M879" i="27"/>
  <c r="F1002" i="27"/>
  <c r="M1002" i="27"/>
  <c r="U646" i="27"/>
  <c r="Z2349" i="27"/>
  <c r="AA2349" i="27"/>
  <c r="F358" i="27"/>
  <c r="M358" i="27"/>
  <c r="G358" i="27"/>
  <c r="F2426" i="27"/>
  <c r="M2426" i="27"/>
  <c r="U1083" i="27"/>
  <c r="U1057" i="27"/>
  <c r="F1344" i="27"/>
  <c r="M1344" i="27"/>
  <c r="G1344" i="27"/>
  <c r="Z740" i="27"/>
  <c r="AA740" i="27"/>
  <c r="U725" i="27"/>
  <c r="Z623" i="27"/>
  <c r="AA623" i="27"/>
  <c r="U2349" i="27"/>
  <c r="Z759" i="27"/>
  <c r="AA759" i="27"/>
  <c r="U143" i="27"/>
  <c r="AB423" i="27"/>
  <c r="AA423" i="27"/>
  <c r="Z358" i="27"/>
  <c r="AA358" i="27"/>
  <c r="D1254" i="27"/>
  <c r="E1254" i="27"/>
  <c r="Z1254" i="27"/>
  <c r="AA1254" i="27"/>
  <c r="C1595" i="27"/>
  <c r="E1595" i="27"/>
  <c r="F524" i="27"/>
  <c r="M524" i="27"/>
  <c r="Z2710" i="27"/>
  <c r="AA2710" i="27"/>
  <c r="F399" i="27"/>
  <c r="M399" i="27"/>
  <c r="Z838" i="27"/>
  <c r="AA838" i="27"/>
  <c r="U1829" i="27"/>
  <c r="F1829" i="27"/>
  <c r="M1829" i="27"/>
  <c r="G1829" i="27"/>
  <c r="F1779" i="27"/>
  <c r="U3143" i="27"/>
  <c r="F3143" i="27"/>
  <c r="M3143" i="27"/>
  <c r="G3143" i="27"/>
  <c r="Z1947" i="27"/>
  <c r="U1947" i="27"/>
  <c r="F1947" i="27"/>
  <c r="M1947" i="27"/>
  <c r="G1947" i="27"/>
  <c r="AA1947" i="27"/>
  <c r="F2647" i="27"/>
  <c r="M2647" i="27"/>
  <c r="Z2647" i="27"/>
  <c r="AA2647" i="27"/>
  <c r="G518" i="27"/>
  <c r="I518" i="27"/>
  <c r="G557" i="27"/>
  <c r="I557" i="27"/>
  <c r="F1935" i="27"/>
  <c r="M1935" i="27"/>
  <c r="G1935" i="27"/>
  <c r="Z1935" i="27"/>
  <c r="U226" i="27"/>
  <c r="F226" i="27"/>
  <c r="M226" i="27"/>
  <c r="Z226" i="27"/>
  <c r="AA226" i="27"/>
  <c r="U475" i="27"/>
  <c r="F475" i="27"/>
  <c r="M475" i="27"/>
  <c r="Z475" i="27"/>
  <c r="AA475" i="27"/>
  <c r="U224" i="27"/>
  <c r="Z224" i="27"/>
  <c r="AA224" i="27"/>
  <c r="F224" i="27"/>
  <c r="M224" i="27"/>
  <c r="G224" i="27"/>
  <c r="Z492" i="27"/>
  <c r="AA492" i="27"/>
  <c r="F492" i="27"/>
  <c r="M492" i="27"/>
  <c r="G492" i="27"/>
  <c r="U492" i="27"/>
  <c r="U467" i="27"/>
  <c r="F467" i="27"/>
  <c r="M467" i="27"/>
  <c r="Z749" i="27"/>
  <c r="AA749" i="27"/>
  <c r="F749" i="27"/>
  <c r="M749" i="27"/>
  <c r="U748" i="27"/>
  <c r="AB748" i="27"/>
  <c r="AA748" i="27"/>
  <c r="Z748" i="27"/>
  <c r="F748" i="27"/>
  <c r="M748" i="27"/>
  <c r="U640" i="27"/>
  <c r="Z640" i="27"/>
  <c r="AA640" i="27"/>
  <c r="F640" i="27"/>
  <c r="M640" i="27"/>
  <c r="G640" i="27"/>
  <c r="F2654" i="27"/>
  <c r="M2654" i="27"/>
  <c r="Z2654" i="27"/>
  <c r="AA2654" i="27"/>
  <c r="U2654" i="27"/>
  <c r="U2660" i="27"/>
  <c r="Z2660" i="27"/>
  <c r="AA2660" i="27"/>
  <c r="Z1142" i="27"/>
  <c r="U1142" i="27"/>
  <c r="AB1142" i="27"/>
  <c r="AA1142" i="27"/>
  <c r="Z2584" i="27"/>
  <c r="AA2584" i="27"/>
  <c r="F2584" i="27"/>
  <c r="M2584" i="27"/>
  <c r="U2584" i="27"/>
  <c r="D1796" i="27"/>
  <c r="E1796" i="27"/>
  <c r="C1900" i="27"/>
  <c r="D1900" i="27"/>
  <c r="E1900" i="27"/>
  <c r="U645" i="27"/>
  <c r="Z645" i="27"/>
  <c r="AA645" i="27"/>
  <c r="F645" i="27"/>
  <c r="M645" i="27"/>
  <c r="F2665" i="27"/>
  <c r="M2665" i="27"/>
  <c r="Z2665" i="27"/>
  <c r="AA2665" i="27"/>
  <c r="U2665" i="27"/>
  <c r="Z555" i="27"/>
  <c r="AA555" i="27"/>
  <c r="F555" i="27"/>
  <c r="M555" i="27"/>
  <c r="G555" i="27"/>
  <c r="G1151" i="27"/>
  <c r="I1151" i="27"/>
  <c r="U3130" i="27"/>
  <c r="F3130" i="27"/>
  <c r="M3130" i="27"/>
  <c r="G3130" i="27"/>
  <c r="U2041" i="27"/>
  <c r="F2041" i="27"/>
  <c r="M2041" i="27"/>
  <c r="G2041" i="27"/>
  <c r="F2711" i="27"/>
  <c r="M2711" i="27"/>
  <c r="G2711" i="27"/>
  <c r="U2711" i="27"/>
  <c r="Z2711" i="27"/>
  <c r="AA2711" i="27"/>
  <c r="F2818" i="27"/>
  <c r="M2818" i="27"/>
  <c r="U2818" i="27"/>
  <c r="Z2818" i="27"/>
  <c r="AA2818" i="27"/>
  <c r="U2804" i="27"/>
  <c r="F2804" i="27"/>
  <c r="M2804" i="27"/>
  <c r="Z2804" i="27"/>
  <c r="AA2804" i="27"/>
  <c r="Z753" i="27"/>
  <c r="AA753" i="27"/>
  <c r="F753" i="27"/>
  <c r="M753" i="27"/>
  <c r="F408" i="27"/>
  <c r="M408" i="27"/>
  <c r="U408" i="27"/>
  <c r="Z408" i="27"/>
  <c r="AB408" i="27"/>
  <c r="AA408" i="27"/>
  <c r="F1067" i="27"/>
  <c r="M1067" i="27"/>
  <c r="AB1067" i="27"/>
  <c r="AA1067" i="27"/>
  <c r="Z1067" i="27"/>
  <c r="U1067" i="27"/>
  <c r="F2175" i="27"/>
  <c r="M2175" i="27"/>
  <c r="Z2175" i="27"/>
  <c r="AA2175" i="27"/>
  <c r="U2175" i="27"/>
  <c r="Z413" i="27"/>
  <c r="AB413" i="27"/>
  <c r="AA413" i="27"/>
  <c r="F413" i="27"/>
  <c r="M413" i="27"/>
  <c r="G413" i="27"/>
  <c r="I413" i="27"/>
  <c r="U413" i="27"/>
  <c r="C2162" i="27"/>
  <c r="E2162" i="27"/>
  <c r="C2617" i="27"/>
  <c r="E2617" i="27"/>
  <c r="C2799" i="27"/>
  <c r="E2799" i="27"/>
  <c r="E1963" i="27"/>
  <c r="Z1963" i="27"/>
  <c r="Z256" i="27"/>
  <c r="F256" i="27"/>
  <c r="M256" i="27"/>
  <c r="AB256" i="27"/>
  <c r="AA256" i="27"/>
  <c r="U256" i="27"/>
  <c r="F718" i="27"/>
  <c r="M718" i="27"/>
  <c r="U718" i="27"/>
  <c r="Z718" i="27"/>
  <c r="AA718" i="27"/>
  <c r="E1635" i="27"/>
  <c r="F1635" i="27"/>
  <c r="M1635" i="27"/>
  <c r="C2132" i="27"/>
  <c r="E2132" i="27"/>
  <c r="Z2132" i="27"/>
  <c r="U1274" i="27"/>
  <c r="F2023" i="27"/>
  <c r="M2023" i="27"/>
  <c r="G2023" i="27"/>
  <c r="Z2023" i="27"/>
  <c r="AA2023" i="27"/>
  <c r="I2787" i="27"/>
  <c r="G2277" i="27"/>
  <c r="I2277" i="27"/>
  <c r="F1267" i="27"/>
  <c r="Z1267" i="27"/>
  <c r="AA1267" i="27"/>
  <c r="U1267" i="27"/>
  <c r="Z946" i="27"/>
  <c r="AB946" i="27"/>
  <c r="AA946" i="27"/>
  <c r="U946" i="27"/>
  <c r="F946" i="27"/>
  <c r="M946" i="27"/>
  <c r="C3078" i="27"/>
  <c r="D3078" i="27"/>
  <c r="AA3078" i="27"/>
  <c r="D3057" i="27"/>
  <c r="AA3057" i="27"/>
  <c r="I2269" i="27"/>
  <c r="U2011" i="27"/>
  <c r="G1135" i="27"/>
  <c r="I1135" i="27"/>
  <c r="Z1507" i="27"/>
  <c r="AA1507" i="27"/>
  <c r="U1507" i="27"/>
  <c r="F66" i="27"/>
  <c r="M66" i="27"/>
  <c r="G66" i="27"/>
  <c r="U66" i="27"/>
  <c r="G2268" i="27"/>
  <c r="I2268" i="27"/>
  <c r="Z2021" i="27"/>
  <c r="AA2021" i="27"/>
  <c r="F2021" i="27"/>
  <c r="M2021" i="27"/>
  <c r="Z2307" i="27"/>
  <c r="AA2307" i="27"/>
  <c r="F2307" i="27"/>
  <c r="M2307" i="27"/>
  <c r="G2307" i="27"/>
  <c r="U2307" i="27"/>
  <c r="G529" i="27"/>
  <c r="I529" i="27"/>
  <c r="Z819" i="27"/>
  <c r="AA819" i="27"/>
  <c r="U819" i="27"/>
  <c r="F819" i="27"/>
  <c r="M819" i="27"/>
  <c r="F832" i="27"/>
  <c r="M832" i="27"/>
  <c r="U832" i="27"/>
  <c r="Z846" i="27"/>
  <c r="F846" i="27"/>
  <c r="M846" i="27"/>
  <c r="AB846" i="27"/>
  <c r="AA846" i="27"/>
  <c r="U846" i="27"/>
  <c r="U859" i="27"/>
  <c r="F859" i="27"/>
  <c r="M859" i="27"/>
  <c r="Z859" i="27"/>
  <c r="AA859" i="27"/>
  <c r="U911" i="27"/>
  <c r="AB911" i="27"/>
  <c r="AA911" i="27"/>
  <c r="F911" i="27"/>
  <c r="M911" i="27"/>
  <c r="G911" i="27"/>
  <c r="Z911" i="27"/>
  <c r="D1675" i="27"/>
  <c r="E1675" i="27"/>
  <c r="C1833" i="27"/>
  <c r="D1833" i="27"/>
  <c r="E1833" i="27"/>
  <c r="F1833" i="27"/>
  <c r="M1833" i="27"/>
  <c r="E1665" i="27"/>
  <c r="C2067" i="27"/>
  <c r="E2067" i="27"/>
  <c r="Z2067" i="27"/>
  <c r="AA2067" i="27"/>
  <c r="C2170" i="27"/>
  <c r="E2170" i="27"/>
  <c r="E1233" i="27"/>
  <c r="C2576" i="27"/>
  <c r="E2576" i="27"/>
  <c r="I589" i="27"/>
  <c r="Z2422" i="27"/>
  <c r="AA2422" i="27"/>
  <c r="U1295" i="27"/>
  <c r="F1295" i="27"/>
  <c r="M1295" i="27"/>
  <c r="Z1295" i="27"/>
  <c r="AA1295" i="27"/>
  <c r="G840" i="27"/>
  <c r="I840" i="27"/>
  <c r="AA2421" i="27"/>
  <c r="U2421" i="27"/>
  <c r="F2421" i="27"/>
  <c r="M2421" i="27"/>
  <c r="G2421" i="27"/>
  <c r="U1427" i="27"/>
  <c r="Z1427" i="27"/>
  <c r="AA1427" i="27"/>
  <c r="F1427" i="27"/>
  <c r="M1427" i="27"/>
  <c r="Z626" i="27"/>
  <c r="AA626" i="27"/>
  <c r="F626" i="27"/>
  <c r="M626" i="27"/>
  <c r="G626" i="27"/>
  <c r="U626" i="27"/>
  <c r="F614" i="27"/>
  <c r="M614" i="27"/>
  <c r="G614" i="27"/>
  <c r="AB614" i="27"/>
  <c r="AA614" i="27"/>
  <c r="Z614" i="27"/>
  <c r="Z539" i="27"/>
  <c r="F539" i="27"/>
  <c r="M539" i="27"/>
  <c r="Z508" i="27"/>
  <c r="AA508" i="27"/>
  <c r="U508" i="27"/>
  <c r="AB493" i="27"/>
  <c r="AA493" i="27"/>
  <c r="U493" i="27"/>
  <c r="U438" i="27"/>
  <c r="Z438" i="27"/>
  <c r="AA438" i="27"/>
  <c r="F438" i="27"/>
  <c r="M438" i="27"/>
  <c r="Z426" i="27"/>
  <c r="AB426" i="27"/>
  <c r="AA426" i="27"/>
  <c r="U426" i="27"/>
  <c r="F426" i="27"/>
  <c r="M426" i="27"/>
  <c r="G426" i="27"/>
  <c r="AB402" i="27"/>
  <c r="AA402" i="27"/>
  <c r="U402" i="27"/>
  <c r="Z402" i="27"/>
  <c r="F402" i="27"/>
  <c r="M402" i="27"/>
  <c r="U390" i="27"/>
  <c r="F390" i="27"/>
  <c r="M390" i="27"/>
  <c r="G390" i="27"/>
  <c r="Z390" i="27"/>
  <c r="AB390" i="27"/>
  <c r="AA390" i="27"/>
  <c r="Z361" i="27"/>
  <c r="AA361" i="27"/>
  <c r="U361" i="27"/>
  <c r="F361" i="27"/>
  <c r="M361" i="27"/>
  <c r="G361" i="27"/>
  <c r="F324" i="27"/>
  <c r="M324" i="27"/>
  <c r="Z324" i="27"/>
  <c r="AA324" i="27"/>
  <c r="F309" i="27"/>
  <c r="M309" i="27"/>
  <c r="G309" i="27"/>
  <c r="U309" i="27"/>
  <c r="AB309" i="27"/>
  <c r="AA309" i="27"/>
  <c r="Z309" i="27"/>
  <c r="F297" i="27"/>
  <c r="M297" i="27"/>
  <c r="Z297" i="27"/>
  <c r="AA297" i="27"/>
  <c r="U297" i="27"/>
  <c r="U935" i="27"/>
  <c r="Z279" i="27"/>
  <c r="AA279" i="27"/>
  <c r="F279" i="27"/>
  <c r="M279" i="27"/>
  <c r="G279" i="27"/>
  <c r="U279" i="27"/>
  <c r="AB264" i="27"/>
  <c r="AA264" i="27"/>
  <c r="F264" i="27"/>
  <c r="M264" i="27"/>
  <c r="G264" i="27"/>
  <c r="Z210" i="27"/>
  <c r="AA210" i="27"/>
  <c r="U210" i="27"/>
  <c r="F210" i="27"/>
  <c r="M210" i="27"/>
  <c r="U29" i="27"/>
  <c r="F29" i="27"/>
  <c r="M29" i="27"/>
  <c r="G29" i="27"/>
  <c r="I29" i="27"/>
  <c r="Z1307" i="27"/>
  <c r="AA1307" i="27"/>
  <c r="F1307" i="27"/>
  <c r="M1307" i="27"/>
  <c r="U1307" i="27"/>
  <c r="C2633" i="27"/>
  <c r="D2633" i="27"/>
  <c r="E2633" i="27"/>
  <c r="C2373" i="27"/>
  <c r="D2373" i="27"/>
  <c r="E2373" i="27"/>
  <c r="C2723" i="27"/>
  <c r="D2723" i="27"/>
  <c r="E2723" i="27"/>
  <c r="C1819" i="27"/>
  <c r="D1819" i="27"/>
  <c r="E1819" i="27"/>
  <c r="C2813" i="27"/>
  <c r="D2813" i="27"/>
  <c r="E2813" i="27"/>
  <c r="C2925" i="27"/>
  <c r="F1496" i="27"/>
  <c r="M1496" i="27"/>
  <c r="G1496" i="27"/>
  <c r="G1845" i="27"/>
  <c r="I1845" i="27"/>
  <c r="U1534" i="27"/>
  <c r="U1145" i="27"/>
  <c r="F1145" i="27"/>
  <c r="M1145" i="27"/>
  <c r="AB1113" i="27"/>
  <c r="AA1113" i="27"/>
  <c r="F1113" i="27"/>
  <c r="M1113" i="27"/>
  <c r="G1113" i="27"/>
  <c r="F729" i="27"/>
  <c r="M729" i="27"/>
  <c r="G729" i="27"/>
  <c r="Z729" i="27"/>
  <c r="AA729" i="27"/>
  <c r="U729" i="27"/>
  <c r="F676" i="27"/>
  <c r="M676" i="27"/>
  <c r="U676" i="27"/>
  <c r="AB676" i="27"/>
  <c r="AA676" i="27"/>
  <c r="Z676" i="27"/>
  <c r="Z660" i="27"/>
  <c r="AA660" i="27"/>
  <c r="F660" i="27"/>
  <c r="M660" i="27"/>
  <c r="U660" i="27"/>
  <c r="F649" i="27"/>
  <c r="M649" i="27"/>
  <c r="Z649" i="27"/>
  <c r="AA649" i="27"/>
  <c r="Z1636" i="27"/>
  <c r="F1636" i="27"/>
  <c r="M1636" i="27"/>
  <c r="E1425" i="27"/>
  <c r="C1596" i="27"/>
  <c r="E1596" i="27"/>
  <c r="C1529" i="27"/>
  <c r="E1529" i="27"/>
  <c r="C1364" i="27"/>
  <c r="D1364" i="27"/>
  <c r="E1364" i="27"/>
  <c r="D1280" i="27"/>
  <c r="E1280" i="27"/>
  <c r="C1355" i="27"/>
  <c r="M1267" i="27"/>
  <c r="C1345" i="27"/>
  <c r="D1345" i="27"/>
  <c r="E1345" i="27"/>
  <c r="D1255" i="27"/>
  <c r="E1255" i="27"/>
  <c r="D1241" i="27"/>
  <c r="E1241" i="27"/>
  <c r="C1332" i="27"/>
  <c r="D1332" i="27"/>
  <c r="E1332" i="27"/>
  <c r="F1332" i="27"/>
  <c r="M1332" i="27"/>
  <c r="F1432" i="27"/>
  <c r="M1432" i="27"/>
  <c r="U1432" i="27"/>
  <c r="Z1432" i="27"/>
  <c r="AA1432" i="27"/>
  <c r="U2481" i="27"/>
  <c r="F2481" i="27"/>
  <c r="M2481" i="27"/>
  <c r="Z2481" i="27"/>
  <c r="AA2481" i="27"/>
  <c r="D1767" i="27"/>
  <c r="E1767" i="27"/>
  <c r="Z1767" i="27"/>
  <c r="AA1767" i="27"/>
  <c r="C1854" i="27"/>
  <c r="D1854" i="27"/>
  <c r="E1854" i="27"/>
  <c r="D1755" i="27"/>
  <c r="E1755" i="27"/>
  <c r="C1862" i="27"/>
  <c r="D1862" i="27"/>
  <c r="E1862" i="27"/>
  <c r="Z1862" i="27"/>
  <c r="AA1862" i="27"/>
  <c r="E1732" i="27"/>
  <c r="C2577" i="27"/>
  <c r="E2577" i="27"/>
  <c r="U1716" i="27"/>
  <c r="F1716" i="27"/>
  <c r="M1716" i="27"/>
  <c r="Z1716" i="27"/>
  <c r="AA1716" i="27"/>
  <c r="U1703" i="27"/>
  <c r="F1703" i="27"/>
  <c r="M1703" i="27"/>
  <c r="D2322" i="27"/>
  <c r="E2322" i="27"/>
  <c r="C2408" i="27"/>
  <c r="D2408" i="27"/>
  <c r="E2408" i="27"/>
  <c r="F2425" i="27"/>
  <c r="M2425" i="27"/>
  <c r="U2425" i="27"/>
  <c r="Z2425" i="27"/>
  <c r="AA2425" i="27"/>
  <c r="C2712" i="27"/>
  <c r="D2712" i="27"/>
  <c r="E2712" i="27"/>
  <c r="D2106" i="27"/>
  <c r="E2106" i="27"/>
  <c r="C2620" i="27"/>
  <c r="D2620" i="27"/>
  <c r="E2620" i="27"/>
  <c r="C2390" i="27"/>
  <c r="D2390" i="27"/>
  <c r="E2390" i="27"/>
  <c r="D1974" i="27"/>
  <c r="E1974" i="27"/>
  <c r="F1949" i="27"/>
  <c r="M1949" i="27"/>
  <c r="U1949" i="27"/>
  <c r="Z1949" i="27"/>
  <c r="D1476" i="27"/>
  <c r="E1476" i="27"/>
  <c r="C1378" i="27"/>
  <c r="D1378" i="27"/>
  <c r="E1378" i="27"/>
  <c r="Z1378" i="27"/>
  <c r="AA1378" i="27"/>
  <c r="C1554" i="27"/>
  <c r="E1554" i="27"/>
  <c r="C1621" i="27"/>
  <c r="E1621" i="27"/>
  <c r="E1453" i="27"/>
  <c r="F1453" i="27"/>
  <c r="M1453" i="27"/>
  <c r="I1453" i="27"/>
  <c r="G1453" i="27"/>
  <c r="C1599" i="27"/>
  <c r="E1599" i="27"/>
  <c r="F1599" i="27"/>
  <c r="M1599" i="27"/>
  <c r="G1599" i="27"/>
  <c r="E1436" i="27"/>
  <c r="U1436" i="27"/>
  <c r="C1537" i="27"/>
  <c r="E1537" i="27"/>
  <c r="M145" i="27"/>
  <c r="G1142" i="27"/>
  <c r="I1142" i="27"/>
  <c r="AA3103" i="27"/>
  <c r="E3103" i="27"/>
  <c r="F3103" i="27"/>
  <c r="M3103" i="27"/>
  <c r="G3103" i="27"/>
  <c r="I3103" i="27"/>
  <c r="C3091" i="27"/>
  <c r="D3091" i="27"/>
  <c r="C3092" i="27"/>
  <c r="D3092" i="27"/>
  <c r="AA3092" i="27"/>
  <c r="D3064" i="27"/>
  <c r="AA3064" i="27"/>
  <c r="C3071" i="27"/>
  <c r="D3071" i="27"/>
  <c r="AA3071" i="27"/>
  <c r="D3054" i="27"/>
  <c r="AA3054" i="27"/>
  <c r="C3072" i="27"/>
  <c r="D3072" i="27"/>
  <c r="AA3072" i="27"/>
  <c r="F2649" i="27"/>
  <c r="M2649" i="27"/>
  <c r="U2649" i="27"/>
  <c r="Z2649" i="27"/>
  <c r="AA2649" i="27"/>
  <c r="Z2531" i="27"/>
  <c r="AA2531" i="27"/>
  <c r="F2531" i="27"/>
  <c r="M2531" i="27"/>
  <c r="U2531" i="27"/>
  <c r="Z2494" i="27"/>
  <c r="AA2494" i="27"/>
  <c r="F2494" i="27"/>
  <c r="M2494" i="27"/>
  <c r="G2494" i="27"/>
  <c r="U2494" i="27"/>
  <c r="U1655" i="27"/>
  <c r="Z1655" i="27"/>
  <c r="AA1655" i="27"/>
  <c r="F1655" i="27"/>
  <c r="M1655" i="27"/>
  <c r="Z1829" i="27"/>
  <c r="AA1829" i="27"/>
  <c r="G2436" i="27"/>
  <c r="I2436" i="27"/>
  <c r="U1662" i="27"/>
  <c r="U1156" i="27"/>
  <c r="Z1156" i="27"/>
  <c r="AA1156" i="27"/>
  <c r="F1156" i="27"/>
  <c r="M1156" i="27"/>
  <c r="F446" i="27"/>
  <c r="M446" i="27"/>
  <c r="G446" i="27"/>
  <c r="U874" i="27"/>
  <c r="Z1294" i="27"/>
  <c r="AA1294" i="27"/>
  <c r="C2019" i="27"/>
  <c r="E2019" i="27"/>
  <c r="F2060" i="27"/>
  <c r="M2060" i="27"/>
  <c r="Z1958" i="27"/>
  <c r="U3156" i="27"/>
  <c r="F2321" i="27"/>
  <c r="M2321" i="27"/>
  <c r="U1958" i="27"/>
  <c r="AA2294" i="27"/>
  <c r="C1571" i="27"/>
  <c r="D1571" i="27"/>
  <c r="E1571" i="27"/>
  <c r="U3180" i="27"/>
  <c r="Z431" i="27"/>
  <c r="AA431" i="27"/>
  <c r="I320" i="27"/>
  <c r="F2606" i="27"/>
  <c r="M2606" i="27"/>
  <c r="G2606" i="27"/>
  <c r="Z2321" i="27"/>
  <c r="AA2321" i="27"/>
  <c r="C2007" i="27"/>
  <c r="D2007" i="27"/>
  <c r="E2007" i="27"/>
  <c r="F431" i="27"/>
  <c r="M431" i="27"/>
  <c r="Z2096" i="27"/>
  <c r="AA2096" i="27"/>
  <c r="Z1206" i="27"/>
  <c r="AA1206" i="27"/>
  <c r="G12" i="27"/>
  <c r="I12" i="27"/>
  <c r="C2119" i="27"/>
  <c r="D2119" i="27"/>
  <c r="E2119" i="27"/>
  <c r="F2119" i="27"/>
  <c r="M2119" i="27"/>
  <c r="G2119" i="27"/>
  <c r="Z1889" i="27"/>
  <c r="AA1889" i="27"/>
  <c r="U3164" i="27"/>
  <c r="U2329" i="27"/>
  <c r="F1480" i="27"/>
  <c r="M1480" i="27"/>
  <c r="G1480" i="27"/>
  <c r="Z1480" i="27"/>
  <c r="AA1480" i="27"/>
  <c r="F1889" i="27"/>
  <c r="M1889" i="27"/>
  <c r="G1889" i="27"/>
  <c r="Z2606" i="27"/>
  <c r="F2104" i="27"/>
  <c r="M2104" i="27"/>
  <c r="Z2043" i="27"/>
  <c r="AA2043" i="27"/>
  <c r="U1676" i="27"/>
  <c r="AA2984" i="27"/>
  <c r="I2331" i="27"/>
  <c r="M1875" i="27"/>
  <c r="Z1423" i="27"/>
  <c r="U446" i="27"/>
  <c r="U595" i="27"/>
  <c r="Z2297" i="27"/>
  <c r="AA2297" i="27"/>
  <c r="I960" i="27"/>
  <c r="AB446" i="27"/>
  <c r="AA446" i="27"/>
  <c r="F595" i="27"/>
  <c r="M595" i="27"/>
  <c r="F167" i="27"/>
  <c r="M167" i="27"/>
  <c r="C1361" i="27"/>
  <c r="D1361" i="27"/>
  <c r="E1361" i="27"/>
  <c r="Z211" i="27"/>
  <c r="AA211" i="27"/>
  <c r="F211" i="27"/>
  <c r="M211" i="27"/>
  <c r="G211" i="27"/>
  <c r="F1085" i="27"/>
  <c r="M1085" i="27"/>
  <c r="G1085" i="27"/>
  <c r="AB1085" i="27"/>
  <c r="AA1085" i="27"/>
  <c r="U1085" i="27"/>
  <c r="Z1085" i="27"/>
  <c r="Z1044" i="27"/>
  <c r="F1044" i="27"/>
  <c r="M1044" i="27"/>
  <c r="G1044" i="27"/>
  <c r="U1044" i="27"/>
  <c r="AB1044" i="27"/>
  <c r="AA1044" i="27"/>
  <c r="Z975" i="27"/>
  <c r="AA975" i="27"/>
  <c r="F975" i="27"/>
  <c r="M975" i="27"/>
  <c r="G975" i="27"/>
  <c r="U975" i="27"/>
  <c r="Z773" i="27"/>
  <c r="AA773" i="27"/>
  <c r="F773" i="27"/>
  <c r="M773" i="27"/>
  <c r="C2024" i="27"/>
  <c r="D2024" i="27"/>
  <c r="E2024" i="27"/>
  <c r="F2024" i="27"/>
  <c r="M2024" i="27"/>
  <c r="I2282" i="27"/>
  <c r="C2136" i="27"/>
  <c r="D2136" i="27"/>
  <c r="E2136" i="27"/>
  <c r="Z2136" i="27"/>
  <c r="AA2136" i="27"/>
  <c r="Z1128" i="27"/>
  <c r="AA1128" i="27"/>
  <c r="Z1925" i="27"/>
  <c r="F1925" i="27"/>
  <c r="M1925" i="27"/>
  <c r="G1925" i="27"/>
  <c r="AA1925" i="27"/>
  <c r="C2994" i="27"/>
  <c r="E2994" i="27"/>
  <c r="Z2994" i="27"/>
  <c r="E2951" i="27"/>
  <c r="Z2951" i="27"/>
  <c r="AA2951" i="27"/>
  <c r="F2293" i="27"/>
  <c r="M2293" i="27"/>
  <c r="Z2293" i="27"/>
  <c r="AA2293" i="27"/>
  <c r="Z1059" i="27"/>
  <c r="AA1059" i="27"/>
  <c r="U1059" i="27"/>
  <c r="F1059" i="27"/>
  <c r="M1059" i="27"/>
  <c r="U957" i="27"/>
  <c r="Z957" i="27"/>
  <c r="AA957" i="27"/>
  <c r="F957" i="27"/>
  <c r="F881" i="27"/>
  <c r="M881" i="27"/>
  <c r="G881" i="27"/>
  <c r="U881" i="27"/>
  <c r="Z881" i="27"/>
  <c r="AA881" i="27"/>
  <c r="I1130" i="27"/>
  <c r="G2499" i="27"/>
  <c r="I2499" i="27"/>
  <c r="F1333" i="27"/>
  <c r="M1333" i="27"/>
  <c r="Z1333" i="27"/>
  <c r="AA1333" i="27"/>
  <c r="Z1341" i="27"/>
  <c r="AA1341" i="27"/>
  <c r="F1341" i="27"/>
  <c r="M1341" i="27"/>
  <c r="G1341" i="27"/>
  <c r="F1112" i="27"/>
  <c r="M1112" i="27"/>
  <c r="Z1112" i="27"/>
  <c r="AB1112" i="27"/>
  <c r="AA1112" i="27"/>
  <c r="U2163" i="27"/>
  <c r="U3095" i="27"/>
  <c r="Z1991" i="27"/>
  <c r="F1991" i="27"/>
  <c r="M1991" i="27"/>
  <c r="G2489" i="27"/>
  <c r="I2489" i="27"/>
  <c r="G1604" i="27"/>
  <c r="I1604" i="27"/>
  <c r="C1343" i="27"/>
  <c r="D1343" i="27"/>
  <c r="E1343" i="27"/>
  <c r="D1253" i="27"/>
  <c r="E1253" i="27"/>
  <c r="C1330" i="27"/>
  <c r="D1330" i="27"/>
  <c r="E1330" i="27"/>
  <c r="D1240" i="27"/>
  <c r="E1240" i="27"/>
  <c r="C2653" i="27"/>
  <c r="E2653" i="27"/>
  <c r="E1222" i="27"/>
  <c r="U1222" i="27"/>
  <c r="F1103" i="27"/>
  <c r="M1103" i="27"/>
  <c r="U1103" i="27"/>
  <c r="F1726" i="27"/>
  <c r="M1726" i="27"/>
  <c r="U1726" i="27"/>
  <c r="AA1726" i="27"/>
  <c r="Z1726" i="27"/>
  <c r="U3162" i="27"/>
  <c r="Z2163" i="27"/>
  <c r="AA2163" i="27"/>
  <c r="G2528" i="27"/>
  <c r="I2528" i="27"/>
  <c r="U1843" i="27"/>
  <c r="F1843" i="27"/>
  <c r="M1843" i="27"/>
  <c r="Z1843" i="27"/>
  <c r="AA1843" i="27"/>
  <c r="G1083" i="27"/>
  <c r="I1083" i="27"/>
  <c r="C2383" i="27"/>
  <c r="D2383" i="27"/>
  <c r="E2383" i="27"/>
  <c r="D1970" i="27"/>
  <c r="E1970" i="27"/>
  <c r="Z1944" i="27"/>
  <c r="F1944" i="27"/>
  <c r="M1944" i="27"/>
  <c r="G1944" i="27"/>
  <c r="AA1944" i="27"/>
  <c r="U1944" i="27"/>
  <c r="D1473" i="27"/>
  <c r="E1473" i="27"/>
  <c r="C1380" i="27"/>
  <c r="D1380" i="27"/>
  <c r="E1380" i="27"/>
  <c r="U1737" i="27"/>
  <c r="M1737" i="27"/>
  <c r="G1737" i="27"/>
  <c r="I499" i="27"/>
  <c r="Z1461" i="27"/>
  <c r="AA1461" i="27"/>
  <c r="F1461" i="27"/>
  <c r="M1461" i="27"/>
  <c r="U1461" i="27"/>
  <c r="F1004" i="27"/>
  <c r="M1004" i="27"/>
  <c r="Z1275" i="27"/>
  <c r="AA1275" i="27"/>
  <c r="F1275" i="27"/>
  <c r="M1275" i="27"/>
  <c r="G1275" i="27"/>
  <c r="U1275" i="27"/>
  <c r="F923" i="27"/>
  <c r="M923" i="27"/>
  <c r="G923" i="27"/>
  <c r="I923" i="27"/>
  <c r="U3165" i="27"/>
  <c r="F3165" i="27"/>
  <c r="M3165" i="27"/>
  <c r="E2102" i="27"/>
  <c r="C2613" i="27"/>
  <c r="E2613" i="27"/>
  <c r="Z2613" i="27"/>
  <c r="AA2613" i="27"/>
  <c r="C2795" i="27"/>
  <c r="E2795" i="27"/>
  <c r="C2696" i="27"/>
  <c r="E2696" i="27"/>
  <c r="U2696" i="27"/>
  <c r="F2706" i="27"/>
  <c r="M2706" i="27"/>
  <c r="Z2706" i="27"/>
  <c r="U2706" i="27"/>
  <c r="AA2706" i="27"/>
  <c r="F65" i="27"/>
  <c r="M65" i="27"/>
  <c r="U65" i="27"/>
  <c r="Z65" i="27"/>
  <c r="AA65" i="27"/>
  <c r="G690" i="27"/>
  <c r="I690" i="27"/>
  <c r="C2833" i="27"/>
  <c r="E2833" i="27"/>
  <c r="U2833" i="27"/>
  <c r="U1454" i="27"/>
  <c r="Z1454" i="27"/>
  <c r="AA1454" i="27"/>
  <c r="F2335" i="27"/>
  <c r="M2335" i="27"/>
  <c r="G2335" i="27"/>
  <c r="U2335" i="27"/>
  <c r="Z2335" i="27"/>
  <c r="AA2335" i="27"/>
  <c r="Z1004" i="27"/>
  <c r="AA1004" i="27"/>
  <c r="U53" i="27"/>
  <c r="Z53" i="27"/>
  <c r="AA53" i="27"/>
  <c r="F53" i="27"/>
  <c r="M53" i="27"/>
  <c r="G53" i="27"/>
  <c r="U2257" i="27"/>
  <c r="Z2257" i="27"/>
  <c r="AA2257" i="27"/>
  <c r="F2257" i="27"/>
  <c r="M2257" i="27"/>
  <c r="C2086" i="27"/>
  <c r="D2230" i="27"/>
  <c r="E2230" i="27"/>
  <c r="Z1684" i="27"/>
  <c r="AA1684" i="27"/>
  <c r="Z1072" i="27"/>
  <c r="AA1072" i="27"/>
  <c r="Z1778" i="27"/>
  <c r="AA1778" i="27"/>
  <c r="F1778" i="27"/>
  <c r="M1778" i="27"/>
  <c r="G2510" i="27"/>
  <c r="I2510" i="27"/>
  <c r="C1499" i="27"/>
  <c r="D1499" i="27"/>
  <c r="E1499" i="27"/>
  <c r="C2931" i="27"/>
  <c r="D2192" i="27"/>
  <c r="E2192" i="27"/>
  <c r="F2192" i="27"/>
  <c r="M2192" i="27"/>
  <c r="C2123" i="27"/>
  <c r="D2123" i="27"/>
  <c r="E2123" i="27"/>
  <c r="Z2627" i="27"/>
  <c r="AA2627" i="27"/>
  <c r="U2627" i="27"/>
  <c r="F2627" i="27"/>
  <c r="M2627" i="27"/>
  <c r="G2627" i="27"/>
  <c r="U1243" i="27"/>
  <c r="F1243" i="27"/>
  <c r="M1243" i="27"/>
  <c r="Z1243" i="27"/>
  <c r="AA1243" i="27"/>
  <c r="Z2983" i="27"/>
  <c r="AA2983" i="27"/>
  <c r="AA3158" i="27"/>
  <c r="E3158" i="27"/>
  <c r="U1031" i="27"/>
  <c r="Z1031" i="27"/>
  <c r="AA1031" i="27"/>
  <c r="F1031" i="27"/>
  <c r="M1031" i="27"/>
  <c r="Z939" i="27"/>
  <c r="AA939" i="27"/>
  <c r="U939" i="27"/>
  <c r="F939" i="27"/>
  <c r="M939" i="27"/>
  <c r="G939" i="27"/>
  <c r="C2743" i="27"/>
  <c r="E2743" i="27"/>
  <c r="U2743" i="27"/>
  <c r="F1684" i="27"/>
  <c r="M1684" i="27"/>
  <c r="G1684" i="27"/>
  <c r="U1072" i="27"/>
  <c r="F2049" i="27"/>
  <c r="M2049" i="27"/>
  <c r="G2049" i="27"/>
  <c r="Z2049" i="27"/>
  <c r="AA2049" i="27"/>
  <c r="F1747" i="27"/>
  <c r="M1747" i="27"/>
  <c r="U1747" i="27"/>
  <c r="Z1589" i="27"/>
  <c r="AA1589" i="27"/>
  <c r="F1589" i="27"/>
  <c r="M1589" i="27"/>
  <c r="U1589" i="27"/>
  <c r="D1781" i="27"/>
  <c r="E1781" i="27"/>
  <c r="M1781" i="27"/>
  <c r="G1781" i="27"/>
  <c r="D1760" i="27"/>
  <c r="E1760" i="27"/>
  <c r="C1849" i="27"/>
  <c r="D1849" i="27"/>
  <c r="E1849" i="27"/>
  <c r="Z1708" i="27"/>
  <c r="AA1708" i="27"/>
  <c r="F1708" i="27"/>
  <c r="M1708" i="27"/>
  <c r="U2355" i="27"/>
  <c r="F2355" i="27"/>
  <c r="M2355" i="27"/>
  <c r="G2355" i="27"/>
  <c r="Z2355" i="27"/>
  <c r="AA2355" i="27"/>
  <c r="D2328" i="27"/>
  <c r="E2328" i="27"/>
  <c r="C2439" i="27"/>
  <c r="D2439" i="27"/>
  <c r="E2439" i="27"/>
  <c r="G3180" i="27"/>
  <c r="I3180" i="27"/>
  <c r="G2163" i="27"/>
  <c r="I2163" i="27"/>
  <c r="F1800" i="27"/>
  <c r="M1800" i="27"/>
  <c r="G1800" i="27"/>
  <c r="Z1800" i="27"/>
  <c r="AA1800" i="27"/>
  <c r="U1800" i="27"/>
  <c r="U564" i="27"/>
  <c r="F564" i="27"/>
  <c r="M564" i="27"/>
  <c r="Z1774" i="27"/>
  <c r="AA1774" i="27"/>
  <c r="F1774" i="27"/>
  <c r="M1774" i="27"/>
  <c r="U1774" i="27"/>
  <c r="F2513" i="27"/>
  <c r="M2513" i="27"/>
  <c r="Z2513" i="27"/>
  <c r="AA2513" i="27"/>
  <c r="U2513" i="27"/>
  <c r="F1019" i="27"/>
  <c r="M1019" i="27"/>
  <c r="U1019" i="27"/>
  <c r="Z1019" i="27"/>
  <c r="AA1019" i="27"/>
  <c r="Z895" i="27"/>
  <c r="AA895" i="27"/>
  <c r="F895" i="27"/>
  <c r="M895" i="27"/>
  <c r="I514" i="27"/>
  <c r="Z1864" i="27"/>
  <c r="AA1864" i="27"/>
  <c r="U923" i="27"/>
  <c r="F56" i="27"/>
  <c r="M56" i="27"/>
  <c r="Z56" i="27"/>
  <c r="AA56" i="27"/>
  <c r="U56" i="27"/>
  <c r="Z2412" i="27"/>
  <c r="AA2412" i="27"/>
  <c r="F2412" i="27"/>
  <c r="M2412" i="27"/>
  <c r="U2412" i="27"/>
  <c r="U2497" i="27"/>
  <c r="F2497" i="27"/>
  <c r="M2497" i="27"/>
  <c r="Z2497" i="27"/>
  <c r="AA2497" i="27"/>
  <c r="Z1451" i="27"/>
  <c r="F1451" i="27"/>
  <c r="AA1451" i="27"/>
  <c r="F2832" i="27"/>
  <c r="M2832" i="27"/>
  <c r="U2832" i="27"/>
  <c r="Z2533" i="27"/>
  <c r="AA2533" i="27"/>
  <c r="U2533" i="27"/>
  <c r="F2533" i="27"/>
  <c r="M2533" i="27"/>
  <c r="Z2515" i="27"/>
  <c r="AA2515" i="27"/>
  <c r="F2515" i="27"/>
  <c r="M2515" i="27"/>
  <c r="G2515" i="27"/>
  <c r="U2515" i="27"/>
  <c r="Z732" i="27"/>
  <c r="AA732" i="27"/>
  <c r="F732" i="27"/>
  <c r="M732" i="27"/>
  <c r="G732" i="27"/>
  <c r="Z543" i="27"/>
  <c r="AB543" i="27"/>
  <c r="AA543" i="27"/>
  <c r="U1137" i="27"/>
  <c r="U444" i="27"/>
  <c r="U511" i="27"/>
  <c r="F511" i="27"/>
  <c r="M511" i="27"/>
  <c r="I511" i="27"/>
  <c r="G511" i="27"/>
  <c r="AB1119" i="27"/>
  <c r="AA1119" i="27"/>
  <c r="U1008" i="27"/>
  <c r="F1710" i="27"/>
  <c r="M1710" i="27"/>
  <c r="C2824" i="27"/>
  <c r="D2824" i="27"/>
  <c r="E2824" i="27"/>
  <c r="F2824" i="27"/>
  <c r="E3126" i="27"/>
  <c r="U3126" i="27"/>
  <c r="I627" i="27"/>
  <c r="F661" i="27"/>
  <c r="M661" i="27"/>
  <c r="F1137" i="27"/>
  <c r="M1137" i="27"/>
  <c r="Z220" i="27"/>
  <c r="AA220" i="27"/>
  <c r="U2726" i="27"/>
  <c r="C1838" i="27"/>
  <c r="D1838" i="27"/>
  <c r="E1838" i="27"/>
  <c r="U440" i="27"/>
  <c r="Z236" i="27"/>
  <c r="AA236" i="27"/>
  <c r="AB1008" i="27"/>
  <c r="AA1008" i="27"/>
  <c r="AA3167" i="27"/>
  <c r="Z166" i="27"/>
  <c r="C1892" i="27"/>
  <c r="D1892" i="27"/>
  <c r="E1892" i="27"/>
  <c r="Z2646" i="27"/>
  <c r="AA2646" i="27"/>
  <c r="U236" i="27"/>
  <c r="U680" i="27"/>
  <c r="U166" i="27"/>
  <c r="F284" i="27"/>
  <c r="M284" i="27"/>
  <c r="U490" i="27"/>
  <c r="U730" i="27"/>
  <c r="C2693" i="27"/>
  <c r="E2693" i="27"/>
  <c r="U761" i="27"/>
  <c r="AB615" i="27"/>
  <c r="AA615" i="27"/>
  <c r="AB166" i="27"/>
  <c r="AA166" i="27"/>
  <c r="U284" i="27"/>
  <c r="E3135" i="27"/>
  <c r="E59" i="27"/>
  <c r="U59" i="27"/>
  <c r="Z244" i="27"/>
  <c r="AA244" i="27"/>
  <c r="U560" i="27"/>
  <c r="Z730" i="27"/>
  <c r="AA730" i="27"/>
  <c r="Z530" i="27"/>
  <c r="AA530" i="27"/>
  <c r="C2792" i="27"/>
  <c r="E2792" i="27"/>
  <c r="F761" i="27"/>
  <c r="M761" i="27"/>
  <c r="Z202" i="27"/>
  <c r="AA202" i="27"/>
  <c r="C1883" i="27"/>
  <c r="D1883" i="27"/>
  <c r="E1883" i="27"/>
  <c r="Z490" i="27"/>
  <c r="AA490" i="27"/>
  <c r="F689" i="27"/>
  <c r="M689" i="27"/>
  <c r="U244" i="27"/>
  <c r="Z560" i="27"/>
  <c r="AA560" i="27"/>
  <c r="F615" i="27"/>
  <c r="M615" i="27"/>
  <c r="U202" i="27"/>
  <c r="F334" i="27"/>
  <c r="M334" i="27"/>
  <c r="Z689" i="27"/>
  <c r="AA689" i="27"/>
  <c r="Z627" i="27"/>
  <c r="AA627" i="27"/>
  <c r="U615" i="27"/>
  <c r="F178" i="27"/>
  <c r="M178" i="27"/>
  <c r="U1640" i="27"/>
  <c r="F2710" i="27"/>
  <c r="M2710" i="27"/>
  <c r="G2710" i="27"/>
  <c r="C1929" i="27"/>
  <c r="F1417" i="27"/>
  <c r="M1417" i="27"/>
  <c r="U416" i="27"/>
  <c r="C2456" i="27"/>
  <c r="D2456" i="27"/>
  <c r="E2456" i="27"/>
  <c r="I530" i="27"/>
  <c r="F2840" i="27"/>
  <c r="M2840" i="27"/>
  <c r="G2840" i="27"/>
  <c r="I2840" i="27"/>
  <c r="U530" i="27"/>
  <c r="Z178" i="27"/>
  <c r="AA178" i="27"/>
  <c r="F301" i="27"/>
  <c r="M301" i="27"/>
  <c r="F137" i="27"/>
  <c r="M137" i="27"/>
  <c r="F1640" i="27"/>
  <c r="M1640" i="27"/>
  <c r="I1640" i="27"/>
  <c r="G1640" i="27"/>
  <c r="U1417" i="27"/>
  <c r="E1960" i="27"/>
  <c r="AB1960" i="27"/>
  <c r="U301" i="27"/>
  <c r="Z137" i="27"/>
  <c r="AA137" i="27"/>
  <c r="Z592" i="27"/>
  <c r="F270" i="27"/>
  <c r="M270" i="27"/>
  <c r="G270" i="27"/>
  <c r="Z2740" i="27"/>
  <c r="AA2740" i="27"/>
  <c r="U1710" i="27"/>
  <c r="C2062" i="27"/>
  <c r="E2062" i="27"/>
  <c r="Z497" i="27"/>
  <c r="U497" i="27"/>
  <c r="AB661" i="27"/>
  <c r="AA661" i="27"/>
  <c r="G1720" i="27"/>
  <c r="I1720" i="27"/>
  <c r="AA1449" i="27"/>
  <c r="U1449" i="27"/>
  <c r="Z1449" i="27"/>
  <c r="F1449" i="27"/>
  <c r="M1449" i="27"/>
  <c r="G1449" i="27"/>
  <c r="F1463" i="27"/>
  <c r="M1463" i="27"/>
  <c r="G1463" i="27"/>
  <c r="I1278" i="27"/>
  <c r="E1664" i="27"/>
  <c r="C2066" i="27"/>
  <c r="E2066" i="27"/>
  <c r="U2066" i="27"/>
  <c r="Z1865" i="27"/>
  <c r="AA1865" i="27"/>
  <c r="F1865" i="27"/>
  <c r="M1865" i="27"/>
  <c r="G1865" i="27"/>
  <c r="U1865" i="27"/>
  <c r="AA3176" i="27"/>
  <c r="E3176" i="27"/>
  <c r="Z1987" i="27"/>
  <c r="U1987" i="27"/>
  <c r="F1987" i="27"/>
  <c r="M1987" i="27"/>
  <c r="C2392" i="27"/>
  <c r="D2392" i="27"/>
  <c r="E2392" i="27"/>
  <c r="D1986" i="27"/>
  <c r="E1986" i="27"/>
  <c r="Z2341" i="27"/>
  <c r="AA2341" i="27"/>
  <c r="F2341" i="27"/>
  <c r="M2341" i="27"/>
  <c r="G2341" i="27"/>
  <c r="F2652" i="27"/>
  <c r="M2652" i="27"/>
  <c r="Z2652" i="27"/>
  <c r="AA2652" i="27"/>
  <c r="G235" i="27"/>
  <c r="I235" i="27"/>
  <c r="G702" i="27"/>
  <c r="I702" i="27"/>
  <c r="U2272" i="27"/>
  <c r="Z2272" i="27"/>
  <c r="AA2272" i="27"/>
  <c r="F2272" i="27"/>
  <c r="M2272" i="27"/>
  <c r="C2777" i="27"/>
  <c r="D2777" i="27"/>
  <c r="E2777" i="27"/>
  <c r="C2087" i="27"/>
  <c r="C2687" i="27"/>
  <c r="D2687" i="27"/>
  <c r="E2687" i="27"/>
  <c r="F2687" i="27"/>
  <c r="M2687" i="27"/>
  <c r="C2597" i="27"/>
  <c r="D2597" i="27"/>
  <c r="E2597" i="27"/>
  <c r="F2597" i="27"/>
  <c r="M2597" i="27"/>
  <c r="D2229" i="27"/>
  <c r="E2229" i="27"/>
  <c r="C2172" i="27"/>
  <c r="E2172" i="27"/>
  <c r="F2172" i="27"/>
  <c r="M2172" i="27"/>
  <c r="G2172" i="27"/>
  <c r="E2101" i="27"/>
  <c r="U2101" i="27"/>
  <c r="C2057" i="27"/>
  <c r="E2057" i="27"/>
  <c r="D1990" i="27"/>
  <c r="E1990" i="27"/>
  <c r="C2397" i="27"/>
  <c r="D2397" i="27"/>
  <c r="E2397" i="27"/>
  <c r="C2382" i="27"/>
  <c r="D2382" i="27"/>
  <c r="E2382" i="27"/>
  <c r="D1969" i="27"/>
  <c r="E1969" i="27"/>
  <c r="E1943" i="27"/>
  <c r="C2145" i="27"/>
  <c r="E2145" i="27"/>
  <c r="U2145" i="27"/>
  <c r="C2040" i="27"/>
  <c r="E2040" i="27"/>
  <c r="F1369" i="27"/>
  <c r="M1369" i="27"/>
  <c r="Z1369" i="27"/>
  <c r="AA1369" i="27"/>
  <c r="U1369" i="27"/>
  <c r="Z330" i="27"/>
  <c r="AA330" i="27"/>
  <c r="F330" i="27"/>
  <c r="M330" i="27"/>
  <c r="Z312" i="27"/>
  <c r="F312" i="27"/>
  <c r="M312" i="27"/>
  <c r="G312" i="27"/>
  <c r="I312" i="27"/>
  <c r="U312" i="27"/>
  <c r="AB312" i="27"/>
  <c r="AA312" i="27"/>
  <c r="U300" i="27"/>
  <c r="U937" i="27"/>
  <c r="Z300" i="27"/>
  <c r="AA300" i="27"/>
  <c r="F300" i="27"/>
  <c r="M300" i="27"/>
  <c r="G300" i="27"/>
  <c r="Z283" i="27"/>
  <c r="AA283" i="27"/>
  <c r="F283" i="27"/>
  <c r="M283" i="27"/>
  <c r="U283" i="27"/>
  <c r="F269" i="27"/>
  <c r="M269" i="27"/>
  <c r="G269" i="27"/>
  <c r="U269" i="27"/>
  <c r="Z269" i="27"/>
  <c r="AA269" i="27"/>
  <c r="F216" i="27"/>
  <c r="M216" i="27"/>
  <c r="Z216" i="27"/>
  <c r="AB216" i="27"/>
  <c r="AA216" i="27"/>
  <c r="F177" i="27"/>
  <c r="M177" i="27"/>
  <c r="U177" i="27"/>
  <c r="Z177" i="27"/>
  <c r="AA177" i="27"/>
  <c r="Z165" i="27"/>
  <c r="AA165" i="27"/>
  <c r="U165" i="27"/>
  <c r="F165" i="27"/>
  <c r="M165" i="27"/>
  <c r="F136" i="27"/>
  <c r="M136" i="27"/>
  <c r="G136" i="27"/>
  <c r="Z136" i="27"/>
  <c r="AA136" i="27"/>
  <c r="E58" i="27"/>
  <c r="C1922" i="27"/>
  <c r="E1922" i="27"/>
  <c r="Z2438" i="27"/>
  <c r="AA2438" i="27"/>
  <c r="F2438" i="27"/>
  <c r="M2438" i="27"/>
  <c r="F1672" i="27"/>
  <c r="M1672" i="27"/>
  <c r="G1672" i="27"/>
  <c r="U1672" i="27"/>
  <c r="U484" i="27"/>
  <c r="F484" i="27"/>
  <c r="M484" i="27"/>
  <c r="Z484" i="27"/>
  <c r="AA484" i="27"/>
  <c r="Z2281" i="27"/>
  <c r="AA2281" i="27"/>
  <c r="F2281" i="27"/>
  <c r="M2281" i="27"/>
  <c r="G2281" i="27"/>
  <c r="U789" i="27"/>
  <c r="F789" i="27"/>
  <c r="M789" i="27"/>
  <c r="G789" i="27"/>
  <c r="Z789" i="27"/>
  <c r="AA789" i="27"/>
  <c r="U842" i="27"/>
  <c r="F842" i="27"/>
  <c r="M842" i="27"/>
  <c r="I1076" i="27"/>
  <c r="G1020" i="27"/>
  <c r="I1020" i="27"/>
  <c r="F3172" i="27"/>
  <c r="M3172" i="27"/>
  <c r="G3172" i="27"/>
  <c r="U3172" i="27"/>
  <c r="U2300" i="27"/>
  <c r="Z2300" i="27"/>
  <c r="AA2300" i="27"/>
  <c r="Z404" i="27"/>
  <c r="AB404" i="27"/>
  <c r="AA404" i="27"/>
  <c r="U404" i="27"/>
  <c r="Z392" i="27"/>
  <c r="AA392" i="27"/>
  <c r="U392" i="27"/>
  <c r="F392" i="27"/>
  <c r="M392" i="27"/>
  <c r="G392" i="27"/>
  <c r="U364" i="27"/>
  <c r="Z364" i="27"/>
  <c r="AB364" i="27"/>
  <c r="AA364" i="27"/>
  <c r="F364" i="27"/>
  <c r="M364" i="27"/>
  <c r="G364" i="27"/>
  <c r="G1419" i="27"/>
  <c r="AA1419" i="27"/>
  <c r="F2575" i="27"/>
  <c r="M2575" i="27"/>
  <c r="U2575" i="27"/>
  <c r="U1314" i="27"/>
  <c r="Z2511" i="27"/>
  <c r="AA2511" i="27"/>
  <c r="Z60" i="27"/>
  <c r="AA60" i="27"/>
  <c r="U60" i="27"/>
  <c r="U1553" i="27"/>
  <c r="F1553" i="27"/>
  <c r="M1553" i="27"/>
  <c r="G1553" i="27"/>
  <c r="Z1553" i="27"/>
  <c r="D1210" i="27"/>
  <c r="E1210" i="27"/>
  <c r="D2346" i="27"/>
  <c r="E2346" i="27"/>
  <c r="C2454" i="27"/>
  <c r="D2454" i="27"/>
  <c r="E2454" i="27"/>
  <c r="F643" i="27"/>
  <c r="M643" i="27"/>
  <c r="U643" i="27"/>
  <c r="M2628" i="27"/>
  <c r="G2628" i="27"/>
  <c r="F2628" i="27"/>
  <c r="F2342" i="27"/>
  <c r="M2342" i="27"/>
  <c r="Z2342" i="27"/>
  <c r="AA2342" i="27"/>
  <c r="F1038" i="27"/>
  <c r="M1038" i="27"/>
  <c r="Z1038" i="27"/>
  <c r="AA1038" i="27"/>
  <c r="U1038" i="27"/>
  <c r="Z2557" i="27"/>
  <c r="AA2557" i="27"/>
  <c r="U2557" i="27"/>
  <c r="U1094" i="27"/>
  <c r="F1094" i="27"/>
  <c r="M1094" i="27"/>
  <c r="Z1094" i="27"/>
  <c r="AA1094" i="27"/>
  <c r="U340" i="27"/>
  <c r="F340" i="27"/>
  <c r="M340" i="27"/>
  <c r="G340" i="27"/>
  <c r="Z340" i="27"/>
  <c r="AA340" i="27"/>
  <c r="F339" i="27"/>
  <c r="M339" i="27"/>
  <c r="G339" i="27"/>
  <c r="I339" i="27"/>
  <c r="U339" i="27"/>
  <c r="F1406" i="27"/>
  <c r="M1406" i="27"/>
  <c r="U1406" i="27"/>
  <c r="Z1406" i="27"/>
  <c r="F1314" i="27"/>
  <c r="M1314" i="27"/>
  <c r="Z67" i="27"/>
  <c r="AA67" i="27"/>
  <c r="F1722" i="27"/>
  <c r="M1722" i="27"/>
  <c r="C1580" i="27"/>
  <c r="E1580" i="27"/>
  <c r="C1504" i="27"/>
  <c r="E1504" i="27"/>
  <c r="C2128" i="27"/>
  <c r="E2128" i="27"/>
  <c r="U2169" i="27"/>
  <c r="Z2169" i="27"/>
  <c r="AA2169" i="27"/>
  <c r="U1260" i="27"/>
  <c r="F1260" i="27"/>
  <c r="M1260" i="27"/>
  <c r="Z671" i="27"/>
  <c r="U671" i="27"/>
  <c r="F671" i="27"/>
  <c r="M671" i="27"/>
  <c r="G671" i="27"/>
  <c r="AB671" i="27"/>
  <c r="AA671" i="27"/>
  <c r="Z538" i="27"/>
  <c r="AA538" i="27"/>
  <c r="F538" i="27"/>
  <c r="M538" i="27"/>
  <c r="G538" i="27"/>
  <c r="Z507" i="27"/>
  <c r="AA507" i="27"/>
  <c r="U507" i="27"/>
  <c r="F507" i="27"/>
  <c r="M507" i="27"/>
  <c r="F480" i="27"/>
  <c r="M480" i="27"/>
  <c r="U480" i="27"/>
  <c r="D1686" i="27"/>
  <c r="E1686" i="27"/>
  <c r="C1836" i="27"/>
  <c r="D1836" i="27"/>
  <c r="E1836" i="27"/>
  <c r="U1836" i="27"/>
  <c r="Z2624" i="27"/>
  <c r="AA2624" i="27"/>
  <c r="F2624" i="27"/>
  <c r="M2624" i="27"/>
  <c r="G2624" i="27"/>
  <c r="U2624" i="27"/>
  <c r="Z635" i="27"/>
  <c r="AA635" i="27"/>
  <c r="F635" i="27"/>
  <c r="M635" i="27"/>
  <c r="G635" i="27"/>
  <c r="U639" i="27"/>
  <c r="Z639" i="27"/>
  <c r="AA639" i="27"/>
  <c r="F639" i="27"/>
  <c r="M639" i="27"/>
  <c r="G639" i="27"/>
  <c r="Z971" i="27"/>
  <c r="AA971" i="27"/>
  <c r="F971" i="27"/>
  <c r="M971" i="27"/>
  <c r="G971" i="27"/>
  <c r="U971" i="27"/>
  <c r="Z1720" i="27"/>
  <c r="AA1720" i="27"/>
  <c r="C2815" i="27"/>
  <c r="D2815" i="27"/>
  <c r="E2815" i="27"/>
  <c r="Z2815" i="27"/>
  <c r="AA2815" i="27"/>
  <c r="Z1722" i="27"/>
  <c r="AA1722" i="27"/>
  <c r="U3134" i="27"/>
  <c r="F3134" i="27"/>
  <c r="M3134" i="27"/>
  <c r="G3134" i="27"/>
  <c r="U1419" i="27"/>
  <c r="Z1419" i="27"/>
  <c r="Z669" i="27"/>
  <c r="AA669" i="27"/>
  <c r="F669" i="27"/>
  <c r="M669" i="27"/>
  <c r="U669" i="27"/>
  <c r="F622" i="27"/>
  <c r="M622" i="27"/>
  <c r="G622" i="27"/>
  <c r="AB622" i="27"/>
  <c r="AA622" i="27"/>
  <c r="Z622" i="27"/>
  <c r="U586" i="27"/>
  <c r="F586" i="27"/>
  <c r="M586" i="27"/>
  <c r="G586" i="27"/>
  <c r="Z586" i="27"/>
  <c r="AA586" i="27"/>
  <c r="Z552" i="27"/>
  <c r="AA552" i="27"/>
  <c r="F552" i="27"/>
  <c r="M552" i="27"/>
  <c r="G552" i="27"/>
  <c r="Z360" i="27"/>
  <c r="AA360" i="27"/>
  <c r="F360" i="27"/>
  <c r="M360" i="27"/>
  <c r="G360" i="27"/>
  <c r="U360" i="27"/>
  <c r="E3153" i="27"/>
  <c r="AA3153" i="27"/>
  <c r="C1535" i="27"/>
  <c r="E1535" i="27"/>
  <c r="E1433" i="27"/>
  <c r="F1433" i="27"/>
  <c r="M1433" i="27"/>
  <c r="C1603" i="27"/>
  <c r="E1603" i="27"/>
  <c r="U1603" i="27"/>
  <c r="U2009" i="27"/>
  <c r="C2635" i="27"/>
  <c r="D2635" i="27"/>
  <c r="E2635" i="27"/>
  <c r="F2635" i="27"/>
  <c r="M2635" i="27"/>
  <c r="G2635" i="27"/>
  <c r="C2129" i="27"/>
  <c r="E2129" i="27"/>
  <c r="U2129" i="27"/>
  <c r="C1581" i="27"/>
  <c r="E1581" i="27"/>
  <c r="Z1791" i="27"/>
  <c r="AA1791" i="27"/>
  <c r="U1791" i="27"/>
  <c r="F1791" i="27"/>
  <c r="M1791" i="27"/>
  <c r="U2289" i="27"/>
  <c r="Z2289" i="27"/>
  <c r="AA2289" i="27"/>
  <c r="F2289" i="27"/>
  <c r="M2289" i="27"/>
  <c r="C1837" i="27"/>
  <c r="D1837" i="27"/>
  <c r="E1837" i="27"/>
  <c r="D1680" i="27"/>
  <c r="E1680" i="27"/>
  <c r="C2070" i="27"/>
  <c r="D2070" i="27"/>
  <c r="E2070" i="27"/>
  <c r="F2070" i="27"/>
  <c r="M2070" i="27"/>
  <c r="G2070" i="27"/>
  <c r="C2157" i="27"/>
  <c r="D2157" i="27"/>
  <c r="E2157" i="27"/>
  <c r="Z2157" i="27"/>
  <c r="AA2157" i="27"/>
  <c r="C1904" i="27"/>
  <c r="D1904" i="27"/>
  <c r="E1904" i="27"/>
  <c r="D1788" i="27"/>
  <c r="E1788" i="27"/>
  <c r="U2348" i="27"/>
  <c r="Z2348" i="27"/>
  <c r="AA2348" i="27"/>
  <c r="Z1468" i="27"/>
  <c r="AA1468" i="27"/>
  <c r="Z842" i="27"/>
  <c r="AA842" i="27"/>
  <c r="Z1246" i="27"/>
  <c r="AA1246" i="27"/>
  <c r="F1246" i="27"/>
  <c r="M1246" i="27"/>
  <c r="Z1278" i="27"/>
  <c r="AA1278" i="27"/>
  <c r="U1191" i="27"/>
  <c r="F1191" i="27"/>
  <c r="M1191" i="27"/>
  <c r="G1191" i="27"/>
  <c r="Z1191" i="27"/>
  <c r="AA1191" i="27"/>
  <c r="U779" i="27"/>
  <c r="Z779" i="27"/>
  <c r="AB779" i="27"/>
  <c r="AA779" i="27"/>
  <c r="F766" i="27"/>
  <c r="M766" i="27"/>
  <c r="G766" i="27"/>
  <c r="U766" i="27"/>
  <c r="Z766" i="27"/>
  <c r="AA766" i="27"/>
  <c r="AA3142" i="27"/>
  <c r="E3142" i="27"/>
  <c r="U963" i="27"/>
  <c r="Z963" i="27"/>
  <c r="AA963" i="27"/>
  <c r="F963" i="27"/>
  <c r="M963" i="27"/>
  <c r="G963" i="27"/>
  <c r="I963" i="27"/>
  <c r="F464" i="27"/>
  <c r="M464" i="27"/>
  <c r="G464" i="27"/>
  <c r="Z464" i="27"/>
  <c r="AA464" i="27"/>
  <c r="U464" i="27"/>
  <c r="U2519" i="27"/>
  <c r="Z2519" i="27"/>
  <c r="AA2519" i="27"/>
  <c r="F2519" i="27"/>
  <c r="M2519" i="27"/>
  <c r="E115" i="27"/>
  <c r="F115" i="27"/>
  <c r="AA115" i="27"/>
  <c r="F2793" i="27"/>
  <c r="M2793" i="27"/>
  <c r="U2793" i="27"/>
  <c r="U1723" i="27"/>
  <c r="F1723" i="27"/>
  <c r="M1723" i="27"/>
  <c r="Z1723" i="27"/>
  <c r="AA1723" i="27"/>
  <c r="F1229" i="27"/>
  <c r="M1229" i="27"/>
  <c r="U1229" i="27"/>
  <c r="Z1229" i="27"/>
  <c r="AA1229" i="27"/>
  <c r="U1225" i="27"/>
  <c r="Z1225" i="27"/>
  <c r="AA1225" i="27"/>
  <c r="F1225" i="27"/>
  <c r="M1225" i="27"/>
  <c r="AB546" i="27"/>
  <c r="AA546" i="27"/>
  <c r="F546" i="27"/>
  <c r="M546" i="27"/>
  <c r="U546" i="27"/>
  <c r="Z546" i="27"/>
  <c r="U2443" i="27"/>
  <c r="F2443" i="27"/>
  <c r="M2443" i="27"/>
  <c r="D1462" i="27"/>
  <c r="E1462" i="27"/>
  <c r="C1366" i="27"/>
  <c r="D1366" i="27"/>
  <c r="E1366" i="27"/>
  <c r="C1550" i="27"/>
  <c r="E1550" i="27"/>
  <c r="AA1550" i="27"/>
  <c r="C1617" i="27"/>
  <c r="E1617" i="27"/>
  <c r="C2370" i="27"/>
  <c r="D2370" i="27"/>
  <c r="E2370" i="27"/>
  <c r="D2246" i="27"/>
  <c r="E2246" i="27"/>
  <c r="Z2334" i="27"/>
  <c r="AA2334" i="27"/>
  <c r="U2334" i="27"/>
  <c r="F2334" i="27"/>
  <c r="M2334" i="27"/>
  <c r="F815" i="27"/>
  <c r="M815" i="27"/>
  <c r="Z815" i="27"/>
  <c r="AB815" i="27"/>
  <c r="AA815" i="27"/>
  <c r="U815" i="27"/>
  <c r="AB828" i="27"/>
  <c r="AA828" i="27"/>
  <c r="F828" i="27"/>
  <c r="M828" i="27"/>
  <c r="Z828" i="27"/>
  <c r="U828" i="27"/>
  <c r="U854" i="27"/>
  <c r="F854" i="27"/>
  <c r="M854" i="27"/>
  <c r="Z854" i="27"/>
  <c r="AB854" i="27"/>
  <c r="AA854" i="27"/>
  <c r="Z868" i="27"/>
  <c r="F868" i="27"/>
  <c r="M868" i="27"/>
  <c r="U868" i="27"/>
  <c r="D1936" i="27"/>
  <c r="E1936" i="27"/>
  <c r="F1468" i="27"/>
  <c r="M1468" i="27"/>
  <c r="Z2320" i="27"/>
  <c r="AA2320" i="27"/>
  <c r="F1687" i="27"/>
  <c r="M1687" i="27"/>
  <c r="G1687" i="27"/>
  <c r="Z1687" i="27"/>
  <c r="AA1687" i="27"/>
  <c r="Z1334" i="27"/>
  <c r="AA1334" i="27"/>
  <c r="F1334" i="27"/>
  <c r="M1334" i="27"/>
  <c r="G1334" i="27"/>
  <c r="I1334" i="27"/>
  <c r="C1859" i="27"/>
  <c r="D1859" i="27"/>
  <c r="E1859" i="27"/>
  <c r="D1764" i="27"/>
  <c r="E1764" i="27"/>
  <c r="Z1764" i="27"/>
  <c r="AA1764" i="27"/>
  <c r="U1202" i="27"/>
  <c r="F1202" i="27"/>
  <c r="M1202" i="27"/>
  <c r="G1202" i="27"/>
  <c r="I1202" i="27"/>
  <c r="Z1202" i="27"/>
  <c r="U873" i="27"/>
  <c r="F873" i="27"/>
  <c r="M873" i="27"/>
  <c r="G873" i="27"/>
  <c r="Z873" i="27"/>
  <c r="AA873" i="27"/>
  <c r="U434" i="27"/>
  <c r="Z434" i="27"/>
  <c r="F434" i="27"/>
  <c r="M434" i="27"/>
  <c r="AB434" i="27"/>
  <c r="AA434" i="27"/>
  <c r="F3173" i="27"/>
  <c r="M3173" i="27"/>
  <c r="U3173" i="27"/>
  <c r="Z333" i="27"/>
  <c r="AA333" i="27"/>
  <c r="U333" i="27"/>
  <c r="F333" i="27"/>
  <c r="M333" i="27"/>
  <c r="G333" i="27"/>
  <c r="F1945" i="27"/>
  <c r="M1945" i="27"/>
  <c r="G1945" i="27"/>
  <c r="AA1945" i="27"/>
  <c r="E1919" i="27"/>
  <c r="F2320" i="27"/>
  <c r="M2320" i="27"/>
  <c r="E2989" i="27"/>
  <c r="Z2989" i="27"/>
  <c r="D2989" i="27"/>
  <c r="F3133" i="27"/>
  <c r="M3133" i="27"/>
  <c r="U3133" i="27"/>
  <c r="F1964" i="27"/>
  <c r="M1964" i="27"/>
  <c r="AB1964" i="27"/>
  <c r="Z1964" i="27"/>
  <c r="U1964" i="27"/>
  <c r="G2557" i="27"/>
  <c r="I2557" i="27"/>
  <c r="E3168" i="27"/>
  <c r="AA3168" i="27"/>
  <c r="AA3148" i="27"/>
  <c r="E3148" i="27"/>
  <c r="AA3121" i="27"/>
  <c r="E3121" i="27"/>
  <c r="E2954" i="27"/>
  <c r="Z2954" i="27"/>
  <c r="AA2954" i="27"/>
  <c r="C2997" i="27"/>
  <c r="E2997" i="27"/>
  <c r="F2552" i="27"/>
  <c r="M2552" i="27"/>
  <c r="Z2552" i="27"/>
  <c r="AA2552" i="27"/>
  <c r="Z2537" i="27"/>
  <c r="AA2537" i="27"/>
  <c r="F2537" i="27"/>
  <c r="M2537" i="27"/>
  <c r="G2537" i="27"/>
  <c r="F2501" i="27"/>
  <c r="M2501" i="27"/>
  <c r="U2501" i="27"/>
  <c r="Z2486" i="27"/>
  <c r="AA2486" i="27"/>
  <c r="F2486" i="27"/>
  <c r="M2486" i="27"/>
  <c r="F2305" i="27"/>
  <c r="M2305" i="27"/>
  <c r="U2305" i="27"/>
  <c r="Z2305" i="27"/>
  <c r="AA2305" i="27"/>
  <c r="U1106" i="27"/>
  <c r="F1106" i="27"/>
  <c r="M1106" i="27"/>
  <c r="Z1106" i="27"/>
  <c r="AA1106" i="27"/>
  <c r="Z1088" i="27"/>
  <c r="AA1088" i="27"/>
  <c r="F1088" i="27"/>
  <c r="M1088" i="27"/>
  <c r="U1088" i="27"/>
  <c r="Z1075" i="27"/>
  <c r="AA1075" i="27"/>
  <c r="F1075" i="27"/>
  <c r="M1075" i="27"/>
  <c r="Z1062" i="27"/>
  <c r="AA1062" i="27"/>
  <c r="F1062" i="27"/>
  <c r="M1062" i="27"/>
  <c r="G1062" i="27"/>
  <c r="U1062" i="27"/>
  <c r="U1048" i="27"/>
  <c r="Z1048" i="27"/>
  <c r="AA1048" i="27"/>
  <c r="U1022" i="27"/>
  <c r="F1022" i="27"/>
  <c r="M1022" i="27"/>
  <c r="Z1022" i="27"/>
  <c r="AA1022" i="27"/>
  <c r="F1007" i="27"/>
  <c r="M1007" i="27"/>
  <c r="U1007" i="27"/>
  <c r="Z1007" i="27"/>
  <c r="AA1007" i="27"/>
  <c r="U995" i="27"/>
  <c r="Z995" i="27"/>
  <c r="AB995" i="27"/>
  <c r="AA995" i="27"/>
  <c r="F995" i="27"/>
  <c r="M995" i="27"/>
  <c r="Z961" i="27"/>
  <c r="AA961" i="27"/>
  <c r="U961" i="27"/>
  <c r="F961" i="27"/>
  <c r="M961" i="27"/>
  <c r="G961" i="27"/>
  <c r="F942" i="27"/>
  <c r="M942" i="27"/>
  <c r="Z942" i="27"/>
  <c r="AA942" i="27"/>
  <c r="U942" i="27"/>
  <c r="Z926" i="27"/>
  <c r="AA926" i="27"/>
  <c r="U926" i="27"/>
  <c r="F885" i="27"/>
  <c r="M885" i="27"/>
  <c r="G885" i="27"/>
  <c r="U885" i="27"/>
  <c r="Z885" i="27"/>
  <c r="F2631" i="27"/>
  <c r="M2631" i="27"/>
  <c r="G2631" i="27"/>
  <c r="Z2631" i="27"/>
  <c r="AA2631" i="27"/>
  <c r="U2631" i="27"/>
  <c r="D3063" i="27"/>
  <c r="AA3063" i="27"/>
  <c r="C3089" i="27"/>
  <c r="D3089" i="27"/>
  <c r="AA3089" i="27"/>
  <c r="C3090" i="27"/>
  <c r="D3090" i="27"/>
  <c r="AA3090" i="27"/>
  <c r="F1644" i="27"/>
  <c r="M1644" i="27"/>
  <c r="U1644" i="27"/>
  <c r="Z233" i="27"/>
  <c r="AA233" i="27"/>
  <c r="F233" i="27"/>
  <c r="M233" i="27"/>
  <c r="Z1414" i="27"/>
  <c r="U1414" i="27"/>
  <c r="F1414" i="27"/>
  <c r="M1414" i="27"/>
  <c r="C2126" i="27"/>
  <c r="E2126" i="27"/>
  <c r="I506" i="27"/>
  <c r="F1647" i="27"/>
  <c r="M1647" i="27"/>
  <c r="U1647" i="27"/>
  <c r="Z1647" i="27"/>
  <c r="AA1647" i="27"/>
  <c r="F1959" i="27"/>
  <c r="M1959" i="27"/>
  <c r="G1959" i="27"/>
  <c r="AA1959" i="27"/>
  <c r="AB1959" i="27"/>
  <c r="U1959" i="27"/>
  <c r="Z1959" i="27"/>
  <c r="F2432" i="27"/>
  <c r="U2432" i="27"/>
  <c r="Z2432" i="27"/>
  <c r="AA2432" i="27"/>
  <c r="U1711" i="27"/>
  <c r="Z1711" i="27"/>
  <c r="F1711" i="27"/>
  <c r="M1711" i="27"/>
  <c r="F1464" i="27"/>
  <c r="M1464" i="27"/>
  <c r="U1464" i="27"/>
  <c r="Z1464" i="27"/>
  <c r="AA1464" i="27"/>
  <c r="Z795" i="27"/>
  <c r="AA795" i="27"/>
  <c r="F795" i="27"/>
  <c r="M795" i="27"/>
  <c r="U795" i="27"/>
  <c r="D1679" i="27"/>
  <c r="E1679" i="27"/>
  <c r="U1679" i="27"/>
  <c r="C1894" i="27"/>
  <c r="D1894" i="27"/>
  <c r="E1894" i="27"/>
  <c r="F665" i="27"/>
  <c r="M665" i="27"/>
  <c r="G665" i="27"/>
  <c r="U665" i="27"/>
  <c r="AB665" i="27"/>
  <c r="AA665" i="27"/>
  <c r="Z665" i="27"/>
  <c r="Z568" i="27"/>
  <c r="AA568" i="27"/>
  <c r="U568" i="27"/>
  <c r="F568" i="27"/>
  <c r="M568" i="27"/>
  <c r="Z242" i="27"/>
  <c r="AA242" i="27"/>
  <c r="F242" i="27"/>
  <c r="M242" i="27"/>
  <c r="U478" i="27"/>
  <c r="F478" i="27"/>
  <c r="M478" i="27"/>
  <c r="Z478" i="27"/>
  <c r="AA478" i="27"/>
  <c r="Z229" i="27"/>
  <c r="AA229" i="27"/>
  <c r="F229" i="27"/>
  <c r="M229" i="27"/>
  <c r="G229" i="27"/>
  <c r="I229" i="27"/>
  <c r="U229" i="27"/>
  <c r="U683" i="27"/>
  <c r="Z683" i="27"/>
  <c r="AA683" i="27"/>
  <c r="F683" i="27"/>
  <c r="M683" i="27"/>
  <c r="G683" i="27"/>
  <c r="M1356" i="27"/>
  <c r="G1356" i="27"/>
  <c r="E602" i="27"/>
  <c r="F406" i="27"/>
  <c r="M406" i="27"/>
  <c r="C2699" i="27"/>
  <c r="E2699" i="27"/>
  <c r="F2699" i="27"/>
  <c r="M2699" i="27"/>
  <c r="E1966" i="27"/>
  <c r="F1966" i="27"/>
  <c r="M1966" i="27"/>
  <c r="G1966" i="27"/>
  <c r="AA1966" i="27"/>
  <c r="C2161" i="27"/>
  <c r="E2161" i="27"/>
  <c r="F2161" i="27"/>
  <c r="M2161" i="27"/>
  <c r="F3177" i="27"/>
  <c r="M3177" i="27"/>
  <c r="U2812" i="27"/>
  <c r="Z2812" i="27"/>
  <c r="AA2812" i="27"/>
  <c r="F2812" i="27"/>
  <c r="M2812" i="27"/>
  <c r="Z1801" i="27"/>
  <c r="AA1801" i="27"/>
  <c r="F1801" i="27"/>
  <c r="M1801" i="27"/>
  <c r="G1801" i="27"/>
  <c r="I1801" i="27"/>
  <c r="U1801" i="27"/>
  <c r="F2714" i="27"/>
  <c r="M2714" i="27"/>
  <c r="G2714" i="27"/>
  <c r="U2714" i="27"/>
  <c r="Z2714" i="27"/>
  <c r="AA2714" i="27"/>
  <c r="Z679" i="27"/>
  <c r="AA679" i="27"/>
  <c r="F679" i="27"/>
  <c r="M679" i="27"/>
  <c r="G679" i="27"/>
  <c r="M1876" i="27"/>
  <c r="G30" i="27"/>
  <c r="I30" i="27"/>
  <c r="F2722" i="27"/>
  <c r="M2722" i="27"/>
  <c r="U2722" i="27"/>
  <c r="Z2722" i="27"/>
  <c r="AA2722" i="27"/>
  <c r="F2058" i="27"/>
  <c r="M2058" i="27"/>
  <c r="U2058" i="27"/>
  <c r="F3102" i="27"/>
  <c r="M3102" i="27"/>
  <c r="U3102" i="27"/>
  <c r="Z1291" i="27"/>
  <c r="AA1291" i="27"/>
  <c r="F1291" i="27"/>
  <c r="M1291" i="27"/>
  <c r="U1291" i="27"/>
  <c r="U336" i="27"/>
  <c r="F336" i="27"/>
  <c r="M336" i="27"/>
  <c r="Z336" i="27"/>
  <c r="AA336" i="27"/>
  <c r="G1250" i="27"/>
  <c r="I1250" i="27"/>
  <c r="G473" i="27"/>
  <c r="I473" i="27"/>
  <c r="Z2189" i="27"/>
  <c r="AA2189" i="27"/>
  <c r="U2189" i="27"/>
  <c r="F2189" i="27"/>
  <c r="M2189" i="27"/>
  <c r="G172" i="27"/>
  <c r="I172" i="27"/>
  <c r="G1729" i="27"/>
  <c r="I1729" i="27"/>
  <c r="M2433" i="27"/>
  <c r="G2433" i="27"/>
  <c r="D2433" i="27"/>
  <c r="E2433" i="27"/>
  <c r="U2433" i="27"/>
  <c r="Z2193" i="27"/>
  <c r="AA2193" i="27"/>
  <c r="U2193" i="27"/>
  <c r="F2193" i="27"/>
  <c r="M2193" i="27"/>
  <c r="G1128" i="27"/>
  <c r="I1128" i="27"/>
  <c r="C2846" i="27"/>
  <c r="D2846" i="27"/>
  <c r="E2846" i="27"/>
  <c r="Z2846" i="27"/>
  <c r="AA2846" i="27"/>
  <c r="G978" i="27"/>
  <c r="I978" i="27"/>
  <c r="AA1961" i="27"/>
  <c r="F2055" i="27"/>
  <c r="M2055" i="27"/>
  <c r="U2055" i="27"/>
  <c r="Z2055" i="27"/>
  <c r="AA2055" i="27"/>
  <c r="G26" i="27"/>
  <c r="I26" i="27"/>
  <c r="F1442" i="27"/>
  <c r="M1442" i="27"/>
  <c r="G1442" i="27"/>
  <c r="U1442" i="27"/>
  <c r="Z1442" i="27"/>
  <c r="AA1442" i="27"/>
  <c r="Z1650" i="27"/>
  <c r="AA1650" i="27"/>
  <c r="U2049" i="27"/>
  <c r="C2847" i="27"/>
  <c r="D2847" i="27"/>
  <c r="E2847" i="27"/>
  <c r="U2847" i="27"/>
  <c r="C2757" i="27"/>
  <c r="D2757" i="27"/>
  <c r="E2757" i="27"/>
  <c r="D2583" i="27"/>
  <c r="E2583" i="27"/>
  <c r="G1409" i="27"/>
  <c r="AA1409" i="27"/>
  <c r="U2234" i="27"/>
  <c r="Z1858" i="27"/>
  <c r="AA1858" i="27"/>
  <c r="U1858" i="27"/>
  <c r="F1858" i="27"/>
  <c r="M1858" i="27"/>
  <c r="F114" i="27"/>
  <c r="M1444" i="27"/>
  <c r="U1444" i="27"/>
  <c r="Z1444" i="27"/>
  <c r="AA1444" i="27"/>
  <c r="Z798" i="27"/>
  <c r="AA798" i="27"/>
  <c r="U798" i="27"/>
  <c r="F798" i="27"/>
  <c r="M798" i="27"/>
  <c r="F1408" i="27"/>
  <c r="M1408" i="27"/>
  <c r="U1408" i="27"/>
  <c r="Z1408" i="27"/>
  <c r="Z1412" i="27"/>
  <c r="F1412" i="27"/>
  <c r="M1412" i="27"/>
  <c r="Z2992" i="27"/>
  <c r="D1775" i="27"/>
  <c r="E1775" i="27"/>
  <c r="C1884" i="27"/>
  <c r="D1884" i="27"/>
  <c r="E1884" i="27"/>
  <c r="I2250" i="27"/>
  <c r="U2304" i="27"/>
  <c r="U2232" i="27"/>
  <c r="F2232" i="27"/>
  <c r="M2232" i="27"/>
  <c r="G2232" i="27"/>
  <c r="U902" i="27"/>
  <c r="AB902" i="27"/>
  <c r="AA902" i="27"/>
  <c r="Z902" i="27"/>
  <c r="F902" i="27"/>
  <c r="M902" i="27"/>
  <c r="I902" i="27"/>
  <c r="G902" i="27"/>
  <c r="G2817" i="27"/>
  <c r="I2817" i="27"/>
  <c r="D3061" i="27"/>
  <c r="AA3061" i="27"/>
  <c r="C3086" i="27"/>
  <c r="D3086" i="27"/>
  <c r="AA3086" i="27"/>
  <c r="C3085" i="27"/>
  <c r="D3085" i="27"/>
  <c r="AA3085" i="27"/>
  <c r="I2505" i="27"/>
  <c r="F2304" i="27"/>
  <c r="M2304" i="27"/>
  <c r="Z1434" i="27"/>
  <c r="AA1434" i="27"/>
  <c r="F1434" i="27"/>
  <c r="M1434" i="27"/>
  <c r="Z2044" i="27"/>
  <c r="AA2044" i="27"/>
  <c r="F2044" i="27"/>
  <c r="M2044" i="27"/>
  <c r="Z877" i="27"/>
  <c r="AA877" i="27"/>
  <c r="F877" i="27"/>
  <c r="M877" i="27"/>
  <c r="U877" i="27"/>
  <c r="F357" i="27"/>
  <c r="M357" i="27"/>
  <c r="G357" i="27"/>
  <c r="I357" i="27"/>
  <c r="U357" i="27"/>
  <c r="Z357" i="27"/>
  <c r="AA357" i="27"/>
  <c r="U320" i="27"/>
  <c r="Z320" i="27"/>
  <c r="AA320" i="27"/>
  <c r="AA1671" i="27"/>
  <c r="Z1671" i="27"/>
  <c r="F1671" i="27"/>
  <c r="M1671" i="27"/>
  <c r="I1671" i="27"/>
  <c r="G1671" i="27"/>
  <c r="Z1349" i="27"/>
  <c r="AA1349" i="27"/>
  <c r="G1984" i="27"/>
  <c r="AA1984" i="27"/>
  <c r="F1555" i="27"/>
  <c r="M1555" i="27"/>
  <c r="AA1555" i="27"/>
  <c r="Z1555" i="27"/>
  <c r="U1555" i="27"/>
  <c r="U2286" i="27"/>
  <c r="Z2286" i="27"/>
  <c r="AA2286" i="27"/>
  <c r="F2286" i="27"/>
  <c r="M2286" i="27"/>
  <c r="G2286" i="27"/>
  <c r="I2286" i="27"/>
  <c r="Z1054" i="27"/>
  <c r="AA1054" i="27"/>
  <c r="F1054" i="27"/>
  <c r="M1054" i="27"/>
  <c r="U1054" i="27"/>
  <c r="U1039" i="27"/>
  <c r="F1039" i="27"/>
  <c r="M1039" i="27"/>
  <c r="Z1039" i="27"/>
  <c r="AA1039" i="27"/>
  <c r="U1026" i="27"/>
  <c r="Z1026" i="27"/>
  <c r="AA1026" i="27"/>
  <c r="F1026" i="27"/>
  <c r="M1026" i="27"/>
  <c r="Z967" i="27"/>
  <c r="AA967" i="27"/>
  <c r="U967" i="27"/>
  <c r="F967" i="27"/>
  <c r="M967" i="27"/>
  <c r="U918" i="27"/>
  <c r="F918" i="27"/>
  <c r="M918" i="27"/>
  <c r="F889" i="27"/>
  <c r="M889" i="27"/>
  <c r="Z889" i="27"/>
  <c r="AA889" i="27"/>
  <c r="U1738" i="27"/>
  <c r="F1738" i="27"/>
  <c r="M1738" i="27"/>
  <c r="Z1738" i="27"/>
  <c r="AA1738" i="27"/>
  <c r="C1891" i="27"/>
  <c r="D1891" i="27"/>
  <c r="E1891" i="27"/>
  <c r="D1685" i="27"/>
  <c r="E1685" i="27"/>
  <c r="Z1643" i="27"/>
  <c r="AA1643" i="27"/>
  <c r="F1643" i="27"/>
  <c r="M1643" i="27"/>
  <c r="U1643" i="27"/>
  <c r="U430" i="27"/>
  <c r="Z430" i="27"/>
  <c r="AA430" i="27"/>
  <c r="F430" i="27"/>
  <c r="M430" i="27"/>
  <c r="G430" i="27"/>
  <c r="F367" i="27"/>
  <c r="U367" i="27"/>
  <c r="Z367" i="27"/>
  <c r="AA367" i="27"/>
  <c r="Z303" i="27"/>
  <c r="AA303" i="27"/>
  <c r="F303" i="27"/>
  <c r="M303" i="27"/>
  <c r="U303" i="27"/>
  <c r="U938" i="27"/>
  <c r="U2302" i="27"/>
  <c r="U1871" i="27"/>
  <c r="U2044" i="27"/>
  <c r="F1363" i="27"/>
  <c r="M1363" i="27"/>
  <c r="U1363" i="27"/>
  <c r="Z1363" i="27"/>
  <c r="AA1363" i="27"/>
  <c r="Z2166" i="27"/>
  <c r="F2166" i="27"/>
  <c r="M2166" i="27"/>
  <c r="G2166" i="27"/>
  <c r="U2166" i="27"/>
  <c r="Z1673" i="27"/>
  <c r="AA1673" i="27"/>
  <c r="U1673" i="27"/>
  <c r="C2402" i="27"/>
  <c r="D2402" i="27"/>
  <c r="E2402" i="27"/>
  <c r="Z2402" i="27"/>
  <c r="AA2402" i="27"/>
  <c r="D2314" i="27"/>
  <c r="E2314" i="27"/>
  <c r="F1117" i="27"/>
  <c r="M1117" i="27"/>
  <c r="G1117" i="27"/>
  <c r="Z1117" i="27"/>
  <c r="AA1117" i="27"/>
  <c r="F1077" i="27"/>
  <c r="M1077" i="27"/>
  <c r="AB1077" i="27"/>
  <c r="AA1077" i="27"/>
  <c r="Z1077" i="27"/>
  <c r="U1077" i="27"/>
  <c r="F2614" i="27"/>
  <c r="M2614" i="27"/>
  <c r="Z2614" i="27"/>
  <c r="AA2614" i="27"/>
  <c r="D1765" i="27"/>
  <c r="E1765" i="27"/>
  <c r="C1860" i="27"/>
  <c r="D1860" i="27"/>
  <c r="E1860" i="27"/>
  <c r="U1860" i="27"/>
  <c r="Z1869" i="27"/>
  <c r="AA1869" i="27"/>
  <c r="U1869" i="27"/>
  <c r="C2837" i="27"/>
  <c r="E2837" i="27"/>
  <c r="C2657" i="27"/>
  <c r="E2657" i="27"/>
  <c r="U2657" i="27"/>
  <c r="E1730" i="27"/>
  <c r="F1715" i="27"/>
  <c r="M1715" i="27"/>
  <c r="G1715" i="27"/>
  <c r="Z1715" i="27"/>
  <c r="AA1715" i="27"/>
  <c r="U1715" i="27"/>
  <c r="D2325" i="27"/>
  <c r="E2325" i="27"/>
  <c r="F2325" i="27"/>
  <c r="M2325" i="27"/>
  <c r="C2429" i="27"/>
  <c r="D2429" i="27"/>
  <c r="E2429" i="27"/>
  <c r="U2429" i="27"/>
  <c r="Z968" i="27"/>
  <c r="AA968" i="27"/>
  <c r="U968" i="27"/>
  <c r="F968" i="27"/>
  <c r="M968" i="27"/>
  <c r="F935" i="27"/>
  <c r="M935" i="27"/>
  <c r="G935" i="27"/>
  <c r="Z935" i="27"/>
  <c r="AA935" i="27"/>
  <c r="AB593" i="27"/>
  <c r="AA593" i="27"/>
  <c r="Z593" i="27"/>
  <c r="F321" i="27"/>
  <c r="M321" i="27"/>
  <c r="G321" i="27"/>
  <c r="Z321" i="27"/>
  <c r="AA321" i="27"/>
  <c r="Z2727" i="27"/>
  <c r="AA2727" i="27"/>
  <c r="F2727" i="27"/>
  <c r="M2727" i="27"/>
  <c r="Z2605" i="27"/>
  <c r="F2605" i="27"/>
  <c r="M2605" i="27"/>
  <c r="AA2605" i="27"/>
  <c r="U2605" i="27"/>
  <c r="Z955" i="27"/>
  <c r="AA955" i="27"/>
  <c r="Z1091" i="27"/>
  <c r="F1091" i="27"/>
  <c r="M1091" i="27"/>
  <c r="G1091" i="27"/>
  <c r="AB1091" i="27"/>
  <c r="AA1091" i="27"/>
  <c r="U1091" i="27"/>
  <c r="U1053" i="27"/>
  <c r="Z1053" i="27"/>
  <c r="AA1053" i="27"/>
  <c r="F1053" i="27"/>
  <c r="M1053" i="27"/>
  <c r="Z1025" i="27"/>
  <c r="AB1025" i="27"/>
  <c r="AA1025" i="27"/>
  <c r="F1025" i="27"/>
  <c r="M1025" i="27"/>
  <c r="U1025" i="27"/>
  <c r="F1011" i="27"/>
  <c r="M1011" i="27"/>
  <c r="Z1011" i="27"/>
  <c r="U1011" i="27"/>
  <c r="U998" i="27"/>
  <c r="AB998" i="27"/>
  <c r="AA998" i="27"/>
  <c r="F998" i="27"/>
  <c r="M998" i="27"/>
  <c r="F739" i="27"/>
  <c r="M739" i="27"/>
  <c r="G739" i="27"/>
  <c r="Z739" i="27"/>
  <c r="AA739" i="27"/>
  <c r="U739" i="27"/>
  <c r="U368" i="27"/>
  <c r="Z368" i="27"/>
  <c r="AA368" i="27"/>
  <c r="F368" i="27"/>
  <c r="M368" i="27"/>
  <c r="G368" i="27"/>
  <c r="E374" i="27"/>
  <c r="F356" i="27"/>
  <c r="F2759" i="27"/>
  <c r="M2759" i="27"/>
  <c r="G2759" i="27"/>
  <c r="Z2759" i="27"/>
  <c r="AA2759" i="27"/>
  <c r="U2759" i="27"/>
  <c r="I1407" i="27"/>
  <c r="F1968" i="27"/>
  <c r="M1968" i="27"/>
  <c r="U2536" i="27"/>
  <c r="Z2536" i="27"/>
  <c r="AA2536" i="27"/>
  <c r="F2536" i="27"/>
  <c r="M2536" i="27"/>
  <c r="Z2500" i="27"/>
  <c r="AA2500" i="27"/>
  <c r="F2500" i="27"/>
  <c r="M2500" i="27"/>
  <c r="G2500" i="27"/>
  <c r="U2500" i="27"/>
  <c r="Z2485" i="27"/>
  <c r="AA2485" i="27"/>
  <c r="U2485" i="27"/>
  <c r="D1750" i="27"/>
  <c r="E1750" i="27"/>
  <c r="F1750" i="27"/>
  <c r="M1750" i="27"/>
  <c r="C1868" i="27"/>
  <c r="D1868" i="27"/>
  <c r="E1868" i="27"/>
  <c r="E1728" i="27"/>
  <c r="C2745" i="27"/>
  <c r="E2745" i="27"/>
  <c r="C2835" i="27"/>
  <c r="E2835" i="27"/>
  <c r="Z2835" i="27"/>
  <c r="AA2835" i="27"/>
  <c r="F1704" i="27"/>
  <c r="M1704" i="27"/>
  <c r="U1704" i="27"/>
  <c r="Z1704" i="27"/>
  <c r="AA1704" i="27"/>
  <c r="U1190" i="27"/>
  <c r="Z1190" i="27"/>
  <c r="AA1190" i="27"/>
  <c r="F1190" i="27"/>
  <c r="M1190" i="27"/>
  <c r="F1132" i="27"/>
  <c r="M1132" i="27"/>
  <c r="Z1132" i="27"/>
  <c r="AA1132" i="27"/>
  <c r="U1132" i="27"/>
  <c r="U1116" i="27"/>
  <c r="F1116" i="27"/>
  <c r="M1116" i="27"/>
  <c r="U1108" i="27"/>
  <c r="Z1108" i="27"/>
  <c r="AA1108" i="27"/>
  <c r="AB540" i="27"/>
  <c r="AA540" i="27"/>
  <c r="F540" i="27"/>
  <c r="M540" i="27"/>
  <c r="U494" i="27"/>
  <c r="Z494" i="27"/>
  <c r="F394" i="27"/>
  <c r="M394" i="27"/>
  <c r="Z394" i="27"/>
  <c r="AB394" i="27"/>
  <c r="AA394" i="27"/>
  <c r="U394" i="27"/>
  <c r="F2437" i="27"/>
  <c r="M2437" i="27"/>
  <c r="Z2437" i="27"/>
  <c r="AA2437" i="27"/>
  <c r="U2437" i="27"/>
  <c r="Z491" i="27"/>
  <c r="AA491" i="27"/>
  <c r="F491" i="27"/>
  <c r="M491" i="27"/>
  <c r="U491" i="27"/>
  <c r="C2045" i="27"/>
  <c r="E2045" i="27"/>
  <c r="U2484" i="27"/>
  <c r="Z2484" i="27"/>
  <c r="AA2484" i="27"/>
  <c r="F2484" i="27"/>
  <c r="M2484" i="27"/>
  <c r="G2484" i="27"/>
  <c r="I2484" i="27"/>
  <c r="F2256" i="27"/>
  <c r="M2256" i="27"/>
  <c r="Z2256" i="27"/>
  <c r="AA2256" i="27"/>
  <c r="E1224" i="27"/>
  <c r="C2749" i="27"/>
  <c r="E2749" i="27"/>
  <c r="C2839" i="27"/>
  <c r="E2839" i="27"/>
  <c r="U2839" i="27"/>
  <c r="C2659" i="27"/>
  <c r="E2659" i="27"/>
  <c r="C2644" i="27"/>
  <c r="D2644" i="27"/>
  <c r="E2644" i="27"/>
  <c r="C2734" i="27"/>
  <c r="D2734" i="27"/>
  <c r="E2734" i="27"/>
  <c r="Z2734" i="27"/>
  <c r="AA2734" i="27"/>
  <c r="F1199" i="27"/>
  <c r="M1199" i="27"/>
  <c r="U1199" i="27"/>
  <c r="Z1199" i="27"/>
  <c r="AA1199" i="27"/>
  <c r="U1189" i="27"/>
  <c r="F1189" i="27"/>
  <c r="M1189" i="27"/>
  <c r="Z1189" i="27"/>
  <c r="AA1189" i="27"/>
  <c r="Z1147" i="27"/>
  <c r="AA1147" i="27"/>
  <c r="F1147" i="27"/>
  <c r="M1147" i="27"/>
  <c r="AB612" i="27"/>
  <c r="AA612" i="27"/>
  <c r="F612" i="27"/>
  <c r="M612" i="27"/>
  <c r="G612" i="27"/>
  <c r="Z553" i="27"/>
  <c r="AA553" i="27"/>
  <c r="F553" i="27"/>
  <c r="M553" i="27"/>
  <c r="U539" i="27"/>
  <c r="AB539" i="27"/>
  <c r="AA539" i="27"/>
  <c r="Z493" i="27"/>
  <c r="F493" i="27"/>
  <c r="M493" i="27"/>
  <c r="Z2784" i="27"/>
  <c r="F2784" i="27"/>
  <c r="M2784" i="27"/>
  <c r="U2784" i="27"/>
  <c r="AA2784" i="27"/>
  <c r="C2151" i="27"/>
  <c r="E2151" i="27"/>
  <c r="E1646" i="27"/>
  <c r="C2046" i="27"/>
  <c r="E2046" i="27"/>
  <c r="E1658" i="27"/>
  <c r="F1658" i="27"/>
  <c r="M1658" i="27"/>
  <c r="C2616" i="27"/>
  <c r="E2616" i="27"/>
  <c r="Z958" i="27"/>
  <c r="AB958" i="27"/>
  <c r="AA958" i="27"/>
  <c r="F519" i="27"/>
  <c r="M519" i="27"/>
  <c r="U519" i="27"/>
  <c r="Z519" i="27"/>
  <c r="AA519" i="27"/>
  <c r="U2794" i="27"/>
  <c r="F2794" i="27"/>
  <c r="M2794" i="27"/>
  <c r="Z2794" i="27"/>
  <c r="AA2794" i="27"/>
  <c r="U2750" i="27"/>
  <c r="Z2750" i="27"/>
  <c r="AA2750" i="27"/>
  <c r="D1288" i="27"/>
  <c r="E1288" i="27"/>
  <c r="C1387" i="27"/>
  <c r="D1387" i="27"/>
  <c r="E1387" i="27"/>
  <c r="C2350" i="27"/>
  <c r="D2236" i="27"/>
  <c r="E2236" i="27"/>
  <c r="E1645" i="27"/>
  <c r="U2284" i="27"/>
  <c r="Z2284" i="27"/>
  <c r="AA2284" i="27"/>
  <c r="F2284" i="27"/>
  <c r="M2284" i="27"/>
  <c r="F3167" i="27"/>
  <c r="M3167" i="27"/>
  <c r="G3167" i="27"/>
  <c r="U3167" i="27"/>
  <c r="F2549" i="27"/>
  <c r="M2549" i="27"/>
  <c r="Z2549" i="27"/>
  <c r="AA2549" i="27"/>
  <c r="Z2298" i="27"/>
  <c r="AA2298" i="27"/>
  <c r="F2298" i="27"/>
  <c r="M2298" i="27"/>
  <c r="D1290" i="27"/>
  <c r="E1290" i="27"/>
  <c r="C1382" i="27"/>
  <c r="D1382" i="27"/>
  <c r="E1382" i="27"/>
  <c r="D1263" i="27"/>
  <c r="E1263" i="27"/>
  <c r="F1263" i="27"/>
  <c r="M1263" i="27"/>
  <c r="C1351" i="27"/>
  <c r="D1351" i="27"/>
  <c r="E1351" i="27"/>
  <c r="Z1105" i="27"/>
  <c r="AA1105" i="27"/>
  <c r="F1105" i="27"/>
  <c r="M1105" i="27"/>
  <c r="G1105" i="27"/>
  <c r="U1105" i="27"/>
  <c r="F735" i="27"/>
  <c r="M735" i="27"/>
  <c r="G735" i="27"/>
  <c r="Z735" i="27"/>
  <c r="AA735" i="27"/>
  <c r="U710" i="27"/>
  <c r="AB710" i="27"/>
  <c r="AA710" i="27"/>
  <c r="F710" i="27"/>
  <c r="M710" i="27"/>
  <c r="G710" i="27"/>
  <c r="Z611" i="27"/>
  <c r="AA611" i="27"/>
  <c r="F611" i="27"/>
  <c r="M611" i="27"/>
  <c r="Z2721" i="27"/>
  <c r="AA2721" i="27"/>
  <c r="F2721" i="27"/>
  <c r="M2721" i="27"/>
  <c r="G2721" i="27"/>
  <c r="Z2790" i="27"/>
  <c r="AA2790" i="27"/>
  <c r="U2790" i="27"/>
  <c r="F2790" i="27"/>
  <c r="M2790" i="27"/>
  <c r="Z237" i="27"/>
  <c r="AA237" i="27"/>
  <c r="F237" i="27"/>
  <c r="M237" i="27"/>
  <c r="U237" i="27"/>
  <c r="U687" i="27"/>
  <c r="Z687" i="27"/>
  <c r="AA687" i="27"/>
  <c r="F687" i="27"/>
  <c r="M687" i="27"/>
  <c r="G631" i="27"/>
  <c r="I631" i="27"/>
  <c r="AA3141" i="27"/>
  <c r="E3141" i="27"/>
  <c r="AA2881" i="27"/>
  <c r="E2919" i="27"/>
  <c r="F2742" i="27"/>
  <c r="M2742" i="27"/>
  <c r="Z2742" i="27"/>
  <c r="AA2742" i="27"/>
  <c r="C1368" i="27"/>
  <c r="D1368" i="27"/>
  <c r="E1368" i="27"/>
  <c r="D1471" i="27"/>
  <c r="E1471" i="27"/>
  <c r="E1445" i="27"/>
  <c r="F1445" i="27"/>
  <c r="M1445" i="27"/>
  <c r="C1543" i="27"/>
  <c r="E1543" i="27"/>
  <c r="C1611" i="27"/>
  <c r="E1611" i="27"/>
  <c r="C1600" i="27"/>
  <c r="E1600" i="27"/>
  <c r="E1431" i="27"/>
  <c r="F1431" i="27"/>
  <c r="M1431" i="27"/>
  <c r="C1532" i="27"/>
  <c r="E1532" i="27"/>
  <c r="Z1532" i="27"/>
  <c r="AA1532" i="27"/>
  <c r="F668" i="27"/>
  <c r="M668" i="27"/>
  <c r="Z668" i="27"/>
  <c r="AA668" i="27"/>
  <c r="U668" i="27"/>
  <c r="F655" i="27"/>
  <c r="M655" i="27"/>
  <c r="U655" i="27"/>
  <c r="AB655" i="27"/>
  <c r="AA655" i="27"/>
  <c r="AB632" i="27"/>
  <c r="AA632" i="27"/>
  <c r="Z632" i="27"/>
  <c r="F632" i="27"/>
  <c r="M632" i="27"/>
  <c r="G632" i="27"/>
  <c r="U621" i="27"/>
  <c r="F621" i="27"/>
  <c r="M621" i="27"/>
  <c r="Z621" i="27"/>
  <c r="AA621" i="27"/>
  <c r="U201" i="27"/>
  <c r="Z201" i="27"/>
  <c r="AA201" i="27"/>
  <c r="F201" i="27"/>
  <c r="M201" i="27"/>
  <c r="G201" i="27"/>
  <c r="Z2630" i="27"/>
  <c r="AA2630" i="27"/>
  <c r="F2630" i="27"/>
  <c r="M2630" i="27"/>
  <c r="U2630" i="27"/>
  <c r="F2811" i="27"/>
  <c r="M2811" i="27"/>
  <c r="G2811" i="27"/>
  <c r="I2811" i="27"/>
  <c r="Z2811" i="27"/>
  <c r="AA2811" i="27"/>
  <c r="U2811" i="27"/>
  <c r="U2782" i="27"/>
  <c r="F2782" i="27"/>
  <c r="M2782" i="27"/>
  <c r="Z2782" i="27"/>
  <c r="AA2782" i="27"/>
  <c r="AB556" i="27"/>
  <c r="AA556" i="27"/>
  <c r="F556" i="27"/>
  <c r="M556" i="27"/>
  <c r="G556" i="27"/>
  <c r="Z556" i="27"/>
  <c r="F2739" i="27"/>
  <c r="M2739" i="27"/>
  <c r="G2739" i="27"/>
  <c r="Z2739" i="27"/>
  <c r="AA2739" i="27"/>
  <c r="U943" i="27"/>
  <c r="F943" i="27"/>
  <c r="M943" i="27"/>
  <c r="G943" i="27"/>
  <c r="Z943" i="27"/>
  <c r="AA943" i="27"/>
  <c r="U456" i="27"/>
  <c r="F456" i="27"/>
  <c r="M456" i="27"/>
  <c r="Z456" i="27"/>
  <c r="AA456" i="27"/>
  <c r="Z705" i="27"/>
  <c r="AA705" i="27"/>
  <c r="U705" i="27"/>
  <c r="F705" i="27"/>
  <c r="M705" i="27"/>
  <c r="U593" i="27"/>
  <c r="U2150" i="27"/>
  <c r="F276" i="27"/>
  <c r="M276" i="27"/>
  <c r="F2294" i="27"/>
  <c r="M2294" i="27"/>
  <c r="G2294" i="27"/>
  <c r="U2294" i="27"/>
  <c r="E603" i="27"/>
  <c r="F2280" i="27"/>
  <c r="M2280" i="27"/>
  <c r="G2280" i="27"/>
  <c r="U2280" i="27"/>
  <c r="Z2280" i="27"/>
  <c r="AA2280" i="27"/>
  <c r="AA3154" i="27"/>
  <c r="E3154" i="27"/>
  <c r="AA3140" i="27"/>
  <c r="E3140" i="27"/>
  <c r="C3070" i="27"/>
  <c r="D3070" i="27"/>
  <c r="AA3070" i="27"/>
  <c r="C3069" i="27"/>
  <c r="D3069" i="27"/>
  <c r="AA3069" i="27"/>
  <c r="D3053" i="27"/>
  <c r="AA3053" i="27"/>
  <c r="C1311" i="27"/>
  <c r="D1311" i="27"/>
  <c r="E1311" i="27"/>
  <c r="C2814" i="27"/>
  <c r="D2814" i="27"/>
  <c r="E2814" i="27"/>
  <c r="C2634" i="27"/>
  <c r="D2634" i="27"/>
  <c r="E2634" i="27"/>
  <c r="C1821" i="27"/>
  <c r="D1821" i="27"/>
  <c r="E1821" i="27"/>
  <c r="D1937" i="27"/>
  <c r="E1937" i="27"/>
  <c r="Z1937" i="27"/>
  <c r="C2724" i="27"/>
  <c r="D2724" i="27"/>
  <c r="E2724" i="27"/>
  <c r="D1470" i="27"/>
  <c r="E1470" i="27"/>
  <c r="C1367" i="27"/>
  <c r="D1367" i="27"/>
  <c r="E1367" i="27"/>
  <c r="Z1367" i="27"/>
  <c r="AA1367" i="27"/>
  <c r="D1459" i="27"/>
  <c r="E1459" i="27"/>
  <c r="C1313" i="27"/>
  <c r="D1313" i="27"/>
  <c r="E1313" i="27"/>
  <c r="Z1430" i="27"/>
  <c r="AA1430" i="27"/>
  <c r="U1430" i="27"/>
  <c r="F733" i="27"/>
  <c r="M733" i="27"/>
  <c r="G733" i="27"/>
  <c r="Z733" i="27"/>
  <c r="AA733" i="27"/>
  <c r="U869" i="27"/>
  <c r="AB869" i="27"/>
  <c r="AA869" i="27"/>
  <c r="E3110" i="27"/>
  <c r="F3110" i="27"/>
  <c r="M3110" i="27"/>
  <c r="AA3110" i="27"/>
  <c r="U1133" i="27"/>
  <c r="F1133" i="27"/>
  <c r="M1133" i="27"/>
  <c r="G1133" i="27"/>
  <c r="Z1133" i="27"/>
  <c r="AA1133" i="27"/>
  <c r="U472" i="27"/>
  <c r="F472" i="27"/>
  <c r="M472" i="27"/>
  <c r="F707" i="27"/>
  <c r="M707" i="27"/>
  <c r="U707" i="27"/>
  <c r="Z459" i="27"/>
  <c r="AA459" i="27"/>
  <c r="F459" i="27"/>
  <c r="M459" i="27"/>
  <c r="F593" i="27"/>
  <c r="U276" i="27"/>
  <c r="Z1510" i="27"/>
  <c r="AA1510" i="27"/>
  <c r="F1510" i="27"/>
  <c r="M1510" i="27"/>
  <c r="Z1850" i="27"/>
  <c r="AA1850" i="27"/>
  <c r="F1850" i="27"/>
  <c r="M1850" i="27"/>
  <c r="F2252" i="27"/>
  <c r="M2252" i="27"/>
  <c r="U2252" i="27"/>
  <c r="Z2252" i="27"/>
  <c r="AA2252" i="27"/>
  <c r="D1981" i="27"/>
  <c r="E1981" i="27"/>
  <c r="Z1981" i="27"/>
  <c r="C2446" i="27"/>
  <c r="D2446" i="27"/>
  <c r="E2446" i="27"/>
  <c r="U2446" i="27"/>
  <c r="U2374" i="27"/>
  <c r="Z2374" i="27"/>
  <c r="AA2374" i="27"/>
  <c r="F2374" i="27"/>
  <c r="M2374" i="27"/>
  <c r="Z817" i="27"/>
  <c r="AB817" i="27"/>
  <c r="AA817" i="27"/>
  <c r="F1097" i="27"/>
  <c r="M1097" i="27"/>
  <c r="Z1097" i="27"/>
  <c r="AA1097" i="27"/>
  <c r="U1097" i="27"/>
  <c r="F409" i="27"/>
  <c r="M409" i="27"/>
  <c r="G409" i="27"/>
  <c r="AB409" i="27"/>
  <c r="AA409" i="27"/>
  <c r="U409" i="27"/>
  <c r="U642" i="27"/>
  <c r="F642" i="27"/>
  <c r="M642" i="27"/>
  <c r="AB642" i="27"/>
  <c r="AA642" i="27"/>
  <c r="Z642" i="27"/>
  <c r="U258" i="27"/>
  <c r="Z258" i="27"/>
  <c r="AA258" i="27"/>
  <c r="F258" i="27"/>
  <c r="M258" i="27"/>
  <c r="G258" i="27"/>
  <c r="C2838" i="27"/>
  <c r="E2838" i="27"/>
  <c r="C2658" i="27"/>
  <c r="E2658" i="27"/>
  <c r="F2658" i="27"/>
  <c r="E3174" i="27"/>
  <c r="E1422" i="27"/>
  <c r="C1508" i="27"/>
  <c r="E1508" i="27"/>
  <c r="U672" i="27"/>
  <c r="Z672" i="27"/>
  <c r="AA672" i="27"/>
  <c r="F672" i="27"/>
  <c r="M672" i="27"/>
  <c r="U2762" i="27"/>
  <c r="Z2762" i="27"/>
  <c r="AA2762" i="27"/>
  <c r="U2819" i="27"/>
  <c r="C2632" i="27"/>
  <c r="D2632" i="27"/>
  <c r="E2632" i="27"/>
  <c r="D2197" i="27"/>
  <c r="E2197" i="27"/>
  <c r="C1539" i="27"/>
  <c r="E1539" i="27"/>
  <c r="F1539" i="27"/>
  <c r="E2097" i="27"/>
  <c r="C2050" i="27"/>
  <c r="E2050" i="27"/>
  <c r="U2050" i="27"/>
  <c r="C1606" i="27"/>
  <c r="E1606" i="27"/>
  <c r="F793" i="27"/>
  <c r="M793" i="27"/>
  <c r="Z793" i="27"/>
  <c r="AA793" i="27"/>
  <c r="U793" i="27"/>
  <c r="U762" i="27"/>
  <c r="F762" i="27"/>
  <c r="M762" i="27"/>
  <c r="G762" i="27"/>
  <c r="AB162" i="27"/>
  <c r="AA162" i="27"/>
  <c r="F162" i="27"/>
  <c r="M162" i="27"/>
  <c r="G162" i="27"/>
  <c r="U162" i="27"/>
  <c r="Z162" i="27"/>
  <c r="E55" i="27"/>
  <c r="C1920" i="27"/>
  <c r="F18" i="27"/>
  <c r="M18" i="27"/>
  <c r="G18" i="27"/>
  <c r="Z18" i="27"/>
  <c r="AA18" i="27"/>
  <c r="Z2522" i="27"/>
  <c r="AA2522" i="27"/>
  <c r="U2522" i="27"/>
  <c r="F2642" i="27"/>
  <c r="M2642" i="27"/>
  <c r="Z2642" i="27"/>
  <c r="AA2642" i="27"/>
  <c r="U818" i="27"/>
  <c r="Z818" i="27"/>
  <c r="AA818" i="27"/>
  <c r="F818" i="27"/>
  <c r="M818" i="27"/>
  <c r="G818" i="27"/>
  <c r="I818" i="27"/>
  <c r="F831" i="27"/>
  <c r="M831" i="27"/>
  <c r="G831" i="27"/>
  <c r="AB831" i="27"/>
  <c r="AA831" i="27"/>
  <c r="Z831" i="27"/>
  <c r="U3131" i="27"/>
  <c r="F3131" i="27"/>
  <c r="M3131" i="27"/>
  <c r="Z2807" i="27"/>
  <c r="AA2807" i="27"/>
  <c r="F2807" i="27"/>
  <c r="M2807" i="27"/>
  <c r="U2807" i="27"/>
  <c r="F521" i="27"/>
  <c r="M521" i="27"/>
  <c r="Z521" i="27"/>
  <c r="AA521" i="27"/>
  <c r="F410" i="27"/>
  <c r="M410" i="27"/>
  <c r="Z410" i="27"/>
  <c r="U410" i="27"/>
  <c r="AB410" i="27"/>
  <c r="AA410" i="27"/>
  <c r="U1214" i="27"/>
  <c r="M1214" i="27"/>
  <c r="F1214" i="27"/>
  <c r="Z1214" i="27"/>
  <c r="AA1214" i="27"/>
  <c r="F673" i="27"/>
  <c r="M673" i="27"/>
  <c r="Z673" i="27"/>
  <c r="AA673" i="27"/>
  <c r="F208" i="27"/>
  <c r="M208" i="27"/>
  <c r="G208" i="27"/>
  <c r="Z2265" i="27"/>
  <c r="AA2265" i="27"/>
  <c r="U2265" i="27"/>
  <c r="F2265" i="27"/>
  <c r="M2265" i="27"/>
  <c r="G2265" i="27"/>
  <c r="U1951" i="27"/>
  <c r="Z1951" i="27"/>
  <c r="F1951" i="27"/>
  <c r="M1951" i="27"/>
  <c r="U792" i="27"/>
  <c r="Z792" i="27"/>
  <c r="AA792" i="27"/>
  <c r="Z743" i="27"/>
  <c r="AA743" i="27"/>
  <c r="U743" i="27"/>
  <c r="F743" i="27"/>
  <c r="M743" i="27"/>
  <c r="G277" i="27"/>
  <c r="I277" i="27"/>
  <c r="F250" i="27"/>
  <c r="M250" i="27"/>
  <c r="G250" i="27"/>
  <c r="F209" i="27"/>
  <c r="M209" i="27"/>
  <c r="Z209" i="27"/>
  <c r="AA209" i="27"/>
  <c r="Z145" i="27"/>
  <c r="AA145" i="27"/>
  <c r="E151" i="27"/>
  <c r="U132" i="27"/>
  <c r="F132" i="27"/>
  <c r="M132" i="27"/>
  <c r="G132" i="27"/>
  <c r="C1932" i="27"/>
  <c r="D68" i="27"/>
  <c r="Z17" i="27"/>
  <c r="AA17" i="27"/>
  <c r="F17" i="27"/>
  <c r="M17" i="27"/>
  <c r="G17" i="27"/>
  <c r="U17" i="27"/>
  <c r="E1666" i="27"/>
  <c r="C2171" i="27"/>
  <c r="E2171" i="27"/>
  <c r="C2068" i="27"/>
  <c r="E2068" i="27"/>
  <c r="E3125" i="27"/>
  <c r="AA3125" i="27"/>
  <c r="C1547" i="27"/>
  <c r="E1547" i="27"/>
  <c r="C1614" i="27"/>
  <c r="E1614" i="27"/>
  <c r="E1438" i="27"/>
  <c r="C1388" i="27"/>
  <c r="D1388" i="27"/>
  <c r="E1388" i="27"/>
  <c r="F1119" i="27"/>
  <c r="M1119" i="27"/>
  <c r="Z1409" i="27"/>
  <c r="D1761" i="27"/>
  <c r="E1761" i="27"/>
  <c r="F721" i="27"/>
  <c r="M721" i="27"/>
  <c r="G721" i="27"/>
  <c r="Z2670" i="27"/>
  <c r="AA2670" i="27"/>
  <c r="U721" i="27"/>
  <c r="Z239" i="27"/>
  <c r="AA239" i="27"/>
  <c r="F688" i="27"/>
  <c r="M688" i="27"/>
  <c r="G688" i="27"/>
  <c r="Z1015" i="27"/>
  <c r="AA1015" i="27"/>
  <c r="F239" i="27"/>
  <c r="M239" i="27"/>
  <c r="U688" i="27"/>
  <c r="U179" i="27"/>
  <c r="U1015" i="27"/>
  <c r="F3137" i="27"/>
  <c r="M3137" i="27"/>
  <c r="I3137" i="27"/>
  <c r="G3137" i="27"/>
  <c r="F179" i="27"/>
  <c r="M179" i="27"/>
  <c r="F440" i="27"/>
  <c r="M440" i="27"/>
  <c r="G440" i="27"/>
  <c r="F268" i="27"/>
  <c r="M268" i="27"/>
  <c r="G268" i="27"/>
  <c r="Z2673" i="27"/>
  <c r="AA2673" i="27"/>
  <c r="U268" i="27"/>
  <c r="F2673" i="27"/>
  <c r="M2673" i="27"/>
  <c r="G2673" i="27"/>
  <c r="Z406" i="27"/>
  <c r="AA406" i="27"/>
  <c r="Z2042" i="27"/>
  <c r="AA2042" i="27"/>
  <c r="U2042" i="27"/>
  <c r="U1494" i="27"/>
  <c r="F1494" i="27"/>
  <c r="M1494" i="27"/>
  <c r="F2290" i="27"/>
  <c r="M2290" i="27"/>
  <c r="G2290" i="27"/>
  <c r="Z2290" i="27"/>
  <c r="AA2290" i="27"/>
  <c r="G3155" i="27"/>
  <c r="I3155" i="27"/>
  <c r="I876" i="27"/>
  <c r="I1413" i="27"/>
  <c r="F2194" i="27"/>
  <c r="M2194" i="27"/>
  <c r="Z2194" i="27"/>
  <c r="AA2194" i="27"/>
  <c r="Z1318" i="27"/>
  <c r="AA1318" i="27"/>
  <c r="F1318" i="27"/>
  <c r="M1318" i="27"/>
  <c r="G1318" i="27"/>
  <c r="U1318" i="27"/>
  <c r="F1437" i="27"/>
  <c r="M1437" i="27"/>
  <c r="G1437" i="27"/>
  <c r="I286" i="27"/>
  <c r="G2610" i="27"/>
  <c r="I2610" i="27"/>
  <c r="F2747" i="27"/>
  <c r="M2747" i="27"/>
  <c r="U2747" i="27"/>
  <c r="F2306" i="27"/>
  <c r="M2306" i="27"/>
  <c r="Z2306" i="27"/>
  <c r="AA2306" i="27"/>
  <c r="U2306" i="27"/>
  <c r="U1786" i="27"/>
  <c r="Z1786" i="27"/>
  <c r="AA1786" i="27"/>
  <c r="U1437" i="27"/>
  <c r="I158" i="27"/>
  <c r="U3152" i="27"/>
  <c r="F2009" i="27"/>
  <c r="M2009" i="27"/>
  <c r="G2009" i="27"/>
  <c r="Z1793" i="27"/>
  <c r="AA1793" i="27"/>
  <c r="U1205" i="27"/>
  <c r="Z1205" i="27"/>
  <c r="AA1205" i="27"/>
  <c r="F1205" i="27"/>
  <c r="M1205" i="27"/>
  <c r="Z1512" i="27"/>
  <c r="AA1512" i="27"/>
  <c r="F1512" i="27"/>
  <c r="M1512" i="27"/>
  <c r="U1793" i="27"/>
  <c r="F2697" i="27"/>
  <c r="M2697" i="27"/>
  <c r="U2697" i="27"/>
  <c r="Z2697" i="27"/>
  <c r="AA2697" i="27"/>
  <c r="I1450" i="27"/>
  <c r="I3169" i="27"/>
  <c r="F1867" i="27"/>
  <c r="M1867" i="27"/>
  <c r="U1867" i="27"/>
  <c r="G1585" i="27"/>
  <c r="I1585" i="27"/>
  <c r="U2290" i="27"/>
  <c r="I2318" i="27"/>
  <c r="G60" i="27"/>
  <c r="I60" i="27"/>
  <c r="E3101" i="27"/>
  <c r="AA3101" i="27"/>
  <c r="F2534" i="27"/>
  <c r="M2534" i="27"/>
  <c r="Z2534" i="27"/>
  <c r="AA2534" i="27"/>
  <c r="U2534" i="27"/>
  <c r="Z2516" i="27"/>
  <c r="AA2516" i="27"/>
  <c r="F2516" i="27"/>
  <c r="M2516" i="27"/>
  <c r="U1893" i="27"/>
  <c r="F1893" i="27"/>
  <c r="M1893" i="27"/>
  <c r="Z1893" i="27"/>
  <c r="AA1893" i="27"/>
  <c r="U2352" i="27"/>
  <c r="F2352" i="27"/>
  <c r="M2352" i="27"/>
  <c r="Z2352" i="27"/>
  <c r="AA2352" i="27"/>
  <c r="Z2098" i="27"/>
  <c r="AA2098" i="27"/>
  <c r="F2098" i="27"/>
  <c r="M2098" i="27"/>
  <c r="U2098" i="27"/>
  <c r="D1977" i="27"/>
  <c r="E1977" i="27"/>
  <c r="C2394" i="27"/>
  <c r="D2394" i="27"/>
  <c r="E2394" i="27"/>
  <c r="D1264" i="27"/>
  <c r="E1264" i="27"/>
  <c r="Z1264" i="27"/>
  <c r="AA1264" i="27"/>
  <c r="C1352" i="27"/>
  <c r="D1352" i="27"/>
  <c r="E1352" i="27"/>
  <c r="U1352" i="27"/>
  <c r="Z1079" i="27"/>
  <c r="U1079" i="27"/>
  <c r="F1079" i="27"/>
  <c r="M1079" i="27"/>
  <c r="AB1079" i="27"/>
  <c r="AA1079" i="27"/>
  <c r="AB1066" i="27"/>
  <c r="AA1066" i="27"/>
  <c r="Z1066" i="27"/>
  <c r="F1066" i="27"/>
  <c r="M1066" i="27"/>
  <c r="G1066" i="27"/>
  <c r="Z919" i="27"/>
  <c r="AA919" i="27"/>
  <c r="F919" i="27"/>
  <c r="M919" i="27"/>
  <c r="G919" i="27"/>
  <c r="U919" i="27"/>
  <c r="U890" i="27"/>
  <c r="Z890" i="27"/>
  <c r="AA890" i="27"/>
  <c r="F890" i="27"/>
  <c r="M890" i="27"/>
  <c r="Z774" i="27"/>
  <c r="AA774" i="27"/>
  <c r="U774" i="27"/>
  <c r="F774" i="27"/>
  <c r="M774" i="27"/>
  <c r="Z734" i="27"/>
  <c r="AA734" i="27"/>
  <c r="F734" i="27"/>
  <c r="M734" i="27"/>
  <c r="U633" i="27"/>
  <c r="F633" i="27"/>
  <c r="M633" i="27"/>
  <c r="F588" i="27"/>
  <c r="M588" i="27"/>
  <c r="G588" i="27"/>
  <c r="Z588" i="27"/>
  <c r="AA588" i="27"/>
  <c r="U588" i="27"/>
  <c r="F554" i="27"/>
  <c r="M554" i="27"/>
  <c r="G554" i="27"/>
  <c r="Z554" i="27"/>
  <c r="AA554" i="27"/>
  <c r="Z528" i="27"/>
  <c r="AA528" i="27"/>
  <c r="F528" i="27"/>
  <c r="M528" i="27"/>
  <c r="U528" i="27"/>
  <c r="Z395" i="27"/>
  <c r="AA395" i="27"/>
  <c r="F395" i="27"/>
  <c r="M395" i="27"/>
  <c r="G395" i="27"/>
  <c r="U395" i="27"/>
  <c r="AB198" i="27"/>
  <c r="AA198" i="27"/>
  <c r="Z198" i="27"/>
  <c r="F198" i="27"/>
  <c r="M198" i="27"/>
  <c r="G198" i="27"/>
  <c r="U198" i="27"/>
  <c r="Z174" i="27"/>
  <c r="F174" i="27"/>
  <c r="M174" i="27"/>
  <c r="G174" i="27"/>
  <c r="U174" i="27"/>
  <c r="AB174" i="27"/>
  <c r="AA174" i="27"/>
  <c r="Z830" i="27"/>
  <c r="AB830" i="27"/>
  <c r="AA830" i="27"/>
  <c r="U830" i="27"/>
  <c r="F830" i="27"/>
  <c r="M830" i="27"/>
  <c r="G830" i="27"/>
  <c r="AB844" i="27"/>
  <c r="AA844" i="27"/>
  <c r="F844" i="27"/>
  <c r="M844" i="27"/>
  <c r="Z844" i="27"/>
  <c r="U844" i="27"/>
  <c r="F901" i="27"/>
  <c r="M901" i="27"/>
  <c r="U901" i="27"/>
  <c r="Z901" i="27"/>
  <c r="F1844" i="27"/>
  <c r="M1844" i="27"/>
  <c r="G1844" i="27"/>
  <c r="Z1844" i="27"/>
  <c r="AA1844" i="27"/>
  <c r="U834" i="27"/>
  <c r="F834" i="27"/>
  <c r="M834" i="27"/>
  <c r="Z834" i="27"/>
  <c r="AA834" i="27"/>
  <c r="Z2232" i="27"/>
  <c r="AA2232" i="27"/>
  <c r="Z1895" i="27"/>
  <c r="AA1895" i="27"/>
  <c r="F1895" i="27"/>
  <c r="M1895" i="27"/>
  <c r="U31" i="27"/>
  <c r="I775" i="27"/>
  <c r="Z2131" i="27"/>
  <c r="AA2131" i="27"/>
  <c r="G617" i="27"/>
  <c r="I617" i="27"/>
  <c r="Z1370" i="27"/>
  <c r="AA1370" i="27"/>
  <c r="F1370" i="27"/>
  <c r="M1370" i="27"/>
  <c r="G1370" i="27"/>
  <c r="I1370" i="27"/>
  <c r="F2096" i="27"/>
  <c r="M2096" i="27"/>
  <c r="I231" i="27"/>
  <c r="C2971" i="27"/>
  <c r="D2971" i="27"/>
  <c r="E2971" i="27"/>
  <c r="I1331" i="27"/>
  <c r="I2445" i="27"/>
  <c r="C2977" i="27"/>
  <c r="D2977" i="27"/>
  <c r="E2977" i="27"/>
  <c r="U2977" i="27"/>
  <c r="G272" i="27"/>
  <c r="I272" i="27"/>
  <c r="AA3166" i="27"/>
  <c r="AA2507" i="27"/>
  <c r="F2507" i="27"/>
  <c r="M2507" i="27"/>
  <c r="G2507" i="27"/>
  <c r="F1055" i="27"/>
  <c r="M1055" i="27"/>
  <c r="G1055" i="27"/>
  <c r="Z1055" i="27"/>
  <c r="AA1055" i="27"/>
  <c r="U1055" i="27"/>
  <c r="F936" i="27"/>
  <c r="M936" i="27"/>
  <c r="Z936" i="27"/>
  <c r="AA936" i="27"/>
  <c r="Z878" i="27"/>
  <c r="AA878" i="27"/>
  <c r="U878" i="27"/>
  <c r="F745" i="27"/>
  <c r="M745" i="27"/>
  <c r="U745" i="27"/>
  <c r="Z745" i="27"/>
  <c r="AA745" i="27"/>
  <c r="Z2703" i="27"/>
  <c r="U2703" i="27"/>
  <c r="F2703" i="27"/>
  <c r="M2703" i="27"/>
  <c r="G2703" i="27"/>
  <c r="AB183" i="27"/>
  <c r="AA183" i="27"/>
  <c r="Z183" i="27"/>
  <c r="F183" i="27"/>
  <c r="M183" i="27"/>
  <c r="U183" i="27"/>
  <c r="F570" i="27"/>
  <c r="M570" i="27"/>
  <c r="Z570" i="27"/>
  <c r="AA570" i="27"/>
  <c r="F2230" i="27"/>
  <c r="M2230" i="27"/>
  <c r="U592" i="27"/>
  <c r="D2235" i="27"/>
  <c r="E2235" i="27"/>
  <c r="C2347" i="27"/>
  <c r="D1287" i="27"/>
  <c r="E1287" i="27"/>
  <c r="C1385" i="27"/>
  <c r="D1385" i="27"/>
  <c r="E1385" i="27"/>
  <c r="F1385" i="27"/>
  <c r="M1385" i="27"/>
  <c r="Z1131" i="27"/>
  <c r="AA1131" i="27"/>
  <c r="U1131" i="27"/>
  <c r="F1131" i="27"/>
  <c r="M1131" i="27"/>
  <c r="U1820" i="27"/>
  <c r="Z1820" i="27"/>
  <c r="AA1820" i="27"/>
  <c r="F1820" i="27"/>
  <c r="M1820" i="27"/>
  <c r="G1820" i="27"/>
  <c r="F517" i="27"/>
  <c r="M517" i="27"/>
  <c r="Z517" i="27"/>
  <c r="AA517" i="27"/>
  <c r="U517" i="27"/>
  <c r="AB592" i="27"/>
  <c r="AA592" i="27"/>
  <c r="U1713" i="27"/>
  <c r="F1713" i="27"/>
  <c r="M1713" i="27"/>
  <c r="Z1713" i="27"/>
  <c r="AA1713" i="27"/>
  <c r="F2273" i="27"/>
  <c r="M2273" i="27"/>
  <c r="G2273" i="27"/>
  <c r="U2273" i="27"/>
  <c r="Z1239" i="27"/>
  <c r="AA1239" i="27"/>
  <c r="F1239" i="27"/>
  <c r="M1239" i="27"/>
  <c r="U1197" i="27"/>
  <c r="F1197" i="27"/>
  <c r="M1197" i="27"/>
  <c r="Z1197" i="27"/>
  <c r="AA1197" i="27"/>
  <c r="Z1115" i="27"/>
  <c r="AA1115" i="27"/>
  <c r="F1115" i="27"/>
  <c r="M1115" i="27"/>
  <c r="U1115" i="27"/>
  <c r="Z654" i="27"/>
  <c r="U654" i="27"/>
  <c r="F654" i="27"/>
  <c r="M654" i="27"/>
  <c r="G654" i="27"/>
  <c r="AB654" i="27"/>
  <c r="AA654" i="27"/>
  <c r="U207" i="27"/>
  <c r="AB207" i="27"/>
  <c r="AA207" i="27"/>
  <c r="Z207" i="27"/>
  <c r="U1669" i="27"/>
  <c r="F1669" i="27"/>
  <c r="M1669" i="27"/>
  <c r="Z1669" i="27"/>
  <c r="AA1669" i="27"/>
  <c r="F2622" i="27"/>
  <c r="M2622" i="27"/>
  <c r="Z2622" i="27"/>
  <c r="AA2622" i="27"/>
  <c r="U2622" i="27"/>
  <c r="E1428" i="27"/>
  <c r="C1531" i="27"/>
  <c r="E1531" i="27"/>
  <c r="C2447" i="27"/>
  <c r="D2447" i="27"/>
  <c r="E2447" i="27"/>
  <c r="D1982" i="27"/>
  <c r="E1982" i="27"/>
  <c r="F785" i="27"/>
  <c r="M785" i="27"/>
  <c r="G785" i="27"/>
  <c r="AB785" i="27"/>
  <c r="AA785" i="27"/>
  <c r="Z785" i="27"/>
  <c r="U458" i="27"/>
  <c r="Z458" i="27"/>
  <c r="AA458" i="27"/>
  <c r="F458" i="27"/>
  <c r="M458" i="27"/>
  <c r="I1123" i="27"/>
  <c r="U513" i="27"/>
  <c r="AB386" i="27"/>
  <c r="AA386" i="27"/>
  <c r="D1746" i="27"/>
  <c r="E1746" i="27"/>
  <c r="C1861" i="27"/>
  <c r="D1861" i="27"/>
  <c r="E1861" i="27"/>
  <c r="F536" i="27"/>
  <c r="M536" i="27"/>
  <c r="Z536" i="27"/>
  <c r="AA536" i="27"/>
  <c r="M477" i="27"/>
  <c r="F477" i="27"/>
  <c r="Z477" i="27"/>
  <c r="AA477" i="27"/>
  <c r="U477" i="27"/>
  <c r="U246" i="27"/>
  <c r="F246" i="27"/>
  <c r="F1692" i="27"/>
  <c r="M1692" i="27"/>
  <c r="G1692" i="27"/>
  <c r="U1692" i="27"/>
  <c r="F2648" i="27"/>
  <c r="M2648" i="27"/>
  <c r="Z2648" i="27"/>
  <c r="AA2648" i="27"/>
  <c r="U218" i="27"/>
  <c r="F218" i="27"/>
  <c r="M218" i="27"/>
  <c r="Z218" i="27"/>
  <c r="AA218" i="27"/>
  <c r="F884" i="27"/>
  <c r="M884" i="27"/>
  <c r="Z884" i="27"/>
  <c r="AA884" i="27"/>
  <c r="Z757" i="27"/>
  <c r="AA757" i="27"/>
  <c r="F757" i="27"/>
  <c r="M757" i="27"/>
  <c r="Z698" i="27"/>
  <c r="AA698" i="27"/>
  <c r="F698" i="27"/>
  <c r="M698" i="27"/>
  <c r="U1308" i="27"/>
  <c r="F1308" i="27"/>
  <c r="M1308" i="27"/>
  <c r="Z2621" i="27"/>
  <c r="AA2621" i="27"/>
  <c r="U2621" i="27"/>
  <c r="D1681" i="27"/>
  <c r="E1681" i="27"/>
  <c r="C2071" i="27"/>
  <c r="D2071" i="27"/>
  <c r="E2071" i="27"/>
  <c r="C2158" i="27"/>
  <c r="D2158" i="27"/>
  <c r="E2158" i="27"/>
  <c r="Z2709" i="27"/>
  <c r="AA2709" i="27"/>
  <c r="F2709" i="27"/>
  <c r="M2709" i="27"/>
  <c r="G2709" i="27"/>
  <c r="U2709" i="27"/>
  <c r="U1107" i="27"/>
  <c r="F1107" i="27"/>
  <c r="M1107" i="27"/>
  <c r="G1107" i="27"/>
  <c r="Z1107" i="27"/>
  <c r="AA1107" i="27"/>
  <c r="D3067" i="27"/>
  <c r="AA3067" i="27"/>
  <c r="C3097" i="27"/>
  <c r="D3097" i="27"/>
  <c r="AA3097" i="27"/>
  <c r="C1371" i="27"/>
  <c r="D1371" i="27"/>
  <c r="E1371" i="27"/>
  <c r="D1465" i="27"/>
  <c r="E1465" i="27"/>
  <c r="AB1140" i="27"/>
  <c r="AA1140" i="27"/>
  <c r="F1140" i="27"/>
  <c r="M1140" i="27"/>
  <c r="F738" i="27"/>
  <c r="M738" i="27"/>
  <c r="Z738" i="27"/>
  <c r="AA738" i="27"/>
  <c r="F2828" i="27"/>
  <c r="M2828" i="27"/>
  <c r="Z2828" i="27"/>
  <c r="AA2828" i="27"/>
  <c r="U1870" i="27"/>
  <c r="F1870" i="27"/>
  <c r="M1870" i="27"/>
  <c r="Z2611" i="27"/>
  <c r="AA2611" i="27"/>
  <c r="U2611" i="27"/>
  <c r="F2611" i="27"/>
  <c r="M2611" i="27"/>
  <c r="Z502" i="27"/>
  <c r="AA502" i="27"/>
  <c r="F502" i="27"/>
  <c r="M502" i="27"/>
  <c r="G502" i="27"/>
  <c r="I502" i="27"/>
  <c r="F2730" i="27"/>
  <c r="M2730" i="27"/>
  <c r="Z2730" i="27"/>
  <c r="AA2730" i="27"/>
  <c r="U2730" i="27"/>
  <c r="U2809" i="27"/>
  <c r="F2809" i="27"/>
  <c r="M2809" i="27"/>
  <c r="F1093" i="27"/>
  <c r="M1093" i="27"/>
  <c r="Z1093" i="27"/>
  <c r="AA1093" i="27"/>
  <c r="U1093" i="27"/>
  <c r="Z1089" i="27"/>
  <c r="AA1089" i="27"/>
  <c r="U1089" i="27"/>
  <c r="U2758" i="27"/>
  <c r="Z2758" i="27"/>
  <c r="AA2758" i="27"/>
  <c r="F2758" i="27"/>
  <c r="M2758" i="27"/>
  <c r="G2758" i="27"/>
  <c r="C2012" i="27"/>
  <c r="D2012" i="27"/>
  <c r="E2012" i="27"/>
  <c r="C1500" i="27"/>
  <c r="D1500" i="27"/>
  <c r="E1500" i="27"/>
  <c r="C2932" i="27"/>
  <c r="C2124" i="27"/>
  <c r="D2124" i="27"/>
  <c r="E2124" i="27"/>
  <c r="Z2604" i="27"/>
  <c r="AA2604" i="27"/>
  <c r="U2604" i="27"/>
  <c r="U251" i="27"/>
  <c r="Z251" i="27"/>
  <c r="AA251" i="27"/>
  <c r="F251" i="27"/>
  <c r="M251" i="27"/>
  <c r="F2487" i="27"/>
  <c r="M2487" i="27"/>
  <c r="G2487" i="27"/>
  <c r="Z2487" i="27"/>
  <c r="AA2487" i="27"/>
  <c r="Z1293" i="27"/>
  <c r="AA1293" i="27"/>
  <c r="U1293" i="27"/>
  <c r="F1293" i="27"/>
  <c r="M1293" i="27"/>
  <c r="U1213" i="27"/>
  <c r="F1213" i="27"/>
  <c r="M1213" i="27"/>
  <c r="G1213" i="27"/>
  <c r="F1042" i="27"/>
  <c r="M1042" i="27"/>
  <c r="G1042" i="27"/>
  <c r="U1042" i="27"/>
  <c r="Z1042" i="27"/>
  <c r="AA1042" i="27"/>
  <c r="U421" i="27"/>
  <c r="F421" i="27"/>
  <c r="M421" i="27"/>
  <c r="U40" i="27"/>
  <c r="F40" i="27"/>
  <c r="Z40" i="27"/>
  <c r="AA40" i="27"/>
  <c r="C2048" i="27"/>
  <c r="E2048" i="27"/>
  <c r="E1649" i="27"/>
  <c r="U247" i="27"/>
  <c r="F247" i="27"/>
  <c r="M247" i="27"/>
  <c r="G247" i="27"/>
  <c r="I247" i="27"/>
  <c r="Z247" i="27"/>
  <c r="AA247" i="27"/>
  <c r="Z702" i="27"/>
  <c r="AA702" i="27"/>
  <c r="U702" i="27"/>
  <c r="Z421" i="27"/>
  <c r="AA421" i="27"/>
  <c r="U2487" i="27"/>
  <c r="C2036" i="27"/>
  <c r="D2036" i="27"/>
  <c r="E2036" i="27"/>
  <c r="F2036" i="27"/>
  <c r="C2379" i="27"/>
  <c r="D2379" i="27"/>
  <c r="E2379" i="27"/>
  <c r="AB1028" i="27"/>
  <c r="AA1028" i="27"/>
  <c r="U1028" i="27"/>
  <c r="Z1028" i="27"/>
  <c r="U956" i="27"/>
  <c r="Z956" i="27"/>
  <c r="AA956" i="27"/>
  <c r="F956" i="27"/>
  <c r="C1878" i="27"/>
  <c r="D1878" i="27"/>
  <c r="E1878" i="27"/>
  <c r="Z1878" i="27"/>
  <c r="AA1878" i="27"/>
  <c r="D1688" i="27"/>
  <c r="E1688" i="27"/>
  <c r="E3160" i="27"/>
  <c r="AA3160" i="27"/>
  <c r="Z1152" i="27"/>
  <c r="AA1152" i="27"/>
  <c r="U1152" i="27"/>
  <c r="I1954" i="27"/>
  <c r="U1954" i="27"/>
  <c r="Z1954" i="27"/>
  <c r="G2518" i="27"/>
  <c r="I2518" i="27"/>
  <c r="Z1762" i="27"/>
  <c r="AA1762" i="27"/>
  <c r="U1762" i="27"/>
  <c r="F2159" i="27"/>
  <c r="M2159" i="27"/>
  <c r="G2159" i="27"/>
  <c r="U2159" i="27"/>
  <c r="Z2159" i="27"/>
  <c r="AA2159" i="27"/>
  <c r="Z2118" i="27"/>
  <c r="AA2118" i="27"/>
  <c r="G2704" i="27"/>
  <c r="I2704" i="27"/>
  <c r="G1104" i="27"/>
  <c r="I1104" i="27"/>
  <c r="I1874" i="27"/>
  <c r="G1793" i="27"/>
  <c r="I1793" i="27"/>
  <c r="I317" i="27"/>
  <c r="Z2441" i="27"/>
  <c r="AA2441" i="27"/>
  <c r="U2441" i="27"/>
  <c r="F2441" i="27"/>
  <c r="M2441" i="27"/>
  <c r="G2786" i="27"/>
  <c r="I2786" i="27"/>
  <c r="I1148" i="27"/>
  <c r="Z2796" i="27"/>
  <c r="AA2796" i="27"/>
  <c r="F2042" i="27"/>
  <c r="M2042" i="27"/>
  <c r="F2164" i="27"/>
  <c r="M2164" i="27"/>
  <c r="U2164" i="27"/>
  <c r="I1678" i="27"/>
  <c r="I2691" i="27"/>
  <c r="D1927" i="27"/>
  <c r="E1927" i="27"/>
  <c r="C1584" i="27"/>
  <c r="D1584" i="27"/>
  <c r="E1584" i="27"/>
  <c r="F1584" i="27"/>
  <c r="M1584" i="27"/>
  <c r="G1584" i="27"/>
  <c r="I1756" i="27"/>
  <c r="I1957" i="27"/>
  <c r="I51" i="27"/>
  <c r="I2271" i="27"/>
  <c r="I2234" i="27"/>
  <c r="D2582" i="27"/>
  <c r="E2582" i="27"/>
  <c r="U2582" i="27"/>
  <c r="C2756" i="27"/>
  <c r="D2756" i="27"/>
  <c r="E2756" i="27"/>
  <c r="G306" i="27"/>
  <c r="I306" i="27"/>
  <c r="Z1756" i="27"/>
  <c r="AA1756" i="27"/>
  <c r="U1756" i="27"/>
  <c r="Z2985" i="27"/>
  <c r="AA2985" i="27"/>
  <c r="G2155" i="27"/>
  <c r="I2155" i="27"/>
  <c r="U1823" i="27"/>
  <c r="F1823" i="27"/>
  <c r="M1823" i="27"/>
  <c r="G3127" i="27"/>
  <c r="I3127" i="27"/>
  <c r="U1694" i="27"/>
  <c r="Z1694" i="27"/>
  <c r="AA1694" i="27"/>
  <c r="F1694" i="27"/>
  <c r="M1694" i="27"/>
  <c r="I2188" i="27"/>
  <c r="U2303" i="27"/>
  <c r="G1153" i="27"/>
  <c r="I1153" i="27"/>
  <c r="G657" i="27"/>
  <c r="I657" i="27"/>
  <c r="C76" i="27"/>
  <c r="D76" i="27"/>
  <c r="I11" i="27"/>
  <c r="F1879" i="27"/>
  <c r="M1879" i="27"/>
  <c r="Z1879" i="27"/>
  <c r="AA1879" i="27"/>
  <c r="F1924" i="27"/>
  <c r="M1924" i="27"/>
  <c r="F2145" i="27"/>
  <c r="M2145" i="27"/>
  <c r="Z2145" i="27"/>
  <c r="AA2145" i="27"/>
  <c r="C82" i="27"/>
  <c r="D82" i="27"/>
  <c r="G20" i="27"/>
  <c r="I20" i="27"/>
  <c r="C2927" i="27"/>
  <c r="C2926" i="27"/>
  <c r="C2969" i="27"/>
  <c r="D2969" i="27"/>
  <c r="E2969" i="27"/>
  <c r="C2006" i="27"/>
  <c r="D2006" i="27"/>
  <c r="E2006" i="27"/>
  <c r="D2187" i="27"/>
  <c r="E2187" i="27"/>
  <c r="C2032" i="27"/>
  <c r="E2032" i="27"/>
  <c r="C1520" i="27"/>
  <c r="E1520" i="27"/>
  <c r="F1520" i="27"/>
  <c r="M1520" i="27"/>
  <c r="C2995" i="27"/>
  <c r="E2995" i="27"/>
  <c r="E2952" i="27"/>
  <c r="Z2451" i="27"/>
  <c r="AA2451" i="27"/>
  <c r="U2451" i="27"/>
  <c r="F2451" i="27"/>
  <c r="M2451" i="27"/>
  <c r="G2451" i="27"/>
  <c r="Z1842" i="27"/>
  <c r="AA1842" i="27"/>
  <c r="U1842" i="27"/>
  <c r="F1842" i="27"/>
  <c r="M1842" i="27"/>
  <c r="Z1832" i="27"/>
  <c r="AA1832" i="27"/>
  <c r="U1832" i="27"/>
  <c r="F1832" i="27"/>
  <c r="M1832" i="27"/>
  <c r="G1832" i="27"/>
  <c r="I1832" i="27"/>
  <c r="Z2558" i="27"/>
  <c r="AA2558" i="27"/>
  <c r="U2558" i="27"/>
  <c r="C1495" i="27"/>
  <c r="D1495" i="27"/>
  <c r="E1495" i="27"/>
  <c r="F1495" i="27"/>
  <c r="M1495" i="27"/>
  <c r="AA2166" i="27"/>
  <c r="F2337" i="27"/>
  <c r="M2337" i="27"/>
  <c r="U2337" i="27"/>
  <c r="Z2337" i="27"/>
  <c r="AA2337" i="27"/>
  <c r="Z550" i="27"/>
  <c r="AA550" i="27"/>
  <c r="F550" i="27"/>
  <c r="M550" i="27"/>
  <c r="U550" i="27"/>
  <c r="C1873" i="27"/>
  <c r="D1873" i="27"/>
  <c r="E1873" i="27"/>
  <c r="D1769" i="27"/>
  <c r="E1769" i="27"/>
  <c r="F776" i="27"/>
  <c r="M776" i="27"/>
  <c r="U776" i="27"/>
  <c r="Z776" i="27"/>
  <c r="AA776" i="27"/>
  <c r="Z2849" i="27"/>
  <c r="AA2849" i="27"/>
  <c r="U2849" i="27"/>
  <c r="U2475" i="27"/>
  <c r="Z2475" i="27"/>
  <c r="AA2475" i="27"/>
  <c r="C1901" i="27"/>
  <c r="D1901" i="27"/>
  <c r="E1901" i="27"/>
  <c r="D1797" i="27"/>
  <c r="E1797" i="27"/>
  <c r="I751" i="27"/>
  <c r="U2817" i="27"/>
  <c r="Z2817" i="27"/>
  <c r="AA2817" i="27"/>
  <c r="U2744" i="27"/>
  <c r="F2744" i="27"/>
  <c r="M2744" i="27"/>
  <c r="Z2744" i="27"/>
  <c r="AA2744" i="27"/>
  <c r="U835" i="27"/>
  <c r="F835" i="27"/>
  <c r="M835" i="27"/>
  <c r="G835" i="27"/>
  <c r="Z2736" i="27"/>
  <c r="AA2736" i="27"/>
  <c r="F2736" i="27"/>
  <c r="M2736" i="27"/>
  <c r="U338" i="27"/>
  <c r="F338" i="27"/>
  <c r="Z2545" i="27"/>
  <c r="AA2545" i="27"/>
  <c r="U2545" i="27"/>
  <c r="F2545" i="27"/>
  <c r="M2545" i="27"/>
  <c r="U950" i="27"/>
  <c r="F950" i="27"/>
  <c r="M950" i="27"/>
  <c r="G950" i="27"/>
  <c r="Z950" i="27"/>
  <c r="U3149" i="27"/>
  <c r="F3149" i="27"/>
  <c r="M3149" i="27"/>
  <c r="G3149" i="27"/>
  <c r="U2417" i="27"/>
  <c r="F2417" i="27"/>
  <c r="M2417" i="27"/>
  <c r="Z644" i="27"/>
  <c r="AA644" i="27"/>
  <c r="U644" i="27"/>
  <c r="F644" i="27"/>
  <c r="Z486" i="27"/>
  <c r="F486" i="27"/>
  <c r="M486" i="27"/>
  <c r="U486" i="27"/>
  <c r="F447" i="27"/>
  <c r="M447" i="27"/>
  <c r="G447" i="27"/>
  <c r="U447" i="27"/>
  <c r="Z447" i="27"/>
  <c r="AA447" i="27"/>
  <c r="U1985" i="27"/>
  <c r="Z1985" i="27"/>
  <c r="F1960" i="27"/>
  <c r="M1960" i="27"/>
  <c r="Z1960" i="27"/>
  <c r="C2410" i="27"/>
  <c r="D2410" i="27"/>
  <c r="E2410" i="27"/>
  <c r="U2410" i="27"/>
  <c r="D2324" i="27"/>
  <c r="E2324" i="27"/>
  <c r="D64" i="27"/>
  <c r="E64" i="27"/>
  <c r="C2195" i="27"/>
  <c r="C2013" i="27"/>
  <c r="D2013" i="27"/>
  <c r="E2013" i="27"/>
  <c r="Z1122" i="27"/>
  <c r="AA1122" i="27"/>
  <c r="F1122" i="27"/>
  <c r="M1122" i="27"/>
  <c r="G1122" i="27"/>
  <c r="G1423" i="27"/>
  <c r="I1423" i="27"/>
  <c r="AA1423" i="27"/>
  <c r="F2266" i="27"/>
  <c r="Z2266" i="27"/>
  <c r="AA2266" i="27"/>
  <c r="M2266" i="27"/>
  <c r="F2388" i="27"/>
  <c r="M2388" i="27"/>
  <c r="Z2388" i="27"/>
  <c r="AA2388" i="27"/>
  <c r="U3175" i="27"/>
  <c r="F3175" i="27"/>
  <c r="M3175" i="27"/>
  <c r="G3175" i="27"/>
  <c r="I3175" i="27"/>
  <c r="U10" i="27"/>
  <c r="Z10" i="27"/>
  <c r="AA10" i="27"/>
  <c r="F10" i="27"/>
  <c r="F512" i="27"/>
  <c r="U512" i="27"/>
  <c r="U2507" i="27"/>
  <c r="F2716" i="27"/>
  <c r="M2716" i="27"/>
  <c r="Z2716" i="27"/>
  <c r="AA2716" i="27"/>
  <c r="U21" i="27"/>
  <c r="F21" i="27"/>
  <c r="M21" i="27"/>
  <c r="Z619" i="27"/>
  <c r="F685" i="27"/>
  <c r="M685" i="27"/>
  <c r="G685" i="27"/>
  <c r="I685" i="27"/>
  <c r="U685" i="27"/>
  <c r="Z423" i="27"/>
  <c r="F423" i="27"/>
  <c r="M423" i="27"/>
  <c r="U439" i="27"/>
  <c r="F439" i="27"/>
  <c r="M439" i="27"/>
  <c r="Z439" i="27"/>
  <c r="AA439" i="27"/>
  <c r="U1830" i="27"/>
  <c r="AA1830" i="27"/>
  <c r="F1830" i="27"/>
  <c r="M1830" i="27"/>
  <c r="Z1830" i="27"/>
  <c r="U1037" i="27"/>
  <c r="Z1037" i="27"/>
  <c r="AA1037" i="27"/>
  <c r="F1037" i="27"/>
  <c r="M1037" i="27"/>
  <c r="F1983" i="27"/>
  <c r="M1983" i="27"/>
  <c r="G1983" i="27"/>
  <c r="U1983" i="27"/>
  <c r="Z1983" i="27"/>
  <c r="AA1950" i="27"/>
  <c r="I1950" i="27"/>
  <c r="F1772" i="27"/>
  <c r="M1772" i="27"/>
  <c r="U1772" i="27"/>
  <c r="Z1772" i="27"/>
  <c r="AA1772" i="27"/>
  <c r="I860" i="27"/>
  <c r="I569" i="27"/>
  <c r="I3162" i="27"/>
  <c r="I1507" i="27"/>
  <c r="M590" i="27"/>
  <c r="Z2427" i="27"/>
  <c r="AA2427" i="27"/>
  <c r="AB2427" i="27"/>
  <c r="I1249" i="27"/>
  <c r="G1231" i="27"/>
  <c r="I1231" i="27"/>
  <c r="G2578" i="27"/>
  <c r="I2578" i="27"/>
  <c r="U1570" i="27"/>
  <c r="Z1570" i="27"/>
  <c r="AA1570" i="27"/>
  <c r="F1570" i="27"/>
  <c r="M1570" i="27"/>
  <c r="G1320" i="27"/>
  <c r="I1320" i="27"/>
  <c r="Z1874" i="27"/>
  <c r="AA1874" i="27"/>
  <c r="F1874" i="27"/>
  <c r="F2310" i="27"/>
  <c r="M2310" i="27"/>
  <c r="G2310" i="27"/>
  <c r="Z2310" i="27"/>
  <c r="AA2310" i="27"/>
  <c r="U2310" i="27"/>
  <c r="G391" i="27"/>
  <c r="I391" i="27"/>
  <c r="G1261" i="27"/>
  <c r="I1261" i="27"/>
  <c r="I2393" i="27"/>
  <c r="F1851" i="27"/>
  <c r="M1851" i="27"/>
  <c r="F2833" i="27"/>
  <c r="M2833" i="27"/>
  <c r="Z2833" i="27"/>
  <c r="AA2833" i="27"/>
  <c r="U1975" i="27"/>
  <c r="Z1975" i="27"/>
  <c r="G1359" i="27"/>
  <c r="I1359" i="27"/>
  <c r="G2058" i="27"/>
  <c r="I1279" i="27"/>
  <c r="I2521" i="27"/>
  <c r="I2283" i="27"/>
  <c r="F2403" i="27"/>
  <c r="M2403" i="27"/>
  <c r="G2403" i="27"/>
  <c r="Z2403" i="27"/>
  <c r="AA2403" i="27"/>
  <c r="G541" i="27"/>
  <c r="I541" i="27"/>
  <c r="Z1494" i="27"/>
  <c r="AA1494" i="27"/>
  <c r="U1874" i="27"/>
  <c r="I2801" i="27"/>
  <c r="G1659" i="27"/>
  <c r="I1659" i="27"/>
  <c r="I2302" i="27"/>
  <c r="I1496" i="27"/>
  <c r="I1389" i="27"/>
  <c r="G791" i="27"/>
  <c r="I791" i="27"/>
  <c r="U1512" i="27"/>
  <c r="I2643" i="27"/>
  <c r="I866" i="27"/>
  <c r="F1876" i="27"/>
  <c r="Z1876" i="27"/>
  <c r="AA1876" i="27"/>
  <c r="I1294" i="27"/>
  <c r="F1762" i="27"/>
  <c r="M1762" i="27"/>
  <c r="G3152" i="27"/>
  <c r="I3152" i="27"/>
  <c r="G1926" i="27"/>
  <c r="AA1926" i="27"/>
  <c r="F1975" i="27"/>
  <c r="M1975" i="27"/>
  <c r="M847" i="27"/>
  <c r="G2834" i="27"/>
  <c r="I2834" i="27"/>
  <c r="Z2802" i="27"/>
  <c r="AA2802" i="27"/>
  <c r="F2802" i="27"/>
  <c r="M2802" i="27"/>
  <c r="G2296" i="27"/>
  <c r="I2296" i="27"/>
  <c r="F1550" i="27"/>
  <c r="M1550" i="27"/>
  <c r="G1550" i="27"/>
  <c r="U1550" i="27"/>
  <c r="I686" i="27"/>
  <c r="I559" i="27"/>
  <c r="G2623" i="27"/>
  <c r="I2623" i="27"/>
  <c r="I567" i="27"/>
  <c r="U1585" i="27"/>
  <c r="Z1585" i="27"/>
  <c r="AA1585" i="27"/>
  <c r="G1734" i="27"/>
  <c r="I1734" i="27"/>
  <c r="G1282" i="27"/>
  <c r="I1282" i="27"/>
  <c r="Z2448" i="27"/>
  <c r="AA2448" i="27"/>
  <c r="U2448" i="27"/>
  <c r="U2395" i="27"/>
  <c r="Z2395" i="27"/>
  <c r="AA2395" i="27"/>
  <c r="F2395" i="27"/>
  <c r="M2395" i="27"/>
  <c r="Z1745" i="27"/>
  <c r="AA1745" i="27"/>
  <c r="F1745" i="27"/>
  <c r="M1745" i="27"/>
  <c r="G202" i="27"/>
  <c r="I202" i="27"/>
  <c r="F1340" i="27"/>
  <c r="M1340" i="27"/>
  <c r="G1340" i="27"/>
  <c r="Z1340" i="27"/>
  <c r="AA1340" i="27"/>
  <c r="I2498" i="27"/>
  <c r="F1272" i="27"/>
  <c r="M1272" i="27"/>
  <c r="U1272" i="27"/>
  <c r="G2319" i="27"/>
  <c r="I2319" i="27"/>
  <c r="Z2034" i="27"/>
  <c r="AA2034" i="27"/>
  <c r="U2034" i="27"/>
  <c r="I1865" i="27"/>
  <c r="I958" i="27"/>
  <c r="G893" i="27"/>
  <c r="I893" i="27"/>
  <c r="I1786" i="27"/>
  <c r="I2043" i="27"/>
  <c r="I2135" i="27"/>
  <c r="I1238" i="27"/>
  <c r="G969" i="27"/>
  <c r="I969" i="27"/>
  <c r="I1744" i="27"/>
  <c r="Z2291" i="27"/>
  <c r="AA2291" i="27"/>
  <c r="F2291" i="27"/>
  <c r="M2291" i="27"/>
  <c r="Z2982" i="27"/>
  <c r="AA2982" i="27"/>
  <c r="I436" i="27"/>
  <c r="I1480" i="27"/>
  <c r="I2105" i="27"/>
  <c r="AB1871" i="27"/>
  <c r="AA1871" i="27"/>
  <c r="Z1871" i="27"/>
  <c r="D1803" i="27"/>
  <c r="E1803" i="27"/>
  <c r="C1903" i="27"/>
  <c r="D1903" i="27"/>
  <c r="E1903" i="27"/>
  <c r="F1903" i="27"/>
  <c r="M1903" i="27"/>
  <c r="AB1143" i="27"/>
  <c r="AA1143" i="27"/>
  <c r="Z1143" i="27"/>
  <c r="U1143" i="27"/>
  <c r="F1143" i="27"/>
  <c r="M1143" i="27"/>
  <c r="G1143" i="27"/>
  <c r="G2646" i="27"/>
  <c r="I2646" i="27"/>
  <c r="E2991" i="27"/>
  <c r="AA2991" i="27"/>
  <c r="D2991" i="27"/>
  <c r="G28" i="27"/>
  <c r="I28" i="27"/>
  <c r="C90" i="27"/>
  <c r="D90" i="27"/>
  <c r="F3139" i="27"/>
  <c r="M3139" i="27"/>
  <c r="U3139" i="27"/>
  <c r="I388" i="27"/>
  <c r="I867" i="27"/>
  <c r="F468" i="27"/>
  <c r="U468" i="27"/>
  <c r="Z468" i="27"/>
  <c r="AA468" i="27"/>
  <c r="F1436" i="27"/>
  <c r="M1436" i="27"/>
  <c r="Z1436" i="27"/>
  <c r="AA1436" i="27"/>
  <c r="I2356" i="27"/>
  <c r="G914" i="27"/>
  <c r="I914" i="27"/>
  <c r="U2275" i="27"/>
  <c r="U738" i="27"/>
  <c r="I1780" i="27"/>
  <c r="F2095" i="27"/>
  <c r="M2095" i="27"/>
  <c r="G2095" i="27"/>
  <c r="Z2095" i="27"/>
  <c r="AA2095" i="27"/>
  <c r="Z1338" i="27"/>
  <c r="AA1338" i="27"/>
  <c r="U2431" i="27"/>
  <c r="Z2431" i="27"/>
  <c r="AA2431" i="27"/>
  <c r="Z1317" i="27"/>
  <c r="AA1317" i="27"/>
  <c r="U1317" i="27"/>
  <c r="C1877" i="27"/>
  <c r="M1782" i="27"/>
  <c r="D1782" i="27"/>
  <c r="E1782" i="27"/>
  <c r="U1782" i="27"/>
  <c r="I2547" i="27"/>
  <c r="U1960" i="27"/>
  <c r="C2210" i="27"/>
  <c r="E101" i="27"/>
  <c r="I955" i="27"/>
  <c r="F2422" i="27"/>
  <c r="M2422" i="27"/>
  <c r="G2422" i="27"/>
  <c r="I2422" i="27"/>
  <c r="I282" i="27"/>
  <c r="Z1230" i="27"/>
  <c r="AA1230" i="27"/>
  <c r="Z2165" i="27"/>
  <c r="AA2165" i="27"/>
  <c r="F1230" i="27"/>
  <c r="M1230" i="27"/>
  <c r="I2800" i="27"/>
  <c r="Z2228" i="27"/>
  <c r="AA2228" i="27"/>
  <c r="Z1258" i="27"/>
  <c r="AA1258" i="27"/>
  <c r="F1258" i="27"/>
  <c r="M1258" i="27"/>
  <c r="U2371" i="27"/>
  <c r="I1714" i="27"/>
  <c r="I944" i="27"/>
  <c r="Z1548" i="27"/>
  <c r="AA1548" i="27"/>
  <c r="F1856" i="27"/>
  <c r="M1856" i="27"/>
  <c r="U2228" i="27"/>
  <c r="U2428" i="27"/>
  <c r="F1799" i="27"/>
  <c r="M1799" i="27"/>
  <c r="U1856" i="27"/>
  <c r="Z2428" i="27"/>
  <c r="AA2428" i="27"/>
  <c r="Z2219" i="27"/>
  <c r="AA2219" i="27"/>
  <c r="Z1603" i="27"/>
  <c r="AA1603" i="27"/>
  <c r="Z1259" i="27"/>
  <c r="AA1259" i="27"/>
  <c r="F2934" i="27"/>
  <c r="M2934" i="27"/>
  <c r="F1603" i="27"/>
  <c r="M1603" i="27"/>
  <c r="F2384" i="27"/>
  <c r="M2384" i="27"/>
  <c r="G2384" i="27"/>
  <c r="F2825" i="27"/>
  <c r="M2825" i="27"/>
  <c r="G2825" i="27"/>
  <c r="I2825" i="27"/>
  <c r="Z2047" i="27"/>
  <c r="AA2047" i="27"/>
  <c r="Z1269" i="27"/>
  <c r="AA1269" i="27"/>
  <c r="Z2192" i="27"/>
  <c r="AA2192" i="27"/>
  <c r="F1662" i="27"/>
  <c r="M1662" i="27"/>
  <c r="U2192" i="27"/>
  <c r="I2332" i="27"/>
  <c r="I2338" i="27"/>
  <c r="I2543" i="27"/>
  <c r="Z2934" i="27"/>
  <c r="AA2934" i="27"/>
  <c r="U1619" i="27"/>
  <c r="Z1619" i="27"/>
  <c r="F1619" i="27"/>
  <c r="AA2993" i="27"/>
  <c r="U1513" i="27"/>
  <c r="U2047" i="27"/>
  <c r="U1638" i="27"/>
  <c r="Z1638" i="27"/>
  <c r="AA1638" i="27"/>
  <c r="U1862" i="27"/>
  <c r="I3130" i="27"/>
  <c r="U1522" i="27"/>
  <c r="G8" i="27"/>
  <c r="I8" i="27"/>
  <c r="AA1286" i="27"/>
  <c r="F1441" i="27"/>
  <c r="M1441" i="27"/>
  <c r="U1441" i="27"/>
  <c r="I1731" i="27"/>
  <c r="I1687" i="27"/>
  <c r="F2312" i="27"/>
  <c r="M2312" i="27"/>
  <c r="G2312" i="27"/>
  <c r="I1228" i="27"/>
  <c r="I2330" i="27"/>
  <c r="Z1286" i="27"/>
  <c r="U2312" i="27"/>
  <c r="U1286" i="27"/>
  <c r="F1624" i="27"/>
  <c r="M1624" i="27"/>
  <c r="G1624" i="27"/>
  <c r="U1624" i="27"/>
  <c r="Z1624" i="27"/>
  <c r="AA1624" i="27"/>
  <c r="Z1928" i="27"/>
  <c r="G2255" i="27"/>
  <c r="I2255" i="27"/>
  <c r="G419" i="27"/>
  <c r="I419" i="27"/>
  <c r="F2972" i="27"/>
  <c r="M2972" i="27"/>
  <c r="I254" i="27"/>
  <c r="F2423" i="27"/>
  <c r="M2423" i="27"/>
  <c r="G2389" i="27"/>
  <c r="I2389" i="27"/>
  <c r="AB1958" i="27"/>
  <c r="F1958" i="27"/>
  <c r="M1958" i="27"/>
  <c r="Z2371" i="27"/>
  <c r="AA2371" i="27"/>
  <c r="Z1472" i="27"/>
  <c r="AA1472" i="27"/>
  <c r="U1472" i="27"/>
  <c r="G2479" i="27"/>
  <c r="I2479" i="27"/>
  <c r="I1200" i="27"/>
  <c r="Z1460" i="27"/>
  <c r="AA1460" i="27"/>
  <c r="U1460" i="27"/>
  <c r="F1460" i="27"/>
  <c r="M1460" i="27"/>
  <c r="G1460" i="27"/>
  <c r="Z1833" i="27"/>
  <c r="AA1833" i="27"/>
  <c r="G1006" i="27"/>
  <c r="I1006" i="27"/>
  <c r="Z2696" i="27"/>
  <c r="AA2696" i="27"/>
  <c r="U1833" i="27"/>
  <c r="I1046" i="27"/>
  <c r="F2696" i="27"/>
  <c r="M2696" i="27"/>
  <c r="I2401" i="27"/>
  <c r="I1944" i="27"/>
  <c r="U1605" i="27"/>
  <c r="U2414" i="27"/>
  <c r="U1538" i="27"/>
  <c r="F1605" i="27"/>
  <c r="M1605" i="27"/>
  <c r="I1203" i="27"/>
  <c r="D2936" i="27"/>
  <c r="E2936" i="27"/>
  <c r="U2936" i="27"/>
  <c r="Z2414" i="27"/>
  <c r="AA2414" i="27"/>
  <c r="Z1336" i="27"/>
  <c r="AA1336" i="27"/>
  <c r="F1336" i="27"/>
  <c r="M1336" i="27"/>
  <c r="G1336" i="27"/>
  <c r="Z1538" i="27"/>
  <c r="AA1538" i="27"/>
  <c r="G1273" i="27"/>
  <c r="I1273" i="27"/>
  <c r="G2407" i="27"/>
  <c r="I2407" i="27"/>
  <c r="Z2103" i="27"/>
  <c r="AA2103" i="27"/>
  <c r="F2103" i="27"/>
  <c r="M2103" i="27"/>
  <c r="U2103" i="27"/>
  <c r="Z2052" i="27"/>
  <c r="AA2052" i="27"/>
  <c r="F2052" i="27"/>
  <c r="M2052" i="27"/>
  <c r="G2052" i="27"/>
  <c r="U2052" i="27"/>
  <c r="I2448" i="27"/>
  <c r="Z1795" i="27"/>
  <c r="AA1795" i="27"/>
  <c r="U1752" i="27"/>
  <c r="Z1754" i="27"/>
  <c r="AA1754" i="27"/>
  <c r="F1754" i="27"/>
  <c r="M1754" i="27"/>
  <c r="U1754" i="27"/>
  <c r="Z2619" i="27"/>
  <c r="AA2619" i="27"/>
  <c r="F2619" i="27"/>
  <c r="M2619" i="27"/>
  <c r="G2619" i="27"/>
  <c r="I925" i="27"/>
  <c r="F1763" i="27"/>
  <c r="M1763" i="27"/>
  <c r="G1763" i="27"/>
  <c r="U3120" i="27"/>
  <c r="F3120" i="27"/>
  <c r="M3120" i="27"/>
  <c r="G3120" i="27"/>
  <c r="G1766" i="27"/>
  <c r="I1766" i="27"/>
  <c r="C1381" i="27"/>
  <c r="D1381" i="27"/>
  <c r="E1381" i="27"/>
  <c r="C2450" i="27"/>
  <c r="D2450" i="27"/>
  <c r="E2450" i="27"/>
  <c r="F2450" i="27"/>
  <c r="M2450" i="27"/>
  <c r="G2450" i="27"/>
  <c r="D2351" i="27"/>
  <c r="E2351" i="27"/>
  <c r="Z2351" i="27"/>
  <c r="AA2351" i="27"/>
  <c r="U2625" i="27"/>
  <c r="Z1763" i="27"/>
  <c r="AA1763" i="27"/>
  <c r="F1259" i="27"/>
  <c r="M1259" i="27"/>
  <c r="Z1635" i="27"/>
  <c r="F2625" i="27"/>
  <c r="M2625" i="27"/>
  <c r="Z2377" i="27"/>
  <c r="AA2377" i="27"/>
  <c r="U2377" i="27"/>
  <c r="F2377" i="27"/>
  <c r="M2377" i="27"/>
  <c r="I2211" i="27"/>
  <c r="Z1853" i="27"/>
  <c r="AA1853" i="27"/>
  <c r="F1853" i="27"/>
  <c r="M1853" i="27"/>
  <c r="G1853" i="27"/>
  <c r="I246" i="27"/>
  <c r="Z1955" i="27"/>
  <c r="AA2989" i="27"/>
  <c r="U3163" i="27"/>
  <c r="F2156" i="27"/>
  <c r="M2156" i="27"/>
  <c r="U2619" i="27"/>
  <c r="G904" i="27"/>
  <c r="I904" i="27"/>
  <c r="F2132" i="27"/>
  <c r="M2132" i="27"/>
  <c r="F151" i="27"/>
  <c r="I1953" i="27"/>
  <c r="U1338" i="27"/>
  <c r="I265" i="27"/>
  <c r="M1552" i="27"/>
  <c r="F1795" i="27"/>
  <c r="M1795" i="27"/>
  <c r="AA2132" i="27"/>
  <c r="Z1752" i="27"/>
  <c r="AA1752" i="27"/>
  <c r="I2092" i="27"/>
  <c r="U1924" i="27"/>
  <c r="Z1924" i="27"/>
  <c r="I2153" i="27"/>
  <c r="Z2748" i="27"/>
  <c r="AA2748" i="27"/>
  <c r="F2748" i="27"/>
  <c r="M2748" i="27"/>
  <c r="U2748" i="27"/>
  <c r="I2041" i="27"/>
  <c r="AA2259" i="27"/>
  <c r="I1418" i="27"/>
  <c r="U1268" i="27"/>
  <c r="I1005" i="27"/>
  <c r="F54" i="27"/>
  <c r="M54" i="27"/>
  <c r="G54" i="27"/>
  <c r="F1268" i="27"/>
  <c r="Z1335" i="27"/>
  <c r="AA1335" i="27"/>
  <c r="F1335" i="27"/>
  <c r="M1335" i="27"/>
  <c r="Z1222" i="27"/>
  <c r="AA1222" i="27"/>
  <c r="Z54" i="27"/>
  <c r="AA54" i="27"/>
  <c r="G2561" i="27"/>
  <c r="I2561" i="27"/>
  <c r="G2258" i="27"/>
  <c r="I2258" i="27"/>
  <c r="Z2017" i="27"/>
  <c r="AA2017" i="27"/>
  <c r="F1222" i="27"/>
  <c r="M1222" i="27"/>
  <c r="G1222" i="27"/>
  <c r="Z1749" i="27"/>
  <c r="AA1749" i="27"/>
  <c r="U1360" i="27"/>
  <c r="F1360" i="27"/>
  <c r="M1360" i="27"/>
  <c r="F2613" i="27"/>
  <c r="M2613" i="27"/>
  <c r="F2017" i="27"/>
  <c r="M2017" i="27"/>
  <c r="U2613" i="27"/>
  <c r="G1074" i="27"/>
  <c r="I1074" i="27"/>
  <c r="E2292" i="27"/>
  <c r="C2650" i="27"/>
  <c r="E2650" i="27"/>
  <c r="C2741" i="27"/>
  <c r="E2741" i="27"/>
  <c r="F2741" i="27"/>
  <c r="M2741" i="27"/>
  <c r="I1375" i="27"/>
  <c r="Z2308" i="27"/>
  <c r="AA2308" i="27"/>
  <c r="U2308" i="27"/>
  <c r="I364" i="27"/>
  <c r="G2554" i="27"/>
  <c r="I2554" i="27"/>
  <c r="Z2663" i="27"/>
  <c r="AA2663" i="27"/>
  <c r="U2219" i="27"/>
  <c r="G2435" i="27"/>
  <c r="I2435" i="27"/>
  <c r="F1613" i="27"/>
  <c r="M1613" i="27"/>
  <c r="U1613" i="27"/>
  <c r="Z1613" i="27"/>
  <c r="AA1613" i="27"/>
  <c r="G1374" i="27"/>
  <c r="I1374" i="27"/>
  <c r="Z1615" i="27"/>
  <c r="AA1615" i="27"/>
  <c r="F1615" i="27"/>
  <c r="M1615" i="27"/>
  <c r="U1615" i="27"/>
  <c r="U1828" i="27"/>
  <c r="Z1828" i="27"/>
  <c r="AA1828" i="27"/>
  <c r="F1828" i="27"/>
  <c r="M1828" i="27"/>
  <c r="F2440" i="27"/>
  <c r="M2440" i="27"/>
  <c r="U1523" i="27"/>
  <c r="F1545" i="27"/>
  <c r="M1545" i="27"/>
  <c r="G1545" i="27"/>
  <c r="Z1545" i="27"/>
  <c r="AA1545" i="27"/>
  <c r="U1545" i="27"/>
  <c r="U1265" i="27"/>
  <c r="Z1265" i="27"/>
  <c r="AA1265" i="27"/>
  <c r="F1265" i="27"/>
  <c r="U2120" i="27"/>
  <c r="F2120" i="27"/>
  <c r="M2120" i="27"/>
  <c r="Z2120" i="27"/>
  <c r="AA2120" i="27"/>
  <c r="G1081" i="27"/>
  <c r="I1081" i="27"/>
  <c r="G852" i="27"/>
  <c r="I852" i="27"/>
  <c r="F2067" i="27"/>
  <c r="M2067" i="27"/>
  <c r="G2067" i="27"/>
  <c r="U1540" i="27"/>
  <c r="F3171" i="27"/>
  <c r="M3171" i="27"/>
  <c r="U3171" i="27"/>
  <c r="Z1533" i="27"/>
  <c r="AA1533" i="27"/>
  <c r="U1533" i="27"/>
  <c r="F1533" i="27"/>
  <c r="M1533" i="27"/>
  <c r="G1533" i="27"/>
  <c r="G2629" i="27"/>
  <c r="I2629" i="27"/>
  <c r="U2979" i="27"/>
  <c r="U2067" i="27"/>
  <c r="F1540" i="27"/>
  <c r="M1540" i="27"/>
  <c r="Z2979" i="27"/>
  <c r="AA2979" i="27"/>
  <c r="C91" i="27"/>
  <c r="D91" i="27"/>
  <c r="I1959" i="27"/>
  <c r="U2064" i="27"/>
  <c r="M1353" i="27"/>
  <c r="G1353" i="27"/>
  <c r="D1353" i="27"/>
  <c r="E1353" i="27"/>
  <c r="U1478" i="27"/>
  <c r="AA1478" i="27"/>
  <c r="Z1478" i="27"/>
  <c r="F1478" i="27"/>
  <c r="M1478" i="27"/>
  <c r="G865" i="27"/>
  <c r="I865" i="27"/>
  <c r="G397" i="27"/>
  <c r="I397" i="27"/>
  <c r="F2064" i="27"/>
  <c r="M2064" i="27"/>
  <c r="G2064" i="27"/>
  <c r="Z1556" i="27"/>
  <c r="AA1556" i="27"/>
  <c r="U2008" i="27"/>
  <c r="Z2008" i="27"/>
  <c r="AA2008" i="27"/>
  <c r="F2008" i="27"/>
  <c r="M2008" i="27"/>
  <c r="F1556" i="27"/>
  <c r="M1556" i="27"/>
  <c r="G1556" i="27"/>
  <c r="I1556" i="27"/>
  <c r="Z2440" i="27"/>
  <c r="AA2440" i="27"/>
  <c r="U2843" i="27"/>
  <c r="F2405" i="27"/>
  <c r="M2405" i="27"/>
  <c r="Z2405" i="27"/>
  <c r="AA2405" i="27"/>
  <c r="G910" i="27"/>
  <c r="I910" i="27"/>
  <c r="AA1689" i="27"/>
  <c r="Z2843" i="27"/>
  <c r="AA2843" i="27"/>
  <c r="C74" i="27"/>
  <c r="D74" i="27"/>
  <c r="G9" i="27"/>
  <c r="I9" i="27"/>
  <c r="U1590" i="27"/>
  <c r="F1590" i="27"/>
  <c r="M1590" i="27"/>
  <c r="Z1590" i="27"/>
  <c r="AA1590" i="27"/>
  <c r="Z2986" i="27"/>
  <c r="AA2986" i="27"/>
  <c r="G1538" i="27"/>
  <c r="I1538" i="27"/>
  <c r="G1880" i="27"/>
  <c r="I1880" i="27"/>
  <c r="U1824" i="27"/>
  <c r="Z1824" i="27"/>
  <c r="AA1824" i="27"/>
  <c r="F1824" i="27"/>
  <c r="M1824" i="27"/>
  <c r="U1689" i="27"/>
  <c r="U1607" i="27"/>
  <c r="U3129" i="27"/>
  <c r="Z2404" i="27"/>
  <c r="AA2404" i="27"/>
  <c r="G319" i="27"/>
  <c r="I319" i="27"/>
  <c r="U2378" i="27"/>
  <c r="Z2378" i="27"/>
  <c r="AA2378" i="27"/>
  <c r="Z1689" i="27"/>
  <c r="Z1607" i="27"/>
  <c r="AA1607" i="27"/>
  <c r="I1466" i="27"/>
  <c r="U1939" i="27"/>
  <c r="F1939" i="27"/>
  <c r="M1939" i="27"/>
  <c r="G1939" i="27"/>
  <c r="AA1939" i="27"/>
  <c r="I1945" i="27"/>
  <c r="F2663" i="27"/>
  <c r="M2663" i="27"/>
  <c r="G2663" i="27"/>
  <c r="F1523" i="27"/>
  <c r="M1523" i="27"/>
  <c r="G1523" i="27"/>
  <c r="G260" i="27"/>
  <c r="I260" i="27"/>
  <c r="U1571" i="27"/>
  <c r="U1955" i="27"/>
  <c r="I2335" i="27"/>
  <c r="G455" i="27"/>
  <c r="I455" i="27"/>
  <c r="U2662" i="27"/>
  <c r="F2662" i="27"/>
  <c r="M2662" i="27"/>
  <c r="G2662" i="27"/>
  <c r="I2662" i="27"/>
  <c r="Z2662" i="27"/>
  <c r="AA2662" i="27"/>
  <c r="U1257" i="27"/>
  <c r="F1257" i="27"/>
  <c r="M1257" i="27"/>
  <c r="G1257" i="27"/>
  <c r="Z1257" i="27"/>
  <c r="AA1257" i="27"/>
  <c r="F1838" i="27"/>
  <c r="M1838" i="27"/>
  <c r="G1838" i="27"/>
  <c r="G722" i="27"/>
  <c r="I722" i="27"/>
  <c r="G949" i="27"/>
  <c r="I949" i="27"/>
  <c r="F1254" i="27"/>
  <c r="M1254" i="27"/>
  <c r="G1254" i="27"/>
  <c r="G1897" i="27"/>
  <c r="I1897" i="27"/>
  <c r="F1650" i="27"/>
  <c r="M1650" i="27"/>
  <c r="G1650" i="27"/>
  <c r="U1650" i="27"/>
  <c r="G833" i="27"/>
  <c r="I833" i="27"/>
  <c r="U1254" i="27"/>
  <c r="F1863" i="27"/>
  <c r="M1863" i="27"/>
  <c r="G1863" i="27"/>
  <c r="Z1863" i="27"/>
  <c r="AA1863" i="27"/>
  <c r="U1863" i="27"/>
  <c r="U3138" i="27"/>
  <c r="F3138" i="27"/>
  <c r="M3138" i="27"/>
  <c r="Z1882" i="27"/>
  <c r="AA1882" i="27"/>
  <c r="U1882" i="27"/>
  <c r="F1882" i="27"/>
  <c r="M1882" i="27"/>
  <c r="I1956" i="27"/>
  <c r="G1114" i="27"/>
  <c r="I1114" i="27"/>
  <c r="Z1445" i="27"/>
  <c r="AA1445" i="27"/>
  <c r="Z2100" i="27"/>
  <c r="AA2100" i="27"/>
  <c r="F2100" i="27"/>
  <c r="M2100" i="27"/>
  <c r="U2100" i="27"/>
  <c r="U2842" i="27"/>
  <c r="Z2842" i="27"/>
  <c r="AA2842" i="27"/>
  <c r="F2842" i="27"/>
  <c r="M2842" i="27"/>
  <c r="G2842" i="27"/>
  <c r="Z2972" i="27"/>
  <c r="AA2972" i="27"/>
  <c r="Z1281" i="27"/>
  <c r="I1668" i="27"/>
  <c r="C1498" i="27"/>
  <c r="D1498" i="27"/>
  <c r="E1498" i="27"/>
  <c r="F1498" i="27"/>
  <c r="M1498" i="27"/>
  <c r="C2930" i="27"/>
  <c r="C1574" i="27"/>
  <c r="D1574" i="27"/>
  <c r="E1574" i="27"/>
  <c r="D2191" i="27"/>
  <c r="E2191" i="27"/>
  <c r="C2122" i="27"/>
  <c r="D2122" i="27"/>
  <c r="E2122" i="27"/>
  <c r="U2122" i="27"/>
  <c r="C2010" i="27"/>
  <c r="D2010" i="27"/>
  <c r="E2010" i="27"/>
  <c r="F2010" i="27"/>
  <c r="M2010" i="27"/>
  <c r="G2010" i="27"/>
  <c r="G715" i="27"/>
  <c r="I715" i="27"/>
  <c r="U2791" i="27"/>
  <c r="Z2791" i="27"/>
  <c r="AA2791" i="27"/>
  <c r="F2791" i="27"/>
  <c r="M2791" i="27"/>
  <c r="G2791" i="27"/>
  <c r="Z1242" i="27"/>
  <c r="AA1242" i="27"/>
  <c r="F1242" i="27"/>
  <c r="M1242" i="27"/>
  <c r="U1242" i="27"/>
  <c r="G641" i="27"/>
  <c r="I641" i="27"/>
  <c r="C2733" i="27"/>
  <c r="D2733" i="27"/>
  <c r="E2733" i="27"/>
  <c r="C1322" i="27"/>
  <c r="D1322" i="27"/>
  <c r="E1322" i="27"/>
  <c r="C2399" i="27"/>
  <c r="D2399" i="27"/>
  <c r="E2399" i="27"/>
  <c r="U2399" i="27"/>
  <c r="D2198" i="27"/>
  <c r="E2198" i="27"/>
  <c r="F2198" i="27"/>
  <c r="M2198" i="27"/>
  <c r="C1841" i="27"/>
  <c r="D1841" i="27"/>
  <c r="E1841" i="27"/>
  <c r="C2823" i="27"/>
  <c r="D2823" i="27"/>
  <c r="E2823" i="27"/>
  <c r="C2640" i="27"/>
  <c r="D2640" i="27"/>
  <c r="E2640" i="27"/>
  <c r="F2136" i="27"/>
  <c r="M2136" i="27"/>
  <c r="G2136" i="27"/>
  <c r="Z1846" i="27"/>
  <c r="AA1846" i="27"/>
  <c r="F1846" i="27"/>
  <c r="M1846" i="27"/>
  <c r="I1846" i="27"/>
  <c r="AA2996" i="27"/>
  <c r="Z2996" i="27"/>
  <c r="Z1354" i="27"/>
  <c r="AA1354" i="27"/>
  <c r="F1354" i="27"/>
  <c r="U1354" i="27"/>
  <c r="F1930" i="27"/>
  <c r="M1930" i="27"/>
  <c r="F1440" i="27"/>
  <c r="M1440" i="27"/>
  <c r="Z1440" i="27"/>
  <c r="AA1440" i="27"/>
  <c r="U1440" i="27"/>
  <c r="U1885" i="27"/>
  <c r="Z1885" i="27"/>
  <c r="AA1885" i="27"/>
  <c r="F1885" i="27"/>
  <c r="M1885" i="27"/>
  <c r="G1885" i="27"/>
  <c r="F1667" i="27"/>
  <c r="M1667" i="27"/>
  <c r="G1667" i="27"/>
  <c r="Z1667" i="27"/>
  <c r="AA1667" i="27"/>
  <c r="U1667" i="27"/>
  <c r="C1502" i="27"/>
  <c r="E1502" i="27"/>
  <c r="C1578" i="27"/>
  <c r="E1578" i="27"/>
  <c r="C2014" i="27"/>
  <c r="E2014" i="27"/>
  <c r="U2014" i="27"/>
  <c r="G898" i="27"/>
  <c r="I898" i="27"/>
  <c r="I1419" i="27"/>
  <c r="U1691" i="27"/>
  <c r="Z1691" i="27"/>
  <c r="F1691" i="27"/>
  <c r="M1691" i="27"/>
  <c r="G1691" i="27"/>
  <c r="AA1691" i="27"/>
  <c r="G781" i="27"/>
  <c r="I781" i="27"/>
  <c r="F2259" i="27"/>
  <c r="M2259" i="27"/>
  <c r="U2259" i="27"/>
  <c r="U1757" i="27"/>
  <c r="Z1757" i="27"/>
  <c r="AA1757" i="27"/>
  <c r="F1757" i="27"/>
  <c r="M1757" i="27"/>
  <c r="G1757" i="27"/>
  <c r="U1373" i="27"/>
  <c r="U2692" i="27"/>
  <c r="AA1776" i="27"/>
  <c r="Z1776" i="27"/>
  <c r="F2846" i="27"/>
  <c r="M2846" i="27"/>
  <c r="F1281" i="27"/>
  <c r="M1281" i="27"/>
  <c r="G1281" i="27"/>
  <c r="U1898" i="27"/>
  <c r="F1898" i="27"/>
  <c r="M1898" i="27"/>
  <c r="F1479" i="27"/>
  <c r="M1479" i="27"/>
  <c r="G1479" i="27"/>
  <c r="Z1479" i="27"/>
  <c r="AA1479" i="27"/>
  <c r="U1479" i="27"/>
  <c r="Z1587" i="27"/>
  <c r="AA1587" i="27"/>
  <c r="F1587" i="27"/>
  <c r="M1587" i="27"/>
  <c r="G1587" i="27"/>
  <c r="Z1266" i="27"/>
  <c r="AA1266" i="27"/>
  <c r="U1266" i="27"/>
  <c r="F1266" i="27"/>
  <c r="U2136" i="27"/>
  <c r="U1281" i="27"/>
  <c r="G249" i="27"/>
  <c r="I249" i="27"/>
  <c r="F2655" i="27"/>
  <c r="M2655" i="27"/>
  <c r="G2655" i="27"/>
  <c r="U2655" i="27"/>
  <c r="Z2655" i="27"/>
  <c r="AA2655" i="27"/>
  <c r="Z2805" i="27"/>
  <c r="AA2805" i="27"/>
  <c r="U2805" i="27"/>
  <c r="F2805" i="27"/>
  <c r="M2805" i="27"/>
  <c r="F2434" i="27"/>
  <c r="M2434" i="27"/>
  <c r="G2434" i="27"/>
  <c r="I2434" i="27"/>
  <c r="Z2434" i="27"/>
  <c r="AA2434" i="27"/>
  <c r="Z2028" i="27"/>
  <c r="AA2028" i="27"/>
  <c r="U2028" i="27"/>
  <c r="F2028" i="27"/>
  <c r="M2028" i="27"/>
  <c r="G2251" i="27"/>
  <c r="I2251" i="27"/>
  <c r="G308" i="27"/>
  <c r="I308" i="27"/>
  <c r="F2645" i="27"/>
  <c r="M2645" i="27"/>
  <c r="G2645" i="27"/>
  <c r="I2645" i="27"/>
  <c r="Z2645" i="27"/>
  <c r="AA2645" i="27"/>
  <c r="F2147" i="27"/>
  <c r="M2147" i="27"/>
  <c r="G2147" i="27"/>
  <c r="G725" i="27"/>
  <c r="I725" i="27"/>
  <c r="G469" i="27"/>
  <c r="I469" i="27"/>
  <c r="F2715" i="27"/>
  <c r="M2715" i="27"/>
  <c r="U2715" i="27"/>
  <c r="Z2715" i="27"/>
  <c r="AA2715" i="27"/>
  <c r="Z1976" i="27"/>
  <c r="Z2147" i="27"/>
  <c r="AA2147" i="27"/>
  <c r="G524" i="27"/>
  <c r="I524" i="27"/>
  <c r="G1266" i="27"/>
  <c r="I1266" i="27"/>
  <c r="G1127" i="27"/>
  <c r="I1127" i="27"/>
  <c r="U2267" i="27"/>
  <c r="Z2267" i="27"/>
  <c r="AA2267" i="27"/>
  <c r="F2267" i="27"/>
  <c r="M2267" i="27"/>
  <c r="Z2735" i="27"/>
  <c r="AA2735" i="27"/>
  <c r="U1505" i="27"/>
  <c r="Z1505" i="27"/>
  <c r="AA1505" i="27"/>
  <c r="F1505" i="27"/>
  <c r="M1505" i="27"/>
  <c r="G1505" i="27"/>
  <c r="G879" i="27"/>
  <c r="I879" i="27"/>
  <c r="G658" i="27"/>
  <c r="I658" i="27"/>
  <c r="G2276" i="27"/>
  <c r="I2276" i="27"/>
  <c r="AA1365" i="27"/>
  <c r="F1365" i="27"/>
  <c r="M1365" i="27"/>
  <c r="Z1365" i="27"/>
  <c r="U1365" i="27"/>
  <c r="F1467" i="27"/>
  <c r="M1467" i="27"/>
  <c r="Z1467" i="27"/>
  <c r="AA1467" i="27"/>
  <c r="U1467" i="27"/>
  <c r="G1654" i="27"/>
  <c r="I1654" i="27"/>
  <c r="Z1211" i="27"/>
  <c r="AA1211" i="27"/>
  <c r="F1211" i="27"/>
  <c r="M1211" i="27"/>
  <c r="F2400" i="27"/>
  <c r="M2400" i="27"/>
  <c r="G2400" i="27"/>
  <c r="U1453" i="27"/>
  <c r="Z1453" i="27"/>
  <c r="U1528" i="27"/>
  <c r="Z1528" i="27"/>
  <c r="AA1528" i="27"/>
  <c r="F1528" i="27"/>
  <c r="M1528" i="27"/>
  <c r="U1896" i="27"/>
  <c r="F1896" i="27"/>
  <c r="M1896" i="27"/>
  <c r="Z1896" i="27"/>
  <c r="AA1896" i="27"/>
  <c r="F1777" i="27"/>
  <c r="M1777" i="27"/>
  <c r="G1777" i="27"/>
  <c r="I1777" i="27"/>
  <c r="Z1597" i="27"/>
  <c r="AA1597" i="27"/>
  <c r="G1226" i="27"/>
  <c r="I1226" i="27"/>
  <c r="F1595" i="27"/>
  <c r="M1595" i="27"/>
  <c r="I1595" i="27"/>
  <c r="G1595" i="27"/>
  <c r="U1595" i="27"/>
  <c r="Z1595" i="27"/>
  <c r="AA1595" i="27"/>
  <c r="U1623" i="27"/>
  <c r="AA1453" i="27"/>
  <c r="Z2757" i="27"/>
  <c r="AA2757" i="27"/>
  <c r="Z1426" i="27"/>
  <c r="AA1426" i="27"/>
  <c r="F1426" i="27"/>
  <c r="M1426" i="27"/>
  <c r="U1426" i="27"/>
  <c r="G2732" i="27"/>
  <c r="I2732" i="27"/>
  <c r="Z1379" i="27"/>
  <c r="AA1379" i="27"/>
  <c r="F1379" i="27"/>
  <c r="M1379" i="27"/>
  <c r="G1379" i="27"/>
  <c r="U1379" i="27"/>
  <c r="Z1550" i="27"/>
  <c r="F2743" i="27"/>
  <c r="M2743" i="27"/>
  <c r="G2743" i="27"/>
  <c r="F1862" i="27"/>
  <c r="M1862" i="27"/>
  <c r="U2119" i="27"/>
  <c r="F1732" i="27"/>
  <c r="M1732" i="27"/>
  <c r="G1732" i="27"/>
  <c r="U1732" i="27"/>
  <c r="Z1732" i="27"/>
  <c r="AA1732" i="27"/>
  <c r="F1233" i="27"/>
  <c r="M1233" i="27"/>
  <c r="U1233" i="27"/>
  <c r="Z1233" i="27"/>
  <c r="AA1233" i="27"/>
  <c r="G2425" i="27"/>
  <c r="I2425" i="27"/>
  <c r="U1529" i="27"/>
  <c r="Z1529" i="27"/>
  <c r="AA1529" i="27"/>
  <c r="F1529" i="27"/>
  <c r="M1529" i="27"/>
  <c r="F2170" i="27"/>
  <c r="M2170" i="27"/>
  <c r="U2170" i="27"/>
  <c r="AA2170" i="27"/>
  <c r="Z2170" i="27"/>
  <c r="G2060" i="27"/>
  <c r="I2060" i="27"/>
  <c r="G2531" i="27"/>
  <c r="I2531" i="27"/>
  <c r="U1476" i="27"/>
  <c r="Z1476" i="27"/>
  <c r="F1476" i="27"/>
  <c r="M1476" i="27"/>
  <c r="AA1476" i="27"/>
  <c r="U1755" i="27"/>
  <c r="Z1755" i="27"/>
  <c r="AA1755" i="27"/>
  <c r="F1755" i="27"/>
  <c r="M1755" i="27"/>
  <c r="G1755" i="27"/>
  <c r="F2633" i="27"/>
  <c r="M2633" i="27"/>
  <c r="G2633" i="27"/>
  <c r="U2633" i="27"/>
  <c r="Z2633" i="27"/>
  <c r="AA2633" i="27"/>
  <c r="G324" i="27"/>
  <c r="I324" i="27"/>
  <c r="Z2322" i="27"/>
  <c r="AA2322" i="27"/>
  <c r="F2322" i="27"/>
  <c r="M2322" i="27"/>
  <c r="U2322" i="27"/>
  <c r="U1854" i="27"/>
  <c r="U1665" i="27"/>
  <c r="F1665" i="27"/>
  <c r="M1665" i="27"/>
  <c r="G2584" i="27"/>
  <c r="I2584" i="27"/>
  <c r="I132" i="27"/>
  <c r="F2373" i="27"/>
  <c r="M2373" i="27"/>
  <c r="G2373" i="27"/>
  <c r="F2019" i="27"/>
  <c r="M2019" i="27"/>
  <c r="U2019" i="27"/>
  <c r="Z2019" i="27"/>
  <c r="AA2019" i="27"/>
  <c r="F1767" i="27"/>
  <c r="M1767" i="27"/>
  <c r="U1767" i="27"/>
  <c r="AA1636" i="27"/>
  <c r="G1636" i="27"/>
  <c r="I1636" i="27"/>
  <c r="G748" i="27"/>
  <c r="I748" i="27"/>
  <c r="I2119" i="27"/>
  <c r="G1949" i="27"/>
  <c r="AA1949" i="27"/>
  <c r="F1675" i="27"/>
  <c r="M1675" i="27"/>
  <c r="Z1675" i="27"/>
  <c r="AA1675" i="27"/>
  <c r="U1675" i="27"/>
  <c r="F2799" i="27"/>
  <c r="M2799" i="27"/>
  <c r="Z2799" i="27"/>
  <c r="AA2799" i="27"/>
  <c r="U2799" i="27"/>
  <c r="U1378" i="27"/>
  <c r="G2649" i="27"/>
  <c r="I2649" i="27"/>
  <c r="G145" i="27"/>
  <c r="I145" i="27"/>
  <c r="Z1974" i="27"/>
  <c r="F1974" i="27"/>
  <c r="M1974" i="27"/>
  <c r="G1974" i="27"/>
  <c r="AA1974" i="27"/>
  <c r="U1974" i="27"/>
  <c r="G1703" i="27"/>
  <c r="I1703" i="27"/>
  <c r="G2481" i="27"/>
  <c r="I2481" i="27"/>
  <c r="G438" i="27"/>
  <c r="I438" i="27"/>
  <c r="G832" i="27"/>
  <c r="I832" i="27"/>
  <c r="G2021" i="27"/>
  <c r="I2021" i="27"/>
  <c r="Z2617" i="27"/>
  <c r="AA2617" i="27"/>
  <c r="U2617" i="27"/>
  <c r="F2617" i="27"/>
  <c r="M2617" i="27"/>
  <c r="G2617" i="27"/>
  <c r="F1378" i="27"/>
  <c r="M1378" i="27"/>
  <c r="G1378" i="27"/>
  <c r="I360" i="27"/>
  <c r="G1655" i="27"/>
  <c r="I1655" i="27"/>
  <c r="U1537" i="27"/>
  <c r="F1537" i="27"/>
  <c r="M1537" i="27"/>
  <c r="G1537" i="27"/>
  <c r="Z1537" i="27"/>
  <c r="AA1537" i="27"/>
  <c r="F2390" i="27"/>
  <c r="M2390" i="27"/>
  <c r="G2390" i="27"/>
  <c r="U2390" i="27"/>
  <c r="Z2390" i="27"/>
  <c r="AA2390" i="27"/>
  <c r="Z1255" i="27"/>
  <c r="AA1255" i="27"/>
  <c r="U1255" i="27"/>
  <c r="F1255" i="27"/>
  <c r="M1255" i="27"/>
  <c r="G1255" i="27"/>
  <c r="I1255" i="27"/>
  <c r="U2162" i="27"/>
  <c r="F2162" i="27"/>
  <c r="M2162" i="27"/>
  <c r="G2162" i="27"/>
  <c r="Z2162" i="27"/>
  <c r="AA2162" i="27"/>
  <c r="U1937" i="27"/>
  <c r="Z2620" i="27"/>
  <c r="AA2620" i="27"/>
  <c r="U2620" i="27"/>
  <c r="F2620" i="27"/>
  <c r="M2620" i="27"/>
  <c r="G749" i="27"/>
  <c r="I749" i="27"/>
  <c r="E122" i="27"/>
  <c r="E1171" i="27"/>
  <c r="G1875" i="27"/>
  <c r="I1875" i="27"/>
  <c r="G1716" i="27"/>
  <c r="I1716" i="27"/>
  <c r="G1267" i="27"/>
  <c r="I1267" i="27"/>
  <c r="G660" i="27"/>
  <c r="I660" i="27"/>
  <c r="F1900" i="27"/>
  <c r="M1900" i="27"/>
  <c r="G1900" i="27"/>
  <c r="Z1900" i="27"/>
  <c r="AA1900" i="27"/>
  <c r="U1900" i="27"/>
  <c r="Z2066" i="27"/>
  <c r="G167" i="27"/>
  <c r="I167" i="27"/>
  <c r="Z2831" i="27"/>
  <c r="AA2831" i="27"/>
  <c r="U2831" i="27"/>
  <c r="F2831" i="27"/>
  <c r="M2831" i="27"/>
  <c r="G2831" i="27"/>
  <c r="U2712" i="27"/>
  <c r="D1355" i="27"/>
  <c r="E1355" i="27"/>
  <c r="F1355" i="27"/>
  <c r="M1355" i="27"/>
  <c r="G1355" i="27"/>
  <c r="I1355" i="27"/>
  <c r="U2813" i="27"/>
  <c r="Z2813" i="27"/>
  <c r="AA2813" i="27"/>
  <c r="F2813" i="27"/>
  <c r="M2813" i="27"/>
  <c r="G2813" i="27"/>
  <c r="G402" i="27"/>
  <c r="I402" i="27"/>
  <c r="Z2119" i="27"/>
  <c r="AA2119" i="27"/>
  <c r="F2066" i="27"/>
  <c r="AA2066" i="27"/>
  <c r="U1966" i="27"/>
  <c r="AA1621" i="27"/>
  <c r="U1621" i="27"/>
  <c r="F1621" i="27"/>
  <c r="M1621" i="27"/>
  <c r="Z1621" i="27"/>
  <c r="F2577" i="27"/>
  <c r="M2577" i="27"/>
  <c r="G2577" i="27"/>
  <c r="U2577" i="27"/>
  <c r="Z2577" i="27"/>
  <c r="AA2577" i="27"/>
  <c r="U1280" i="27"/>
  <c r="Z1280" i="27"/>
  <c r="F1280" i="27"/>
  <c r="M1280" i="27"/>
  <c r="I1280" i="27"/>
  <c r="G1280" i="27"/>
  <c r="AA1280" i="27"/>
  <c r="G1295" i="27"/>
  <c r="I1295" i="27"/>
  <c r="Z2576" i="27"/>
  <c r="AA2576" i="27"/>
  <c r="U2576" i="27"/>
  <c r="F2576" i="27"/>
  <c r="M2576" i="27"/>
  <c r="G2576" i="27"/>
  <c r="Z2743" i="27"/>
  <c r="AA2743" i="27"/>
  <c r="U2597" i="27"/>
  <c r="G56" i="27"/>
  <c r="I56" i="27"/>
  <c r="G564" i="27"/>
  <c r="I564" i="27"/>
  <c r="U1781" i="27"/>
  <c r="F1781" i="27"/>
  <c r="Z1781" i="27"/>
  <c r="AA1781" i="27"/>
  <c r="G1243" i="27"/>
  <c r="I1243" i="27"/>
  <c r="G3165" i="27"/>
  <c r="I3165" i="27"/>
  <c r="I1062" i="27"/>
  <c r="G661" i="27"/>
  <c r="I661" i="27"/>
  <c r="I1926" i="27"/>
  <c r="G334" i="27"/>
  <c r="I334" i="27"/>
  <c r="G761" i="27"/>
  <c r="I761" i="27"/>
  <c r="G2832" i="27"/>
  <c r="I2832" i="27"/>
  <c r="U2439" i="27"/>
  <c r="F2439" i="27"/>
  <c r="M2439" i="27"/>
  <c r="Z2439" i="27"/>
  <c r="AA2439" i="27"/>
  <c r="U2456" i="27"/>
  <c r="F2792" i="27"/>
  <c r="M2792" i="27"/>
  <c r="G2792" i="27"/>
  <c r="U2792" i="27"/>
  <c r="Z2792" i="27"/>
  <c r="AA2792" i="27"/>
  <c r="Z1343" i="27"/>
  <c r="AA1343" i="27"/>
  <c r="F1343" i="27"/>
  <c r="M1343" i="27"/>
  <c r="G1343" i="27"/>
  <c r="I1343" i="27"/>
  <c r="G2497" i="27"/>
  <c r="I2497" i="27"/>
  <c r="G1031" i="27"/>
  <c r="I1031" i="27"/>
  <c r="G1726" i="27"/>
  <c r="I1726" i="27"/>
  <c r="G1112" i="27"/>
  <c r="I1112" i="27"/>
  <c r="G1417" i="27"/>
  <c r="M2824" i="27"/>
  <c r="G2824" i="27"/>
  <c r="Z2824" i="27"/>
  <c r="AA2824" i="27"/>
  <c r="F2123" i="27"/>
  <c r="M2123" i="27"/>
  <c r="U2230" i="27"/>
  <c r="Z2230" i="27"/>
  <c r="AA2230" i="27"/>
  <c r="Z2024" i="27"/>
  <c r="AA2024" i="27"/>
  <c r="U2024" i="27"/>
  <c r="U1883" i="27"/>
  <c r="F1883" i="27"/>
  <c r="M1883" i="27"/>
  <c r="Z1883" i="27"/>
  <c r="AA1883" i="27"/>
  <c r="C2027" i="27"/>
  <c r="D2027" i="27"/>
  <c r="E2027" i="27"/>
  <c r="C1586" i="27"/>
  <c r="D1586" i="27"/>
  <c r="E1586" i="27"/>
  <c r="G1710" i="27"/>
  <c r="I1710" i="27"/>
  <c r="G1774" i="27"/>
  <c r="I1774" i="27"/>
  <c r="C1514" i="27"/>
  <c r="D1514" i="27"/>
  <c r="E1514" i="27"/>
  <c r="Z1514" i="27"/>
  <c r="C2778" i="27"/>
  <c r="D2778" i="27"/>
  <c r="E2778" i="27"/>
  <c r="D2086" i="27"/>
  <c r="E2086" i="27"/>
  <c r="C2598" i="27"/>
  <c r="D2598" i="27"/>
  <c r="E2598" i="27"/>
  <c r="C2688" i="27"/>
  <c r="D2688" i="27"/>
  <c r="E2688" i="27"/>
  <c r="C2138" i="27"/>
  <c r="D2138" i="27"/>
  <c r="E2138" i="27"/>
  <c r="U2138" i="27"/>
  <c r="C2026" i="27"/>
  <c r="D2026" i="27"/>
  <c r="E2026" i="27"/>
  <c r="F3158" i="27"/>
  <c r="M3158" i="27"/>
  <c r="G3158" i="27"/>
  <c r="U3158" i="27"/>
  <c r="G2257" i="27"/>
  <c r="I2257" i="27"/>
  <c r="I2290" i="27"/>
  <c r="F122" i="27"/>
  <c r="F1171" i="27"/>
  <c r="F1499" i="27"/>
  <c r="M1499" i="27"/>
  <c r="G1499" i="27"/>
  <c r="U1499" i="27"/>
  <c r="Z1499" i="27"/>
  <c r="AA1499" i="27"/>
  <c r="U1380" i="27"/>
  <c r="F1380" i="27"/>
  <c r="M1380" i="27"/>
  <c r="G1380" i="27"/>
  <c r="Z1380" i="27"/>
  <c r="AA1380" i="27"/>
  <c r="Z2653" i="27"/>
  <c r="AA2653" i="27"/>
  <c r="U2653" i="27"/>
  <c r="F2653" i="27"/>
  <c r="M2653" i="27"/>
  <c r="G2653" i="27"/>
  <c r="G1059" i="27"/>
  <c r="I1059" i="27"/>
  <c r="G2047" i="27"/>
  <c r="I2047" i="27"/>
  <c r="U2062" i="27"/>
  <c r="F2062" i="27"/>
  <c r="M2062" i="27"/>
  <c r="G2062" i="27"/>
  <c r="Z2062" i="27"/>
  <c r="AA2062" i="27"/>
  <c r="AB2062" i="27"/>
  <c r="G178" i="27"/>
  <c r="I178" i="27"/>
  <c r="F59" i="27"/>
  <c r="M59" i="27"/>
  <c r="G59" i="27"/>
  <c r="I59" i="27"/>
  <c r="Z59" i="27"/>
  <c r="AA59" i="27"/>
  <c r="G895" i="27"/>
  <c r="I895" i="27"/>
  <c r="F1849" i="27"/>
  <c r="M1849" i="27"/>
  <c r="G1849" i="27"/>
  <c r="Z1849" i="27"/>
  <c r="AA1849" i="27"/>
  <c r="F2102" i="27"/>
  <c r="M2102" i="27"/>
  <c r="G2102" i="27"/>
  <c r="U2102" i="27"/>
  <c r="Z2102" i="27"/>
  <c r="AA2102" i="27"/>
  <c r="F1473" i="27"/>
  <c r="M1473" i="27"/>
  <c r="U1473" i="27"/>
  <c r="Z1473" i="27"/>
  <c r="AA1473" i="27"/>
  <c r="Z1240" i="27"/>
  <c r="AA1240" i="27"/>
  <c r="U1240" i="27"/>
  <c r="F1240" i="27"/>
  <c r="M1240" i="27"/>
  <c r="G1240" i="27"/>
  <c r="Z2597" i="27"/>
  <c r="AA2597" i="27"/>
  <c r="U3135" i="27"/>
  <c r="F3135" i="27"/>
  <c r="M3135" i="27"/>
  <c r="G3135" i="27"/>
  <c r="G2533" i="27"/>
  <c r="I2533" i="27"/>
  <c r="Z1760" i="27"/>
  <c r="AA1760" i="27"/>
  <c r="F1760" i="27"/>
  <c r="M1760" i="27"/>
  <c r="U1760" i="27"/>
  <c r="G1004" i="27"/>
  <c r="I1004" i="27"/>
  <c r="F1330" i="27"/>
  <c r="M1330" i="27"/>
  <c r="Z1330" i="27"/>
  <c r="AA1330" i="27"/>
  <c r="F2370" i="27"/>
  <c r="M2370" i="27"/>
  <c r="G2370" i="27"/>
  <c r="U2370" i="27"/>
  <c r="Z2370" i="27"/>
  <c r="AA2370" i="27"/>
  <c r="U1433" i="27"/>
  <c r="G1075" i="27"/>
  <c r="I1075" i="27"/>
  <c r="G3163" i="27"/>
  <c r="I3163" i="27"/>
  <c r="U2246" i="27"/>
  <c r="F2246" i="27"/>
  <c r="M2246" i="27"/>
  <c r="G2246" i="27"/>
  <c r="I2246" i="27"/>
  <c r="Z2246" i="27"/>
  <c r="AA2246" i="27"/>
  <c r="U2346" i="27"/>
  <c r="F2346" i="27"/>
  <c r="M2346" i="27"/>
  <c r="G2346" i="27"/>
  <c r="Z2346" i="27"/>
  <c r="AA2346" i="27"/>
  <c r="F58" i="27"/>
  <c r="M58" i="27"/>
  <c r="G58" i="27"/>
  <c r="U58" i="27"/>
  <c r="Z58" i="27"/>
  <c r="AA58" i="27"/>
  <c r="F1990" i="27"/>
  <c r="M1990" i="27"/>
  <c r="U1990" i="27"/>
  <c r="Z1990" i="27"/>
  <c r="G942" i="27"/>
  <c r="I942" i="27"/>
  <c r="F1210" i="27"/>
  <c r="M1210" i="27"/>
  <c r="Z1210" i="27"/>
  <c r="AA1210" i="27"/>
  <c r="U1664" i="27"/>
  <c r="F1664" i="27"/>
  <c r="Z1664" i="27"/>
  <c r="Z1686" i="27"/>
  <c r="AA1686" i="27"/>
  <c r="F1686" i="27"/>
  <c r="M1686" i="27"/>
  <c r="G1686" i="27"/>
  <c r="U1686" i="27"/>
  <c r="F2050" i="27"/>
  <c r="M2050" i="27"/>
  <c r="G2050" i="27"/>
  <c r="U1445" i="27"/>
  <c r="F1679" i="27"/>
  <c r="M1679" i="27"/>
  <c r="G1679" i="27"/>
  <c r="I1984" i="27"/>
  <c r="I1947" i="27"/>
  <c r="G1088" i="27"/>
  <c r="I1088" i="27"/>
  <c r="U1788" i="27"/>
  <c r="Z2128" i="27"/>
  <c r="AA2128" i="27"/>
  <c r="U2128" i="27"/>
  <c r="F2128" i="27"/>
  <c r="M2128" i="27"/>
  <c r="G2128" i="27"/>
  <c r="Z1679" i="27"/>
  <c r="AA1679" i="27"/>
  <c r="G242" i="27"/>
  <c r="F2126" i="27"/>
  <c r="M2126" i="27"/>
  <c r="G2126" i="27"/>
  <c r="U1617" i="27"/>
  <c r="AA1617" i="27"/>
  <c r="F1617" i="27"/>
  <c r="M1617" i="27"/>
  <c r="G1617" i="27"/>
  <c r="Z1617" i="27"/>
  <c r="G1225" i="27"/>
  <c r="I1225" i="27"/>
  <c r="Z1904" i="27"/>
  <c r="AA1904" i="27"/>
  <c r="F1904" i="27"/>
  <c r="M1904" i="27"/>
  <c r="G1904" i="27"/>
  <c r="I1904" i="27"/>
  <c r="F3153" i="27"/>
  <c r="M3153" i="27"/>
  <c r="U3153" i="27"/>
  <c r="F1504" i="27"/>
  <c r="M1504" i="27"/>
  <c r="U1504" i="27"/>
  <c r="Z1504" i="27"/>
  <c r="AA1504" i="27"/>
  <c r="G283" i="27"/>
  <c r="I283" i="27"/>
  <c r="Z2229" i="27"/>
  <c r="AA2229" i="27"/>
  <c r="F2229" i="27"/>
  <c r="M2229" i="27"/>
  <c r="U2229" i="27"/>
  <c r="U1894" i="27"/>
  <c r="F1894" i="27"/>
  <c r="M1894" i="27"/>
  <c r="Z1894" i="27"/>
  <c r="AA1894" i="27"/>
  <c r="G2793" i="27"/>
  <c r="I2793" i="27"/>
  <c r="F2392" i="27"/>
  <c r="M2392" i="27"/>
  <c r="Z2392" i="27"/>
  <c r="AA2392" i="27"/>
  <c r="U2392" i="27"/>
  <c r="U2325" i="27"/>
  <c r="G1414" i="27"/>
  <c r="AA1414" i="27"/>
  <c r="G2519" i="27"/>
  <c r="I2519" i="27"/>
  <c r="F2157" i="27"/>
  <c r="M2157" i="27"/>
  <c r="U2157" i="27"/>
  <c r="U1581" i="27"/>
  <c r="F1581" i="27"/>
  <c r="M1581" i="27"/>
  <c r="G1581" i="27"/>
  <c r="I1581" i="27"/>
  <c r="Z1581" i="27"/>
  <c r="AA1581" i="27"/>
  <c r="G842" i="27"/>
  <c r="I842" i="27"/>
  <c r="G1369" i="27"/>
  <c r="I1369" i="27"/>
  <c r="U2057" i="27"/>
  <c r="Z2057" i="27"/>
  <c r="AA2057" i="27"/>
  <c r="F2057" i="27"/>
  <c r="M2057" i="27"/>
  <c r="G478" i="27"/>
  <c r="I478" i="27"/>
  <c r="U3142" i="27"/>
  <c r="F3142" i="27"/>
  <c r="M3142" i="27"/>
  <c r="G568" i="27"/>
  <c r="I568" i="27"/>
  <c r="G2552" i="27"/>
  <c r="I2552" i="27"/>
  <c r="Z1366" i="27"/>
  <c r="AA1366" i="27"/>
  <c r="F1366" i="27"/>
  <c r="M1366" i="27"/>
  <c r="G1366" i="27"/>
  <c r="U1366" i="27"/>
  <c r="Z2129" i="27"/>
  <c r="AA2129" i="27"/>
  <c r="F2129" i="27"/>
  <c r="M2129" i="27"/>
  <c r="G2129" i="27"/>
  <c r="F2040" i="27"/>
  <c r="M2040" i="27"/>
  <c r="G2040" i="27"/>
  <c r="Z2687" i="27"/>
  <c r="AA2687" i="27"/>
  <c r="U3176" i="27"/>
  <c r="F3176" i="27"/>
  <c r="M3176" i="27"/>
  <c r="G330" i="27"/>
  <c r="I330" i="27"/>
  <c r="F1919" i="27"/>
  <c r="M1919" i="27"/>
  <c r="G1919" i="27"/>
  <c r="AA1919" i="27"/>
  <c r="Z1919" i="27"/>
  <c r="U1919" i="27"/>
  <c r="Z1462" i="27"/>
  <c r="AA1462" i="27"/>
  <c r="F1462" i="27"/>
  <c r="M1462" i="27"/>
  <c r="U1462" i="27"/>
  <c r="G1246" i="27"/>
  <c r="I1246" i="27"/>
  <c r="F1680" i="27"/>
  <c r="M1680" i="27"/>
  <c r="G1680" i="27"/>
  <c r="Z1680" i="27"/>
  <c r="AA1680" i="27"/>
  <c r="U1680" i="27"/>
  <c r="G1260" i="27"/>
  <c r="I1260" i="27"/>
  <c r="C2029" i="27"/>
  <c r="D2029" i="27"/>
  <c r="E2029" i="27"/>
  <c r="D2087" i="27"/>
  <c r="E2087" i="27"/>
  <c r="AA2087" i="27"/>
  <c r="C2141" i="27"/>
  <c r="D2141" i="27"/>
  <c r="E2141" i="27"/>
  <c r="C1517" i="27"/>
  <c r="D1517" i="27"/>
  <c r="E1517" i="27"/>
  <c r="G1464" i="27"/>
  <c r="I1464" i="27"/>
  <c r="G1964" i="27"/>
  <c r="AA1964" i="27"/>
  <c r="G815" i="27"/>
  <c r="I815" i="27"/>
  <c r="Z1837" i="27"/>
  <c r="AA1837" i="27"/>
  <c r="F1837" i="27"/>
  <c r="M1837" i="27"/>
  <c r="U1837" i="27"/>
  <c r="G507" i="27"/>
  <c r="I507" i="27"/>
  <c r="G177" i="27"/>
  <c r="I177" i="27"/>
  <c r="F1943" i="27"/>
  <c r="M1943" i="27"/>
  <c r="Z1943" i="27"/>
  <c r="U1943" i="27"/>
  <c r="G1038" i="27"/>
  <c r="I1038" i="27"/>
  <c r="G546" i="27"/>
  <c r="I546" i="27"/>
  <c r="F2101" i="27"/>
  <c r="M2101" i="27"/>
  <c r="G2101" i="27"/>
  <c r="Z1836" i="27"/>
  <c r="AA1836" i="27"/>
  <c r="I1961" i="27"/>
  <c r="F3121" i="27"/>
  <c r="M3121" i="27"/>
  <c r="U3121" i="27"/>
  <c r="F1764" i="27"/>
  <c r="M1764" i="27"/>
  <c r="G1764" i="27"/>
  <c r="U1764" i="27"/>
  <c r="G2334" i="27"/>
  <c r="I2334" i="27"/>
  <c r="F2815" i="27"/>
  <c r="M2815" i="27"/>
  <c r="U2815" i="27"/>
  <c r="G2438" i="27"/>
  <c r="I2438" i="27"/>
  <c r="U1969" i="27"/>
  <c r="Z1969" i="27"/>
  <c r="F1969" i="27"/>
  <c r="M1969" i="27"/>
  <c r="F1836" i="27"/>
  <c r="M1836" i="27"/>
  <c r="G2305" i="27"/>
  <c r="I2305" i="27"/>
  <c r="Z1859" i="27"/>
  <c r="AA1859" i="27"/>
  <c r="F2382" i="27"/>
  <c r="M2382" i="27"/>
  <c r="G2382" i="27"/>
  <c r="G2652" i="27"/>
  <c r="F3168" i="27"/>
  <c r="M3168" i="27"/>
  <c r="G3168" i="27"/>
  <c r="U3168" i="27"/>
  <c r="Z2101" i="27"/>
  <c r="AA2101" i="27"/>
  <c r="G1007" i="27"/>
  <c r="I1007" i="27"/>
  <c r="F3148" i="27"/>
  <c r="M3148" i="27"/>
  <c r="G3148" i="27"/>
  <c r="U3148" i="27"/>
  <c r="G854" i="27"/>
  <c r="I854" i="27"/>
  <c r="U2454" i="27"/>
  <c r="F2454" i="27"/>
  <c r="M2454" i="27"/>
  <c r="Z2454" i="27"/>
  <c r="AA2454" i="27"/>
  <c r="Z1922" i="27"/>
  <c r="G216" i="27"/>
  <c r="I216" i="27"/>
  <c r="F2397" i="27"/>
  <c r="M2397" i="27"/>
  <c r="G2397" i="27"/>
  <c r="U2397" i="27"/>
  <c r="Z2397" i="27"/>
  <c r="AA2397" i="27"/>
  <c r="U2161" i="27"/>
  <c r="Z2161" i="27"/>
  <c r="AA2161" i="27"/>
  <c r="U1532" i="27"/>
  <c r="U3125" i="27"/>
  <c r="F3125" i="27"/>
  <c r="M3125" i="27"/>
  <c r="G3125" i="27"/>
  <c r="G3131" i="27"/>
  <c r="I3131" i="27"/>
  <c r="Z2814" i="27"/>
  <c r="AA2814" i="27"/>
  <c r="G2782" i="27"/>
  <c r="I2782" i="27"/>
  <c r="G621" i="27"/>
  <c r="Z1431" i="27"/>
  <c r="AA1431" i="27"/>
  <c r="AA1387" i="27"/>
  <c r="U1387" i="27"/>
  <c r="Z1387" i="27"/>
  <c r="F1387" i="27"/>
  <c r="M1387" i="27"/>
  <c r="G1387" i="27"/>
  <c r="I1387" i="27"/>
  <c r="G491" i="27"/>
  <c r="I491" i="27"/>
  <c r="U2837" i="27"/>
  <c r="F2837" i="27"/>
  <c r="M2837" i="27"/>
  <c r="Z2837" i="27"/>
  <c r="AA2837" i="27"/>
  <c r="G1363" i="27"/>
  <c r="I1363" i="27"/>
  <c r="G889" i="27"/>
  <c r="I889" i="27"/>
  <c r="G2189" i="27"/>
  <c r="I2189" i="27"/>
  <c r="F1532" i="27"/>
  <c r="M1532" i="27"/>
  <c r="G1532" i="27"/>
  <c r="U2068" i="27"/>
  <c r="F2068" i="27"/>
  <c r="M2068" i="27"/>
  <c r="Z2068" i="27"/>
  <c r="AA2068" i="27"/>
  <c r="G1214" i="27"/>
  <c r="I1214" i="27"/>
  <c r="C80" i="27"/>
  <c r="D80" i="27"/>
  <c r="I18" i="27"/>
  <c r="Z1311" i="27"/>
  <c r="AA1311" i="27"/>
  <c r="F1311" i="27"/>
  <c r="M1311" i="27"/>
  <c r="G1311" i="27"/>
  <c r="U1311" i="27"/>
  <c r="G456" i="27"/>
  <c r="I456" i="27"/>
  <c r="U1600" i="27"/>
  <c r="Z1600" i="27"/>
  <c r="AA1600" i="27"/>
  <c r="F1600" i="27"/>
  <c r="M1600" i="27"/>
  <c r="G1600" i="27"/>
  <c r="Z1288" i="27"/>
  <c r="G918" i="27"/>
  <c r="I918" i="27"/>
  <c r="G1054" i="27"/>
  <c r="I1054" i="27"/>
  <c r="G1951" i="27"/>
  <c r="AA1951" i="27"/>
  <c r="D2350" i="27"/>
  <c r="E2350" i="27"/>
  <c r="C2458" i="27"/>
  <c r="D2458" i="27"/>
  <c r="E2458" i="27"/>
  <c r="F2171" i="27"/>
  <c r="M2171" i="27"/>
  <c r="Z2171" i="27"/>
  <c r="U2171" i="27"/>
  <c r="AA2171" i="27"/>
  <c r="G672" i="27"/>
  <c r="I672" i="27"/>
  <c r="G2727" i="27"/>
  <c r="I2727" i="27"/>
  <c r="F1666" i="27"/>
  <c r="M1666" i="27"/>
  <c r="G1666" i="27"/>
  <c r="U1666" i="27"/>
  <c r="AA1666" i="27"/>
  <c r="Z1666" i="27"/>
  <c r="I250" i="27"/>
  <c r="F55" i="27"/>
  <c r="M55" i="27"/>
  <c r="G55" i="27"/>
  <c r="M593" i="27"/>
  <c r="F603" i="27"/>
  <c r="F1167" i="27"/>
  <c r="G276" i="27"/>
  <c r="I276" i="27"/>
  <c r="Z1543" i="27"/>
  <c r="AA1543" i="27"/>
  <c r="F1543" i="27"/>
  <c r="M1543" i="27"/>
  <c r="G1543" i="27"/>
  <c r="U1543" i="27"/>
  <c r="Z1658" i="27"/>
  <c r="AA1658" i="27"/>
  <c r="G1199" i="27"/>
  <c r="I1199" i="27"/>
  <c r="G2536" i="27"/>
  <c r="I2536" i="27"/>
  <c r="F1860" i="27"/>
  <c r="M1860" i="27"/>
  <c r="Z1860" i="27"/>
  <c r="AA1860" i="27"/>
  <c r="Z2314" i="27"/>
  <c r="AA2314" i="27"/>
  <c r="U2314" i="27"/>
  <c r="F2314" i="27"/>
  <c r="M2314" i="27"/>
  <c r="G2314" i="27"/>
  <c r="G967" i="27"/>
  <c r="I967" i="27"/>
  <c r="G1408" i="27"/>
  <c r="AA1408" i="27"/>
  <c r="G1510" i="27"/>
  <c r="I1510" i="27"/>
  <c r="C1503" i="27"/>
  <c r="E1503" i="27"/>
  <c r="U1503" i="27"/>
  <c r="E1920" i="27"/>
  <c r="F1920" i="27"/>
  <c r="M1920" i="27"/>
  <c r="C2127" i="27"/>
  <c r="E2127" i="27"/>
  <c r="C2015" i="27"/>
  <c r="E2015" i="27"/>
  <c r="C1579" i="27"/>
  <c r="E1579" i="27"/>
  <c r="I2721" i="27"/>
  <c r="G2549" i="27"/>
  <c r="I2549" i="27"/>
  <c r="F1761" i="27"/>
  <c r="M1761" i="27"/>
  <c r="G1761" i="27"/>
  <c r="I1761" i="27"/>
  <c r="U1761" i="27"/>
  <c r="Z1761" i="27"/>
  <c r="AA1761" i="27"/>
  <c r="F2446" i="27"/>
  <c r="M2446" i="27"/>
  <c r="G2446" i="27"/>
  <c r="Z2446" i="27"/>
  <c r="AA2446" i="27"/>
  <c r="Z1313" i="27"/>
  <c r="AA1313" i="27"/>
  <c r="G1704" i="27"/>
  <c r="I1704" i="27"/>
  <c r="F1765" i="27"/>
  <c r="M1765" i="27"/>
  <c r="G1765" i="27"/>
  <c r="U1765" i="27"/>
  <c r="Z1765" i="27"/>
  <c r="AA1765" i="27"/>
  <c r="G1444" i="27"/>
  <c r="I1444" i="27"/>
  <c r="F2583" i="27"/>
  <c r="M2583" i="27"/>
  <c r="U2583" i="27"/>
  <c r="Z2583" i="27"/>
  <c r="AA2583" i="27"/>
  <c r="G336" i="27"/>
  <c r="I336" i="27"/>
  <c r="I1117" i="27"/>
  <c r="Z1508" i="27"/>
  <c r="F1508" i="27"/>
  <c r="M1508" i="27"/>
  <c r="AA1508" i="27"/>
  <c r="F3140" i="27"/>
  <c r="M3140" i="27"/>
  <c r="U3140" i="27"/>
  <c r="U1471" i="27"/>
  <c r="Z1471" i="27"/>
  <c r="AA1471" i="27"/>
  <c r="F1471" i="27"/>
  <c r="M1471" i="27"/>
  <c r="G1471" i="27"/>
  <c r="I1471" i="27"/>
  <c r="G687" i="27"/>
  <c r="I687" i="27"/>
  <c r="G2284" i="27"/>
  <c r="I2284" i="27"/>
  <c r="F1646" i="27"/>
  <c r="M1646" i="27"/>
  <c r="G1646" i="27"/>
  <c r="U1646" i="27"/>
  <c r="Z1646" i="27"/>
  <c r="AA1646" i="27"/>
  <c r="E604" i="27"/>
  <c r="M356" i="27"/>
  <c r="F374" i="27"/>
  <c r="F2429" i="27"/>
  <c r="M2429" i="27"/>
  <c r="Z2429" i="27"/>
  <c r="AA2429" i="27"/>
  <c r="G2722" i="27"/>
  <c r="I2722" i="27"/>
  <c r="Z2634" i="27"/>
  <c r="AA2634" i="27"/>
  <c r="G519" i="27"/>
  <c r="I519" i="27"/>
  <c r="G394" i="27"/>
  <c r="G1053" i="27"/>
  <c r="I1053" i="27"/>
  <c r="Z2756" i="27"/>
  <c r="AA2756" i="27"/>
  <c r="Z2050" i="27"/>
  <c r="AA2050" i="27"/>
  <c r="G1119" i="27"/>
  <c r="I1119" i="27"/>
  <c r="G743" i="27"/>
  <c r="U2097" i="27"/>
  <c r="F2097" i="27"/>
  <c r="M2097" i="27"/>
  <c r="G2097" i="27"/>
  <c r="I2097" i="27"/>
  <c r="Z2097" i="27"/>
  <c r="AA2097" i="27"/>
  <c r="F1422" i="27"/>
  <c r="M1422" i="27"/>
  <c r="Z1422" i="27"/>
  <c r="U1368" i="27"/>
  <c r="Z1368" i="27"/>
  <c r="AA1368" i="27"/>
  <c r="F1368" i="27"/>
  <c r="M1368" i="27"/>
  <c r="U2151" i="27"/>
  <c r="F2151" i="27"/>
  <c r="M2151" i="27"/>
  <c r="Z2151" i="27"/>
  <c r="AA2151" i="27"/>
  <c r="I612" i="27"/>
  <c r="F2659" i="27"/>
  <c r="M2659" i="27"/>
  <c r="Z2659" i="27"/>
  <c r="AA2659" i="27"/>
  <c r="U2659" i="27"/>
  <c r="G1116" i="27"/>
  <c r="I1116" i="27"/>
  <c r="Z2745" i="27"/>
  <c r="AA2745" i="27"/>
  <c r="U2745" i="27"/>
  <c r="F2745" i="27"/>
  <c r="M2745" i="27"/>
  <c r="U1685" i="27"/>
  <c r="Z1685" i="27"/>
  <c r="AA1685" i="27"/>
  <c r="F1685" i="27"/>
  <c r="M1685" i="27"/>
  <c r="G1026" i="27"/>
  <c r="I1026" i="27"/>
  <c r="F2847" i="27"/>
  <c r="M2847" i="27"/>
  <c r="G2847" i="27"/>
  <c r="Z2847" i="27"/>
  <c r="AA2847" i="27"/>
  <c r="F2433" i="27"/>
  <c r="Z2433" i="27"/>
  <c r="AA2433" i="27"/>
  <c r="AA1388" i="27"/>
  <c r="F1388" i="27"/>
  <c r="M1388" i="27"/>
  <c r="G1388" i="27"/>
  <c r="U1388" i="27"/>
  <c r="Z1388" i="27"/>
  <c r="U1539" i="27"/>
  <c r="M1539" i="27"/>
  <c r="G1539" i="27"/>
  <c r="U3174" i="27"/>
  <c r="F3174" i="27"/>
  <c r="M3174" i="27"/>
  <c r="G3174" i="27"/>
  <c r="I409" i="27"/>
  <c r="G707" i="27"/>
  <c r="I707" i="27"/>
  <c r="F1470" i="27"/>
  <c r="M1470" i="27"/>
  <c r="G1470" i="27"/>
  <c r="Z1470" i="27"/>
  <c r="AA1470" i="27"/>
  <c r="U1470" i="27"/>
  <c r="U3154" i="27"/>
  <c r="F3154" i="27"/>
  <c r="M3154" i="27"/>
  <c r="U1351" i="27"/>
  <c r="Z1351" i="27"/>
  <c r="AA1351" i="27"/>
  <c r="F1351" i="27"/>
  <c r="M1351" i="27"/>
  <c r="G1351" i="27"/>
  <c r="F1728" i="27"/>
  <c r="M1728" i="27"/>
  <c r="G1728" i="27"/>
  <c r="U1728" i="27"/>
  <c r="Z1728" i="27"/>
  <c r="AA1728" i="27"/>
  <c r="G798" i="27"/>
  <c r="I798" i="27"/>
  <c r="G1858" i="27"/>
  <c r="I1858" i="27"/>
  <c r="G1876" i="27"/>
  <c r="I1876" i="27"/>
  <c r="G2298" i="27"/>
  <c r="I2298" i="27"/>
  <c r="Z1438" i="27"/>
  <c r="AA1438" i="27"/>
  <c r="F1438" i="27"/>
  <c r="M1438" i="27"/>
  <c r="U1438" i="27"/>
  <c r="C2462" i="27"/>
  <c r="D2462" i="27"/>
  <c r="F2462" i="27"/>
  <c r="M2462" i="27"/>
  <c r="D1932" i="27"/>
  <c r="E1932" i="27"/>
  <c r="C2686" i="27"/>
  <c r="D2686" i="27"/>
  <c r="E2686" i="27"/>
  <c r="C1907" i="27"/>
  <c r="D1907" i="27"/>
  <c r="E1907" i="27"/>
  <c r="C1393" i="27"/>
  <c r="D1393" i="27"/>
  <c r="E1393" i="27"/>
  <c r="Z1393" i="27"/>
  <c r="C2596" i="27"/>
  <c r="D2596" i="27"/>
  <c r="C2776" i="27"/>
  <c r="D2776" i="27"/>
  <c r="G521" i="27"/>
  <c r="I521" i="27"/>
  <c r="Z2197" i="27"/>
  <c r="AA2197" i="27"/>
  <c r="U2197" i="27"/>
  <c r="U2658" i="27"/>
  <c r="M2658" i="27"/>
  <c r="Z2658" i="27"/>
  <c r="AA2658" i="27"/>
  <c r="G2252" i="27"/>
  <c r="I2252" i="27"/>
  <c r="F2724" i="27"/>
  <c r="M2724" i="27"/>
  <c r="G2724" i="27"/>
  <c r="U2724" i="27"/>
  <c r="Z2724" i="27"/>
  <c r="AA2724" i="27"/>
  <c r="G2742" i="27"/>
  <c r="I2742" i="27"/>
  <c r="U1645" i="27"/>
  <c r="F1645" i="27"/>
  <c r="M1645" i="27"/>
  <c r="G1645" i="27"/>
  <c r="I1645" i="27"/>
  <c r="Z1645" i="27"/>
  <c r="AA1645" i="27"/>
  <c r="U2749" i="27"/>
  <c r="F2749" i="27"/>
  <c r="M2749" i="27"/>
  <c r="Z2749" i="27"/>
  <c r="AA2749" i="27"/>
  <c r="U2045" i="27"/>
  <c r="Z2045" i="27"/>
  <c r="AA2045" i="27"/>
  <c r="F2045" i="27"/>
  <c r="M2045" i="27"/>
  <c r="F1868" i="27"/>
  <c r="M1868" i="27"/>
  <c r="G1868" i="27"/>
  <c r="Z1868" i="27"/>
  <c r="AA1868" i="27"/>
  <c r="U1868" i="27"/>
  <c r="G1189" i="27"/>
  <c r="I1189" i="27"/>
  <c r="F2657" i="27"/>
  <c r="M2657" i="27"/>
  <c r="G2657" i="27"/>
  <c r="Z2657" i="27"/>
  <c r="AA2657" i="27"/>
  <c r="M367" i="27"/>
  <c r="G367" i="27"/>
  <c r="U1884" i="27"/>
  <c r="Z1884" i="27"/>
  <c r="AA1884" i="27"/>
  <c r="F1884" i="27"/>
  <c r="M1884" i="27"/>
  <c r="G1884" i="27"/>
  <c r="F1927" i="27"/>
  <c r="M1927" i="27"/>
  <c r="G1927" i="27"/>
  <c r="AA1927" i="27"/>
  <c r="U2846" i="27"/>
  <c r="U1981" i="27"/>
  <c r="U1614" i="27"/>
  <c r="Z1614" i="27"/>
  <c r="AA1614" i="27"/>
  <c r="F1614" i="27"/>
  <c r="M1614" i="27"/>
  <c r="G1614" i="27"/>
  <c r="F2632" i="27"/>
  <c r="M2632" i="27"/>
  <c r="Z2632" i="27"/>
  <c r="AA2632" i="27"/>
  <c r="U2632" i="27"/>
  <c r="U2838" i="27"/>
  <c r="Z2838" i="27"/>
  <c r="AA2838" i="27"/>
  <c r="F2838" i="27"/>
  <c r="M2838" i="27"/>
  <c r="G2838" i="27"/>
  <c r="G1850" i="27"/>
  <c r="I1850" i="27"/>
  <c r="E2920" i="27"/>
  <c r="E3026" i="27"/>
  <c r="E3025" i="27"/>
  <c r="G237" i="27"/>
  <c r="I237" i="27"/>
  <c r="Z1224" i="27"/>
  <c r="AA1224" i="27"/>
  <c r="F1224" i="27"/>
  <c r="M1224" i="27"/>
  <c r="G1224" i="27"/>
  <c r="U1224" i="27"/>
  <c r="Z1750" i="27"/>
  <c r="AA1750" i="27"/>
  <c r="G2044" i="27"/>
  <c r="I2044" i="27"/>
  <c r="G1291" i="27"/>
  <c r="I1291" i="27"/>
  <c r="I1133" i="27"/>
  <c r="F3141" i="27"/>
  <c r="M3141" i="27"/>
  <c r="U3141" i="27"/>
  <c r="G493" i="27"/>
  <c r="I493" i="27"/>
  <c r="G3110" i="27"/>
  <c r="F1981" i="27"/>
  <c r="M1981" i="27"/>
  <c r="U1547" i="27"/>
  <c r="Z1547" i="27"/>
  <c r="AA1547" i="27"/>
  <c r="F1547" i="27"/>
  <c r="M1547" i="27"/>
  <c r="G673" i="27"/>
  <c r="I673" i="27"/>
  <c r="G2807" i="27"/>
  <c r="I2807" i="27"/>
  <c r="Z1821" i="27"/>
  <c r="AA1821" i="27"/>
  <c r="U1821" i="27"/>
  <c r="F1821" i="27"/>
  <c r="M1821" i="27"/>
  <c r="G1821" i="27"/>
  <c r="G668" i="27"/>
  <c r="I668" i="27"/>
  <c r="U1290" i="27"/>
  <c r="Z2236" i="27"/>
  <c r="AA2236" i="27"/>
  <c r="F2236" i="27"/>
  <c r="M2236" i="27"/>
  <c r="G2236" i="27"/>
  <c r="U2236" i="27"/>
  <c r="G1132" i="27"/>
  <c r="I1132" i="27"/>
  <c r="G968" i="27"/>
  <c r="I968" i="27"/>
  <c r="F1730" i="27"/>
  <c r="M1730" i="27"/>
  <c r="U1730" i="27"/>
  <c r="Z1730" i="27"/>
  <c r="AA1730" i="27"/>
  <c r="G2055" i="27"/>
  <c r="G1308" i="27"/>
  <c r="I1308" i="27"/>
  <c r="G536" i="27"/>
  <c r="I536" i="27"/>
  <c r="G844" i="27"/>
  <c r="I844" i="27"/>
  <c r="U3101" i="27"/>
  <c r="F3101" i="27"/>
  <c r="M3101" i="27"/>
  <c r="I3101" i="27"/>
  <c r="G3101" i="27"/>
  <c r="G2622" i="27"/>
  <c r="I2622" i="27"/>
  <c r="U2379" i="27"/>
  <c r="G698" i="27"/>
  <c r="I698" i="27"/>
  <c r="Z1746" i="27"/>
  <c r="AA1746" i="27"/>
  <c r="F1746" i="27"/>
  <c r="M1746" i="27"/>
  <c r="U1746" i="27"/>
  <c r="U1982" i="27"/>
  <c r="Z1982" i="27"/>
  <c r="F1982" i="27"/>
  <c r="M1982" i="27"/>
  <c r="AA1287" i="27"/>
  <c r="F1287" i="27"/>
  <c r="M1287" i="27"/>
  <c r="Z1287" i="27"/>
  <c r="U1287" i="27"/>
  <c r="Z2971" i="27"/>
  <c r="AA2971" i="27"/>
  <c r="F2971" i="27"/>
  <c r="M2971" i="27"/>
  <c r="U2971" i="27"/>
  <c r="F1352" i="27"/>
  <c r="M1352" i="27"/>
  <c r="I1352" i="27"/>
  <c r="G1352" i="27"/>
  <c r="Z2582" i="27"/>
  <c r="AA2582" i="27"/>
  <c r="U2036" i="27"/>
  <c r="M2036" i="27"/>
  <c r="Z2036" i="27"/>
  <c r="AA2036" i="27"/>
  <c r="Z1649" i="27"/>
  <c r="AA1649" i="27"/>
  <c r="U1649" i="27"/>
  <c r="F1649" i="27"/>
  <c r="M1649" i="27"/>
  <c r="G738" i="27"/>
  <c r="I738" i="27"/>
  <c r="U2447" i="27"/>
  <c r="Z2447" i="27"/>
  <c r="AA2447" i="27"/>
  <c r="F2447" i="27"/>
  <c r="M2447" i="27"/>
  <c r="G2447" i="27"/>
  <c r="G1669" i="27"/>
  <c r="I1669" i="27"/>
  <c r="C2455" i="27"/>
  <c r="D2455" i="27"/>
  <c r="E2455" i="27"/>
  <c r="D2347" i="27"/>
  <c r="E2347" i="27"/>
  <c r="G1895" i="27"/>
  <c r="I1895" i="27"/>
  <c r="U1264" i="27"/>
  <c r="G1205" i="27"/>
  <c r="I1205" i="27"/>
  <c r="F2048" i="27"/>
  <c r="M2048" i="27"/>
  <c r="Z2048" i="27"/>
  <c r="AA2048" i="27"/>
  <c r="U2048" i="27"/>
  <c r="G1293" i="27"/>
  <c r="I1293" i="27"/>
  <c r="G1093" i="27"/>
  <c r="I1093" i="27"/>
  <c r="G1140" i="27"/>
  <c r="I1140" i="27"/>
  <c r="G757" i="27"/>
  <c r="I757" i="27"/>
  <c r="G1197" i="27"/>
  <c r="I1197" i="27"/>
  <c r="U2235" i="27"/>
  <c r="Z2235" i="27"/>
  <c r="AA2235" i="27"/>
  <c r="F2235" i="27"/>
  <c r="M2235" i="27"/>
  <c r="E2240" i="27"/>
  <c r="U1371" i="27"/>
  <c r="U3160" i="27"/>
  <c r="F3160" i="27"/>
  <c r="M3160" i="27"/>
  <c r="G3160" i="27"/>
  <c r="I3160" i="27"/>
  <c r="I2709" i="27"/>
  <c r="U1428" i="27"/>
  <c r="F1428" i="27"/>
  <c r="M1428" i="27"/>
  <c r="Z1428" i="27"/>
  <c r="AA1428" i="27"/>
  <c r="I2136" i="27"/>
  <c r="Z1688" i="27"/>
  <c r="AA1688" i="27"/>
  <c r="U1688" i="27"/>
  <c r="F1688" i="27"/>
  <c r="M1688" i="27"/>
  <c r="C2975" i="27"/>
  <c r="D2975" i="27"/>
  <c r="E2975" i="27"/>
  <c r="Z2975" i="27"/>
  <c r="AA2975" i="27"/>
  <c r="D2932" i="27"/>
  <c r="E2932" i="27"/>
  <c r="G1239" i="27"/>
  <c r="I1239" i="27"/>
  <c r="G517" i="27"/>
  <c r="I517" i="27"/>
  <c r="G2230" i="27"/>
  <c r="I2230" i="27"/>
  <c r="G745" i="27"/>
  <c r="I745" i="27"/>
  <c r="G633" i="27"/>
  <c r="I633" i="27"/>
  <c r="G2516" i="27"/>
  <c r="I2516" i="27"/>
  <c r="G1115" i="27"/>
  <c r="I1115" i="27"/>
  <c r="M40" i="27"/>
  <c r="G40" i="27"/>
  <c r="I40" i="27"/>
  <c r="Z1500" i="27"/>
  <c r="AA1500" i="27"/>
  <c r="F1500" i="27"/>
  <c r="M1500" i="27"/>
  <c r="G2809" i="27"/>
  <c r="I2809" i="27"/>
  <c r="G1752" i="27"/>
  <c r="I1752" i="27"/>
  <c r="U2394" i="27"/>
  <c r="F2394" i="27"/>
  <c r="M2394" i="27"/>
  <c r="G2394" i="27"/>
  <c r="Z2394" i="27"/>
  <c r="AA2394" i="27"/>
  <c r="Z2012" i="27"/>
  <c r="AA2012" i="27"/>
  <c r="F2012" i="27"/>
  <c r="M2012" i="27"/>
  <c r="G2012" i="27"/>
  <c r="G1870" i="27"/>
  <c r="I1870" i="27"/>
  <c r="U2071" i="27"/>
  <c r="F2071" i="27"/>
  <c r="M2071" i="27"/>
  <c r="Z2071" i="27"/>
  <c r="AA2071" i="27"/>
  <c r="G458" i="27"/>
  <c r="I458" i="27"/>
  <c r="G570" i="27"/>
  <c r="I570" i="27"/>
  <c r="F2977" i="27"/>
  <c r="M2977" i="27"/>
  <c r="G2977" i="27"/>
  <c r="Z2977" i="27"/>
  <c r="AA2977" i="27"/>
  <c r="G734" i="27"/>
  <c r="I734" i="27"/>
  <c r="Z1977" i="27"/>
  <c r="U1977" i="27"/>
  <c r="F1977" i="27"/>
  <c r="M1977" i="27"/>
  <c r="G1977" i="27"/>
  <c r="AA1977" i="27"/>
  <c r="G421" i="27"/>
  <c r="I421" i="27"/>
  <c r="U1465" i="27"/>
  <c r="F1465" i="27"/>
  <c r="M1465" i="27"/>
  <c r="Z1465" i="27"/>
  <c r="AA1465" i="27"/>
  <c r="F1681" i="27"/>
  <c r="M1681" i="27"/>
  <c r="U1681" i="27"/>
  <c r="Z1681" i="27"/>
  <c r="AA1681" i="27"/>
  <c r="G884" i="27"/>
  <c r="I884" i="27"/>
  <c r="G901" i="27"/>
  <c r="I901" i="27"/>
  <c r="G890" i="27"/>
  <c r="I890" i="27"/>
  <c r="G477" i="27"/>
  <c r="I477" i="27"/>
  <c r="G1131" i="27"/>
  <c r="I1131" i="27"/>
  <c r="G183" i="27"/>
  <c r="I183" i="27"/>
  <c r="G936" i="27"/>
  <c r="I936" i="27"/>
  <c r="G2306" i="27"/>
  <c r="I2306" i="27"/>
  <c r="U1385" i="27"/>
  <c r="AA1385" i="27"/>
  <c r="G2352" i="27"/>
  <c r="I2352" i="27"/>
  <c r="G251" i="27"/>
  <c r="I251" i="27"/>
  <c r="G2828" i="27"/>
  <c r="G1713" i="27"/>
  <c r="I1713" i="27"/>
  <c r="G834" i="27"/>
  <c r="I834" i="27"/>
  <c r="G528" i="27"/>
  <c r="I528" i="27"/>
  <c r="G2194" i="27"/>
  <c r="I2194" i="27"/>
  <c r="F2032" i="27"/>
  <c r="M2032" i="27"/>
  <c r="U2032" i="27"/>
  <c r="Z2032" i="27"/>
  <c r="AA2032" i="27"/>
  <c r="F2582" i="27"/>
  <c r="M2582" i="27"/>
  <c r="G2582" i="27"/>
  <c r="I2582" i="27"/>
  <c r="M10" i="27"/>
  <c r="G10" i="27"/>
  <c r="I10" i="27"/>
  <c r="G2417" i="27"/>
  <c r="I2417" i="27"/>
  <c r="U1495" i="27"/>
  <c r="G1694" i="27"/>
  <c r="I1694" i="27"/>
  <c r="G1842" i="27"/>
  <c r="I1842" i="27"/>
  <c r="F2187" i="27"/>
  <c r="M2187" i="27"/>
  <c r="G2187" i="27"/>
  <c r="Z2187" i="27"/>
  <c r="AA2187" i="27"/>
  <c r="U2187" i="27"/>
  <c r="U1797" i="27"/>
  <c r="Z1797" i="27"/>
  <c r="AA1797" i="27"/>
  <c r="F1797" i="27"/>
  <c r="M1797" i="27"/>
  <c r="G1797" i="27"/>
  <c r="I1797" i="27"/>
  <c r="G1924" i="27"/>
  <c r="AA1924" i="27"/>
  <c r="U64" i="27"/>
  <c r="Z64" i="27"/>
  <c r="AA64" i="27"/>
  <c r="F64" i="27"/>
  <c r="M64" i="27"/>
  <c r="Z1901" i="27"/>
  <c r="AA1901" i="27"/>
  <c r="U1901" i="27"/>
  <c r="F1901" i="27"/>
  <c r="M1901" i="27"/>
  <c r="G1901" i="27"/>
  <c r="C83" i="27"/>
  <c r="D83" i="27"/>
  <c r="G21" i="27"/>
  <c r="I21" i="27"/>
  <c r="AA1635" i="27"/>
  <c r="G1635" i="27"/>
  <c r="I1635" i="27"/>
  <c r="G2337" i="27"/>
  <c r="I2337" i="27"/>
  <c r="C2970" i="27"/>
  <c r="D2970" i="27"/>
  <c r="E2970" i="27"/>
  <c r="D2927" i="27"/>
  <c r="E2927" i="27"/>
  <c r="U2927" i="27"/>
  <c r="G550" i="27"/>
  <c r="I550" i="27"/>
  <c r="G2388" i="27"/>
  <c r="I2388" i="27"/>
  <c r="F2410" i="27"/>
  <c r="M2410" i="27"/>
  <c r="G2410" i="27"/>
  <c r="I2410" i="27"/>
  <c r="Z2410" i="27"/>
  <c r="AA2410" i="27"/>
  <c r="G486" i="27"/>
  <c r="I486" i="27"/>
  <c r="G2716" i="27"/>
  <c r="I2716" i="27"/>
  <c r="G1960" i="27"/>
  <c r="AA1960" i="27"/>
  <c r="G1862" i="27"/>
  <c r="I1862" i="27"/>
  <c r="G2145" i="27"/>
  <c r="I2145" i="27"/>
  <c r="M644" i="27"/>
  <c r="G644" i="27"/>
  <c r="I644" i="27"/>
  <c r="M338" i="27"/>
  <c r="G338" i="27"/>
  <c r="Z2952" i="27"/>
  <c r="AA2952" i="27"/>
  <c r="E2962" i="27"/>
  <c r="G2441" i="27"/>
  <c r="I2441" i="27"/>
  <c r="M512" i="27"/>
  <c r="G512" i="27"/>
  <c r="Z1873" i="27"/>
  <c r="AA1873" i="27"/>
  <c r="F1873" i="27"/>
  <c r="M1873" i="27"/>
  <c r="G1873" i="27"/>
  <c r="U1873" i="27"/>
  <c r="G1830" i="27"/>
  <c r="I1830" i="27"/>
  <c r="I1983" i="27"/>
  <c r="M468" i="27"/>
  <c r="G847" i="27"/>
  <c r="I847" i="27"/>
  <c r="I1955" i="27"/>
  <c r="G2291" i="27"/>
  <c r="I2291" i="27"/>
  <c r="G2802" i="27"/>
  <c r="I2802" i="27"/>
  <c r="G2024" i="27"/>
  <c r="I2024" i="27"/>
  <c r="G1772" i="27"/>
  <c r="I1772" i="27"/>
  <c r="G266" i="27"/>
  <c r="I266" i="27"/>
  <c r="D1877" i="27"/>
  <c r="E1877" i="27"/>
  <c r="M1877" i="27"/>
  <c r="G1877" i="27"/>
  <c r="I1877" i="27"/>
  <c r="G1975" i="27"/>
  <c r="I1975" i="27"/>
  <c r="G2395" i="27"/>
  <c r="I2395" i="27"/>
  <c r="G1851" i="27"/>
  <c r="I1851" i="27"/>
  <c r="G1762" i="27"/>
  <c r="I1762" i="27"/>
  <c r="U101" i="27"/>
  <c r="Z101" i="27"/>
  <c r="AA101" i="27"/>
  <c r="F101" i="27"/>
  <c r="F106" i="27"/>
  <c r="E106" i="27"/>
  <c r="E105" i="27"/>
  <c r="I1989" i="27"/>
  <c r="E2210" i="27"/>
  <c r="Z2210" i="27"/>
  <c r="AA2210" i="27"/>
  <c r="C1519" i="27"/>
  <c r="E1519" i="27"/>
  <c r="C2031" i="27"/>
  <c r="E2031" i="27"/>
  <c r="G2428" i="27"/>
  <c r="I2428" i="27"/>
  <c r="G3139" i="27"/>
  <c r="I3139" i="27"/>
  <c r="G1272" i="27"/>
  <c r="I1272" i="27"/>
  <c r="G1795" i="27"/>
  <c r="I1795" i="27"/>
  <c r="G2979" i="27"/>
  <c r="I2979" i="27"/>
  <c r="G590" i="27"/>
  <c r="I590" i="27"/>
  <c r="I54" i="27"/>
  <c r="M1619" i="27"/>
  <c r="G1619" i="27"/>
  <c r="I1619" i="27"/>
  <c r="AA1619" i="27"/>
  <c r="G1958" i="27"/>
  <c r="AA1958" i="27"/>
  <c r="G1441" i="27"/>
  <c r="I1441" i="27"/>
  <c r="G2103" i="27"/>
  <c r="I2103" i="27"/>
  <c r="G2377" i="27"/>
  <c r="I2377" i="27"/>
  <c r="F2351" i="27"/>
  <c r="M2351" i="27"/>
  <c r="I2351" i="27"/>
  <c r="U2351" i="27"/>
  <c r="Z2650" i="27"/>
  <c r="AA2650" i="27"/>
  <c r="U2650" i="27"/>
  <c r="F2650" i="27"/>
  <c r="M2650" i="27"/>
  <c r="G2650" i="27"/>
  <c r="I2650" i="27"/>
  <c r="Z2292" i="27"/>
  <c r="AA2292" i="27"/>
  <c r="F2292" i="27"/>
  <c r="M2292" i="27"/>
  <c r="U2292" i="27"/>
  <c r="Z1353" i="27"/>
  <c r="AA1353" i="27"/>
  <c r="F1353" i="27"/>
  <c r="U1353" i="27"/>
  <c r="G2120" i="27"/>
  <c r="I2120" i="27"/>
  <c r="G1846" i="27"/>
  <c r="U2010" i="27"/>
  <c r="G2267" i="27"/>
  <c r="I2267" i="27"/>
  <c r="G2259" i="27"/>
  <c r="I2259" i="27"/>
  <c r="Z2014" i="27"/>
  <c r="AA2014" i="27"/>
  <c r="Z2191" i="27"/>
  <c r="AA2191" i="27"/>
  <c r="U2191" i="27"/>
  <c r="F2191" i="27"/>
  <c r="M2191" i="27"/>
  <c r="Z1578" i="27"/>
  <c r="AA1578" i="27"/>
  <c r="U1578" i="27"/>
  <c r="F1578" i="27"/>
  <c r="M1578" i="27"/>
  <c r="G1930" i="27"/>
  <c r="I1930" i="27"/>
  <c r="U1502" i="27"/>
  <c r="F1502" i="27"/>
  <c r="M1502" i="27"/>
  <c r="Z1502" i="27"/>
  <c r="AA1502" i="27"/>
  <c r="C2973" i="27"/>
  <c r="D2973" i="27"/>
  <c r="E2973" i="27"/>
  <c r="Z2973" i="27"/>
  <c r="AA2973" i="27"/>
  <c r="D2930" i="27"/>
  <c r="E2930" i="27"/>
  <c r="U2930" i="27"/>
  <c r="F1841" i="27"/>
  <c r="M1841" i="27"/>
  <c r="U1841" i="27"/>
  <c r="Z1841" i="27"/>
  <c r="AA1841" i="27"/>
  <c r="Z1498" i="27"/>
  <c r="AA1498" i="27"/>
  <c r="Z2198" i="27"/>
  <c r="AA2198" i="27"/>
  <c r="Z2399" i="27"/>
  <c r="AA2399" i="27"/>
  <c r="G1211" i="27"/>
  <c r="I1211" i="27"/>
  <c r="G2620" i="27"/>
  <c r="I2620" i="27"/>
  <c r="G1476" i="27"/>
  <c r="I1476" i="27"/>
  <c r="G2170" i="27"/>
  <c r="I2170" i="27"/>
  <c r="G2799" i="27"/>
  <c r="I2799" i="27"/>
  <c r="G1233" i="27"/>
  <c r="I1233" i="27"/>
  <c r="G1675" i="27"/>
  <c r="I1675" i="27"/>
  <c r="G1767" i="27"/>
  <c r="I1767" i="27"/>
  <c r="G1760" i="27"/>
  <c r="I1760" i="27"/>
  <c r="U1514" i="27"/>
  <c r="F1514" i="27"/>
  <c r="M1514" i="27"/>
  <c r="AA1514" i="27"/>
  <c r="I1964" i="27"/>
  <c r="G2392" i="27"/>
  <c r="I2392" i="27"/>
  <c r="G2057" i="27"/>
  <c r="AA1664" i="27"/>
  <c r="M1664" i="27"/>
  <c r="G1664" i="27"/>
  <c r="I1664" i="27"/>
  <c r="F2686" i="27"/>
  <c r="M2686" i="27"/>
  <c r="G2686" i="27"/>
  <c r="I1924" i="27"/>
  <c r="G2171" i="27"/>
  <c r="I2171" i="27"/>
  <c r="U2127" i="27"/>
  <c r="Z2127" i="27"/>
  <c r="AA2127" i="27"/>
  <c r="F2127" i="27"/>
  <c r="M2127" i="27"/>
  <c r="G2127" i="27"/>
  <c r="G1438" i="27"/>
  <c r="I1438" i="27"/>
  <c r="G1685" i="27"/>
  <c r="I1685" i="27"/>
  <c r="G1508" i="27"/>
  <c r="I1508" i="27"/>
  <c r="G2837" i="27"/>
  <c r="G1287" i="27"/>
  <c r="I1287" i="27"/>
  <c r="G2036" i="27"/>
  <c r="I2036" i="27"/>
  <c r="I1960" i="27"/>
  <c r="F2210" i="27"/>
  <c r="M2210" i="27"/>
  <c r="U2795" i="27"/>
  <c r="Z2795" i="27"/>
  <c r="AA2795" i="27"/>
  <c r="F2795" i="27"/>
  <c r="M2795" i="27"/>
  <c r="G2795" i="27"/>
  <c r="I2795" i="27"/>
  <c r="F1706" i="27"/>
  <c r="M1706" i="27"/>
  <c r="U1706" i="27"/>
  <c r="Z1706" i="27"/>
  <c r="AA1706" i="27"/>
  <c r="F563" i="27"/>
  <c r="M563" i="27"/>
  <c r="Z563" i="27"/>
  <c r="AA563" i="27"/>
  <c r="U563" i="27"/>
  <c r="Z1557" i="27"/>
  <c r="AA1557" i="27"/>
  <c r="U1557" i="27"/>
  <c r="F1557" i="27"/>
  <c r="M1557" i="27"/>
  <c r="Z2247" i="27"/>
  <c r="AA2247" i="27"/>
  <c r="U2247" i="27"/>
  <c r="F2247" i="27"/>
  <c r="M2247" i="27"/>
  <c r="G2247" i="27"/>
  <c r="I2247" i="27"/>
  <c r="F1775" i="27"/>
  <c r="M1775" i="27"/>
  <c r="G1775" i="27"/>
  <c r="Z1775" i="27"/>
  <c r="U1775" i="27"/>
  <c r="AA1775" i="27"/>
  <c r="F1554" i="27"/>
  <c r="M1554" i="27"/>
  <c r="G1554" i="27"/>
  <c r="Z1554" i="27"/>
  <c r="AA1554" i="27"/>
  <c r="U1554" i="27"/>
  <c r="F1345" i="27"/>
  <c r="M1345" i="27"/>
  <c r="G1345" i="27"/>
  <c r="Z1345" i="27"/>
  <c r="AA1345" i="27"/>
  <c r="F1328" i="27"/>
  <c r="M1328" i="27"/>
  <c r="G1328" i="27"/>
  <c r="Z1328" i="27"/>
  <c r="AA1328" i="27"/>
  <c r="U1328" i="27"/>
  <c r="U1144" i="27"/>
  <c r="Z1144" i="27"/>
  <c r="AA1144" i="27"/>
  <c r="F1144" i="27"/>
  <c r="M1144" i="27"/>
  <c r="F1572" i="27"/>
  <c r="M1572" i="27"/>
  <c r="G1572" i="27"/>
  <c r="Z1572" i="27"/>
  <c r="AA1572" i="27"/>
  <c r="U1572" i="27"/>
  <c r="Z2415" i="27"/>
  <c r="AA2415" i="27"/>
  <c r="F2415" i="27"/>
  <c r="M2415" i="27"/>
  <c r="G2415" i="27"/>
  <c r="U2415" i="27"/>
  <c r="U2553" i="27"/>
  <c r="Z2553" i="27"/>
  <c r="AA2553" i="27"/>
  <c r="F2553" i="27"/>
  <c r="M2553" i="27"/>
  <c r="G2553" i="27"/>
  <c r="G1770" i="27"/>
  <c r="I1770" i="27"/>
  <c r="F2737" i="27"/>
  <c r="M2737" i="27"/>
  <c r="Z2737" i="27"/>
  <c r="AA2737" i="27"/>
  <c r="U1796" i="27"/>
  <c r="Z1796" i="27"/>
  <c r="AA1796" i="27"/>
  <c r="F1796" i="27"/>
  <c r="M1796" i="27"/>
  <c r="G1796" i="27"/>
  <c r="Z1516" i="27"/>
  <c r="AA1516" i="27"/>
  <c r="F1516" i="27"/>
  <c r="M1516" i="27"/>
  <c r="U1516" i="27"/>
  <c r="F1361" i="27"/>
  <c r="M1361" i="27"/>
  <c r="G1361" i="27"/>
  <c r="U1361" i="27"/>
  <c r="Z1361" i="27"/>
  <c r="AA1361" i="27"/>
  <c r="AA2995" i="27"/>
  <c r="Z2995" i="27"/>
  <c r="Z1970" i="27"/>
  <c r="U1970" i="27"/>
  <c r="F1970" i="27"/>
  <c r="M1970" i="27"/>
  <c r="G1970" i="27"/>
  <c r="AA1970" i="27"/>
  <c r="F1244" i="27"/>
  <c r="M1244" i="27"/>
  <c r="U1244" i="27"/>
  <c r="Z1244" i="27"/>
  <c r="AA1244" i="27"/>
  <c r="C1506" i="27"/>
  <c r="E1506" i="27"/>
  <c r="E1923" i="27"/>
  <c r="C2018" i="27"/>
  <c r="E2018" i="27"/>
  <c r="C2130" i="27"/>
  <c r="E2130" i="27"/>
  <c r="C1582" i="27"/>
  <c r="E1582" i="27"/>
  <c r="Z2383" i="27"/>
  <c r="AA2383" i="27"/>
  <c r="F2383" i="27"/>
  <c r="M2383" i="27"/>
  <c r="U2383" i="27"/>
  <c r="F2167" i="27"/>
  <c r="M2167" i="27"/>
  <c r="G2167" i="27"/>
  <c r="U2167" i="27"/>
  <c r="AA2167" i="27"/>
  <c r="Z2167" i="27"/>
  <c r="F1542" i="27"/>
  <c r="M1542" i="27"/>
  <c r="U1542" i="27"/>
  <c r="Z1542" i="27"/>
  <c r="AA1542" i="27"/>
  <c r="M2066" i="27"/>
  <c r="U1498" i="27"/>
  <c r="F1932" i="27"/>
  <c r="M1932" i="27"/>
  <c r="Z1920" i="27"/>
  <c r="I1951" i="27"/>
  <c r="Z342" i="27"/>
  <c r="F342" i="27"/>
  <c r="M342" i="27"/>
  <c r="AB342" i="27"/>
  <c r="AA342" i="27"/>
  <c r="I1946" i="27"/>
  <c r="U389" i="27"/>
  <c r="F389" i="27"/>
  <c r="M389" i="27"/>
  <c r="G389" i="27"/>
  <c r="Z389" i="27"/>
  <c r="F1459" i="27"/>
  <c r="M1459" i="27"/>
  <c r="G1459" i="27"/>
  <c r="I1459" i="27"/>
  <c r="U1459" i="27"/>
  <c r="Z1459" i="27"/>
  <c r="AA1459" i="27"/>
  <c r="E2344" i="27"/>
  <c r="C2579" i="27"/>
  <c r="U1736" i="27"/>
  <c r="Z1736" i="27"/>
  <c r="AA1736" i="27"/>
  <c r="F1736" i="27"/>
  <c r="M1736" i="27"/>
  <c r="U2152" i="27"/>
  <c r="F2152" i="27"/>
  <c r="M2152" i="27"/>
  <c r="G2152" i="27"/>
  <c r="Z2152" i="27"/>
  <c r="AA2152" i="27"/>
  <c r="F1157" i="27"/>
  <c r="M1157" i="27"/>
  <c r="Z1157" i="27"/>
  <c r="AA1157" i="27"/>
  <c r="U1157" i="27"/>
  <c r="U1986" i="27"/>
  <c r="F1986" i="27"/>
  <c r="M1986" i="27"/>
  <c r="G1986" i="27"/>
  <c r="AA1986" i="27"/>
  <c r="Z1986" i="27"/>
  <c r="Z1573" i="27"/>
  <c r="AA1573" i="27"/>
  <c r="U1573" i="27"/>
  <c r="F1573" i="27"/>
  <c r="M1573" i="27"/>
  <c r="U2777" i="27"/>
  <c r="Z2777" i="27"/>
  <c r="AA2777" i="27"/>
  <c r="F2777" i="27"/>
  <c r="M2777" i="27"/>
  <c r="G2777" i="27"/>
  <c r="I2777" i="27"/>
  <c r="U1596" i="27"/>
  <c r="F1596" i="27"/>
  <c r="M1596" i="27"/>
  <c r="Z1596" i="27"/>
  <c r="AA1596" i="27"/>
  <c r="AA1384" i="27"/>
  <c r="F1384" i="27"/>
  <c r="M1384" i="27"/>
  <c r="Z1384" i="27"/>
  <c r="U1384" i="27"/>
  <c r="F1217" i="27"/>
  <c r="M1217" i="27"/>
  <c r="G1217" i="27"/>
  <c r="Z1217" i="27"/>
  <c r="AA1217" i="27"/>
  <c r="U1217" i="27"/>
  <c r="AB366" i="27"/>
  <c r="AA366" i="27"/>
  <c r="F366" i="27"/>
  <c r="M366" i="27"/>
  <c r="G366" i="27"/>
  <c r="Z366" i="27"/>
  <c r="U366" i="27"/>
  <c r="Z50" i="27"/>
  <c r="AA50" i="27"/>
  <c r="F50" i="27"/>
  <c r="M50" i="27"/>
  <c r="G50" i="27"/>
  <c r="U1456" i="27"/>
  <c r="F1456" i="27"/>
  <c r="M1456" i="27"/>
  <c r="G1456" i="27"/>
  <c r="Z1456" i="27"/>
  <c r="AA1456" i="27"/>
  <c r="F941" i="27"/>
  <c r="M941" i="27"/>
  <c r="Z941" i="27"/>
  <c r="AA941" i="27"/>
  <c r="Z1606" i="27"/>
  <c r="AA1606" i="27"/>
  <c r="U1606" i="27"/>
  <c r="F1606" i="27"/>
  <c r="M1606" i="27"/>
  <c r="F2357" i="27"/>
  <c r="M2357" i="27"/>
  <c r="U2357" i="27"/>
  <c r="Z2357" i="27"/>
  <c r="AA2357" i="27"/>
  <c r="Z1683" i="27"/>
  <c r="AA1683" i="27"/>
  <c r="F1683" i="27"/>
  <c r="M1683" i="27"/>
  <c r="G1683" i="27"/>
  <c r="U1683" i="27"/>
  <c r="Z797" i="27"/>
  <c r="AA797" i="27"/>
  <c r="U797" i="27"/>
  <c r="F797" i="27"/>
  <c r="M797" i="27"/>
  <c r="Z2065" i="27"/>
  <c r="AA2065" i="27"/>
  <c r="F2065" i="27"/>
  <c r="M2065" i="27"/>
  <c r="I2065" i="27"/>
  <c r="G2065" i="27"/>
  <c r="F1892" i="27"/>
  <c r="M1892" i="27"/>
  <c r="U1892" i="27"/>
  <c r="Z1892" i="27"/>
  <c r="AA1892" i="27"/>
  <c r="Z2328" i="27"/>
  <c r="AA2328" i="27"/>
  <c r="F2328" i="27"/>
  <c r="M2328" i="27"/>
  <c r="G2328" i="27"/>
  <c r="U2328" i="27"/>
  <c r="U2085" i="27"/>
  <c r="F2085" i="27"/>
  <c r="M2085" i="27"/>
  <c r="G2085" i="27"/>
  <c r="Z2085" i="27"/>
  <c r="AA2085" i="27"/>
  <c r="E2112" i="27"/>
  <c r="E2113" i="27"/>
  <c r="U1372" i="27"/>
  <c r="F1372" i="27"/>
  <c r="M1372" i="27"/>
  <c r="G1372" i="27"/>
  <c r="AA1372" i="27"/>
  <c r="Z1372" i="27"/>
  <c r="G1314" i="27"/>
  <c r="I1314" i="27"/>
  <c r="U2693" i="27"/>
  <c r="F2693" i="27"/>
  <c r="M2693" i="27"/>
  <c r="G2693" i="27"/>
  <c r="Z2693" i="27"/>
  <c r="AA2693" i="27"/>
  <c r="Z1825" i="27"/>
  <c r="AA1825" i="27"/>
  <c r="U1825" i="27"/>
  <c r="F1825" i="27"/>
  <c r="M1825" i="27"/>
  <c r="G1825" i="27"/>
  <c r="F2137" i="27"/>
  <c r="M2137" i="27"/>
  <c r="G2137" i="27"/>
  <c r="I2137" i="27"/>
  <c r="U2137" i="27"/>
  <c r="Z2137" i="27"/>
  <c r="AA2137" i="27"/>
  <c r="F2285" i="27"/>
  <c r="M2285" i="27"/>
  <c r="U2285" i="27"/>
  <c r="AA2285" i="27"/>
  <c r="Z2285" i="27"/>
  <c r="F1727" i="27"/>
  <c r="M1727" i="27"/>
  <c r="G1727" i="27"/>
  <c r="I1727" i="27"/>
  <c r="AA1727" i="27"/>
  <c r="U1727" i="27"/>
  <c r="Z1727" i="27"/>
  <c r="Z1158" i="27"/>
  <c r="AA1158" i="27"/>
  <c r="U1158" i="27"/>
  <c r="F1158" i="27"/>
  <c r="M1158" i="27"/>
  <c r="Z953" i="27"/>
  <c r="AB953" i="27"/>
  <c r="AA953" i="27"/>
  <c r="U953" i="27"/>
  <c r="F953" i="27"/>
  <c r="M953" i="27"/>
  <c r="G953" i="27"/>
  <c r="F2158" i="27"/>
  <c r="M2158" i="27"/>
  <c r="G2158" i="27"/>
  <c r="Z2158" i="27"/>
  <c r="AA2158" i="27"/>
  <c r="U2158" i="27"/>
  <c r="U2616" i="27"/>
  <c r="F2616" i="27"/>
  <c r="M2616" i="27"/>
  <c r="G2616" i="27"/>
  <c r="Z2616" i="27"/>
  <c r="AA2616" i="27"/>
  <c r="U2386" i="27"/>
  <c r="Z2386" i="27"/>
  <c r="AA2386" i="27"/>
  <c r="F2386" i="27"/>
  <c r="M2386" i="27"/>
  <c r="Z1948" i="27"/>
  <c r="U1948" i="27"/>
  <c r="F1948" i="27"/>
  <c r="M1948" i="27"/>
  <c r="E1168" i="27"/>
  <c r="Z973" i="27"/>
  <c r="AA973" i="27"/>
  <c r="U973" i="27"/>
  <c r="F973" i="27"/>
  <c r="F280" i="27"/>
  <c r="M280" i="27"/>
  <c r="G280" i="27"/>
  <c r="U280" i="27"/>
  <c r="Z280" i="27"/>
  <c r="AA280" i="27"/>
  <c r="Z1322" i="27"/>
  <c r="AA1322" i="27"/>
  <c r="U1322" i="27"/>
  <c r="F1322" i="27"/>
  <c r="M1322" i="27"/>
  <c r="U1771" i="27"/>
  <c r="F1771" i="27"/>
  <c r="M1771" i="27"/>
  <c r="G1771" i="27"/>
  <c r="Z1771" i="27"/>
  <c r="AA1771" i="27"/>
  <c r="AB1141" i="27"/>
  <c r="AA1141" i="27"/>
  <c r="U1141" i="27"/>
  <c r="F1141" i="27"/>
  <c r="M1141" i="27"/>
  <c r="G1141" i="27"/>
  <c r="Z1141" i="27"/>
  <c r="Z784" i="27"/>
  <c r="AB784" i="27"/>
  <c r="AA784" i="27"/>
  <c r="F784" i="27"/>
  <c r="M784" i="27"/>
  <c r="G784" i="27"/>
  <c r="I784" i="27"/>
  <c r="Z2644" i="27"/>
  <c r="AA2644" i="27"/>
  <c r="F2644" i="27"/>
  <c r="M2644" i="27"/>
  <c r="G2644" i="27"/>
  <c r="G1406" i="27"/>
  <c r="AA1406" i="27"/>
  <c r="G3144" i="27"/>
  <c r="I3144" i="27"/>
  <c r="U2707" i="27"/>
  <c r="AA2707" i="27"/>
  <c r="F2707" i="27"/>
  <c r="M2707" i="27"/>
  <c r="Z2707" i="27"/>
  <c r="U2420" i="27"/>
  <c r="F2420" i="27"/>
  <c r="M2420" i="27"/>
  <c r="Z2420" i="27"/>
  <c r="AA2420" i="27"/>
  <c r="Z294" i="27"/>
  <c r="AA294" i="27"/>
  <c r="F294" i="27"/>
  <c r="M294" i="27"/>
  <c r="G294" i="27"/>
  <c r="I294" i="27"/>
  <c r="U294" i="27"/>
  <c r="U945" i="27"/>
  <c r="AB945" i="27"/>
  <c r="AA945" i="27"/>
  <c r="Z945" i="27"/>
  <c r="F945" i="27"/>
  <c r="M945" i="27"/>
  <c r="F1721" i="27"/>
  <c r="M1721" i="27"/>
  <c r="U1721" i="27"/>
  <c r="Z1721" i="27"/>
  <c r="AA1721" i="27"/>
  <c r="U1435" i="27"/>
  <c r="F1435" i="27"/>
  <c r="M1435" i="27"/>
  <c r="Z1435" i="27"/>
  <c r="AA1435" i="27"/>
  <c r="Z1221" i="27"/>
  <c r="AA1221" i="27"/>
  <c r="F1221" i="27"/>
  <c r="M1221" i="27"/>
  <c r="G1221" i="27"/>
  <c r="U1221" i="27"/>
  <c r="Z1861" i="27"/>
  <c r="AA1861" i="27"/>
  <c r="U1861" i="27"/>
  <c r="F1861" i="27"/>
  <c r="M1861" i="27"/>
  <c r="U1891" i="27"/>
  <c r="F1891" i="27"/>
  <c r="M1891" i="27"/>
  <c r="I1891" i="27"/>
  <c r="G1891" i="27"/>
  <c r="Z1891" i="27"/>
  <c r="AA1891" i="27"/>
  <c r="F2025" i="27"/>
  <c r="M2025" i="27"/>
  <c r="U2025" i="27"/>
  <c r="Z2025" i="27"/>
  <c r="AA2025" i="27"/>
  <c r="U1835" i="27"/>
  <c r="Z1835" i="27"/>
  <c r="AA1835" i="27"/>
  <c r="F1835" i="27"/>
  <c r="M1835" i="27"/>
  <c r="G1835" i="27"/>
  <c r="U1292" i="27"/>
  <c r="F1292" i="27"/>
  <c r="M1292" i="27"/>
  <c r="Z1292" i="27"/>
  <c r="AA1292" i="27"/>
  <c r="Z1194" i="27"/>
  <c r="AA1194" i="27"/>
  <c r="U1194" i="27"/>
  <c r="F1194" i="27"/>
  <c r="M1194" i="27"/>
  <c r="U304" i="27"/>
  <c r="U941" i="27"/>
  <c r="F304" i="27"/>
  <c r="M304" i="27"/>
  <c r="G304" i="27"/>
  <c r="Z304" i="27"/>
  <c r="AA304" i="27"/>
  <c r="F928" i="27"/>
  <c r="M928" i="27"/>
  <c r="G928" i="27"/>
  <c r="Z928" i="27"/>
  <c r="AB928" i="27"/>
  <c r="AA928" i="27"/>
  <c r="U928" i="27"/>
  <c r="I1889" i="27"/>
  <c r="I2219" i="27"/>
  <c r="I2303" i="27"/>
  <c r="I2050" i="27"/>
  <c r="C75" i="27"/>
  <c r="D75" i="27"/>
  <c r="E2224" i="27"/>
  <c r="U1579" i="27"/>
  <c r="Z2408" i="27"/>
  <c r="AA2408" i="27"/>
  <c r="F2408" i="27"/>
  <c r="M2408" i="27"/>
  <c r="G414" i="27"/>
  <c r="I414" i="27"/>
  <c r="Z2154" i="27"/>
  <c r="AA2154" i="27"/>
  <c r="F2154" i="27"/>
  <c r="M2154" i="27"/>
  <c r="G2154" i="27"/>
  <c r="U2154" i="27"/>
  <c r="F1575" i="27"/>
  <c r="M1575" i="27"/>
  <c r="Z1575" i="27"/>
  <c r="AA1575" i="27"/>
  <c r="U1575" i="27"/>
  <c r="U1875" i="27"/>
  <c r="F1875" i="27"/>
  <c r="Z1875" i="27"/>
  <c r="AA1875" i="27"/>
  <c r="U2339" i="27"/>
  <c r="Z2339" i="27"/>
  <c r="AA2339" i="27"/>
  <c r="F2339" i="27"/>
  <c r="M2339" i="27"/>
  <c r="F545" i="27"/>
  <c r="M545" i="27"/>
  <c r="AB545" i="27"/>
  <c r="AA545" i="27"/>
  <c r="U545" i="27"/>
  <c r="Z545" i="27"/>
  <c r="F2379" i="27"/>
  <c r="M2379" i="27"/>
  <c r="Z2379" i="27"/>
  <c r="AA2379" i="27"/>
  <c r="Z2007" i="27"/>
  <c r="AA2007" i="27"/>
  <c r="U2007" i="27"/>
  <c r="F2007" i="27"/>
  <c r="M2007" i="27"/>
  <c r="G2007" i="27"/>
  <c r="I2007" i="27"/>
  <c r="F49" i="27"/>
  <c r="M49" i="27"/>
  <c r="G49" i="27"/>
  <c r="Z49" i="27"/>
  <c r="AA49" i="27"/>
  <c r="G750" i="27"/>
  <c r="I750" i="27"/>
  <c r="Z2700" i="27"/>
  <c r="AA2700" i="27"/>
  <c r="U2700" i="27"/>
  <c r="F2700" i="27"/>
  <c r="M2700" i="27"/>
  <c r="F1701" i="27"/>
  <c r="M1701" i="27"/>
  <c r="G1701" i="27"/>
  <c r="U1701" i="27"/>
  <c r="Z1701" i="27"/>
  <c r="AA1701" i="27"/>
  <c r="F1209" i="27"/>
  <c r="M1209" i="27"/>
  <c r="G1209" i="27"/>
  <c r="Z1209" i="27"/>
  <c r="AA1209" i="27"/>
  <c r="U1209" i="27"/>
  <c r="F133" i="27"/>
  <c r="Z133" i="27"/>
  <c r="AA133" i="27"/>
  <c r="E150" i="27"/>
  <c r="U133" i="27"/>
  <c r="Z2556" i="27"/>
  <c r="AA2556" i="27"/>
  <c r="U2556" i="27"/>
  <c r="F2556" i="27"/>
  <c r="M2556" i="27"/>
  <c r="F1580" i="27"/>
  <c r="M1580" i="27"/>
  <c r="G1580" i="27"/>
  <c r="I1580" i="27"/>
  <c r="Z1580" i="27"/>
  <c r="AA1580" i="27"/>
  <c r="U1580" i="27"/>
  <c r="G2514" i="27"/>
  <c r="I2514" i="27"/>
  <c r="F1980" i="27"/>
  <c r="M1980" i="27"/>
  <c r="U1980" i="27"/>
  <c r="Z1980" i="27"/>
  <c r="F1700" i="27"/>
  <c r="M1700" i="27"/>
  <c r="G1700" i="27"/>
  <c r="I1700" i="27"/>
  <c r="U1700" i="27"/>
  <c r="Z1700" i="27"/>
  <c r="AA1700" i="27"/>
  <c r="F1362" i="27"/>
  <c r="M1362" i="27"/>
  <c r="G1362" i="27"/>
  <c r="Z1362" i="27"/>
  <c r="AA1362" i="27"/>
  <c r="U1362" i="27"/>
  <c r="F288" i="27"/>
  <c r="M288" i="27"/>
  <c r="G288" i="27"/>
  <c r="AB288" i="27"/>
  <c r="AA288" i="27"/>
  <c r="U288" i="27"/>
  <c r="Z288" i="27"/>
  <c r="Z2040" i="27"/>
  <c r="AA2040" i="27"/>
  <c r="U2040" i="27"/>
  <c r="G1256" i="27"/>
  <c r="I1256" i="27"/>
  <c r="U1207" i="27"/>
  <c r="Z1207" i="27"/>
  <c r="AA1207" i="27"/>
  <c r="F1207" i="27"/>
  <c r="M1207" i="27"/>
  <c r="G1207" i="27"/>
  <c r="F313" i="27"/>
  <c r="M313" i="27"/>
  <c r="AB313" i="27"/>
  <c r="AA313" i="27"/>
  <c r="Z313" i="27"/>
  <c r="U313" i="27"/>
  <c r="Z947" i="27"/>
  <c r="U947" i="27"/>
  <c r="Z1670" i="27"/>
  <c r="U1670" i="27"/>
  <c r="F1670" i="27"/>
  <c r="M1670" i="27"/>
  <c r="AA1670" i="27"/>
  <c r="F1690" i="27"/>
  <c r="M1690" i="27"/>
  <c r="G1690" i="27"/>
  <c r="U1690" i="27"/>
  <c r="Z1690" i="27"/>
  <c r="AA1690" i="27"/>
  <c r="Z332" i="27"/>
  <c r="AA332" i="27"/>
  <c r="F332" i="27"/>
  <c r="M332" i="27"/>
  <c r="U332" i="27"/>
  <c r="F1776" i="27"/>
  <c r="M1776" i="27"/>
  <c r="U1776" i="27"/>
  <c r="F1866" i="27"/>
  <c r="M1866" i="27"/>
  <c r="U1866" i="27"/>
  <c r="Z1866" i="27"/>
  <c r="AA1866" i="27"/>
  <c r="F2546" i="27"/>
  <c r="M2546" i="27"/>
  <c r="U2546" i="27"/>
  <c r="Z2546" i="27"/>
  <c r="AA2546" i="27"/>
  <c r="Z2093" i="27"/>
  <c r="AA2093" i="27"/>
  <c r="U2093" i="27"/>
  <c r="F2093" i="27"/>
  <c r="M2093" i="27"/>
  <c r="F1327" i="27"/>
  <c r="M1327" i="27"/>
  <c r="G1327" i="27"/>
  <c r="Z1327" i="27"/>
  <c r="AA1327" i="27"/>
  <c r="U1327" i="27"/>
  <c r="U2725" i="27"/>
  <c r="F2725" i="27"/>
  <c r="M2725" i="27"/>
  <c r="G2725" i="27"/>
  <c r="Z2725" i="27"/>
  <c r="AA2725" i="27"/>
  <c r="F855" i="27"/>
  <c r="M855" i="27"/>
  <c r="Z855" i="27"/>
  <c r="U855" i="27"/>
  <c r="AB855" i="27"/>
  <c r="AA855" i="27"/>
  <c r="F2603" i="27"/>
  <c r="M2603" i="27"/>
  <c r="U2603" i="27"/>
  <c r="AA2603" i="27"/>
  <c r="Z2603" i="27"/>
  <c r="U2656" i="27"/>
  <c r="Z2656" i="27"/>
  <c r="AA2656" i="27"/>
  <c r="F2656" i="27"/>
  <c r="M2656" i="27"/>
  <c r="U561" i="27"/>
  <c r="F561" i="27"/>
  <c r="M561" i="27"/>
  <c r="Z561" i="27"/>
  <c r="AA561" i="27"/>
  <c r="F2406" i="27"/>
  <c r="M2406" i="27"/>
  <c r="I2406" i="27"/>
  <c r="G2406" i="27"/>
  <c r="Z2406" i="27"/>
  <c r="AA2406" i="27"/>
  <c r="F1481" i="27"/>
  <c r="M1481" i="27"/>
  <c r="G1481" i="27"/>
  <c r="Z1481" i="27"/>
  <c r="AA1481" i="27"/>
  <c r="U1481" i="27"/>
  <c r="U2121" i="27"/>
  <c r="Z2121" i="27"/>
  <c r="AA2121" i="27"/>
  <c r="F2121" i="27"/>
  <c r="M2121" i="27"/>
  <c r="F1697" i="27"/>
  <c r="M1697" i="27"/>
  <c r="U1697" i="27"/>
  <c r="Z1697" i="27"/>
  <c r="AA1697" i="27"/>
  <c r="Z1598" i="27"/>
  <c r="AA1598" i="27"/>
  <c r="F1598" i="27"/>
  <c r="M1598" i="27"/>
  <c r="U1598" i="27"/>
  <c r="F1348" i="27"/>
  <c r="M1348" i="27"/>
  <c r="Z1348" i="27"/>
  <c r="AA1348" i="27"/>
  <c r="U274" i="27"/>
  <c r="Z274" i="27"/>
  <c r="AA274" i="27"/>
  <c r="F274" i="27"/>
  <c r="M274" i="27"/>
  <c r="G274" i="27"/>
  <c r="Z212" i="27"/>
  <c r="AA212" i="27"/>
  <c r="F212" i="27"/>
  <c r="M212" i="27"/>
  <c r="U212" i="27"/>
  <c r="Z2270" i="27"/>
  <c r="AA2270" i="27"/>
  <c r="F2270" i="27"/>
  <c r="M2270" i="27"/>
  <c r="U2270" i="27"/>
  <c r="F1192" i="27"/>
  <c r="M1192" i="27"/>
  <c r="G1192" i="27"/>
  <c r="U1192" i="27"/>
  <c r="Z1192" i="27"/>
  <c r="AA1192" i="27"/>
  <c r="U526" i="27"/>
  <c r="Z526" i="27"/>
  <c r="AA526" i="27"/>
  <c r="F526" i="27"/>
  <c r="M526" i="27"/>
  <c r="G526" i="27"/>
  <c r="I526" i="27"/>
  <c r="F1859" i="27"/>
  <c r="M1859" i="27"/>
  <c r="U1859" i="27"/>
  <c r="Z1788" i="27"/>
  <c r="AA1788" i="27"/>
  <c r="F1788" i="27"/>
  <c r="M1788" i="27"/>
  <c r="U1474" i="27"/>
  <c r="F1474" i="27"/>
  <c r="M1474" i="27"/>
  <c r="Z1474" i="27"/>
  <c r="AA1474" i="27"/>
  <c r="F1350" i="27"/>
  <c r="M1350" i="27"/>
  <c r="U1350" i="27"/>
  <c r="Z1350" i="27"/>
  <c r="AA1350" i="27"/>
  <c r="F786" i="27"/>
  <c r="M786" i="27"/>
  <c r="Z786" i="27"/>
  <c r="AA786" i="27"/>
  <c r="U786" i="27"/>
  <c r="F1988" i="27"/>
  <c r="M1988" i="27"/>
  <c r="Z1988" i="27"/>
  <c r="U1988" i="27"/>
  <c r="Z2712" i="27"/>
  <c r="AA2712" i="27"/>
  <c r="F2712" i="27"/>
  <c r="M2712" i="27"/>
  <c r="U1819" i="27"/>
  <c r="Z1819" i="27"/>
  <c r="AA1819" i="27"/>
  <c r="F1819" i="27"/>
  <c r="M1819" i="27"/>
  <c r="G1819" i="27"/>
  <c r="I1819" i="27"/>
  <c r="AA1992" i="27"/>
  <c r="I1992" i="27"/>
  <c r="F1373" i="27"/>
  <c r="M1373" i="27"/>
  <c r="G1373" i="27"/>
  <c r="Z1373" i="27"/>
  <c r="AA1373" i="27"/>
  <c r="F1610" i="27"/>
  <c r="M1610" i="27"/>
  <c r="G1610" i="27"/>
  <c r="U1610" i="27"/>
  <c r="Z1610" i="27"/>
  <c r="AA1610" i="27"/>
  <c r="F2702" i="27"/>
  <c r="M2702" i="27"/>
  <c r="Z2702" i="27"/>
  <c r="AA2702" i="27"/>
  <c r="U2702" i="27"/>
  <c r="U1759" i="27"/>
  <c r="Z1759" i="27"/>
  <c r="AA1759" i="27"/>
  <c r="F1759" i="27"/>
  <c r="M1759" i="27"/>
  <c r="F1705" i="27"/>
  <c r="M1705" i="27"/>
  <c r="G1705" i="27"/>
  <c r="Z1705" i="27"/>
  <c r="AA1705" i="27"/>
  <c r="U1705" i="27"/>
  <c r="Z1329" i="27"/>
  <c r="AA1329" i="27"/>
  <c r="F1329" i="27"/>
  <c r="M1329" i="27"/>
  <c r="U2449" i="27"/>
  <c r="F2449" i="27"/>
  <c r="M2449" i="27"/>
  <c r="G2449" i="27"/>
  <c r="I2449" i="27"/>
  <c r="Z2449" i="27"/>
  <c r="AA2449" i="27"/>
  <c r="G692" i="27"/>
  <c r="I692" i="27"/>
  <c r="Z2539" i="27"/>
  <c r="AA2539" i="27"/>
  <c r="F2539" i="27"/>
  <c r="M2539" i="27"/>
  <c r="U2539" i="27"/>
  <c r="Z929" i="27"/>
  <c r="AA929" i="27"/>
  <c r="F929" i="27"/>
  <c r="M929" i="27"/>
  <c r="G929" i="27"/>
  <c r="U929" i="27"/>
  <c r="F535" i="27"/>
  <c r="M535" i="27"/>
  <c r="I535" i="27"/>
  <c r="G535" i="27"/>
  <c r="U535" i="27"/>
  <c r="Z535" i="27"/>
  <c r="AA535" i="27"/>
  <c r="Z861" i="27"/>
  <c r="AA861" i="27"/>
  <c r="F861" i="27"/>
  <c r="M861" i="27"/>
  <c r="G861" i="27"/>
  <c r="U861" i="27"/>
  <c r="Z2512" i="27"/>
  <c r="AA2512" i="27"/>
  <c r="F2512" i="27"/>
  <c r="M2512" i="27"/>
  <c r="G2512" i="27"/>
  <c r="U2512" i="27"/>
  <c r="U1740" i="27"/>
  <c r="Z1740" i="27"/>
  <c r="AA1740" i="27"/>
  <c r="F1740" i="27"/>
  <c r="M1740" i="27"/>
  <c r="G1740" i="27"/>
  <c r="Z1253" i="27"/>
  <c r="AA1253" i="27"/>
  <c r="F1253" i="27"/>
  <c r="M1253" i="27"/>
  <c r="U1253" i="27"/>
  <c r="U2373" i="27"/>
  <c r="Z2373" i="27"/>
  <c r="AA2373" i="27"/>
  <c r="U2419" i="27"/>
  <c r="Z2419" i="27"/>
  <c r="AA2419" i="27"/>
  <c r="F2419" i="27"/>
  <c r="M2419" i="27"/>
  <c r="I2419" i="27"/>
  <c r="G2419" i="27"/>
  <c r="G684" i="27"/>
  <c r="I684" i="27"/>
  <c r="Z1663" i="27"/>
  <c r="F1663" i="27"/>
  <c r="M1663" i="27"/>
  <c r="G1663" i="27"/>
  <c r="AA1663" i="27"/>
  <c r="AB2173" i="27"/>
  <c r="U2173" i="27"/>
  <c r="Z2173" i="27"/>
  <c r="AA2173" i="27"/>
  <c r="F2173" i="27"/>
  <c r="M2173" i="27"/>
  <c r="G2173" i="27"/>
  <c r="Z2375" i="27"/>
  <c r="AA2375" i="27"/>
  <c r="F2375" i="27"/>
  <c r="M2375" i="27"/>
  <c r="U2375" i="27"/>
  <c r="AB1021" i="27"/>
  <c r="AA1021" i="27"/>
  <c r="Z1021" i="27"/>
  <c r="F1021" i="27"/>
  <c r="M1021" i="27"/>
  <c r="G1021" i="27"/>
  <c r="U1021" i="27"/>
  <c r="U2668" i="27"/>
  <c r="Z2668" i="27"/>
  <c r="AA2668" i="27"/>
  <c r="F2668" i="27"/>
  <c r="M2668" i="27"/>
  <c r="G2668" i="27"/>
  <c r="F790" i="27"/>
  <c r="M790" i="27"/>
  <c r="G790" i="27"/>
  <c r="U790" i="27"/>
  <c r="Z790" i="27"/>
  <c r="AA790" i="27"/>
  <c r="G2123" i="27"/>
  <c r="I2123" i="27"/>
  <c r="Z1371" i="27"/>
  <c r="AA1371" i="27"/>
  <c r="F1371" i="27"/>
  <c r="M1371" i="27"/>
  <c r="G1371" i="27"/>
  <c r="Z1339" i="27"/>
  <c r="AB1339" i="27"/>
  <c r="AA1339" i="27"/>
  <c r="U1339" i="27"/>
  <c r="F1339" i="27"/>
  <c r="M1339" i="27"/>
  <c r="G1339" i="27"/>
  <c r="Z1887" i="27"/>
  <c r="AA1887" i="27"/>
  <c r="F1887" i="27"/>
  <c r="M1887" i="27"/>
  <c r="G1887" i="27"/>
  <c r="U1887" i="27"/>
  <c r="AA3093" i="27"/>
  <c r="U3093" i="27"/>
  <c r="G382" i="27"/>
  <c r="I382" i="27"/>
  <c r="Z1618" i="27"/>
  <c r="F1618" i="27"/>
  <c r="M1618" i="27"/>
  <c r="AA1618" i="27"/>
  <c r="F1952" i="27"/>
  <c r="M1952" i="27"/>
  <c r="G1952" i="27"/>
  <c r="AA1952" i="27"/>
  <c r="Z1952" i="27"/>
  <c r="U1952" i="27"/>
  <c r="U1469" i="27"/>
  <c r="Z1469" i="27"/>
  <c r="AA1469" i="27"/>
  <c r="F1469" i="27"/>
  <c r="M1469" i="27"/>
  <c r="G1469" i="27"/>
  <c r="U1198" i="27"/>
  <c r="Z1198" i="27"/>
  <c r="AA1198" i="27"/>
  <c r="F1198" i="27"/>
  <c r="M1198" i="27"/>
  <c r="I1198" i="27"/>
  <c r="G1198" i="27"/>
  <c r="U305" i="27"/>
  <c r="F305" i="27"/>
  <c r="M305" i="27"/>
  <c r="Z305" i="27"/>
  <c r="AA305" i="27"/>
  <c r="F48" i="27"/>
  <c r="M48" i="27"/>
  <c r="Z48" i="27"/>
  <c r="AA48" i="27"/>
  <c r="U48" i="27"/>
  <c r="F1652" i="27"/>
  <c r="M1652" i="27"/>
  <c r="G1652" i="27"/>
  <c r="Z1652" i="27"/>
  <c r="AA1652" i="27"/>
  <c r="U1652" i="27"/>
  <c r="Z566" i="27"/>
  <c r="AA566" i="27"/>
  <c r="F566" i="27"/>
  <c r="M566" i="27"/>
  <c r="U566" i="27"/>
  <c r="E1488" i="27"/>
  <c r="I169" i="27"/>
  <c r="I386" i="27"/>
  <c r="I2355" i="27"/>
  <c r="I255" i="27"/>
  <c r="I2828" i="27"/>
  <c r="I543" i="27"/>
  <c r="I269" i="27"/>
  <c r="I2663" i="27"/>
  <c r="F1718" i="27"/>
  <c r="M1718" i="27"/>
  <c r="G1718" i="27"/>
  <c r="Z1718" i="27"/>
  <c r="AA1718" i="27"/>
  <c r="G2609" i="27"/>
  <c r="I2609" i="27"/>
  <c r="G1570" i="27"/>
  <c r="I1570" i="27"/>
  <c r="G1990" i="27"/>
  <c r="AA1990" i="27"/>
  <c r="I1990" i="27"/>
  <c r="Z1531" i="27"/>
  <c r="AA1531" i="27"/>
  <c r="F1531" i="27"/>
  <c r="M1531" i="27"/>
  <c r="G1531" i="27"/>
  <c r="U1531" i="27"/>
  <c r="E1563" i="27"/>
  <c r="F1803" i="27"/>
  <c r="M1803" i="27"/>
  <c r="G1803" i="27"/>
  <c r="U1803" i="27"/>
  <c r="Z1803" i="27"/>
  <c r="AA1803" i="27"/>
  <c r="G2157" i="27"/>
  <c r="I2157" i="27"/>
  <c r="G1467" i="27"/>
  <c r="I1467" i="27"/>
  <c r="Z2324" i="27"/>
  <c r="AA2324" i="27"/>
  <c r="F2324" i="27"/>
  <c r="M2324" i="27"/>
  <c r="G2324" i="27"/>
  <c r="U2324" i="27"/>
  <c r="F2015" i="27"/>
  <c r="M2015" i="27"/>
  <c r="G2015" i="27"/>
  <c r="Z2015" i="27"/>
  <c r="AA2015" i="27"/>
  <c r="U2015" i="27"/>
  <c r="G2423" i="27"/>
  <c r="I2423" i="27"/>
  <c r="U2006" i="27"/>
  <c r="Z2006" i="27"/>
  <c r="AA2006" i="27"/>
  <c r="F2006" i="27"/>
  <c r="M2006" i="27"/>
  <c r="G2006" i="27"/>
  <c r="F1382" i="27"/>
  <c r="M1382" i="27"/>
  <c r="Z1382" i="27"/>
  <c r="AA1382" i="27"/>
  <c r="U1382" i="27"/>
  <c r="U2640" i="27"/>
  <c r="Z2640" i="27"/>
  <c r="AA2640" i="27"/>
  <c r="F2640" i="27"/>
  <c r="M2640" i="27"/>
  <c r="F1393" i="27"/>
  <c r="M1393" i="27"/>
  <c r="I1393" i="27"/>
  <c r="G1433" i="27"/>
  <c r="I1433" i="27"/>
  <c r="Z2350" i="27"/>
  <c r="AA2350" i="27"/>
  <c r="F2350" i="27"/>
  <c r="M2350" i="27"/>
  <c r="Z1769" i="27"/>
  <c r="AA1769" i="27"/>
  <c r="F1769" i="27"/>
  <c r="M1769" i="27"/>
  <c r="I1769" i="27"/>
  <c r="G1769" i="27"/>
  <c r="U1769" i="27"/>
  <c r="Z2138" i="27"/>
  <c r="AA2138" i="27"/>
  <c r="F2138" i="27"/>
  <c r="M2138" i="27"/>
  <c r="U1584" i="27"/>
  <c r="U2210" i="27"/>
  <c r="F1503" i="27"/>
  <c r="M1503" i="27"/>
  <c r="G1503" i="27"/>
  <c r="Z2087" i="27"/>
  <c r="F2399" i="27"/>
  <c r="M2399" i="27"/>
  <c r="G1882" i="27"/>
  <c r="I1882" i="27"/>
  <c r="G1436" i="27"/>
  <c r="I1436" i="27"/>
  <c r="C2933" i="27"/>
  <c r="U1878" i="27"/>
  <c r="G472" i="27"/>
  <c r="I472" i="27"/>
  <c r="U1658" i="27"/>
  <c r="U2070" i="27"/>
  <c r="I1409" i="27"/>
  <c r="F1623" i="27"/>
  <c r="M1623" i="27"/>
  <c r="G1623" i="27"/>
  <c r="I1623" i="27"/>
  <c r="F1976" i="27"/>
  <c r="M1976" i="27"/>
  <c r="U2753" i="27"/>
  <c r="Z1799" i="27"/>
  <c r="AA1799" i="27"/>
  <c r="F2734" i="27"/>
  <c r="M2734" i="27"/>
  <c r="G2734" i="27"/>
  <c r="Z1584" i="27"/>
  <c r="AA1584" i="27"/>
  <c r="E3145" i="27"/>
  <c r="AA3145" i="27"/>
  <c r="Z2713" i="27"/>
  <c r="AA2713" i="27"/>
  <c r="F2713" i="27"/>
  <c r="M2713" i="27"/>
  <c r="G2713" i="27"/>
  <c r="U2713" i="27"/>
  <c r="D3062" i="27"/>
  <c r="AA3062" i="27"/>
  <c r="C3088" i="27"/>
  <c r="D3088" i="27"/>
  <c r="AA3088" i="27"/>
  <c r="C3087" i="27"/>
  <c r="D3087" i="27"/>
  <c r="AA3087" i="27"/>
  <c r="U2850" i="27"/>
  <c r="F2850" i="27"/>
  <c r="M2850" i="27"/>
  <c r="G2850" i="27"/>
  <c r="I2850" i="27"/>
  <c r="Z2850" i="27"/>
  <c r="AA2850" i="27"/>
  <c r="E2215" i="27"/>
  <c r="E2214" i="27"/>
  <c r="E3022" i="27"/>
  <c r="U2450" i="27"/>
  <c r="Z2991" i="27"/>
  <c r="D2926" i="27"/>
  <c r="E2926" i="27"/>
  <c r="U2926" i="27"/>
  <c r="F1878" i="27"/>
  <c r="M1878" i="27"/>
  <c r="G1878" i="27"/>
  <c r="I1878" i="27"/>
  <c r="U1263" i="27"/>
  <c r="F2402" i="27"/>
  <c r="M2402" i="27"/>
  <c r="I2402" i="27"/>
  <c r="G2402" i="27"/>
  <c r="Z2070" i="27"/>
  <c r="AA2070" i="27"/>
  <c r="M1451" i="27"/>
  <c r="G1451" i="27"/>
  <c r="F1425" i="27"/>
  <c r="M1425" i="27"/>
  <c r="G1425" i="27"/>
  <c r="I1425" i="27"/>
  <c r="U2609" i="27"/>
  <c r="Z1332" i="27"/>
  <c r="AA1332" i="27"/>
  <c r="Z2753" i="27"/>
  <c r="AA2753" i="27"/>
  <c r="E3179" i="27"/>
  <c r="F2752" i="27"/>
  <c r="M2752" i="27"/>
  <c r="G2752" i="27"/>
  <c r="U2264" i="27"/>
  <c r="U1608" i="27"/>
  <c r="Z1583" i="27"/>
  <c r="AA1583" i="27"/>
  <c r="F1583" i="27"/>
  <c r="M1583" i="27"/>
  <c r="G1583" i="27"/>
  <c r="U1583" i="27"/>
  <c r="Z62" i="27"/>
  <c r="AA62" i="27"/>
  <c r="F62" i="27"/>
  <c r="M62" i="27"/>
  <c r="G62" i="27"/>
  <c r="U62" i="27"/>
  <c r="G2061" i="27"/>
  <c r="I2061" i="27"/>
  <c r="F2529" i="27"/>
  <c r="M2529" i="27"/>
  <c r="G2529" i="27"/>
  <c r="Z2529" i="27"/>
  <c r="AA2529" i="27"/>
  <c r="U2529" i="27"/>
  <c r="E2568" i="27"/>
  <c r="E2567" i="27"/>
  <c r="C1358" i="27"/>
  <c r="D1358" i="27"/>
  <c r="E1358" i="27"/>
  <c r="F1358" i="27"/>
  <c r="M1358" i="27"/>
  <c r="D1270" i="27"/>
  <c r="E1270" i="27"/>
  <c r="Z281" i="27"/>
  <c r="AA281" i="27"/>
  <c r="U281" i="27"/>
  <c r="F281" i="27"/>
  <c r="M281" i="27"/>
  <c r="Z1816" i="27"/>
  <c r="AA1816" i="27"/>
  <c r="F1816" i="27"/>
  <c r="M1816" i="27"/>
  <c r="G1816" i="27"/>
  <c r="U1816" i="27"/>
  <c r="F2626" i="27"/>
  <c r="M2626" i="27"/>
  <c r="Z2626" i="27"/>
  <c r="AA2626" i="27"/>
  <c r="U2626" i="27"/>
  <c r="U188" i="27"/>
  <c r="Z188" i="27"/>
  <c r="AA188" i="27"/>
  <c r="F188" i="27"/>
  <c r="M188" i="27"/>
  <c r="Z2651" i="27"/>
  <c r="AA2651" i="27"/>
  <c r="F2651" i="27"/>
  <c r="M2651" i="27"/>
  <c r="G2651" i="27"/>
  <c r="I2651" i="27"/>
  <c r="U454" i="27"/>
  <c r="F454" i="27"/>
  <c r="M454" i="27"/>
  <c r="G454" i="27"/>
  <c r="Z454" i="27"/>
  <c r="AA454" i="27"/>
  <c r="F457" i="27"/>
  <c r="M457" i="27"/>
  <c r="Z457" i="27"/>
  <c r="AA457" i="27"/>
  <c r="U457" i="27"/>
  <c r="U693" i="27"/>
  <c r="Z693" i="27"/>
  <c r="AA693" i="27"/>
  <c r="F693" i="27"/>
  <c r="M693" i="27"/>
  <c r="G693" i="27"/>
  <c r="I693" i="27"/>
  <c r="F2845" i="27"/>
  <c r="M2845" i="27"/>
  <c r="U2845" i="27"/>
  <c r="I1539" i="27"/>
  <c r="Z2741" i="27"/>
  <c r="AA2741" i="27"/>
  <c r="Z2450" i="27"/>
  <c r="AA2450" i="27"/>
  <c r="U1903" i="27"/>
  <c r="C1501" i="27"/>
  <c r="D1501" i="27"/>
  <c r="E1501" i="27"/>
  <c r="F1501" i="27"/>
  <c r="M1501" i="27"/>
  <c r="F3126" i="27"/>
  <c r="M3126" i="27"/>
  <c r="AB1963" i="27"/>
  <c r="U1425" i="27"/>
  <c r="Z2609" i="27"/>
  <c r="AA2609" i="27"/>
  <c r="F1940" i="27"/>
  <c r="M1940" i="27"/>
  <c r="F2264" i="27"/>
  <c r="M2264" i="27"/>
  <c r="G2264" i="27"/>
  <c r="F1608" i="27"/>
  <c r="M1608" i="27"/>
  <c r="G994" i="27"/>
  <c r="I994" i="27"/>
  <c r="G484" i="27"/>
  <c r="I484" i="27"/>
  <c r="G2483" i="27"/>
  <c r="I2483" i="27"/>
  <c r="Z2287" i="27"/>
  <c r="AA2287" i="27"/>
  <c r="F2287" i="27"/>
  <c r="M2287" i="27"/>
  <c r="U2287" i="27"/>
  <c r="F1978" i="27"/>
  <c r="M1978" i="27"/>
  <c r="Z1978" i="27"/>
  <c r="U1034" i="27"/>
  <c r="AB1034" i="27"/>
  <c r="AA1034" i="27"/>
  <c r="Z1034" i="27"/>
  <c r="F1034" i="27"/>
  <c r="M1034" i="27"/>
  <c r="U2785" i="27"/>
  <c r="AA2785" i="27"/>
  <c r="F2785" i="27"/>
  <c r="M2785" i="27"/>
  <c r="G2785" i="27"/>
  <c r="Z2785" i="27"/>
  <c r="C2160" i="27"/>
  <c r="E2160" i="27"/>
  <c r="C2797" i="27"/>
  <c r="E2797" i="27"/>
  <c r="C2698" i="27"/>
  <c r="E2698" i="27"/>
  <c r="C2615" i="27"/>
  <c r="E2615" i="27"/>
  <c r="E1965" i="27"/>
  <c r="Z327" i="27"/>
  <c r="F327" i="27"/>
  <c r="M327" i="27"/>
  <c r="AB327" i="27"/>
  <c r="AA327" i="27"/>
  <c r="F2836" i="27"/>
  <c r="M2836" i="27"/>
  <c r="G2836" i="27"/>
  <c r="Z2836" i="27"/>
  <c r="AA2836" i="27"/>
  <c r="U2836" i="27"/>
  <c r="D1802" i="27"/>
  <c r="E1802" i="27"/>
  <c r="C2585" i="27"/>
  <c r="Z2733" i="27"/>
  <c r="AA2733" i="27"/>
  <c r="U2198" i="27"/>
  <c r="U2741" i="27"/>
  <c r="Z1903" i="27"/>
  <c r="AA1903" i="27"/>
  <c r="U1520" i="27"/>
  <c r="Z1263" i="27"/>
  <c r="AA1263" i="27"/>
  <c r="U2699" i="27"/>
  <c r="U1599" i="27"/>
  <c r="Z1425" i="27"/>
  <c r="AA1425" i="27"/>
  <c r="I1442" i="27"/>
  <c r="U2319" i="27"/>
  <c r="Z2845" i="27"/>
  <c r="AA2845" i="27"/>
  <c r="U2796" i="27"/>
  <c r="F2796" i="27"/>
  <c r="M2796" i="27"/>
  <c r="I2796" i="27"/>
  <c r="G2796" i="27"/>
  <c r="Z2372" i="27"/>
  <c r="AA2372" i="27"/>
  <c r="F2372" i="27"/>
  <c r="M2372" i="27"/>
  <c r="U2372" i="27"/>
  <c r="F1864" i="27"/>
  <c r="M1864" i="27"/>
  <c r="U1864" i="27"/>
  <c r="F1719" i="27"/>
  <c r="M1719" i="27"/>
  <c r="Z1719" i="27"/>
  <c r="AA1719" i="27"/>
  <c r="C2125" i="27"/>
  <c r="D2125" i="27"/>
  <c r="E2125" i="27"/>
  <c r="Z1520" i="27"/>
  <c r="AA1520" i="27"/>
  <c r="G1987" i="27"/>
  <c r="AA1987" i="27"/>
  <c r="Z1599" i="27"/>
  <c r="AA1599" i="27"/>
  <c r="F1963" i="27"/>
  <c r="M1963" i="27"/>
  <c r="Z1785" i="27"/>
  <c r="AA1785" i="27"/>
  <c r="I584" i="27"/>
  <c r="G2104" i="27"/>
  <c r="I2104" i="27"/>
  <c r="G1067" i="27"/>
  <c r="I1067" i="27"/>
  <c r="F2118" i="27"/>
  <c r="M2118" i="27"/>
  <c r="G2118" i="27"/>
  <c r="U2118" i="27"/>
  <c r="G533" i="27"/>
  <c r="I533" i="27"/>
  <c r="F1513" i="27"/>
  <c r="M1513" i="27"/>
  <c r="Z1513" i="27"/>
  <c r="AA1513" i="27"/>
  <c r="U1963" i="27"/>
  <c r="F1785" i="27"/>
  <c r="M1785" i="27"/>
  <c r="G1785" i="27"/>
  <c r="F711" i="27"/>
  <c r="M711" i="27"/>
  <c r="I711" i="27"/>
  <c r="G711" i="27"/>
  <c r="Z1355" i="27"/>
  <c r="AA1355" i="27"/>
  <c r="I1863" i="27"/>
  <c r="I3120" i="27"/>
  <c r="I1550" i="27"/>
  <c r="D2195" i="27"/>
  <c r="E2195" i="27"/>
  <c r="F2195" i="27"/>
  <c r="M2195" i="27"/>
  <c r="Z1385" i="27"/>
  <c r="I2308" i="27"/>
  <c r="F1367" i="27"/>
  <c r="M1367" i="27"/>
  <c r="G1367" i="27"/>
  <c r="AA2994" i="27"/>
  <c r="Z2699" i="27"/>
  <c r="AA2699" i="27"/>
  <c r="U1597" i="27"/>
  <c r="F2140" i="27"/>
  <c r="M2140" i="27"/>
  <c r="Z711" i="27"/>
  <c r="AA711" i="27"/>
  <c r="Z1284" i="27"/>
  <c r="AA1284" i="27"/>
  <c r="E1163" i="27"/>
  <c r="E2462" i="27"/>
  <c r="U1355" i="27"/>
  <c r="I2095" i="27"/>
  <c r="F375" i="27"/>
  <c r="Z1433" i="27"/>
  <c r="AA1433" i="27"/>
  <c r="I2735" i="27"/>
  <c r="I1357" i="27"/>
  <c r="Z1274" i="27"/>
  <c r="AA1274" i="27"/>
  <c r="F1274" i="27"/>
  <c r="M1274" i="27"/>
  <c r="G168" i="27"/>
  <c r="I168" i="27"/>
  <c r="U1367" i="27"/>
  <c r="I2049" i="27"/>
  <c r="Z2319" i="27"/>
  <c r="AA2319" i="27"/>
  <c r="Z1591" i="27"/>
  <c r="AA1591" i="27"/>
  <c r="F1591" i="27"/>
  <c r="M1591" i="27"/>
  <c r="U1591" i="27"/>
  <c r="F1751" i="27"/>
  <c r="M1751" i="27"/>
  <c r="G1751" i="27"/>
  <c r="Z1751" i="27"/>
  <c r="AA1751" i="27"/>
  <c r="C85" i="27"/>
  <c r="D85" i="27"/>
  <c r="G23" i="27"/>
  <c r="I23" i="27"/>
  <c r="G1236" i="27"/>
  <c r="I1236" i="27"/>
  <c r="Z1503" i="27"/>
  <c r="AA1503" i="27"/>
  <c r="I1414" i="27"/>
  <c r="C1577" i="27"/>
  <c r="D1577" i="27"/>
  <c r="E1577" i="27"/>
  <c r="Z1577" i="27"/>
  <c r="AA1577" i="27"/>
  <c r="I2724" i="27"/>
  <c r="U1431" i="27"/>
  <c r="U1777" i="27"/>
  <c r="Z2140" i="27"/>
  <c r="AA2140" i="27"/>
  <c r="I1749" i="27"/>
  <c r="Z2384" i="27"/>
  <c r="AA2384" i="27"/>
  <c r="D2931" i="27"/>
  <c r="E2931" i="27"/>
  <c r="C2974" i="27"/>
  <c r="D2974" i="27"/>
  <c r="E2974" i="27"/>
  <c r="U1548" i="27"/>
  <c r="F1548" i="27"/>
  <c r="M1548" i="27"/>
  <c r="G1548" i="27"/>
  <c r="U2087" i="27"/>
  <c r="I640" i="27"/>
  <c r="U1940" i="27"/>
  <c r="Z2752" i="27"/>
  <c r="AA2752" i="27"/>
  <c r="I948" i="27"/>
  <c r="D2990" i="27"/>
  <c r="E2990" i="27"/>
  <c r="U1978" i="27"/>
  <c r="Z1945" i="27"/>
  <c r="U1945" i="27"/>
  <c r="G2174" i="27"/>
  <c r="I2174" i="27"/>
  <c r="Z1452" i="27"/>
  <c r="U1452" i="27"/>
  <c r="AA1452" i="27"/>
  <c r="F1452" i="27"/>
  <c r="M1452" i="27"/>
  <c r="U1035" i="27"/>
  <c r="AB1035" i="27"/>
  <c r="AA1035" i="27"/>
  <c r="F1035" i="27"/>
  <c r="M1035" i="27"/>
  <c r="Z1035" i="27"/>
  <c r="F206" i="27"/>
  <c r="M206" i="27"/>
  <c r="I206" i="27"/>
  <c r="G206" i="27"/>
  <c r="Z206" i="27"/>
  <c r="U206" i="27"/>
  <c r="AB206" i="27"/>
  <c r="AA206" i="27"/>
  <c r="F1642" i="27"/>
  <c r="M1642" i="27"/>
  <c r="Z1642" i="27"/>
  <c r="AA1642" i="27"/>
  <c r="U1642" i="27"/>
  <c r="AA3124" i="27"/>
  <c r="E3124" i="27"/>
  <c r="U3124" i="27"/>
  <c r="F927" i="27"/>
  <c r="M927" i="27"/>
  <c r="Z927" i="27"/>
  <c r="AA927" i="27"/>
  <c r="F2746" i="27"/>
  <c r="M2746" i="27"/>
  <c r="G2746" i="27"/>
  <c r="Z2746" i="27"/>
  <c r="AA2746" i="27"/>
  <c r="U791" i="27"/>
  <c r="Z791" i="27"/>
  <c r="AA791" i="27"/>
  <c r="Z1416" i="27"/>
  <c r="U1416" i="27"/>
  <c r="F1416" i="27"/>
  <c r="M1416" i="27"/>
  <c r="U2559" i="27"/>
  <c r="F2559" i="27"/>
  <c r="M2559" i="27"/>
  <c r="Z2559" i="27"/>
  <c r="AA2559" i="27"/>
  <c r="Z1536" i="27"/>
  <c r="AA1536" i="27"/>
  <c r="F1536" i="27"/>
  <c r="M1536" i="27"/>
  <c r="U1536" i="27"/>
  <c r="Z964" i="27"/>
  <c r="AA964" i="27"/>
  <c r="F964" i="27"/>
  <c r="M964" i="27"/>
  <c r="AB497" i="27"/>
  <c r="AA497" i="27"/>
  <c r="F497" i="27"/>
  <c r="M497" i="27"/>
  <c r="U319" i="27"/>
  <c r="Z319" i="27"/>
  <c r="AA319" i="27"/>
  <c r="F295" i="27"/>
  <c r="M295" i="27"/>
  <c r="G295" i="27"/>
  <c r="U295" i="27"/>
  <c r="U933" i="27"/>
  <c r="Z295" i="27"/>
  <c r="AA295" i="27"/>
  <c r="D2299" i="27"/>
  <c r="E2299" i="27"/>
  <c r="C2416" i="27"/>
  <c r="D2416" i="27"/>
  <c r="E2416" i="27"/>
  <c r="U851" i="27"/>
  <c r="Z851" i="27"/>
  <c r="AA851" i="27"/>
  <c r="F851" i="27"/>
  <c r="M851" i="27"/>
  <c r="F1962" i="27"/>
  <c r="M1962" i="27"/>
  <c r="U1962" i="27"/>
  <c r="Z1962" i="27"/>
  <c r="U259" i="27"/>
  <c r="F259" i="27"/>
  <c r="M259" i="27"/>
  <c r="I259" i="27"/>
  <c r="Z259" i="27"/>
  <c r="AA259" i="27"/>
  <c r="U905" i="27"/>
  <c r="Z905" i="27"/>
  <c r="AA905" i="27"/>
  <c r="F905" i="27"/>
  <c r="M905" i="27"/>
  <c r="G905" i="27"/>
  <c r="I905" i="27"/>
  <c r="U587" i="27"/>
  <c r="Z587" i="27"/>
  <c r="AA587" i="27"/>
  <c r="F587" i="27"/>
  <c r="M587" i="27"/>
  <c r="G587" i="27"/>
  <c r="F510" i="27"/>
  <c r="M510" i="27"/>
  <c r="Z510" i="27"/>
  <c r="AA510" i="27"/>
  <c r="Z429" i="27"/>
  <c r="AA429" i="27"/>
  <c r="F429" i="27"/>
  <c r="M429" i="27"/>
  <c r="U429" i="27"/>
  <c r="F1306" i="27"/>
  <c r="M1306" i="27"/>
  <c r="Z1306" i="27"/>
  <c r="AA1306" i="27"/>
  <c r="U1306" i="27"/>
  <c r="F892" i="27"/>
  <c r="M892" i="27"/>
  <c r="Z892" i="27"/>
  <c r="AB892" i="27"/>
  <c r="AA892" i="27"/>
  <c r="U892" i="27"/>
  <c r="Z2829" i="27"/>
  <c r="AA2829" i="27"/>
  <c r="F2829" i="27"/>
  <c r="M2829" i="27"/>
  <c r="G2829" i="27"/>
  <c r="U318" i="27"/>
  <c r="Z318" i="27"/>
  <c r="AA318" i="27"/>
  <c r="U1447" i="27"/>
  <c r="F1447" i="27"/>
  <c r="M1447" i="27"/>
  <c r="F1071" i="27"/>
  <c r="M1071" i="27"/>
  <c r="G1071" i="27"/>
  <c r="U1071" i="27"/>
  <c r="Z1071" i="27"/>
  <c r="AA1071" i="27"/>
  <c r="Z1043" i="27"/>
  <c r="AA1043" i="27"/>
  <c r="U1043" i="27"/>
  <c r="F1043" i="27"/>
  <c r="M1043" i="27"/>
  <c r="G1043" i="27"/>
  <c r="I1043" i="27"/>
  <c r="F646" i="27"/>
  <c r="M646" i="27"/>
  <c r="Z646" i="27"/>
  <c r="AA646" i="27"/>
  <c r="F623" i="27"/>
  <c r="M623" i="27"/>
  <c r="U623" i="27"/>
  <c r="AB314" i="27"/>
  <c r="AA314" i="27"/>
  <c r="F314" i="27"/>
  <c r="M314" i="27"/>
  <c r="Z314" i="27"/>
  <c r="Z27" i="27"/>
  <c r="AA27" i="27"/>
  <c r="F27" i="27"/>
  <c r="M27" i="27"/>
  <c r="F1648" i="27"/>
  <c r="M1648" i="27"/>
  <c r="U1648" i="27"/>
  <c r="Z1648" i="27"/>
  <c r="AA1648" i="27"/>
  <c r="AB636" i="27"/>
  <c r="AA636" i="27"/>
  <c r="U636" i="27"/>
  <c r="F636" i="27"/>
  <c r="M636" i="27"/>
  <c r="G636" i="27"/>
  <c r="Z2061" i="27"/>
  <c r="AA2061" i="27"/>
  <c r="U2061" i="27"/>
  <c r="AB2061" i="27"/>
  <c r="F3166" i="27"/>
  <c r="M3166" i="27"/>
  <c r="G3166" i="27"/>
  <c r="U3166" i="27"/>
  <c r="U713" i="27"/>
  <c r="Z713" i="27"/>
  <c r="AA713" i="27"/>
  <c r="Z857" i="27"/>
  <c r="AA857" i="27"/>
  <c r="U857" i="27"/>
  <c r="G230" i="27"/>
  <c r="I230" i="27"/>
  <c r="U2551" i="27"/>
  <c r="Z2551" i="27"/>
  <c r="AA2551" i="27"/>
  <c r="F2551" i="27"/>
  <c r="M2551" i="27"/>
  <c r="Z1082" i="27"/>
  <c r="AB1082" i="27"/>
  <c r="AA1082" i="27"/>
  <c r="F1082" i="27"/>
  <c r="M1082" i="27"/>
  <c r="G1082" i="27"/>
  <c r="I1082" i="27"/>
  <c r="U1082" i="27"/>
  <c r="U736" i="27"/>
  <c r="Z736" i="27"/>
  <c r="AA736" i="27"/>
  <c r="F736" i="27"/>
  <c r="M736" i="27"/>
  <c r="U334" i="27"/>
  <c r="Z334" i="27"/>
  <c r="AA334" i="27"/>
  <c r="U865" i="27"/>
  <c r="Z865" i="27"/>
  <c r="AA865" i="27"/>
  <c r="U2789" i="27"/>
  <c r="F2789" i="27"/>
  <c r="M2789" i="27"/>
  <c r="Z2789" i="27"/>
  <c r="AA2789" i="27"/>
  <c r="Z2601" i="27"/>
  <c r="AA2601" i="27"/>
  <c r="F2601" i="27"/>
  <c r="M2601" i="27"/>
  <c r="G2601" i="27"/>
  <c r="U2601" i="27"/>
  <c r="F292" i="27"/>
  <c r="M292" i="27"/>
  <c r="U292" i="27"/>
  <c r="Z292" i="27"/>
  <c r="AA292" i="27"/>
  <c r="Z2523" i="27"/>
  <c r="AA2523" i="27"/>
  <c r="U2523" i="27"/>
  <c r="I2758" i="27"/>
  <c r="I268" i="27"/>
  <c r="F3117" i="27"/>
  <c r="M3117" i="27"/>
  <c r="G3117" i="27"/>
  <c r="U3117" i="27"/>
  <c r="U2606" i="27"/>
  <c r="AA2606" i="27"/>
  <c r="F1899" i="27"/>
  <c r="M1899" i="27"/>
  <c r="Z1899" i="27"/>
  <c r="AA1899" i="27"/>
  <c r="U1899" i="27"/>
  <c r="Z1101" i="27"/>
  <c r="AA1101" i="27"/>
  <c r="U1101" i="27"/>
  <c r="F1101" i="27"/>
  <c r="M1101" i="27"/>
  <c r="G1101" i="27"/>
  <c r="F754" i="27"/>
  <c r="M754" i="27"/>
  <c r="G754" i="27"/>
  <c r="I754" i="27"/>
  <c r="Z754" i="27"/>
  <c r="AA754" i="27"/>
  <c r="F25" i="27"/>
  <c r="Z25" i="27"/>
  <c r="AA25" i="27"/>
  <c r="U25" i="27"/>
  <c r="Z2728" i="27"/>
  <c r="AA2728" i="27"/>
  <c r="F2728" i="27"/>
  <c r="M2728" i="27"/>
  <c r="U2728" i="27"/>
  <c r="F742" i="27"/>
  <c r="M742" i="27"/>
  <c r="G742" i="27"/>
  <c r="Z742" i="27"/>
  <c r="AA742" i="27"/>
  <c r="U742" i="27"/>
  <c r="D1971" i="27"/>
  <c r="E1971" i="27"/>
  <c r="C2387" i="27"/>
  <c r="D2387" i="27"/>
  <c r="E2387" i="27"/>
  <c r="Z1203" i="27"/>
  <c r="U1203" i="27"/>
  <c r="F1150" i="27"/>
  <c r="M1150" i="27"/>
  <c r="U1150" i="27"/>
  <c r="U1138" i="27"/>
  <c r="Z1138" i="27"/>
  <c r="F1138" i="27"/>
  <c r="M1138" i="27"/>
  <c r="AB1138" i="27"/>
  <c r="AA1138" i="27"/>
  <c r="U1124" i="27"/>
  <c r="Z1124" i="27"/>
  <c r="AA1124" i="27"/>
  <c r="F1124" i="27"/>
  <c r="M1124" i="27"/>
  <c r="Z2283" i="27"/>
  <c r="AA2283" i="27"/>
  <c r="U2283" i="27"/>
  <c r="F2694" i="27"/>
  <c r="M2694" i="27"/>
  <c r="G2694" i="27"/>
  <c r="U2694" i="27"/>
  <c r="Z2694" i="27"/>
  <c r="AA2694" i="27"/>
  <c r="I466" i="27"/>
  <c r="I929" i="27"/>
  <c r="Z1780" i="27"/>
  <c r="AA1780" i="27"/>
  <c r="F1780" i="27"/>
  <c r="U1780" i="27"/>
  <c r="F653" i="27"/>
  <c r="M653" i="27"/>
  <c r="Z653" i="27"/>
  <c r="AA653" i="27"/>
  <c r="U653" i="27"/>
  <c r="F845" i="27"/>
  <c r="M845" i="27"/>
  <c r="U845" i="27"/>
  <c r="Z845" i="27"/>
  <c r="AA845" i="27"/>
  <c r="Z541" i="27"/>
  <c r="AB541" i="27"/>
  <c r="AA541" i="27"/>
  <c r="U541" i="27"/>
  <c r="Z2150" i="27"/>
  <c r="AA2150" i="27"/>
  <c r="F2150" i="27"/>
  <c r="M2150" i="27"/>
  <c r="F1383" i="27"/>
  <c r="M1383" i="27"/>
  <c r="Z1383" i="27"/>
  <c r="AA1383" i="27"/>
  <c r="F1346" i="27"/>
  <c r="M1346" i="27"/>
  <c r="U1013" i="27"/>
  <c r="Z1013" i="27"/>
  <c r="AA1013" i="27"/>
  <c r="F400" i="27"/>
  <c r="M400" i="27"/>
  <c r="U400" i="27"/>
  <c r="Z400" i="27"/>
  <c r="AA400" i="27"/>
  <c r="Z310" i="27"/>
  <c r="U310" i="27"/>
  <c r="Z57" i="27"/>
  <c r="AA57" i="27"/>
  <c r="F57" i="27"/>
  <c r="M57" i="27"/>
  <c r="U57" i="27"/>
  <c r="U1725" i="27"/>
  <c r="F1725" i="27"/>
  <c r="M1725" i="27"/>
  <c r="Z1725" i="27"/>
  <c r="AA1725" i="27"/>
  <c r="Z780" i="27"/>
  <c r="F780" i="27"/>
  <c r="M780" i="27"/>
  <c r="AB780" i="27"/>
  <c r="AA780" i="27"/>
  <c r="U780" i="27"/>
  <c r="F1612" i="27"/>
  <c r="M1612" i="27"/>
  <c r="G1612" i="27"/>
  <c r="C2461" i="27"/>
  <c r="D2461" i="27"/>
  <c r="D1931" i="27"/>
  <c r="C1392" i="27"/>
  <c r="D1392" i="27"/>
  <c r="C1906" i="27"/>
  <c r="D1906" i="27"/>
  <c r="E1906" i="27"/>
  <c r="C2775" i="27"/>
  <c r="D2775" i="27"/>
  <c r="U2496" i="27"/>
  <c r="F2496" i="27"/>
  <c r="M2496" i="27"/>
  <c r="Z2496" i="27"/>
  <c r="AA2496" i="27"/>
  <c r="Z2482" i="27"/>
  <c r="AA2482" i="27"/>
  <c r="F2482" i="27"/>
  <c r="M2482" i="27"/>
  <c r="G2482" i="27"/>
  <c r="I2482" i="27"/>
  <c r="U2482" i="27"/>
  <c r="U920" i="27"/>
  <c r="Z920" i="27"/>
  <c r="AA920" i="27"/>
  <c r="F920" i="27"/>
  <c r="M920" i="27"/>
  <c r="Z208" i="27"/>
  <c r="AA208" i="27"/>
  <c r="U208" i="27"/>
  <c r="Z1973" i="27"/>
  <c r="F1973" i="27"/>
  <c r="M1973" i="27"/>
  <c r="U1973" i="27"/>
  <c r="F947" i="27"/>
  <c r="M947" i="27"/>
  <c r="G947" i="27"/>
  <c r="AB947" i="27"/>
  <c r="AA947" i="27"/>
  <c r="C2751" i="27"/>
  <c r="E2751" i="27"/>
  <c r="Z2751" i="27"/>
  <c r="AA2751" i="27"/>
  <c r="E2279" i="27"/>
  <c r="C2841" i="27"/>
  <c r="E2841" i="27"/>
  <c r="C2661" i="27"/>
  <c r="E2661" i="27"/>
  <c r="F1065" i="27"/>
  <c r="M1065" i="27"/>
  <c r="I1065" i="27"/>
  <c r="G1065" i="27"/>
  <c r="Z1065" i="27"/>
  <c r="AA1065" i="27"/>
  <c r="U1065" i="27"/>
  <c r="F2409" i="27"/>
  <c r="M2409" i="27"/>
  <c r="I2409" i="27"/>
  <c r="Z1390" i="27"/>
  <c r="AA1390" i="27"/>
  <c r="U1390" i="27"/>
  <c r="F1390" i="27"/>
  <c r="M1390" i="27"/>
  <c r="G496" i="27"/>
  <c r="I496" i="27"/>
  <c r="Z2220" i="27"/>
  <c r="AA2220" i="27"/>
  <c r="U2220" i="27"/>
  <c r="F2220" i="27"/>
  <c r="M2220" i="27"/>
  <c r="D1252" i="27"/>
  <c r="E1252" i="27"/>
  <c r="C1342" i="27"/>
  <c r="D1342" i="27"/>
  <c r="E1342" i="27"/>
  <c r="Z1024" i="27"/>
  <c r="F1024" i="27"/>
  <c r="M1024" i="27"/>
  <c r="G1024" i="27"/>
  <c r="AB1024" i="27"/>
  <c r="AA1024" i="27"/>
  <c r="U1024" i="27"/>
  <c r="Z934" i="27"/>
  <c r="AA934" i="27"/>
  <c r="F934" i="27"/>
  <c r="M934" i="27"/>
  <c r="I934" i="27"/>
  <c r="G934" i="27"/>
  <c r="D2581" i="27"/>
  <c r="E2581" i="27"/>
  <c r="C2664" i="27"/>
  <c r="D2664" i="27"/>
  <c r="E2664" i="27"/>
  <c r="Z2664" i="27"/>
  <c r="AA2664" i="27"/>
  <c r="U488" i="27"/>
  <c r="F488" i="27"/>
  <c r="M488" i="27"/>
  <c r="G488" i="27"/>
  <c r="Z488" i="27"/>
  <c r="AA488" i="27"/>
  <c r="Z2671" i="27"/>
  <c r="AA2671" i="27"/>
  <c r="F2671" i="27"/>
  <c r="M2671" i="27"/>
  <c r="U2671" i="27"/>
  <c r="U1277" i="27"/>
  <c r="F1277" i="27"/>
  <c r="M1277" i="27"/>
  <c r="Z1277" i="27"/>
  <c r="AA1277" i="27"/>
  <c r="I544" i="27"/>
  <c r="I2430" i="27"/>
  <c r="I1881" i="27"/>
  <c r="I1707" i="27"/>
  <c r="I1690" i="27"/>
  <c r="I701" i="27"/>
  <c r="G2429" i="27"/>
  <c r="I2429" i="27"/>
  <c r="U1519" i="27"/>
  <c r="E1565" i="27"/>
  <c r="Z1519" i="27"/>
  <c r="AA1519" i="27"/>
  <c r="U1393" i="27"/>
  <c r="G1982" i="27"/>
  <c r="AA1982" i="27"/>
  <c r="U1920" i="27"/>
  <c r="AA1930" i="27"/>
  <c r="Z2010" i="27"/>
  <c r="AA2010" i="27"/>
  <c r="I1958" i="27"/>
  <c r="F1782" i="27"/>
  <c r="G2697" i="27"/>
  <c r="I2697" i="27"/>
  <c r="G1638" i="27"/>
  <c r="I1638" i="27"/>
  <c r="Z2723" i="27"/>
  <c r="AA2723" i="27"/>
  <c r="U2723" i="27"/>
  <c r="E3008" i="27"/>
  <c r="F2723" i="27"/>
  <c r="M2723" i="27"/>
  <c r="G2723" i="27"/>
  <c r="AA1665" i="27"/>
  <c r="Z1665" i="27"/>
  <c r="G2665" i="27"/>
  <c r="I2665" i="27"/>
  <c r="G1424" i="27"/>
  <c r="I1424" i="27"/>
  <c r="U2929" i="27"/>
  <c r="Z2929" i="27"/>
  <c r="AA2929" i="27"/>
  <c r="F2929" i="27"/>
  <c r="M2929" i="27"/>
  <c r="G2929" i="27"/>
  <c r="U1930" i="27"/>
  <c r="Z1930" i="27"/>
  <c r="F2692" i="27"/>
  <c r="M2692" i="27"/>
  <c r="G2692" i="27"/>
  <c r="I2692" i="27"/>
  <c r="Z2692" i="27"/>
  <c r="AA2692" i="27"/>
  <c r="U1356" i="27"/>
  <c r="Z1356" i="27"/>
  <c r="AA1356" i="27"/>
  <c r="F1356" i="27"/>
  <c r="G159" i="27"/>
  <c r="I159" i="27"/>
  <c r="I1949" i="27"/>
  <c r="Z55" i="27"/>
  <c r="AA55" i="27"/>
  <c r="U55" i="27"/>
  <c r="G2192" i="27"/>
  <c r="I2192" i="27"/>
  <c r="G2386" i="27"/>
  <c r="I1939" i="27"/>
  <c r="I1966" i="27"/>
  <c r="Z1495" i="27"/>
  <c r="AA1495" i="27"/>
  <c r="G1590" i="27"/>
  <c r="I1590" i="27"/>
  <c r="C79" i="27"/>
  <c r="D79" i="27"/>
  <c r="I17" i="27"/>
  <c r="Z1582" i="27"/>
  <c r="AA1582" i="27"/>
  <c r="I1388" i="27"/>
  <c r="G2625" i="27"/>
  <c r="U2635" i="27"/>
  <c r="Z2635" i="27"/>
  <c r="AA2635" i="27"/>
  <c r="G1722" i="27"/>
  <c r="I1722" i="27"/>
  <c r="F2927" i="27"/>
  <c r="M2927" i="27"/>
  <c r="G2927" i="27"/>
  <c r="I2927" i="27"/>
  <c r="I1351" i="27"/>
  <c r="I1757" i="27"/>
  <c r="I2657" i="27"/>
  <c r="G1528" i="27"/>
  <c r="I1528" i="27"/>
  <c r="G1242" i="27"/>
  <c r="I1242" i="27"/>
  <c r="I1825" i="27"/>
  <c r="I1531" i="27"/>
  <c r="F2634" i="27"/>
  <c r="M2634" i="27"/>
  <c r="G2634" i="27"/>
  <c r="U2634" i="27"/>
  <c r="Z2456" i="27"/>
  <c r="AA2456" i="27"/>
  <c r="F2456" i="27"/>
  <c r="M2456" i="27"/>
  <c r="G2456" i="27"/>
  <c r="F2756" i="27"/>
  <c r="M2756" i="27"/>
  <c r="G2756" i="27"/>
  <c r="U2756" i="27"/>
  <c r="U2126" i="27"/>
  <c r="Z2126" i="27"/>
  <c r="AA2126" i="27"/>
  <c r="G2486" i="27"/>
  <c r="I2486" i="27"/>
  <c r="I1366" i="27"/>
  <c r="G3176" i="27"/>
  <c r="I3176" i="27"/>
  <c r="I2373" i="27"/>
  <c r="I2655" i="27"/>
  <c r="U2757" i="27"/>
  <c r="F2757" i="27"/>
  <c r="M2757" i="27"/>
  <c r="U2350" i="27"/>
  <c r="I1523" i="27"/>
  <c r="E2205" i="27"/>
  <c r="E2206" i="27"/>
  <c r="F2197" i="27"/>
  <c r="M2197" i="27"/>
  <c r="U1288" i="27"/>
  <c r="AA1288" i="27"/>
  <c r="F1288" i="27"/>
  <c r="M1288" i="27"/>
  <c r="G1288" i="27"/>
  <c r="Z1782" i="27"/>
  <c r="AA1782" i="27"/>
  <c r="I1977" i="27"/>
  <c r="G1788" i="27"/>
  <c r="I1667" i="27"/>
  <c r="G2164" i="27"/>
  <c r="I2164" i="27"/>
  <c r="G2648" i="27"/>
  <c r="I2648" i="27"/>
  <c r="G2614" i="27"/>
  <c r="I2614" i="27"/>
  <c r="G1422" i="27"/>
  <c r="I1422" i="27"/>
  <c r="AA1422" i="27"/>
  <c r="F376" i="27"/>
  <c r="G2322" i="27"/>
  <c r="I2322" i="27"/>
  <c r="G1898" i="27"/>
  <c r="I1898" i="27"/>
  <c r="I2842" i="27"/>
  <c r="Z1966" i="27"/>
  <c r="G233" i="27"/>
  <c r="I233" i="27"/>
  <c r="I333" i="27"/>
  <c r="I789" i="27"/>
  <c r="G649" i="27"/>
  <c r="I649" i="27"/>
  <c r="G1768" i="27"/>
  <c r="I1768" i="27"/>
  <c r="G728" i="27"/>
  <c r="I728" i="27"/>
  <c r="G727" i="27"/>
  <c r="I727" i="27"/>
  <c r="F1794" i="27"/>
  <c r="M1794" i="27"/>
  <c r="U1794" i="27"/>
  <c r="Z1794" i="27"/>
  <c r="AA1794" i="27"/>
  <c r="I1373" i="27"/>
  <c r="I554" i="27"/>
  <c r="U3123" i="27"/>
  <c r="F3123" i="27"/>
  <c r="M3123" i="27"/>
  <c r="G3123" i="27"/>
  <c r="I943" i="27"/>
  <c r="G1472" i="27"/>
  <c r="I1472" i="27"/>
  <c r="G1773" i="27"/>
  <c r="I1773" i="27"/>
  <c r="G141" i="27"/>
  <c r="I141" i="27"/>
  <c r="I2451" i="27"/>
  <c r="G3129" i="27"/>
  <c r="I3129" i="27"/>
  <c r="G240" i="27"/>
  <c r="I240" i="27"/>
  <c r="G1014" i="27"/>
  <c r="I1014" i="27"/>
  <c r="I2390" i="27"/>
  <c r="I2064" i="27"/>
  <c r="I2507" i="27"/>
  <c r="I665" i="27"/>
  <c r="G527" i="27"/>
  <c r="I527" i="27"/>
  <c r="Z2053" i="27"/>
  <c r="AA2053" i="27"/>
  <c r="U2053" i="27"/>
  <c r="F2053" i="27"/>
  <c r="M2053" i="27"/>
  <c r="I588" i="27"/>
  <c r="I1437" i="27"/>
  <c r="U3091" i="27"/>
  <c r="AA3091" i="27"/>
  <c r="Z1968" i="27"/>
  <c r="U1968" i="27"/>
  <c r="I1257" i="27"/>
  <c r="I2067" i="27"/>
  <c r="I1460" i="27"/>
  <c r="G2647" i="27"/>
  <c r="I2647" i="27"/>
  <c r="I2446" i="27"/>
  <c r="I2813" i="27"/>
  <c r="I1353" i="27"/>
  <c r="F1937" i="27"/>
  <c r="M1937" i="27"/>
  <c r="I830" i="27"/>
  <c r="I2166" i="27"/>
  <c r="I1341" i="27"/>
  <c r="G2574" i="27"/>
  <c r="I2574" i="27"/>
  <c r="U2072" i="27"/>
  <c r="F2072" i="27"/>
  <c r="M2072" i="27"/>
  <c r="G2072" i="27"/>
  <c r="Z2072" i="27"/>
  <c r="AA2072" i="27"/>
  <c r="I1838" i="27"/>
  <c r="I1844" i="27"/>
  <c r="G1991" i="27"/>
  <c r="AA1991" i="27"/>
  <c r="G494" i="27"/>
  <c r="I494" i="27"/>
  <c r="G1307" i="27"/>
  <c r="I1307" i="27"/>
  <c r="G1840" i="27"/>
  <c r="I1840" i="27"/>
  <c r="G625" i="27"/>
  <c r="I625" i="27"/>
  <c r="G2503" i="27"/>
  <c r="I2503" i="27"/>
  <c r="F1928" i="27"/>
  <c r="M1928" i="27"/>
  <c r="U1928" i="27"/>
  <c r="G412" i="27"/>
  <c r="I412" i="27"/>
  <c r="I729" i="27"/>
  <c r="G1283" i="27"/>
  <c r="I1283" i="27"/>
  <c r="G396" i="27"/>
  <c r="I396" i="27"/>
  <c r="G853" i="27"/>
  <c r="I853" i="27"/>
  <c r="G2820" i="27"/>
  <c r="I2820" i="27"/>
  <c r="G2525" i="27"/>
  <c r="I2525" i="27"/>
  <c r="I1113" i="27"/>
  <c r="I2421" i="27"/>
  <c r="G962" i="27"/>
  <c r="I962" i="27"/>
  <c r="Z1972" i="27"/>
  <c r="U1972" i="27"/>
  <c r="F1972" i="27"/>
  <c r="M1972" i="27"/>
  <c r="U1779" i="27"/>
  <c r="Z1779" i="27"/>
  <c r="AA1779" i="27"/>
  <c r="I975" i="27"/>
  <c r="I446" i="27"/>
  <c r="I264" i="27"/>
  <c r="U1787" i="27"/>
  <c r="F1787" i="27"/>
  <c r="M1787" i="27"/>
  <c r="G1787" i="27"/>
  <c r="I3143" i="27"/>
  <c r="I1663" i="27"/>
  <c r="G1139" i="27"/>
  <c r="I1139" i="27"/>
  <c r="G2131" i="27"/>
  <c r="I2131" i="27"/>
  <c r="I965" i="27"/>
  <c r="I2152" i="27"/>
  <c r="G2530" i="27"/>
  <c r="I2530" i="27"/>
  <c r="G1012" i="27"/>
  <c r="I1012" i="27"/>
  <c r="I1443" i="27"/>
  <c r="G1325" i="27"/>
  <c r="I1325" i="27"/>
  <c r="I2502" i="27"/>
  <c r="I1712" i="27"/>
  <c r="G558" i="27"/>
  <c r="I558" i="27"/>
  <c r="Z1770" i="27"/>
  <c r="AA1770" i="27"/>
  <c r="U1770" i="27"/>
  <c r="G2148" i="27"/>
  <c r="I2148" i="27"/>
  <c r="G1783" i="27"/>
  <c r="I1783" i="27"/>
  <c r="G717" i="27"/>
  <c r="I717" i="27"/>
  <c r="I3167" i="27"/>
  <c r="I279" i="27"/>
  <c r="G1068" i="27"/>
  <c r="I1068" i="27"/>
  <c r="I1871" i="27"/>
  <c r="G1008" i="27"/>
  <c r="I1008" i="27"/>
  <c r="G1546" i="27"/>
  <c r="I1546" i="27"/>
  <c r="G896" i="27"/>
  <c r="I896" i="27"/>
  <c r="G191" i="27"/>
  <c r="I191" i="27"/>
  <c r="G863" i="27"/>
  <c r="I863" i="27"/>
  <c r="G678" i="27"/>
  <c r="I678" i="27"/>
  <c r="I3119" i="27"/>
  <c r="I1159" i="27"/>
  <c r="I2540" i="27"/>
  <c r="I1789" i="27"/>
  <c r="U1855" i="27"/>
  <c r="I618" i="27"/>
  <c r="G2254" i="27"/>
  <c r="I2254" i="27"/>
  <c r="Z952" i="27"/>
  <c r="AB952" i="27"/>
  <c r="AA952" i="27"/>
  <c r="U952" i="27"/>
  <c r="F952" i="27"/>
  <c r="M952" i="27"/>
  <c r="Z2168" i="27"/>
  <c r="F2168" i="27"/>
  <c r="M2168" i="27"/>
  <c r="I2168" i="27"/>
  <c r="G2168" i="27"/>
  <c r="I482" i="27"/>
  <c r="G1899" i="27"/>
  <c r="I1899" i="27"/>
  <c r="F788" i="27"/>
  <c r="M788" i="27"/>
  <c r="G788" i="27"/>
  <c r="U788" i="27"/>
  <c r="Z788" i="27"/>
  <c r="AA788" i="27"/>
  <c r="M706" i="27"/>
  <c r="Z706" i="27"/>
  <c r="AA706" i="27"/>
  <c r="F706" i="27"/>
  <c r="U706" i="27"/>
  <c r="F238" i="27"/>
  <c r="M238" i="27"/>
  <c r="G238" i="27"/>
  <c r="Z238" i="27"/>
  <c r="AA238" i="27"/>
  <c r="F2517" i="27"/>
  <c r="M2517" i="27"/>
  <c r="G2517" i="27"/>
  <c r="Z2517" i="27"/>
  <c r="AA2517" i="27"/>
  <c r="Z2542" i="27"/>
  <c r="AA2542" i="27"/>
  <c r="F2542" i="27"/>
  <c r="M2542" i="27"/>
  <c r="G2542" i="27"/>
  <c r="AB813" i="27"/>
  <c r="AA813" i="27"/>
  <c r="Z813" i="27"/>
  <c r="Z849" i="27"/>
  <c r="AA849" i="27"/>
  <c r="F849" i="27"/>
  <c r="U849" i="27"/>
  <c r="F1656" i="27"/>
  <c r="M1656" i="27"/>
  <c r="U1656" i="27"/>
  <c r="Z1656" i="27"/>
  <c r="AA1656" i="27"/>
  <c r="Z796" i="27"/>
  <c r="AA796" i="27"/>
  <c r="U796" i="27"/>
  <c r="F2612" i="27"/>
  <c r="M2612" i="27"/>
  <c r="U2612" i="27"/>
  <c r="Z2612" i="27"/>
  <c r="AA2612" i="27"/>
  <c r="I140" i="27"/>
  <c r="G259" i="27"/>
  <c r="G460" i="27"/>
  <c r="I460" i="27"/>
  <c r="F1602" i="27"/>
  <c r="M1602" i="27"/>
  <c r="Z1602" i="27"/>
  <c r="AA1602" i="27"/>
  <c r="G900" i="27"/>
  <c r="I900" i="27"/>
  <c r="G1010" i="27"/>
  <c r="I1010" i="27"/>
  <c r="Z2385" i="27"/>
  <c r="AA2385" i="27"/>
  <c r="F2385" i="27"/>
  <c r="M2385" i="27"/>
  <c r="Z1827" i="27"/>
  <c r="AA1827" i="27"/>
  <c r="F1827" i="27"/>
  <c r="M1827" i="27"/>
  <c r="D1758" i="27"/>
  <c r="E1758" i="27"/>
  <c r="C1847" i="27"/>
  <c r="D1847" i="27"/>
  <c r="E1847" i="27"/>
  <c r="E1913" i="27"/>
  <c r="C2418" i="27"/>
  <c r="D2418" i="27"/>
  <c r="E2418" i="27"/>
  <c r="D2301" i="27"/>
  <c r="E2301" i="27"/>
  <c r="U2301" i="27"/>
  <c r="Z1744" i="27"/>
  <c r="AA1744" i="27"/>
  <c r="G782" i="27"/>
  <c r="I782" i="27"/>
  <c r="G2326" i="27"/>
  <c r="I2326" i="27"/>
  <c r="G1003" i="27"/>
  <c r="I1003" i="27"/>
  <c r="F3128" i="27"/>
  <c r="M3128" i="27"/>
  <c r="U3128" i="27"/>
  <c r="G1831" i="27"/>
  <c r="I1831" i="27"/>
  <c r="G760" i="27"/>
  <c r="I760" i="27"/>
  <c r="G532" i="27"/>
  <c r="I532" i="27"/>
  <c r="G1058" i="27"/>
  <c r="I1058" i="27"/>
  <c r="G878" i="27"/>
  <c r="I878" i="27"/>
  <c r="G839" i="27"/>
  <c r="I839" i="27"/>
  <c r="G3147" i="27"/>
  <c r="I3147" i="27"/>
  <c r="G19" i="27"/>
  <c r="I19" i="27"/>
  <c r="I3157" i="27"/>
  <c r="G816" i="27"/>
  <c r="I816" i="27"/>
  <c r="I2411" i="27"/>
  <c r="G1376" i="27"/>
  <c r="I1376" i="27"/>
  <c r="G2300" i="27"/>
  <c r="I2300" i="27"/>
  <c r="G709" i="27"/>
  <c r="I709" i="27"/>
  <c r="G663" i="27"/>
  <c r="I663" i="27"/>
  <c r="F1271" i="27"/>
  <c r="M1271" i="27"/>
  <c r="Z1271" i="27"/>
  <c r="AA1271" i="27"/>
  <c r="U1271" i="27"/>
  <c r="E3104" i="27"/>
  <c r="F3104" i="27"/>
  <c r="M3104" i="27"/>
  <c r="AA3104" i="27"/>
  <c r="C2595" i="27"/>
  <c r="D2595" i="27"/>
  <c r="I2233" i="27"/>
  <c r="U1238" i="27"/>
  <c r="G1090" i="27"/>
  <c r="I1090" i="27"/>
  <c r="G730" i="27"/>
  <c r="I730" i="27"/>
  <c r="G545" i="27"/>
  <c r="I545" i="27"/>
  <c r="I907" i="27"/>
  <c r="I1036" i="27"/>
  <c r="C2685" i="27"/>
  <c r="D2685" i="27"/>
  <c r="G262" i="27"/>
  <c r="I262" i="27"/>
  <c r="I170" i="27"/>
  <c r="I228" i="27"/>
  <c r="I63" i="27"/>
  <c r="I2535" i="27"/>
  <c r="I779" i="27"/>
  <c r="G1284" i="27"/>
  <c r="I1284" i="27"/>
  <c r="G2511" i="27"/>
  <c r="I2511" i="27"/>
  <c r="C2054" i="27"/>
  <c r="E2054" i="27"/>
  <c r="C2798" i="27"/>
  <c r="E2798" i="27"/>
  <c r="I777" i="27"/>
  <c r="I712" i="27"/>
  <c r="I2660" i="27"/>
  <c r="G770" i="27"/>
  <c r="I770" i="27"/>
  <c r="F1709" i="27"/>
  <c r="M1709" i="27"/>
  <c r="G1709" i="27"/>
  <c r="I993" i="27"/>
  <c r="I1701" i="27"/>
  <c r="I1108" i="27"/>
  <c r="E375" i="27"/>
  <c r="E376" i="27"/>
  <c r="E575" i="27"/>
  <c r="G667" i="27"/>
  <c r="I667" i="27"/>
  <c r="U437" i="27"/>
  <c r="Z437" i="27"/>
  <c r="AA437" i="27"/>
  <c r="F437" i="27"/>
  <c r="M437" i="27"/>
  <c r="E574" i="27"/>
  <c r="G1969" i="27"/>
  <c r="AA1969" i="27"/>
  <c r="G1920" i="27"/>
  <c r="AA1920" i="27"/>
  <c r="G2138" i="27"/>
  <c r="I2138" i="27"/>
  <c r="G1498" i="27"/>
  <c r="I1498" i="27"/>
  <c r="G2741" i="27"/>
  <c r="I2741" i="27"/>
  <c r="G1578" i="27"/>
  <c r="I1578" i="27"/>
  <c r="G3154" i="27"/>
  <c r="I3154" i="27"/>
  <c r="G2659" i="27"/>
  <c r="I2659" i="27"/>
  <c r="U2598" i="27"/>
  <c r="F2598" i="27"/>
  <c r="M2598" i="27"/>
  <c r="Z2598" i="27"/>
  <c r="AA2598" i="27"/>
  <c r="U2027" i="27"/>
  <c r="Z2027" i="27"/>
  <c r="AA2027" i="27"/>
  <c r="F2027" i="27"/>
  <c r="M2027" i="27"/>
  <c r="G2027" i="27"/>
  <c r="G1520" i="27"/>
  <c r="I1520" i="27"/>
  <c r="Z2013" i="27"/>
  <c r="AA2013" i="27"/>
  <c r="F2013" i="27"/>
  <c r="M2013" i="27"/>
  <c r="G2032" i="27"/>
  <c r="I2032" i="27"/>
  <c r="G2454" i="27"/>
  <c r="I2454" i="27"/>
  <c r="U2969" i="27"/>
  <c r="Z2969" i="27"/>
  <c r="AA2969" i="27"/>
  <c r="F2969" i="27"/>
  <c r="M2969" i="27"/>
  <c r="G1495" i="27"/>
  <c r="I1495" i="27"/>
  <c r="G1681" i="27"/>
  <c r="I1681" i="27"/>
  <c r="G1981" i="27"/>
  <c r="AA1981" i="27"/>
  <c r="G1658" i="27"/>
  <c r="I1658" i="27"/>
  <c r="F2458" i="27"/>
  <c r="M2458" i="27"/>
  <c r="Z2458" i="27"/>
  <c r="AA2458" i="27"/>
  <c r="U2458" i="27"/>
  <c r="G1932" i="27"/>
  <c r="AA1932" i="27"/>
  <c r="G1322" i="27"/>
  <c r="I1322" i="27"/>
  <c r="G1502" i="27"/>
  <c r="I1502" i="27"/>
  <c r="G2292" i="27"/>
  <c r="I2292" i="27"/>
  <c r="G2351" i="27"/>
  <c r="G1428" i="27"/>
  <c r="I1428" i="27"/>
  <c r="F2778" i="27"/>
  <c r="M2778" i="27"/>
  <c r="U2778" i="27"/>
  <c r="Z2778" i="27"/>
  <c r="AA2778" i="27"/>
  <c r="G2383" i="27"/>
  <c r="I2383" i="27"/>
  <c r="F1574" i="27"/>
  <c r="M1574" i="27"/>
  <c r="Z1574" i="27"/>
  <c r="AA1574" i="27"/>
  <c r="U1574" i="27"/>
  <c r="G1841" i="27"/>
  <c r="I1841" i="27"/>
  <c r="F2347" i="27"/>
  <c r="M2347" i="27"/>
  <c r="U2347" i="27"/>
  <c r="Z2347" i="27"/>
  <c r="AA2347" i="27"/>
  <c r="G1649" i="27"/>
  <c r="I1649" i="27"/>
  <c r="G1750" i="27"/>
  <c r="I1750" i="27"/>
  <c r="G2632" i="27"/>
  <c r="I2632" i="27"/>
  <c r="G2151" i="27"/>
  <c r="I2151" i="27"/>
  <c r="G1473" i="27"/>
  <c r="I1473" i="27"/>
  <c r="G2191" i="27"/>
  <c r="I2191" i="27"/>
  <c r="G1385" i="27"/>
  <c r="I1385" i="27"/>
  <c r="G1465" i="27"/>
  <c r="I1465" i="27"/>
  <c r="G1861" i="27"/>
  <c r="I1861" i="27"/>
  <c r="G1746" i="27"/>
  <c r="I1746" i="27"/>
  <c r="G2045" i="27"/>
  <c r="I2045" i="27"/>
  <c r="G2658" i="27"/>
  <c r="I2658" i="27"/>
  <c r="G2745" i="27"/>
  <c r="I2745" i="27"/>
  <c r="G1943" i="27"/>
  <c r="AA1943" i="27"/>
  <c r="G2048" i="27"/>
  <c r="I2048" i="27"/>
  <c r="G1514" i="27"/>
  <c r="I1514" i="27"/>
  <c r="G2198" i="27"/>
  <c r="I2198" i="27"/>
  <c r="U2932" i="27"/>
  <c r="Z2932" i="27"/>
  <c r="AA2932" i="27"/>
  <c r="F2932" i="27"/>
  <c r="M2932" i="27"/>
  <c r="G1368" i="27"/>
  <c r="I1368" i="27"/>
  <c r="G1606" i="27"/>
  <c r="I1606" i="27"/>
  <c r="G2210" i="27"/>
  <c r="I2210" i="27"/>
  <c r="G2350" i="27"/>
  <c r="I2350" i="27"/>
  <c r="G1393" i="27"/>
  <c r="U2975" i="27"/>
  <c r="G2235" i="27"/>
  <c r="I2235" i="27"/>
  <c r="U1907" i="27"/>
  <c r="Z1907" i="27"/>
  <c r="U2141" i="27"/>
  <c r="Z2141" i="27"/>
  <c r="AA2141" i="27"/>
  <c r="F2141" i="27"/>
  <c r="M2141" i="27"/>
  <c r="G3141" i="27"/>
  <c r="I3141" i="27"/>
  <c r="U2026" i="27"/>
  <c r="F2026" i="27"/>
  <c r="M2026" i="27"/>
  <c r="G2026" i="27"/>
  <c r="Z2026" i="27"/>
  <c r="AA2026" i="27"/>
  <c r="G2399" i="27"/>
  <c r="I2399" i="27"/>
  <c r="U2973" i="27"/>
  <c r="E2080" i="27"/>
  <c r="E3020" i="27"/>
  <c r="Z2031" i="27"/>
  <c r="AA2031" i="27"/>
  <c r="F2031" i="27"/>
  <c r="M2031" i="27"/>
  <c r="U2031" i="27"/>
  <c r="F1877" i="27"/>
  <c r="Z1877" i="27"/>
  <c r="AA1877" i="27"/>
  <c r="U1877" i="27"/>
  <c r="G1903" i="27"/>
  <c r="I1903" i="27"/>
  <c r="G2071" i="27"/>
  <c r="I2071" i="27"/>
  <c r="G1688" i="27"/>
  <c r="I1688" i="27"/>
  <c r="G2749" i="27"/>
  <c r="I2749" i="27"/>
  <c r="G3140" i="27"/>
  <c r="I3140" i="27"/>
  <c r="U2029" i="27"/>
  <c r="Z2029" i="27"/>
  <c r="F2029" i="27"/>
  <c r="M2029" i="27"/>
  <c r="AA2029" i="27"/>
  <c r="Z1586" i="27"/>
  <c r="AA1586" i="27"/>
  <c r="U1586" i="27"/>
  <c r="F1586" i="27"/>
  <c r="M1586" i="27"/>
  <c r="G2815" i="27"/>
  <c r="I2815" i="27"/>
  <c r="G1837" i="27"/>
  <c r="I1837" i="27"/>
  <c r="F1577" i="27"/>
  <c r="M1577" i="27"/>
  <c r="G2462" i="27"/>
  <c r="I2462" i="27"/>
  <c r="G1330" i="27"/>
  <c r="I1330" i="27"/>
  <c r="Z2688" i="27"/>
  <c r="AA2688" i="27"/>
  <c r="U2688" i="27"/>
  <c r="F2688" i="27"/>
  <c r="M2688" i="27"/>
  <c r="G2805" i="27"/>
  <c r="I2805" i="27"/>
  <c r="G1329" i="27"/>
  <c r="I1329" i="27"/>
  <c r="G1253" i="27"/>
  <c r="I1253" i="27"/>
  <c r="G1603" i="27"/>
  <c r="I1603" i="27"/>
  <c r="E1630" i="27"/>
  <c r="Z1611" i="27"/>
  <c r="AA1611" i="27"/>
  <c r="I1666" i="27"/>
  <c r="G1210" i="27"/>
  <c r="I1210" i="27"/>
  <c r="I58" i="27"/>
  <c r="I2831" i="27"/>
  <c r="G1426" i="27"/>
  <c r="I1426" i="27"/>
  <c r="I2400" i="27"/>
  <c r="G1440" i="27"/>
  <c r="I1440" i="27"/>
  <c r="G1540" i="27"/>
  <c r="I1540" i="27"/>
  <c r="G1615" i="27"/>
  <c r="I1615" i="27"/>
  <c r="G1552" i="27"/>
  <c r="I1552" i="27"/>
  <c r="G2611" i="27"/>
  <c r="I2611" i="27"/>
  <c r="G410" i="27"/>
  <c r="I410" i="27"/>
  <c r="G2784" i="27"/>
  <c r="I2784" i="27"/>
  <c r="I1543" i="27"/>
  <c r="F1519" i="27"/>
  <c r="M1519" i="27"/>
  <c r="F2455" i="27"/>
  <c r="M2455" i="27"/>
  <c r="Z1517" i="27"/>
  <c r="F2122" i="27"/>
  <c r="M2122" i="27"/>
  <c r="AA1975" i="27"/>
  <c r="I1873" i="27"/>
  <c r="I1224" i="27"/>
  <c r="Z1539" i="27"/>
  <c r="AA1539" i="27"/>
  <c r="I3148" i="27"/>
  <c r="I2576" i="27"/>
  <c r="G1896" i="27"/>
  <c r="I1896" i="27"/>
  <c r="I1479" i="27"/>
  <c r="G3171" i="27"/>
  <c r="I3171" i="27"/>
  <c r="G2748" i="27"/>
  <c r="I2748" i="27"/>
  <c r="I2052" i="27"/>
  <c r="G2934" i="27"/>
  <c r="I2934" i="27"/>
  <c r="G2140" i="27"/>
  <c r="I2140" i="27"/>
  <c r="I743" i="27"/>
  <c r="F2930" i="27"/>
  <c r="M2930" i="27"/>
  <c r="F1907" i="27"/>
  <c r="M1907" i="27"/>
  <c r="AA1517" i="27"/>
  <c r="I1728" i="27"/>
  <c r="I1646" i="27"/>
  <c r="I1764" i="27"/>
  <c r="I2743" i="27"/>
  <c r="I1505" i="27"/>
  <c r="I1650" i="27"/>
  <c r="G2017" i="27"/>
  <c r="I2017" i="27"/>
  <c r="G2156" i="27"/>
  <c r="I2156" i="27"/>
  <c r="G1754" i="27"/>
  <c r="I1754" i="27"/>
  <c r="G1230" i="27"/>
  <c r="I1230" i="27"/>
  <c r="G2744" i="27"/>
  <c r="I2744" i="27"/>
  <c r="I3110" i="27"/>
  <c r="G1894" i="27"/>
  <c r="I1894" i="27"/>
  <c r="I1849" i="27"/>
  <c r="G2408" i="27"/>
  <c r="I2408" i="27"/>
  <c r="G3138" i="27"/>
  <c r="I3138" i="27"/>
  <c r="U1517" i="27"/>
  <c r="Z2930" i="27"/>
  <c r="AA2930" i="27"/>
  <c r="I338" i="27"/>
  <c r="I3174" i="27"/>
  <c r="I1408" i="27"/>
  <c r="AA1983" i="27"/>
  <c r="I2394" i="27"/>
  <c r="I1470" i="27"/>
  <c r="I55" i="27"/>
  <c r="I3168" i="27"/>
  <c r="I2070" i="27"/>
  <c r="I1686" i="27"/>
  <c r="I2346" i="27"/>
  <c r="I2062" i="27"/>
  <c r="I2824" i="27"/>
  <c r="I1378" i="27"/>
  <c r="I1732" i="27"/>
  <c r="G2028" i="27"/>
  <c r="I2028" i="27"/>
  <c r="G1776" i="27"/>
  <c r="I1776" i="27"/>
  <c r="I2791" i="27"/>
  <c r="G2008" i="27"/>
  <c r="I2008" i="27"/>
  <c r="G1259" i="27"/>
  <c r="I1259" i="27"/>
  <c r="G1856" i="27"/>
  <c r="I1856" i="27"/>
  <c r="G1258" i="27"/>
  <c r="I1258" i="27"/>
  <c r="G2096" i="27"/>
  <c r="I2096" i="27"/>
  <c r="G1591" i="27"/>
  <c r="G705" i="27"/>
  <c r="I705" i="27"/>
  <c r="I3158" i="27"/>
  <c r="I1311" i="27"/>
  <c r="I2147" i="27"/>
  <c r="G2100" i="27"/>
  <c r="I2100" i="27"/>
  <c r="G1824" i="27"/>
  <c r="I1824" i="27"/>
  <c r="Z2936" i="27"/>
  <c r="AA2936" i="27"/>
  <c r="F2936" i="27"/>
  <c r="M2936" i="27"/>
  <c r="G2936" i="27"/>
  <c r="I1901" i="27"/>
  <c r="I1755" i="27"/>
  <c r="I1884" i="27"/>
  <c r="I2128" i="27"/>
  <c r="G2019" i="27"/>
  <c r="I2019" i="27"/>
  <c r="I1379" i="27"/>
  <c r="G1597" i="27"/>
  <c r="I1597" i="27"/>
  <c r="I1885" i="27"/>
  <c r="I1254" i="27"/>
  <c r="I2753" i="27"/>
  <c r="G2534" i="27"/>
  <c r="I2534" i="27"/>
  <c r="F1313" i="27"/>
  <c r="M1313" i="27"/>
  <c r="U1313" i="27"/>
  <c r="Z2195" i="27"/>
  <c r="AA2195" i="27"/>
  <c r="Z2927" i="27"/>
  <c r="AA2927" i="27"/>
  <c r="I1927" i="27"/>
  <c r="F1517" i="27"/>
  <c r="M1517" i="27"/>
  <c r="I2010" i="27"/>
  <c r="I512" i="27"/>
  <c r="I1371" i="27"/>
  <c r="F1264" i="27"/>
  <c r="M1264" i="27"/>
  <c r="I2644" i="27"/>
  <c r="G2229" i="27"/>
  <c r="I2229" i="27"/>
  <c r="G1529" i="27"/>
  <c r="I1529" i="27"/>
  <c r="I1587" i="27"/>
  <c r="I1533" i="27"/>
  <c r="I1545" i="27"/>
  <c r="G1360" i="27"/>
  <c r="I1360" i="27"/>
  <c r="I1763" i="27"/>
  <c r="G2696" i="27"/>
  <c r="I2696" i="27"/>
  <c r="I1532" i="27"/>
  <c r="I1679" i="27"/>
  <c r="I2577" i="27"/>
  <c r="I1281" i="27"/>
  <c r="G1478" i="27"/>
  <c r="I1478" i="27"/>
  <c r="U1927" i="27"/>
  <c r="Z1927" i="27"/>
  <c r="I2158" i="27"/>
  <c r="I3135" i="27"/>
  <c r="I2653" i="27"/>
  <c r="G2440" i="27"/>
  <c r="I2440" i="27"/>
  <c r="I2265" i="27"/>
  <c r="I2006" i="27"/>
  <c r="I2102" i="27"/>
  <c r="I2447" i="27"/>
  <c r="G2583" i="27"/>
  <c r="I2583" i="27"/>
  <c r="I2101" i="27"/>
  <c r="I2129" i="27"/>
  <c r="I2126" i="27"/>
  <c r="I1499" i="27"/>
  <c r="G1883" i="27"/>
  <c r="I1883" i="27"/>
  <c r="G1621" i="27"/>
  <c r="I1621" i="27"/>
  <c r="I1599" i="27"/>
  <c r="I2162" i="27"/>
  <c r="I1537" i="27"/>
  <c r="G2846" i="27"/>
  <c r="I2846" i="27"/>
  <c r="I1222" i="27"/>
  <c r="G423" i="27"/>
  <c r="I423" i="27"/>
  <c r="G2375" i="27"/>
  <c r="I2375" i="27"/>
  <c r="G793" i="27"/>
  <c r="I793" i="27"/>
  <c r="G1555" i="27"/>
  <c r="I1555" i="27"/>
  <c r="G1434" i="27"/>
  <c r="I1434" i="27"/>
  <c r="G797" i="27"/>
  <c r="I797" i="27"/>
  <c r="G1034" i="27"/>
  <c r="I1034" i="27"/>
  <c r="G1530" i="27"/>
  <c r="I1530" i="27"/>
  <c r="G776" i="27"/>
  <c r="I776" i="27"/>
  <c r="I174" i="27"/>
  <c r="I632" i="27"/>
  <c r="U2835" i="27"/>
  <c r="F2835" i="27"/>
  <c r="M2835" i="27"/>
  <c r="I2759" i="27"/>
  <c r="G998" i="27"/>
  <c r="I998" i="27"/>
  <c r="G1077" i="27"/>
  <c r="I1077" i="27"/>
  <c r="G3133" i="27"/>
  <c r="I3133" i="27"/>
  <c r="G2443" i="27"/>
  <c r="I2443" i="27"/>
  <c r="G1662" i="27"/>
  <c r="I1662" i="27"/>
  <c r="I447" i="27"/>
  <c r="I1107" i="27"/>
  <c r="I2009" i="27"/>
  <c r="G2642" i="27"/>
  <c r="I2642" i="27"/>
  <c r="I258" i="27"/>
  <c r="I2280" i="27"/>
  <c r="I710" i="27"/>
  <c r="G2325" i="27"/>
  <c r="I2325" i="27"/>
  <c r="G1106" i="27"/>
  <c r="I1106" i="27"/>
  <c r="G1229" i="27"/>
  <c r="I1229" i="27"/>
  <c r="G1791" i="27"/>
  <c r="I1791" i="27"/>
  <c r="G297" i="27"/>
  <c r="I297" i="27"/>
  <c r="I3149" i="27"/>
  <c r="I2668" i="27"/>
  <c r="G2098" i="27"/>
  <c r="I2098" i="27"/>
  <c r="I733" i="27"/>
  <c r="G2193" i="27"/>
  <c r="I2193" i="27"/>
  <c r="I2537" i="27"/>
  <c r="G2550" i="27"/>
  <c r="I2550" i="27"/>
  <c r="I1820" i="27"/>
  <c r="G1079" i="27"/>
  <c r="I1079" i="27"/>
  <c r="I208" i="27"/>
  <c r="I201" i="27"/>
  <c r="G2790" i="27"/>
  <c r="I2790" i="27"/>
  <c r="G2605" i="27"/>
  <c r="I2605" i="27"/>
  <c r="G1738" i="27"/>
  <c r="I1738" i="27"/>
  <c r="I2058" i="27"/>
  <c r="G406" i="27"/>
  <c r="I406" i="27"/>
  <c r="G2320" i="27"/>
  <c r="I2320" i="27"/>
  <c r="G1468" i="27"/>
  <c r="I1468" i="27"/>
  <c r="G1723" i="27"/>
  <c r="I1723" i="27"/>
  <c r="G2272" i="27"/>
  <c r="I2272" i="27"/>
  <c r="G1156" i="27"/>
  <c r="I1156" i="27"/>
  <c r="G2404" i="27"/>
  <c r="I2404" i="27"/>
  <c r="I1624" i="27"/>
  <c r="I1583" i="27"/>
  <c r="I1042" i="27"/>
  <c r="I2487" i="27"/>
  <c r="I2703" i="27"/>
  <c r="I919" i="27"/>
  <c r="I1318" i="27"/>
  <c r="G239" i="27"/>
  <c r="I239" i="27"/>
  <c r="I721" i="27"/>
  <c r="I762" i="27"/>
  <c r="G3177" i="27"/>
  <c r="I3177" i="27"/>
  <c r="G1711" i="27"/>
  <c r="I1711" i="27"/>
  <c r="G3173" i="27"/>
  <c r="I3173" i="27"/>
  <c r="G828" i="27"/>
  <c r="I828" i="27"/>
  <c r="I766" i="27"/>
  <c r="G689" i="27"/>
  <c r="I689" i="27"/>
  <c r="I950" i="27"/>
  <c r="G1867" i="27"/>
  <c r="I1867" i="27"/>
  <c r="G1512" i="27"/>
  <c r="I1512" i="27"/>
  <c r="G1494" i="27"/>
  <c r="I1494" i="27"/>
  <c r="G1097" i="27"/>
  <c r="I1097" i="27"/>
  <c r="G459" i="27"/>
  <c r="I459" i="27"/>
  <c r="G2256" i="27"/>
  <c r="I2256" i="27"/>
  <c r="G540" i="27"/>
  <c r="I540" i="27"/>
  <c r="I935" i="27"/>
  <c r="I1715" i="27"/>
  <c r="I430" i="27"/>
  <c r="G1039" i="27"/>
  <c r="I1039" i="27"/>
  <c r="G877" i="27"/>
  <c r="I877" i="27"/>
  <c r="G2304" i="27"/>
  <c r="I2304" i="27"/>
  <c r="G1412" i="27"/>
  <c r="AA1412" i="27"/>
  <c r="G1647" i="27"/>
  <c r="I1647" i="27"/>
  <c r="G643" i="27"/>
  <c r="I643" i="27"/>
  <c r="G218" i="27"/>
  <c r="I218" i="27"/>
  <c r="I831" i="27"/>
  <c r="G1147" i="27"/>
  <c r="I1147" i="27"/>
  <c r="G1011" i="27"/>
  <c r="I1011" i="27"/>
  <c r="G1022" i="27"/>
  <c r="I1022" i="27"/>
  <c r="Z1936" i="27"/>
  <c r="U1936" i="27"/>
  <c r="F1936" i="27"/>
  <c r="M1936" i="27"/>
  <c r="G1589" i="27"/>
  <c r="I1589" i="27"/>
  <c r="G1432" i="27"/>
  <c r="I1432" i="27"/>
  <c r="I2619" i="27"/>
  <c r="I1336" i="27"/>
  <c r="I1213" i="27"/>
  <c r="G179" i="27"/>
  <c r="I179" i="27"/>
  <c r="I688" i="27"/>
  <c r="I556" i="27"/>
  <c r="G655" i="27"/>
  <c r="I655" i="27"/>
  <c r="I1091" i="27"/>
  <c r="I2172" i="27"/>
  <c r="I654" i="27"/>
  <c r="G855" i="27"/>
  <c r="I855" i="27"/>
  <c r="G2794" i="27"/>
  <c r="I2794" i="27"/>
  <c r="G1025" i="27"/>
  <c r="I1025" i="27"/>
  <c r="G868" i="27"/>
  <c r="I868" i="27"/>
  <c r="G2342" i="27"/>
  <c r="I2342" i="27"/>
  <c r="G959" i="27"/>
  <c r="I959" i="27"/>
  <c r="G1622" i="27"/>
  <c r="I1622" i="27"/>
  <c r="G2266" i="27"/>
  <c r="I2266" i="27"/>
  <c r="G2545" i="27"/>
  <c r="I2545" i="27"/>
  <c r="I835" i="27"/>
  <c r="I395" i="27"/>
  <c r="G1893" i="27"/>
  <c r="I1893" i="27"/>
  <c r="G209" i="27"/>
  <c r="I209" i="27"/>
  <c r="G2374" i="27"/>
  <c r="I2374" i="27"/>
  <c r="I735" i="27"/>
  <c r="Z2839" i="27"/>
  <c r="AA2839" i="27"/>
  <c r="F2839" i="27"/>
  <c r="M2839" i="27"/>
  <c r="G2839" i="27"/>
  <c r="G2437" i="27"/>
  <c r="I2437" i="27"/>
  <c r="G1643" i="27"/>
  <c r="I1643" i="27"/>
  <c r="G2699" i="27"/>
  <c r="I2699" i="27"/>
  <c r="G1644" i="27"/>
  <c r="I1644" i="27"/>
  <c r="G2575" i="27"/>
  <c r="I2575" i="27"/>
  <c r="G2597" i="27"/>
  <c r="I2597" i="27"/>
  <c r="G1833" i="27"/>
  <c r="I1833" i="27"/>
  <c r="G408" i="27"/>
  <c r="I408" i="27"/>
  <c r="G2654" i="27"/>
  <c r="I2654" i="27"/>
  <c r="G467" i="27"/>
  <c r="I467" i="27"/>
  <c r="I2433" i="27"/>
  <c r="G2042" i="27"/>
  <c r="I2042" i="27"/>
  <c r="I2159" i="27"/>
  <c r="I1055" i="27"/>
  <c r="G2630" i="27"/>
  <c r="I2630" i="27"/>
  <c r="G611" i="27"/>
  <c r="I611" i="27"/>
  <c r="G303" i="27"/>
  <c r="I303" i="27"/>
  <c r="G795" i="27"/>
  <c r="I795" i="27"/>
  <c r="G995" i="27"/>
  <c r="I995" i="27"/>
  <c r="G669" i="27"/>
  <c r="I669" i="27"/>
  <c r="G1094" i="27"/>
  <c r="I1094" i="27"/>
  <c r="I1066" i="27"/>
  <c r="I2673" i="27"/>
  <c r="I162" i="27"/>
  <c r="I2294" i="27"/>
  <c r="I2739" i="27"/>
  <c r="I683" i="27"/>
  <c r="I340" i="27"/>
  <c r="I136" i="27"/>
  <c r="G1137" i="27"/>
  <c r="I1137" i="27"/>
  <c r="G65" i="27"/>
  <c r="I65" i="27"/>
  <c r="G1144" i="27"/>
  <c r="I1144" i="27"/>
  <c r="G1427" i="27"/>
  <c r="I1427" i="27"/>
  <c r="G819" i="27"/>
  <c r="I819" i="27"/>
  <c r="G2804" i="27"/>
  <c r="I2804" i="27"/>
  <c r="G2426" i="27"/>
  <c r="I2426" i="27"/>
  <c r="G2705" i="27"/>
  <c r="I2705" i="27"/>
  <c r="I278" i="27"/>
  <c r="U2928" i="27"/>
  <c r="F2928" i="27"/>
  <c r="M2928" i="27"/>
  <c r="Z2928" i="27"/>
  <c r="AA2928" i="27"/>
  <c r="I538" i="27"/>
  <c r="I1553" i="27"/>
  <c r="I366" i="27"/>
  <c r="G284" i="27"/>
  <c r="I284" i="27"/>
  <c r="I2515" i="27"/>
  <c r="G2513" i="27"/>
  <c r="I2513" i="27"/>
  <c r="G1274" i="27"/>
  <c r="I1274" i="27"/>
  <c r="G435" i="27"/>
  <c r="I435" i="27"/>
  <c r="I387" i="27"/>
  <c r="F2165" i="27"/>
  <c r="M2165" i="27"/>
  <c r="G2221" i="27"/>
  <c r="I2221" i="27"/>
  <c r="G1309" i="27"/>
  <c r="I1309" i="27"/>
  <c r="I425" i="27"/>
  <c r="G2146" i="27"/>
  <c r="I2146" i="27"/>
  <c r="G1347" i="27"/>
  <c r="I1347" i="27"/>
  <c r="I679" i="27"/>
  <c r="I2341" i="27"/>
  <c r="I1449" i="27"/>
  <c r="G615" i="27"/>
  <c r="I615" i="27"/>
  <c r="I211" i="27"/>
  <c r="G2321" i="27"/>
  <c r="I2321" i="27"/>
  <c r="G2339" i="27"/>
  <c r="I2339" i="27"/>
  <c r="G1145" i="27"/>
  <c r="I1145" i="27"/>
  <c r="G859" i="27"/>
  <c r="I859" i="27"/>
  <c r="G1670" i="27"/>
  <c r="I1670" i="27"/>
  <c r="G173" i="27"/>
  <c r="I173" i="27"/>
  <c r="G1607" i="27"/>
  <c r="I1607" i="27"/>
  <c r="G2371" i="27"/>
  <c r="I2371" i="27"/>
  <c r="I2631" i="27"/>
  <c r="I62" i="27"/>
  <c r="I639" i="27"/>
  <c r="I2624" i="27"/>
  <c r="I2628" i="27"/>
  <c r="I3172" i="27"/>
  <c r="I300" i="27"/>
  <c r="I2710" i="27"/>
  <c r="I2627" i="27"/>
  <c r="I881" i="27"/>
  <c r="I2606" i="27"/>
  <c r="I361" i="27"/>
  <c r="I358" i="27"/>
  <c r="I1141" i="27"/>
  <c r="I1362" i="27"/>
  <c r="Z1662" i="27"/>
  <c r="AA1662" i="27"/>
  <c r="G1817" i="27"/>
  <c r="I1817" i="27"/>
  <c r="G1032" i="27"/>
  <c r="I1032" i="27"/>
  <c r="I1191" i="27"/>
  <c r="I1672" i="27"/>
  <c r="G2706" i="27"/>
  <c r="I2706" i="27"/>
  <c r="G773" i="27"/>
  <c r="I773" i="27"/>
  <c r="I1044" i="27"/>
  <c r="I1361" i="27"/>
  <c r="I2154" i="27"/>
  <c r="G2818" i="27"/>
  <c r="I2818" i="27"/>
  <c r="G1087" i="27"/>
  <c r="I1087" i="27"/>
  <c r="Z2801" i="27"/>
  <c r="AA2801" i="27"/>
  <c r="U2801" i="27"/>
  <c r="G1778" i="27"/>
  <c r="I1778" i="27"/>
  <c r="G1509" i="27"/>
  <c r="I1509" i="27"/>
  <c r="I1129" i="27"/>
  <c r="I586" i="27"/>
  <c r="I671" i="27"/>
  <c r="I1684" i="27"/>
  <c r="G1461" i="27"/>
  <c r="I1461" i="27"/>
  <c r="I614" i="27"/>
  <c r="G2803" i="27"/>
  <c r="I2803" i="27"/>
  <c r="I197" i="27"/>
  <c r="G613" i="27"/>
  <c r="I613" i="27"/>
  <c r="I2520" i="27"/>
  <c r="G2848" i="27"/>
  <c r="I2848" i="27"/>
  <c r="G2414" i="27"/>
  <c r="I2414" i="27"/>
  <c r="G1045" i="27"/>
  <c r="I1045" i="27"/>
  <c r="G1118" i="27"/>
  <c r="I1118" i="27"/>
  <c r="I2714" i="27"/>
  <c r="I1740" i="27"/>
  <c r="I2281" i="27"/>
  <c r="I732" i="27"/>
  <c r="I1800" i="27"/>
  <c r="G1708" i="27"/>
  <c r="I1708" i="27"/>
  <c r="I53" i="27"/>
  <c r="I1275" i="27"/>
  <c r="G431" i="27"/>
  <c r="I431" i="27"/>
  <c r="I2494" i="27"/>
  <c r="I911" i="27"/>
  <c r="G753" i="27"/>
  <c r="I753" i="27"/>
  <c r="I2711" i="27"/>
  <c r="I1344" i="27"/>
  <c r="I838" i="27"/>
  <c r="C3178" i="27"/>
  <c r="D3178" i="27"/>
  <c r="C2666" i="27"/>
  <c r="D2666" i="27"/>
  <c r="E2666" i="27"/>
  <c r="Z2666" i="27"/>
  <c r="AA2666" i="27"/>
  <c r="G263" i="27"/>
  <c r="I263" i="27"/>
  <c r="I291" i="27"/>
  <c r="I1105" i="27"/>
  <c r="I2500" i="27"/>
  <c r="I739" i="27"/>
  <c r="I321" i="27"/>
  <c r="I2232" i="27"/>
  <c r="I885" i="27"/>
  <c r="I961" i="27"/>
  <c r="I464" i="27"/>
  <c r="I3134" i="27"/>
  <c r="I270" i="27"/>
  <c r="G301" i="27"/>
  <c r="I301" i="27"/>
  <c r="G1019" i="27"/>
  <c r="I1019" i="27"/>
  <c r="G1843" i="27"/>
  <c r="I1843" i="27"/>
  <c r="G595" i="27"/>
  <c r="I595" i="27"/>
  <c r="I309" i="27"/>
  <c r="G226" i="27"/>
  <c r="I226" i="27"/>
  <c r="G674" i="27"/>
  <c r="I674" i="27"/>
  <c r="G1354" i="27"/>
  <c r="I1354" i="27"/>
  <c r="I1455" i="27"/>
  <c r="G2313" i="27"/>
  <c r="I2313" i="27"/>
  <c r="G1513" i="27"/>
  <c r="I1513" i="27"/>
  <c r="I971" i="27"/>
  <c r="I2725" i="27"/>
  <c r="I1463" i="27"/>
  <c r="G718" i="27"/>
  <c r="I718" i="27"/>
  <c r="G2639" i="27"/>
  <c r="I2639" i="27"/>
  <c r="G2094" i="27"/>
  <c r="I2094" i="27"/>
  <c r="I453" i="27"/>
  <c r="G2826" i="27"/>
  <c r="I2826" i="27"/>
  <c r="G1234" i="27"/>
  <c r="I1234" i="27"/>
  <c r="G1852" i="27"/>
  <c r="I1852" i="27"/>
  <c r="I1356" i="27"/>
  <c r="I635" i="27"/>
  <c r="I392" i="27"/>
  <c r="G1706" i="27"/>
  <c r="I1706" i="27"/>
  <c r="G1747" i="27"/>
  <c r="I1747" i="27"/>
  <c r="G1103" i="27"/>
  <c r="I1103" i="27"/>
  <c r="I1085" i="27"/>
  <c r="G210" i="27"/>
  <c r="I210" i="27"/>
  <c r="G539" i="27"/>
  <c r="I539" i="27"/>
  <c r="G1338" i="27"/>
  <c r="I1338" i="27"/>
  <c r="G182" i="27"/>
  <c r="I182" i="27"/>
  <c r="G924" i="27"/>
  <c r="I924" i="27"/>
  <c r="G1125" i="27"/>
  <c r="I1125" i="27"/>
  <c r="G1743" i="27"/>
  <c r="I1743" i="27"/>
  <c r="I426" i="27"/>
  <c r="G475" i="27"/>
  <c r="I475" i="27"/>
  <c r="G1717" i="27"/>
  <c r="I1717" i="27"/>
  <c r="G2473" i="27"/>
  <c r="I2473" i="27"/>
  <c r="G562" i="27"/>
  <c r="I562" i="27"/>
  <c r="G205" i="27"/>
  <c r="I205" i="27"/>
  <c r="Z1534" i="27"/>
  <c r="AA1534" i="27"/>
  <c r="F1534" i="27"/>
  <c r="M1534" i="27"/>
  <c r="G1410" i="27"/>
  <c r="AA1410" i="27"/>
  <c r="G2602" i="27"/>
  <c r="I2602" i="27"/>
  <c r="I66" i="27"/>
  <c r="I492" i="27"/>
  <c r="G296" i="27"/>
  <c r="I296" i="27"/>
  <c r="G1384" i="27"/>
  <c r="I1384" i="27"/>
  <c r="I1086" i="27"/>
  <c r="G1206" i="27"/>
  <c r="I1206" i="27"/>
  <c r="G676" i="27"/>
  <c r="I676" i="27"/>
  <c r="I555" i="27"/>
  <c r="I1829" i="27"/>
  <c r="G143" i="27"/>
  <c r="I143" i="27"/>
  <c r="I977" i="27"/>
  <c r="G3109" i="27"/>
  <c r="I3109" i="27"/>
  <c r="G433" i="27"/>
  <c r="I433" i="27"/>
  <c r="G310" i="27"/>
  <c r="I310" i="27"/>
  <c r="G1262" i="27"/>
  <c r="I1262" i="27"/>
  <c r="I626" i="27"/>
  <c r="I2307" i="27"/>
  <c r="G561" i="27"/>
  <c r="I561" i="27"/>
  <c r="I2329" i="27"/>
  <c r="G184" i="27"/>
  <c r="I184" i="27"/>
  <c r="G2381" i="27"/>
  <c r="I2381" i="27"/>
  <c r="U2423" i="27"/>
  <c r="Z2423" i="27"/>
  <c r="AA2423" i="27"/>
  <c r="I2023" i="27"/>
  <c r="I224" i="27"/>
  <c r="G399" i="27"/>
  <c r="I399" i="27"/>
  <c r="I719" i="27"/>
  <c r="G401" i="27"/>
  <c r="I401" i="27"/>
  <c r="G1689" i="27"/>
  <c r="I1689" i="27"/>
  <c r="G1195" i="27"/>
  <c r="I1195" i="27"/>
  <c r="G2763" i="27"/>
  <c r="I2763" i="27"/>
  <c r="I1737" i="27"/>
  <c r="G2452" i="27"/>
  <c r="I2452" i="27"/>
  <c r="G2843" i="27"/>
  <c r="I2843" i="27"/>
  <c r="G2783" i="27"/>
  <c r="I2783" i="27"/>
  <c r="G946" i="27"/>
  <c r="I946" i="27"/>
  <c r="G323" i="27"/>
  <c r="I323" i="27"/>
  <c r="G703" i="27"/>
  <c r="I703" i="27"/>
  <c r="G1620" i="27"/>
  <c r="I1620" i="27"/>
  <c r="G2316" i="27"/>
  <c r="I2316" i="27"/>
  <c r="G3111" i="27"/>
  <c r="I3111" i="27"/>
  <c r="G188" i="27"/>
  <c r="I188" i="27"/>
  <c r="G1244" i="27"/>
  <c r="I1244" i="27"/>
  <c r="I1372" i="27"/>
  <c r="G2378" i="27"/>
  <c r="I2378" i="27"/>
  <c r="G825" i="27"/>
  <c r="I825" i="27"/>
  <c r="G650" i="27"/>
  <c r="I650" i="27"/>
  <c r="G2702" i="27"/>
  <c r="I2702" i="27"/>
  <c r="G362" i="27"/>
  <c r="I362" i="27"/>
  <c r="G2480" i="27"/>
  <c r="I2480" i="27"/>
  <c r="G2317" i="27"/>
  <c r="I2317" i="27"/>
  <c r="G1100" i="27"/>
  <c r="I1100" i="27"/>
  <c r="I2274" i="27"/>
  <c r="I1702" i="27"/>
  <c r="I1839" i="27"/>
  <c r="I304" i="27"/>
  <c r="G813" i="27"/>
  <c r="I813" i="27"/>
  <c r="I1572" i="27"/>
  <c r="I1748" i="27"/>
  <c r="G2011" i="27"/>
  <c r="I2011" i="27"/>
  <c r="G1286" i="27"/>
  <c r="I1286" i="27"/>
  <c r="I1457" i="27"/>
  <c r="G325" i="27"/>
  <c r="I325" i="27"/>
  <c r="I2490" i="27"/>
  <c r="G883" i="27"/>
  <c r="I883" i="27"/>
  <c r="I2034" i="27"/>
  <c r="I699" i="27"/>
  <c r="G3132" i="27"/>
  <c r="I3132" i="27"/>
  <c r="U1541" i="27"/>
  <c r="F1541" i="27"/>
  <c r="M1541" i="27"/>
  <c r="G189" i="27"/>
  <c r="I189" i="27"/>
  <c r="G768" i="27"/>
  <c r="I768" i="27"/>
  <c r="F1674" i="27"/>
  <c r="M1674" i="27"/>
  <c r="Z1674" i="27"/>
  <c r="AA1674" i="27"/>
  <c r="F61" i="27"/>
  <c r="Z61" i="27"/>
  <c r="AA61" i="27"/>
  <c r="U61" i="27"/>
  <c r="G1269" i="27"/>
  <c r="I1269" i="27"/>
  <c r="I716" i="27"/>
  <c r="E1921" i="27"/>
  <c r="C2016" i="27"/>
  <c r="E2016" i="27"/>
  <c r="G1204" i="27"/>
  <c r="I1204" i="27"/>
  <c r="F1323" i="27"/>
  <c r="M1323" i="27"/>
  <c r="G1323" i="27"/>
  <c r="Z1323" i="27"/>
  <c r="AA1323" i="27"/>
  <c r="I2526" i="27"/>
  <c r="G1637" i="27"/>
  <c r="I1637" i="27"/>
  <c r="G2059" i="27"/>
  <c r="I2059" i="27"/>
  <c r="I1724" i="27"/>
  <c r="I2955" i="27"/>
  <c r="I897" i="27"/>
  <c r="G2618" i="27"/>
  <c r="I2618" i="27"/>
  <c r="G1316" i="27"/>
  <c r="I1316" i="27"/>
  <c r="G974" i="27"/>
  <c r="I974" i="27"/>
  <c r="G207" i="27"/>
  <c r="I207" i="27"/>
  <c r="I1212" i="27"/>
  <c r="I1888" i="27"/>
  <c r="I1013" i="27"/>
  <c r="G1601" i="27"/>
  <c r="I1601" i="27"/>
  <c r="I2336" i="27"/>
  <c r="I175" i="27"/>
  <c r="F1337" i="27"/>
  <c r="M1337" i="27"/>
  <c r="Z1337" i="27"/>
  <c r="AA1337" i="27"/>
  <c r="I16" i="27"/>
  <c r="I1886" i="27"/>
  <c r="I1021" i="27"/>
  <c r="G2323" i="27"/>
  <c r="I2323" i="27"/>
  <c r="G2851" i="27"/>
  <c r="I2851" i="27"/>
  <c r="I462" i="27"/>
  <c r="I1207" i="27"/>
  <c r="I2527" i="27"/>
  <c r="G234" i="27"/>
  <c r="I234" i="27"/>
  <c r="I1134" i="27"/>
  <c r="I1349" i="27"/>
  <c r="I427" i="27"/>
  <c r="G1041" i="27"/>
  <c r="I1041" i="27"/>
  <c r="G620" i="27"/>
  <c r="I620" i="27"/>
  <c r="G1784" i="27"/>
  <c r="I1784" i="27"/>
  <c r="I820" i="27"/>
  <c r="I1040" i="27"/>
  <c r="I597" i="27"/>
  <c r="I50" i="27"/>
  <c r="G403" i="27"/>
  <c r="I403" i="27"/>
  <c r="G2541" i="27"/>
  <c r="I2541" i="27"/>
  <c r="G2719" i="27"/>
  <c r="I2719" i="27"/>
  <c r="G1735" i="27"/>
  <c r="I1735" i="27"/>
  <c r="G1928" i="27"/>
  <c r="AA1928" i="27"/>
  <c r="G2427" i="27"/>
  <c r="I2427" i="27"/>
  <c r="G1216" i="27"/>
  <c r="I1216" i="27"/>
  <c r="G432" i="27"/>
  <c r="I432" i="27"/>
  <c r="G2707" i="27"/>
  <c r="I2707" i="27"/>
  <c r="G1848" i="27"/>
  <c r="I1848" i="27"/>
  <c r="I1377" i="27"/>
  <c r="I1705" i="27"/>
  <c r="Z1678" i="27"/>
  <c r="AA1678" i="27"/>
  <c r="U1678" i="27"/>
  <c r="I3146" i="27"/>
  <c r="G1194" i="27"/>
  <c r="I1194" i="27"/>
  <c r="U2427" i="27"/>
  <c r="I1061" i="27"/>
  <c r="I2608" i="27"/>
  <c r="I299" i="27"/>
  <c r="G1609" i="27"/>
  <c r="I1609" i="27"/>
  <c r="G1454" i="27"/>
  <c r="I1454" i="27"/>
  <c r="G713" i="27"/>
  <c r="I713" i="27"/>
  <c r="I915" i="27"/>
  <c r="I747" i="27"/>
  <c r="F2022" i="27"/>
  <c r="M2022" i="27"/>
  <c r="AA2022" i="27"/>
  <c r="G1102" i="27"/>
  <c r="I1102" i="27"/>
  <c r="I909" i="27"/>
  <c r="G1557" i="27"/>
  <c r="I1557" i="27"/>
  <c r="I1693" i="27"/>
  <c r="I2720" i="27"/>
  <c r="Z2190" i="27"/>
  <c r="AA2190" i="27"/>
  <c r="U2190" i="27"/>
  <c r="F2190" i="27"/>
  <c r="M2190" i="27"/>
  <c r="G2150" i="27"/>
  <c r="I2150" i="27"/>
  <c r="G3164" i="27"/>
  <c r="I3164" i="27"/>
  <c r="I2701" i="27"/>
  <c r="I850" i="27"/>
  <c r="I596" i="27"/>
  <c r="G138" i="27"/>
  <c r="I138" i="27"/>
  <c r="I2457" i="27"/>
  <c r="G2788" i="27"/>
  <c r="I2788" i="27"/>
  <c r="F2020" i="27"/>
  <c r="M2020" i="27"/>
  <c r="AA2020" i="27"/>
  <c r="AB1753" i="27"/>
  <c r="AA1753" i="27"/>
  <c r="Z1753" i="27"/>
  <c r="F1753" i="27"/>
  <c r="M1753" i="27"/>
  <c r="I814" i="27"/>
  <c r="I2415" i="27"/>
  <c r="G2760" i="27"/>
  <c r="I2760" i="27"/>
  <c r="U1463" i="27"/>
  <c r="Z1463" i="27"/>
  <c r="AA1463" i="27"/>
  <c r="U1497" i="27"/>
  <c r="F1497" i="27"/>
  <c r="M1497" i="27"/>
  <c r="G2133" i="27"/>
  <c r="I2133" i="27"/>
  <c r="I498" i="27"/>
  <c r="I1047" i="27"/>
  <c r="I135" i="27"/>
  <c r="I675" i="27"/>
  <c r="G1660" i="27"/>
  <c r="I1660" i="27"/>
  <c r="G1475" i="27"/>
  <c r="I1475" i="27"/>
  <c r="G2413" i="27"/>
  <c r="I2413" i="27"/>
  <c r="G922" i="27"/>
  <c r="I922" i="27"/>
  <c r="G2340" i="27"/>
  <c r="I2340" i="27"/>
  <c r="I1779" i="27"/>
  <c r="I2056" i="27"/>
  <c r="I67" i="27"/>
  <c r="G938" i="27"/>
  <c r="I938" i="27"/>
  <c r="I1446" i="27"/>
  <c r="G2737" i="27"/>
  <c r="I2737" i="27"/>
  <c r="G203" i="27"/>
  <c r="I203" i="27"/>
  <c r="G1146" i="27"/>
  <c r="I1146" i="27"/>
  <c r="I3150" i="27"/>
  <c r="I856" i="27"/>
  <c r="I2761" i="27"/>
  <c r="I696" i="27"/>
  <c r="I664" i="27"/>
  <c r="I1029" i="27"/>
  <c r="G565" i="27"/>
  <c r="I565" i="27"/>
  <c r="G1120" i="27"/>
  <c r="I1120" i="27"/>
  <c r="G2827" i="27"/>
  <c r="I2827" i="27"/>
  <c r="G767" i="27"/>
  <c r="I767" i="27"/>
  <c r="I461" i="27"/>
  <c r="I2573" i="27"/>
  <c r="I1023" i="27"/>
  <c r="G1725" i="27"/>
  <c r="I1725" i="27"/>
  <c r="G746" i="27"/>
  <c r="I746" i="27"/>
  <c r="Z1834" i="27"/>
  <c r="AA1834" i="27"/>
  <c r="U1834" i="27"/>
  <c r="F1834" i="27"/>
  <c r="M1834" i="27"/>
  <c r="G1834" i="27"/>
  <c r="F1326" i="27"/>
  <c r="M1326" i="27"/>
  <c r="G1326" i="27"/>
  <c r="I219" i="27"/>
  <c r="I483" i="27"/>
  <c r="I164" i="27"/>
  <c r="I2263" i="27"/>
  <c r="G365" i="27"/>
  <c r="I365" i="27"/>
  <c r="I637" i="27"/>
  <c r="I765" i="27"/>
  <c r="I976" i="27"/>
  <c r="I2478" i="27"/>
  <c r="I505" i="27"/>
  <c r="I1683" i="27"/>
  <c r="G489" i="27"/>
  <c r="I489" i="27"/>
  <c r="G142" i="27"/>
  <c r="I142" i="27"/>
  <c r="C93" i="27"/>
  <c r="D93" i="27"/>
  <c r="G31" i="27"/>
  <c r="I31" i="27"/>
  <c r="G2333" i="27"/>
  <c r="I2333" i="27"/>
  <c r="G1350" i="27"/>
  <c r="I1350" i="27"/>
  <c r="U1827" i="27"/>
  <c r="I418" i="27"/>
  <c r="I383" i="27"/>
  <c r="G1641" i="27"/>
  <c r="I1641" i="27"/>
  <c r="G2134" i="27"/>
  <c r="I2134" i="27"/>
  <c r="G888" i="27"/>
  <c r="I888" i="27"/>
  <c r="I2506" i="27"/>
  <c r="I1064" i="27"/>
  <c r="I858" i="27"/>
  <c r="I2785" i="27"/>
  <c r="I1511" i="27"/>
  <c r="I827" i="27"/>
  <c r="I531" i="27"/>
  <c r="I424" i="27"/>
  <c r="I2278" i="27"/>
  <c r="G2621" i="27"/>
  <c r="I2621" i="27"/>
  <c r="G758" i="27"/>
  <c r="I758" i="27"/>
  <c r="U1544" i="27"/>
  <c r="F1544" i="27"/>
  <c r="M1544" i="27"/>
  <c r="G1348" i="27"/>
  <c r="I1348" i="27"/>
  <c r="I196" i="27"/>
  <c r="I479" i="27"/>
  <c r="G513" i="27"/>
  <c r="I513" i="27"/>
  <c r="Z2311" i="27"/>
  <c r="AA2311" i="27"/>
  <c r="F2311" i="27"/>
  <c r="M2311" i="27"/>
  <c r="G2311" i="27"/>
  <c r="I903" i="27"/>
  <c r="I2288" i="27"/>
  <c r="I288" i="27"/>
  <c r="I634" i="27"/>
  <c r="I3117" i="27"/>
  <c r="I772" i="27"/>
  <c r="I1098" i="27"/>
  <c r="G223" i="27"/>
  <c r="I223" i="27"/>
  <c r="I181" i="27"/>
  <c r="G1739" i="27"/>
  <c r="I1739" i="27"/>
  <c r="G1699" i="27"/>
  <c r="I1699" i="27"/>
  <c r="G966" i="27"/>
  <c r="I966" i="27"/>
  <c r="G1069" i="27"/>
  <c r="I1069" i="27"/>
  <c r="G1872" i="27"/>
  <c r="I1872" i="27"/>
  <c r="G1028" i="27"/>
  <c r="I1028" i="27"/>
  <c r="I700" i="27"/>
  <c r="G1126" i="27"/>
  <c r="I1126" i="27"/>
  <c r="G520" i="27"/>
  <c r="I520" i="27"/>
  <c r="G1155" i="27"/>
  <c r="I1155" i="27"/>
  <c r="I415" i="27"/>
  <c r="I869" i="27"/>
  <c r="C1321" i="27"/>
  <c r="D1321" i="27"/>
  <c r="E1321" i="27"/>
  <c r="U1321" i="27"/>
  <c r="G1386" i="27"/>
  <c r="I1386" i="27"/>
  <c r="Z1790" i="27"/>
  <c r="AA1790" i="27"/>
  <c r="U1790" i="27"/>
  <c r="F1790" i="27"/>
  <c r="M1790" i="27"/>
  <c r="I697" i="27"/>
  <c r="I2091" i="27"/>
  <c r="G1049" i="27"/>
  <c r="I1049" i="27"/>
  <c r="G180" i="27"/>
  <c r="I180" i="27"/>
  <c r="G874" i="27"/>
  <c r="I874" i="27"/>
  <c r="G2560" i="27"/>
  <c r="I2560" i="27"/>
  <c r="G2035" i="27"/>
  <c r="I2035" i="27"/>
  <c r="G2524" i="27"/>
  <c r="I2524" i="27"/>
  <c r="I857" i="27"/>
  <c r="G2538" i="27"/>
  <c r="I2538" i="27"/>
  <c r="G1429" i="27"/>
  <c r="I1429" i="27"/>
  <c r="G220" i="27"/>
  <c r="I220" i="27"/>
  <c r="G14" i="27"/>
  <c r="I14" i="27"/>
  <c r="G326" i="27"/>
  <c r="I326" i="27"/>
  <c r="G487" i="27"/>
  <c r="I487" i="27"/>
  <c r="G1157" i="27"/>
  <c r="I1157" i="27"/>
  <c r="G1721" i="27"/>
  <c r="I1721" i="27"/>
  <c r="G2789" i="27"/>
  <c r="I2789" i="27"/>
  <c r="U3122" i="27"/>
  <c r="F3122" i="27"/>
  <c r="M3122" i="27"/>
  <c r="G3122" i="27"/>
  <c r="G2546" i="27"/>
  <c r="I2546" i="27"/>
  <c r="I186" i="27"/>
  <c r="G1458" i="27"/>
  <c r="I1458" i="27"/>
  <c r="I241" i="27"/>
  <c r="G796" i="27"/>
  <c r="I796" i="27"/>
  <c r="I2069" i="27"/>
  <c r="G2474" i="27"/>
  <c r="I2474" i="27"/>
  <c r="I1285" i="27"/>
  <c r="G1219" i="27"/>
  <c r="I1219" i="27"/>
  <c r="G227" i="27"/>
  <c r="I227" i="27"/>
  <c r="G407" i="27"/>
  <c r="I407" i="27"/>
  <c r="G930" i="27"/>
  <c r="I930" i="27"/>
  <c r="G2349" i="27"/>
  <c r="I2349" i="27"/>
  <c r="G720" i="27"/>
  <c r="I720" i="27"/>
  <c r="G1215" i="27"/>
  <c r="I1215" i="27"/>
  <c r="I2523" i="27"/>
  <c r="G422" i="27"/>
  <c r="I422" i="27"/>
  <c r="G2819" i="27"/>
  <c r="I2819" i="27"/>
  <c r="G2275" i="27"/>
  <c r="I2275" i="27"/>
  <c r="G843" i="27"/>
  <c r="I843" i="27"/>
  <c r="G1551" i="27"/>
  <c r="I1551" i="27"/>
  <c r="I837" i="27"/>
  <c r="I2343" i="27"/>
  <c r="I926" i="27"/>
  <c r="I790" i="27"/>
  <c r="I1220" i="27"/>
  <c r="I243" i="27"/>
  <c r="G1056" i="27"/>
  <c r="I1056" i="27"/>
  <c r="I1741" i="27"/>
  <c r="I500" i="27"/>
  <c r="I1072" i="27"/>
  <c r="I2260" i="27"/>
  <c r="G1208" i="27"/>
  <c r="I1208" i="27"/>
  <c r="G2398" i="27"/>
  <c r="I2398" i="27"/>
  <c r="G1149" i="27"/>
  <c r="I1149" i="27"/>
  <c r="G1265" i="27"/>
  <c r="I1265" i="27"/>
  <c r="G1070" i="27"/>
  <c r="I1070" i="27"/>
  <c r="G1048" i="27"/>
  <c r="I1048" i="27"/>
  <c r="G769" i="27"/>
  <c r="I769" i="27"/>
  <c r="E802" i="27"/>
  <c r="E803" i="27"/>
  <c r="I957" i="27"/>
  <c r="G744" i="27"/>
  <c r="I744" i="27"/>
  <c r="G509" i="27"/>
  <c r="I509" i="27"/>
  <c r="G204" i="27"/>
  <c r="I204" i="27"/>
  <c r="G195" i="27"/>
  <c r="I195" i="27"/>
  <c r="G328" i="27"/>
  <c r="I328" i="27"/>
  <c r="G166" i="27"/>
  <c r="I166" i="27"/>
  <c r="G516" i="27"/>
  <c r="I516" i="27"/>
  <c r="G737" i="27"/>
  <c r="I737" i="27"/>
  <c r="G503" i="27"/>
  <c r="I503" i="27"/>
  <c r="G841" i="27"/>
  <c r="I841" i="27"/>
  <c r="G385" i="27"/>
  <c r="I385" i="27"/>
  <c r="G704" i="27"/>
  <c r="I704" i="27"/>
  <c r="G450" i="27"/>
  <c r="I450" i="27"/>
  <c r="G337" i="27"/>
  <c r="I337" i="27"/>
  <c r="I280" i="27"/>
  <c r="G163" i="27"/>
  <c r="I163" i="27"/>
  <c r="G2580" i="27"/>
  <c r="I2580" i="27"/>
  <c r="G1152" i="27"/>
  <c r="I1152" i="27"/>
  <c r="I3112" i="27"/>
  <c r="G252" i="27"/>
  <c r="I252" i="27"/>
  <c r="G794" i="27"/>
  <c r="I794" i="27"/>
  <c r="G534" i="27"/>
  <c r="I534" i="27"/>
  <c r="G2169" i="27"/>
  <c r="I2169" i="27"/>
  <c r="G134" i="27"/>
  <c r="I134" i="27"/>
  <c r="G508" i="27"/>
  <c r="I508" i="27"/>
  <c r="G2806" i="27"/>
  <c r="I2806" i="27"/>
  <c r="G2636" i="27"/>
  <c r="I2636" i="27"/>
  <c r="G416" i="27"/>
  <c r="I416" i="27"/>
  <c r="G160" i="27"/>
  <c r="I160" i="27"/>
  <c r="G3106" i="27"/>
  <c r="I3106" i="27"/>
  <c r="G694" i="27"/>
  <c r="I694" i="27"/>
  <c r="G2755" i="27"/>
  <c r="I2755" i="27"/>
  <c r="G316" i="27"/>
  <c r="I316" i="27"/>
  <c r="G2845" i="27"/>
  <c r="I2845" i="27"/>
  <c r="G2262" i="27"/>
  <c r="I2262" i="27"/>
  <c r="G2762" i="27"/>
  <c r="I2762" i="27"/>
  <c r="G341" i="27"/>
  <c r="I341" i="27"/>
  <c r="G2604" i="27"/>
  <c r="I2604" i="27"/>
  <c r="G2641" i="27"/>
  <c r="I2641" i="27"/>
  <c r="G1673" i="27"/>
  <c r="I1673" i="27"/>
  <c r="G2348" i="27"/>
  <c r="I2348" i="27"/>
  <c r="G3105" i="27"/>
  <c r="I3105" i="27"/>
  <c r="I972" i="27"/>
  <c r="U200" i="27"/>
  <c r="F200" i="27"/>
  <c r="Z200" i="27"/>
  <c r="AA200" i="27"/>
  <c r="E1169" i="27"/>
  <c r="F1979" i="27"/>
  <c r="M1979" i="27"/>
  <c r="E1999" i="27"/>
  <c r="E2001" i="27"/>
  <c r="Z1979" i="27"/>
  <c r="U1979" i="27"/>
  <c r="U2396" i="27"/>
  <c r="Z2396" i="27"/>
  <c r="AA2396" i="27"/>
  <c r="E3010" i="27"/>
  <c r="F2396" i="27"/>
  <c r="M2396" i="27"/>
  <c r="Z428" i="27"/>
  <c r="AA428" i="27"/>
  <c r="F656" i="27"/>
  <c r="F1169" i="27"/>
  <c r="F428" i="27"/>
  <c r="U656" i="27"/>
  <c r="Z656" i="27"/>
  <c r="AA656" i="27"/>
  <c r="I1209" i="27"/>
  <c r="I1970" i="27"/>
  <c r="I2723" i="27"/>
  <c r="U2130" i="27"/>
  <c r="F2130" i="27"/>
  <c r="M2130" i="27"/>
  <c r="I2130" i="27"/>
  <c r="G2130" i="27"/>
  <c r="Z2130" i="27"/>
  <c r="AA2130" i="27"/>
  <c r="G563" i="27"/>
  <c r="I563" i="27"/>
  <c r="I1986" i="27"/>
  <c r="I2167" i="27"/>
  <c r="I1952" i="27"/>
  <c r="U2018" i="27"/>
  <c r="Z2018" i="27"/>
  <c r="AA2018" i="27"/>
  <c r="F2018" i="27"/>
  <c r="M2018" i="27"/>
  <c r="Z1923" i="27"/>
  <c r="U1923" i="27"/>
  <c r="F1923" i="27"/>
  <c r="M1923" i="27"/>
  <c r="Z1506" i="27"/>
  <c r="AA1506" i="27"/>
  <c r="U1506" i="27"/>
  <c r="F1506" i="27"/>
  <c r="M1506" i="27"/>
  <c r="G1506" i="27"/>
  <c r="I1506" i="27"/>
  <c r="I3166" i="27"/>
  <c r="G2420" i="27"/>
  <c r="I2420" i="27"/>
  <c r="I1887" i="27"/>
  <c r="G945" i="27"/>
  <c r="I945" i="27"/>
  <c r="M973" i="27"/>
  <c r="G973" i="27"/>
  <c r="F1168" i="27"/>
  <c r="F2664" i="27"/>
  <c r="M2664" i="27"/>
  <c r="G941" i="27"/>
  <c r="I941" i="27"/>
  <c r="C2599" i="27"/>
  <c r="E2599" i="27"/>
  <c r="E2579" i="27"/>
  <c r="Z2579" i="27"/>
  <c r="AA2579" i="27"/>
  <c r="C2779" i="27"/>
  <c r="E2779" i="27"/>
  <c r="C2689" i="27"/>
  <c r="E2689" i="27"/>
  <c r="U2689" i="27"/>
  <c r="G1948" i="27"/>
  <c r="AA1948" i="27"/>
  <c r="U2344" i="27"/>
  <c r="E2364" i="27"/>
  <c r="Z2344" i="27"/>
  <c r="AA2344" i="27"/>
  <c r="F2344" i="27"/>
  <c r="M2344" i="27"/>
  <c r="G2344" i="27"/>
  <c r="I1591" i="27"/>
  <c r="I2713" i="27"/>
  <c r="G48" i="27"/>
  <c r="I48" i="27"/>
  <c r="G1575" i="27"/>
  <c r="I1575" i="27"/>
  <c r="G1618" i="27"/>
  <c r="I1618" i="27"/>
  <c r="G1988" i="27"/>
  <c r="AA1988" i="27"/>
  <c r="G1697" i="27"/>
  <c r="I1697" i="27"/>
  <c r="G2656" i="27"/>
  <c r="I2656" i="27"/>
  <c r="I1410" i="27"/>
  <c r="U2664" i="27"/>
  <c r="G1859" i="27"/>
  <c r="I1859" i="27"/>
  <c r="G2121" i="27"/>
  <c r="I2121" i="27"/>
  <c r="I1469" i="27"/>
  <c r="E152" i="27"/>
  <c r="E1166" i="27"/>
  <c r="G566" i="27"/>
  <c r="I566" i="27"/>
  <c r="G786" i="27"/>
  <c r="I786" i="27"/>
  <c r="I1451" i="27"/>
  <c r="G1980" i="27"/>
  <c r="AA1980" i="27"/>
  <c r="M133" i="27"/>
  <c r="G133" i="27"/>
  <c r="I133" i="27"/>
  <c r="F150" i="27"/>
  <c r="F152" i="27"/>
  <c r="I2746" i="27"/>
  <c r="G1474" i="27"/>
  <c r="I1474" i="27"/>
  <c r="G1598" i="27"/>
  <c r="I1598" i="27"/>
  <c r="G313" i="27"/>
  <c r="I313" i="27"/>
  <c r="G2270" i="27"/>
  <c r="I2270" i="27"/>
  <c r="Z2926" i="27"/>
  <c r="AA2926" i="27"/>
  <c r="G1346" i="27"/>
  <c r="I1346" i="27"/>
  <c r="U2387" i="27"/>
  <c r="F2387" i="27"/>
  <c r="M2387" i="27"/>
  <c r="Z2387" i="27"/>
  <c r="G429" i="27"/>
  <c r="I429" i="27"/>
  <c r="G1416" i="27"/>
  <c r="I1416" i="27"/>
  <c r="G2409" i="27"/>
  <c r="G623" i="27"/>
  <c r="I623" i="27"/>
  <c r="I1943" i="27"/>
  <c r="G2671" i="27"/>
  <c r="I2671" i="27"/>
  <c r="G1383" i="27"/>
  <c r="I1383" i="27"/>
  <c r="G497" i="27"/>
  <c r="I497" i="27"/>
  <c r="I1503" i="27"/>
  <c r="F2926" i="27"/>
  <c r="M2926" i="27"/>
  <c r="G2926" i="27"/>
  <c r="G1642" i="27"/>
  <c r="I1642" i="27"/>
  <c r="F1342" i="27"/>
  <c r="M1342" i="27"/>
  <c r="G1342" i="27"/>
  <c r="I1342" i="27"/>
  <c r="Z1342" i="27"/>
  <c r="AA1342" i="27"/>
  <c r="E1392" i="27"/>
  <c r="F1392" i="27"/>
  <c r="M1392" i="27"/>
  <c r="G646" i="27"/>
  <c r="I646" i="27"/>
  <c r="G510" i="27"/>
  <c r="I510" i="27"/>
  <c r="G1962" i="27"/>
  <c r="I1962" i="27"/>
  <c r="AA1962" i="27"/>
  <c r="F602" i="27"/>
  <c r="F604" i="27"/>
  <c r="G457" i="27"/>
  <c r="I457" i="27"/>
  <c r="U3179" i="27"/>
  <c r="F3179" i="27"/>
  <c r="M3179" i="27"/>
  <c r="E2775" i="27"/>
  <c r="Z2775" i="27"/>
  <c r="AA2775" i="27"/>
  <c r="F2775" i="27"/>
  <c r="M2775" i="27"/>
  <c r="Z1971" i="27"/>
  <c r="U1971" i="27"/>
  <c r="F1971" i="27"/>
  <c r="M1971" i="27"/>
  <c r="G1971" i="27"/>
  <c r="I1101" i="27"/>
  <c r="I2752" i="27"/>
  <c r="U1252" i="27"/>
  <c r="Z1252" i="27"/>
  <c r="AA1252" i="27"/>
  <c r="F1252" i="27"/>
  <c r="M1252" i="27"/>
  <c r="E1300" i="27"/>
  <c r="G920" i="27"/>
  <c r="I920" i="27"/>
  <c r="E1931" i="27"/>
  <c r="F1931" i="27"/>
  <c r="M1931" i="27"/>
  <c r="G1931" i="27"/>
  <c r="AA1931" i="27"/>
  <c r="G736" i="27"/>
  <c r="I736" i="27"/>
  <c r="G851" i="27"/>
  <c r="I851" i="27"/>
  <c r="G964" i="27"/>
  <c r="I964" i="27"/>
  <c r="G327" i="27"/>
  <c r="I327" i="27"/>
  <c r="I1987" i="27"/>
  <c r="G2220" i="27"/>
  <c r="I2220" i="27"/>
  <c r="Z2661" i="27"/>
  <c r="AA2661" i="27"/>
  <c r="U2661" i="27"/>
  <c r="F2661" i="27"/>
  <c r="M2661" i="27"/>
  <c r="G2661" i="27"/>
  <c r="I2661" i="27"/>
  <c r="F2461" i="27"/>
  <c r="M2461" i="27"/>
  <c r="E2461" i="27"/>
  <c r="G1138" i="27"/>
  <c r="I1138" i="27"/>
  <c r="G2372" i="27"/>
  <c r="I2372" i="27"/>
  <c r="F3145" i="27"/>
  <c r="M3145" i="27"/>
  <c r="U3145" i="27"/>
  <c r="F2841" i="27"/>
  <c r="M2841" i="27"/>
  <c r="G2841" i="27"/>
  <c r="U2841" i="27"/>
  <c r="G2728" i="27"/>
  <c r="I2728" i="27"/>
  <c r="G1648" i="27"/>
  <c r="I1648" i="27"/>
  <c r="Z1965" i="27"/>
  <c r="F1965" i="27"/>
  <c r="M1965" i="27"/>
  <c r="U1965" i="27"/>
  <c r="G281" i="27"/>
  <c r="I281" i="27"/>
  <c r="D2933" i="27"/>
  <c r="E2933" i="27"/>
  <c r="C2976" i="27"/>
  <c r="D2976" i="27"/>
  <c r="E2976" i="27"/>
  <c r="U2279" i="27"/>
  <c r="AB2279" i="27"/>
  <c r="F2279" i="27"/>
  <c r="M2279" i="27"/>
  <c r="G2279" i="27"/>
  <c r="Z2279" i="27"/>
  <c r="AA2279" i="27"/>
  <c r="G27" i="27"/>
  <c r="I27" i="27"/>
  <c r="C89" i="27"/>
  <c r="D89" i="27"/>
  <c r="F2416" i="27"/>
  <c r="M2416" i="27"/>
  <c r="G2416" i="27"/>
  <c r="U2416" i="27"/>
  <c r="Z2416" i="27"/>
  <c r="AA2416" i="27"/>
  <c r="G1536" i="27"/>
  <c r="I1536" i="27"/>
  <c r="G1035" i="27"/>
  <c r="I1035" i="27"/>
  <c r="Z2990" i="27"/>
  <c r="AA2990" i="27"/>
  <c r="E3004" i="27"/>
  <c r="Z2462" i="27"/>
  <c r="U2462" i="27"/>
  <c r="Z2615" i="27"/>
  <c r="AA2615" i="27"/>
  <c r="F2615" i="27"/>
  <c r="M2615" i="27"/>
  <c r="G2615" i="27"/>
  <c r="U2615" i="27"/>
  <c r="I1787" i="27"/>
  <c r="Z2581" i="27"/>
  <c r="AA2581" i="27"/>
  <c r="F2581" i="27"/>
  <c r="M2581" i="27"/>
  <c r="U2581" i="27"/>
  <c r="Z2299" i="27"/>
  <c r="AA2299" i="27"/>
  <c r="F2299" i="27"/>
  <c r="M2299" i="27"/>
  <c r="G2299" i="27"/>
  <c r="U2299" i="27"/>
  <c r="U2931" i="27"/>
  <c r="F2931" i="27"/>
  <c r="M2931" i="27"/>
  <c r="I2931" i="27"/>
  <c r="Z2931" i="27"/>
  <c r="AA2931" i="27"/>
  <c r="F2698" i="27"/>
  <c r="M2698" i="27"/>
  <c r="U2698" i="27"/>
  <c r="Z2698" i="27"/>
  <c r="AA2698" i="27"/>
  <c r="G1978" i="27"/>
  <c r="I1978" i="27"/>
  <c r="AA1978" i="27"/>
  <c r="G1940" i="27"/>
  <c r="AA1940" i="27"/>
  <c r="I1940" i="27"/>
  <c r="I636" i="27"/>
  <c r="I1412" i="27"/>
  <c r="G780" i="27"/>
  <c r="I780" i="27"/>
  <c r="F3124" i="27"/>
  <c r="M3124" i="27"/>
  <c r="F2797" i="27"/>
  <c r="M2797" i="27"/>
  <c r="G2797" i="27"/>
  <c r="I2797" i="27"/>
  <c r="Z2797" i="27"/>
  <c r="AA2797" i="27"/>
  <c r="U2797" i="27"/>
  <c r="F1270" i="27"/>
  <c r="M1270" i="27"/>
  <c r="G1270" i="27"/>
  <c r="I1270" i="27"/>
  <c r="Z1270" i="27"/>
  <c r="AA1270" i="27"/>
  <c r="U1270" i="27"/>
  <c r="G1390" i="27"/>
  <c r="I1390" i="27"/>
  <c r="G845" i="27"/>
  <c r="I845" i="27"/>
  <c r="M25" i="27"/>
  <c r="G314" i="27"/>
  <c r="I314" i="27"/>
  <c r="G1447" i="27"/>
  <c r="I1447" i="27"/>
  <c r="G1306" i="27"/>
  <c r="I1306" i="27"/>
  <c r="C2754" i="27"/>
  <c r="D2754" i="27"/>
  <c r="E2754" i="27"/>
  <c r="Z2754" i="27"/>
  <c r="AA2754" i="27"/>
  <c r="D2585" i="27"/>
  <c r="E2585" i="27"/>
  <c r="C2669" i="27"/>
  <c r="D2669" i="27"/>
  <c r="E2669" i="27"/>
  <c r="Z2669" i="27"/>
  <c r="AA2669" i="27"/>
  <c r="C2844" i="27"/>
  <c r="D2844" i="27"/>
  <c r="E2844" i="27"/>
  <c r="Z2844" i="27"/>
  <c r="AA2844" i="27"/>
  <c r="U2160" i="27"/>
  <c r="F2160" i="27"/>
  <c r="M2160" i="27"/>
  <c r="Z2160" i="27"/>
  <c r="AA2160" i="27"/>
  <c r="E2181" i="27"/>
  <c r="Z2841" i="27"/>
  <c r="AA2841" i="27"/>
  <c r="G1277" i="27"/>
  <c r="I1277" i="27"/>
  <c r="G2496" i="27"/>
  <c r="I2496" i="27"/>
  <c r="G2551" i="27"/>
  <c r="I2551" i="27"/>
  <c r="F1802" i="27"/>
  <c r="M1802" i="27"/>
  <c r="Z1802" i="27"/>
  <c r="AA1802" i="27"/>
  <c r="U1802" i="27"/>
  <c r="G1976" i="27"/>
  <c r="AA1976" i="27"/>
  <c r="G1972" i="27"/>
  <c r="AA1972" i="27"/>
  <c r="I1991" i="27"/>
  <c r="G1271" i="27"/>
  <c r="I1271" i="27"/>
  <c r="I1288" i="27"/>
  <c r="I1920" i="27"/>
  <c r="M849" i="27"/>
  <c r="G849" i="27"/>
  <c r="I849" i="27"/>
  <c r="G1794" i="27"/>
  <c r="I1794" i="27"/>
  <c r="G2757" i="27"/>
  <c r="I2757" i="27"/>
  <c r="F2595" i="27"/>
  <c r="M2595" i="27"/>
  <c r="I2595" i="27"/>
  <c r="E2595" i="27"/>
  <c r="G706" i="27"/>
  <c r="I706" i="27"/>
  <c r="I1982" i="27"/>
  <c r="E2685" i="27"/>
  <c r="Z2685" i="27"/>
  <c r="AA2685" i="27"/>
  <c r="F2685" i="27"/>
  <c r="M2685" i="27"/>
  <c r="G2685" i="27"/>
  <c r="G2053" i="27"/>
  <c r="I2053" i="27"/>
  <c r="Z2054" i="27"/>
  <c r="AA2054" i="27"/>
  <c r="F2054" i="27"/>
  <c r="M2054" i="27"/>
  <c r="G2054" i="27"/>
  <c r="U2054" i="27"/>
  <c r="E2078" i="27"/>
  <c r="E1167" i="27"/>
  <c r="F1847" i="27"/>
  <c r="M1847" i="27"/>
  <c r="I1847" i="27"/>
  <c r="Z1847" i="27"/>
  <c r="AA1847" i="27"/>
  <c r="E1811" i="27"/>
  <c r="G2197" i="27"/>
  <c r="I2197" i="27"/>
  <c r="I1969" i="27"/>
  <c r="G1544" i="27"/>
  <c r="I1544" i="27"/>
  <c r="Z1321" i="27"/>
  <c r="AA1321" i="27"/>
  <c r="G2020" i="27"/>
  <c r="I2020" i="27"/>
  <c r="G2458" i="27"/>
  <c r="I2458" i="27"/>
  <c r="G2928" i="27"/>
  <c r="I2928" i="27"/>
  <c r="G1586" i="27"/>
  <c r="I1586" i="27"/>
  <c r="I1928" i="27"/>
  <c r="I1981" i="27"/>
  <c r="G2190" i="27"/>
  <c r="I2190" i="27"/>
  <c r="M61" i="27"/>
  <c r="G2835" i="27"/>
  <c r="G2029" i="27"/>
  <c r="I2029" i="27"/>
  <c r="G2778" i="27"/>
  <c r="I2778" i="27"/>
  <c r="G2013" i="27"/>
  <c r="I2013" i="27"/>
  <c r="G1313" i="27"/>
  <c r="I1313" i="27"/>
  <c r="G2165" i="27"/>
  <c r="I2165" i="27"/>
  <c r="G1753" i="27"/>
  <c r="G2122" i="27"/>
  <c r="I2122" i="27"/>
  <c r="U1921" i="27"/>
  <c r="Z1921" i="27"/>
  <c r="F1921" i="27"/>
  <c r="M1921" i="27"/>
  <c r="G1921" i="27"/>
  <c r="G1936" i="27"/>
  <c r="AA1936" i="27"/>
  <c r="G1517" i="27"/>
  <c r="I1517" i="27"/>
  <c r="G2930" i="27"/>
  <c r="I2930" i="27"/>
  <c r="G2031" i="27"/>
  <c r="I2031" i="27"/>
  <c r="M656" i="27"/>
  <c r="M200" i="27"/>
  <c r="I200" i="27"/>
  <c r="M428" i="27"/>
  <c r="G428" i="27"/>
  <c r="I1948" i="27"/>
  <c r="F2689" i="27"/>
  <c r="M2689" i="27"/>
  <c r="I2689" i="27"/>
  <c r="G2689" i="27"/>
  <c r="Z2689" i="27"/>
  <c r="AA2689" i="27"/>
  <c r="I973" i="27"/>
  <c r="U2779" i="27"/>
  <c r="Z2779" i="27"/>
  <c r="AA2779" i="27"/>
  <c r="F2779" i="27"/>
  <c r="M2779" i="27"/>
  <c r="G2779" i="27"/>
  <c r="Z2599" i="27"/>
  <c r="AA2599" i="27"/>
  <c r="U2599" i="27"/>
  <c r="F2599" i="27"/>
  <c r="M2599" i="27"/>
  <c r="G2599" i="27"/>
  <c r="I2599" i="27"/>
  <c r="Z1392" i="27"/>
  <c r="U1392" i="27"/>
  <c r="E1400" i="27"/>
  <c r="I1976" i="27"/>
  <c r="I1936" i="27"/>
  <c r="G2931" i="27"/>
  <c r="Z2461" i="27"/>
  <c r="U2461" i="27"/>
  <c r="E2469" i="27"/>
  <c r="F1166" i="27"/>
  <c r="C87" i="27"/>
  <c r="D87" i="27"/>
  <c r="G25" i="27"/>
  <c r="G2387" i="27"/>
  <c r="AA2387" i="27"/>
  <c r="G3145" i="27"/>
  <c r="U1931" i="27"/>
  <c r="Z1931" i="27"/>
  <c r="G2775" i="27"/>
  <c r="I2775" i="27"/>
  <c r="Z2585" i="27"/>
  <c r="AA2585" i="27"/>
  <c r="G3179" i="27"/>
  <c r="I3179" i="27"/>
  <c r="U2685" i="27"/>
  <c r="E2770" i="27"/>
  <c r="U2595" i="27"/>
  <c r="Z2595" i="27"/>
  <c r="AA2595" i="27"/>
  <c r="G2595" i="27"/>
  <c r="I1972" i="27"/>
  <c r="G1847" i="27"/>
  <c r="G61" i="27"/>
  <c r="I61" i="27"/>
  <c r="G200" i="27"/>
  <c r="I2387" i="27"/>
  <c r="G3124" i="27"/>
  <c r="I3124" i="27"/>
  <c r="G2698" i="27"/>
  <c r="I2698" i="27"/>
  <c r="G2461" i="27"/>
  <c r="I2461" i="27"/>
  <c r="G2022" i="27"/>
  <c r="I2022" i="27"/>
  <c r="Z2798" i="27"/>
  <c r="AA2798" i="27"/>
  <c r="U2798" i="27"/>
  <c r="F2798" i="27"/>
  <c r="M2798" i="27"/>
  <c r="E2858" i="27"/>
  <c r="Z1906" i="27"/>
  <c r="U1906" i="27"/>
  <c r="E1914" i="27"/>
  <c r="Z2125" i="27"/>
  <c r="AA2125" i="27"/>
  <c r="F2125" i="27"/>
  <c r="M2125" i="27"/>
  <c r="G1358" i="27"/>
  <c r="I1358" i="27"/>
  <c r="G2285" i="27"/>
  <c r="I2285" i="27"/>
  <c r="G24" i="27"/>
  <c r="I24" i="27"/>
  <c r="C86" i="27"/>
  <c r="D86" i="27"/>
  <c r="I2926" i="27"/>
  <c r="I1921" i="27"/>
  <c r="AA1921" i="27"/>
  <c r="U2585" i="27"/>
  <c r="F2585" i="27"/>
  <c r="M2585" i="27"/>
  <c r="E2590" i="27"/>
  <c r="G1674" i="27"/>
  <c r="I1674" i="27"/>
  <c r="G2688" i="27"/>
  <c r="I2688" i="27"/>
  <c r="G2612" i="27"/>
  <c r="I2612" i="27"/>
  <c r="G653" i="27"/>
  <c r="I653" i="27"/>
  <c r="G1124" i="27"/>
  <c r="I1124" i="27"/>
  <c r="AA2461" i="27"/>
  <c r="AA1392" i="27"/>
  <c r="AA1906" i="27"/>
  <c r="I1971" i="27"/>
  <c r="AA1971" i="27"/>
  <c r="G2932" i="27"/>
  <c r="I2932" i="27"/>
  <c r="G2347" i="27"/>
  <c r="I2347" i="27"/>
  <c r="I3104" i="27"/>
  <c r="G3104" i="27"/>
  <c r="U2418" i="27"/>
  <c r="F2418" i="27"/>
  <c r="M2418" i="27"/>
  <c r="Z2418" i="27"/>
  <c r="AA2418" i="27"/>
  <c r="E2468" i="27"/>
  <c r="U2974" i="27"/>
  <c r="F2974" i="27"/>
  <c r="M2974" i="27"/>
  <c r="Z2974" i="27"/>
  <c r="AA2974" i="27"/>
  <c r="I2539" i="27"/>
  <c r="G2539" i="27"/>
  <c r="G3128" i="27"/>
  <c r="I3128" i="27"/>
  <c r="G2664" i="27"/>
  <c r="I2664" i="27"/>
  <c r="G1923" i="27"/>
  <c r="AA1923" i="27"/>
  <c r="I1923" i="27"/>
  <c r="G1979" i="27"/>
  <c r="AA1979" i="27"/>
  <c r="Z2016" i="27"/>
  <c r="AA2016" i="27"/>
  <c r="E2079" i="27"/>
  <c r="U2016" i="27"/>
  <c r="F2016" i="27"/>
  <c r="M2016" i="27"/>
  <c r="G2598" i="27"/>
  <c r="I2598" i="27"/>
  <c r="G400" i="27"/>
  <c r="I400" i="27"/>
  <c r="G3126" i="27"/>
  <c r="I3126" i="27"/>
  <c r="G2556" i="27"/>
  <c r="I2556" i="27"/>
  <c r="G1541" i="27"/>
  <c r="I1541" i="27"/>
  <c r="I1602" i="27"/>
  <c r="G1602" i="27"/>
  <c r="G952" i="27"/>
  <c r="I952" i="27"/>
  <c r="G1864" i="27"/>
  <c r="I1864" i="27"/>
  <c r="I1501" i="27"/>
  <c r="G1501" i="27"/>
  <c r="U2970" i="27"/>
  <c r="Z2970" i="27"/>
  <c r="AA2970" i="27"/>
  <c r="G2160" i="27"/>
  <c r="I2160" i="27"/>
  <c r="U2976" i="27"/>
  <c r="F2976" i="27"/>
  <c r="M2976" i="27"/>
  <c r="Z2976" i="27"/>
  <c r="AA2976" i="27"/>
  <c r="G1534" i="27"/>
  <c r="I1534" i="27"/>
  <c r="U2666" i="27"/>
  <c r="F2666" i="27"/>
  <c r="M2666" i="27"/>
  <c r="E2679" i="27"/>
  <c r="F2970" i="27"/>
  <c r="M2970" i="27"/>
  <c r="Z1758" i="27"/>
  <c r="AA1758" i="27"/>
  <c r="F1758" i="27"/>
  <c r="M1758" i="27"/>
  <c r="U1758" i="27"/>
  <c r="I1937" i="27"/>
  <c r="G1759" i="27"/>
  <c r="I1759" i="27"/>
  <c r="I3122" i="27"/>
  <c r="Z2933" i="27"/>
  <c r="AA2933" i="27"/>
  <c r="U2933" i="27"/>
  <c r="F2933" i="27"/>
  <c r="M2933" i="27"/>
  <c r="I3145" i="27"/>
  <c r="G1392" i="27"/>
  <c r="I1392" i="27"/>
  <c r="G2018" i="27"/>
  <c r="I2018" i="27"/>
  <c r="G2396" i="27"/>
  <c r="I2396" i="27"/>
  <c r="I1753" i="27"/>
  <c r="I1907" i="27"/>
  <c r="G1907" i="27"/>
  <c r="G2455" i="27"/>
  <c r="I2455" i="27"/>
  <c r="G1577" i="27"/>
  <c r="I1577" i="27"/>
  <c r="G1574" i="27"/>
  <c r="I1574" i="27"/>
  <c r="G1827" i="27"/>
  <c r="I1827" i="27"/>
  <c r="G1973" i="27"/>
  <c r="AA1973" i="27"/>
  <c r="G2195" i="27"/>
  <c r="I2195" i="27"/>
  <c r="G1608" i="27"/>
  <c r="I1608" i="27"/>
  <c r="E3014" i="27"/>
  <c r="F2844" i="27"/>
  <c r="M2844" i="27"/>
  <c r="U2844" i="27"/>
  <c r="G1252" i="27"/>
  <c r="I1252" i="27"/>
  <c r="E3178" i="27"/>
  <c r="AA3178" i="27"/>
  <c r="G1519" i="27"/>
  <c r="I1519" i="27"/>
  <c r="I1656" i="27"/>
  <c r="G1656" i="27"/>
  <c r="I25" i="27"/>
  <c r="G2969" i="27"/>
  <c r="I2969" i="27"/>
  <c r="I437" i="27"/>
  <c r="G437" i="27"/>
  <c r="G57" i="27"/>
  <c r="I57" i="27"/>
  <c r="G1150" i="27"/>
  <c r="I1150" i="27"/>
  <c r="G2559" i="27"/>
  <c r="I2559" i="27"/>
  <c r="G1596" i="27"/>
  <c r="I1596" i="27"/>
  <c r="G1337" i="27"/>
  <c r="I1337" i="27"/>
  <c r="G1802" i="27"/>
  <c r="I1802" i="27"/>
  <c r="G2385" i="27"/>
  <c r="I2385" i="27"/>
  <c r="G1892" i="27"/>
  <c r="I1892" i="27"/>
  <c r="G656" i="27"/>
  <c r="I656" i="27"/>
  <c r="I2841" i="27"/>
  <c r="G2581" i="27"/>
  <c r="I2581" i="27"/>
  <c r="I1965" i="27"/>
  <c r="G1790" i="27"/>
  <c r="I1790" i="27"/>
  <c r="G1497" i="27"/>
  <c r="I1497" i="27"/>
  <c r="I2835" i="27"/>
  <c r="G1264" i="27"/>
  <c r="I1264" i="27"/>
  <c r="G2141" i="27"/>
  <c r="I2141" i="27"/>
  <c r="AA1393" i="27"/>
  <c r="AA1907" i="27"/>
  <c r="AA2462" i="27"/>
  <c r="G2379" i="27"/>
  <c r="I2379" i="27"/>
  <c r="G64" i="27"/>
  <c r="I64" i="27"/>
  <c r="I937" i="27"/>
  <c r="G937" i="27"/>
  <c r="F2442" i="27"/>
  <c r="M2442" i="27"/>
  <c r="Z2442" i="27"/>
  <c r="AA2442" i="27"/>
  <c r="U2442" i="27"/>
  <c r="G1018" i="27"/>
  <c r="I1018" i="27"/>
  <c r="G3118" i="27"/>
  <c r="I3118" i="27"/>
  <c r="G651" i="27"/>
  <c r="I651" i="27"/>
  <c r="G1985" i="27"/>
  <c r="AA1985" i="27"/>
  <c r="I1985" i="27"/>
  <c r="F880" i="27"/>
  <c r="Z880" i="27"/>
  <c r="AA880" i="27"/>
  <c r="U880" i="27"/>
  <c r="Z778" i="27"/>
  <c r="AB778" i="27"/>
  <c r="AA778" i="27"/>
  <c r="U778" i="27"/>
  <c r="F778" i="27"/>
  <c r="M778" i="27"/>
  <c r="G515" i="27"/>
  <c r="I515" i="27"/>
  <c r="Z52" i="27"/>
  <c r="AA52" i="27"/>
  <c r="F52" i="27"/>
  <c r="U52" i="27"/>
  <c r="AB13" i="27"/>
  <c r="AA13" i="27"/>
  <c r="U13" i="27"/>
  <c r="Z13" i="27"/>
  <c r="F13" i="27"/>
  <c r="E35" i="27"/>
  <c r="U2453" i="27"/>
  <c r="Z2453" i="27"/>
  <c r="AA2453" i="27"/>
  <c r="F2453" i="27"/>
  <c r="M2453" i="27"/>
  <c r="I1323" i="27"/>
  <c r="Z2301" i="27"/>
  <c r="AA2301" i="27"/>
  <c r="G1937" i="27"/>
  <c r="AA1937" i="27"/>
  <c r="Z1792" i="27"/>
  <c r="AA1792" i="27"/>
  <c r="I2324" i="27"/>
  <c r="I2694" i="27"/>
  <c r="I2015" i="27"/>
  <c r="I1652" i="27"/>
  <c r="G332" i="27"/>
  <c r="I332" i="27"/>
  <c r="I2386" i="27"/>
  <c r="I2686" i="27"/>
  <c r="G468" i="27"/>
  <c r="I468" i="27"/>
  <c r="G2971" i="27"/>
  <c r="I2971" i="27"/>
  <c r="I2837" i="27"/>
  <c r="I2625" i="27"/>
  <c r="U1381" i="27"/>
  <c r="F1381" i="27"/>
  <c r="M1381" i="27"/>
  <c r="Z1381" i="27"/>
  <c r="AA1381" i="27"/>
  <c r="G2626" i="27"/>
  <c r="I2626" i="27"/>
  <c r="G1382" i="27"/>
  <c r="I1382" i="27"/>
  <c r="G1573" i="27"/>
  <c r="I1573" i="27"/>
  <c r="G1516" i="27"/>
  <c r="I1516" i="27"/>
  <c r="U2823" i="27"/>
  <c r="F2823" i="27"/>
  <c r="M2823" i="27"/>
  <c r="Z2823" i="27"/>
  <c r="AA2823" i="27"/>
  <c r="E3012" i="27"/>
  <c r="AA1364" i="27"/>
  <c r="U1364" i="27"/>
  <c r="F1364" i="27"/>
  <c r="M1364" i="27"/>
  <c r="Z1364" i="27"/>
  <c r="G1121" i="27"/>
  <c r="I1121" i="27"/>
  <c r="G1016" i="27"/>
  <c r="I1016" i="27"/>
  <c r="Z1319" i="27"/>
  <c r="AA1319" i="27"/>
  <c r="F1319" i="27"/>
  <c r="M1319" i="27"/>
  <c r="U1319" i="27"/>
  <c r="G3116" i="27"/>
  <c r="I3116" i="27"/>
  <c r="G999" i="27"/>
  <c r="I999" i="27"/>
  <c r="G792" i="27"/>
  <c r="I792" i="27"/>
  <c r="G759" i="27"/>
  <c r="I759" i="27"/>
  <c r="U194" i="27"/>
  <c r="F194" i="27"/>
  <c r="M194" i="27"/>
  <c r="Z194" i="27"/>
  <c r="AA194" i="27"/>
  <c r="Z39" i="27"/>
  <c r="AA39" i="27"/>
  <c r="U39" i="27"/>
  <c r="F39" i="27"/>
  <c r="E44" i="27"/>
  <c r="E43" i="27"/>
  <c r="U2731" i="27"/>
  <c r="F2731" i="27"/>
  <c r="M2731" i="27"/>
  <c r="Z2731" i="27"/>
  <c r="AA2731" i="27"/>
  <c r="U1890" i="27"/>
  <c r="Z1890" i="27"/>
  <c r="AA1890" i="27"/>
  <c r="F1890" i="27"/>
  <c r="M1890" i="27"/>
  <c r="Z1651" i="27"/>
  <c r="AA1651" i="27"/>
  <c r="U1651" i="27"/>
  <c r="F1651" i="27"/>
  <c r="M1651" i="27"/>
  <c r="Z2830" i="27"/>
  <c r="AA2830" i="27"/>
  <c r="F2830" i="27"/>
  <c r="M2830" i="27"/>
  <c r="I2779" i="27"/>
  <c r="U2669" i="27"/>
  <c r="I1834" i="27"/>
  <c r="I1980" i="27"/>
  <c r="F2579" i="27"/>
  <c r="M2579" i="27"/>
  <c r="F574" i="27"/>
  <c r="I1932" i="27"/>
  <c r="F1321" i="27"/>
  <c r="M1321" i="27"/>
  <c r="I2416" i="27"/>
  <c r="I2279" i="27"/>
  <c r="U1792" i="27"/>
  <c r="I1792" i="27"/>
  <c r="F2973" i="27"/>
  <c r="M2973" i="27"/>
  <c r="I488" i="27"/>
  <c r="I947" i="27"/>
  <c r="I2264" i="27"/>
  <c r="I1803" i="27"/>
  <c r="I2693" i="27"/>
  <c r="U2775" i="27"/>
  <c r="F1906" i="27"/>
  <c r="M1906" i="27"/>
  <c r="AA1416" i="27"/>
  <c r="I1835" i="27"/>
  <c r="I2822" i="27"/>
  <c r="I2829" i="27"/>
  <c r="G927" i="27"/>
  <c r="I927" i="27"/>
  <c r="G1719" i="27"/>
  <c r="I1719" i="27"/>
  <c r="G2287" i="27"/>
  <c r="I2287" i="27"/>
  <c r="I1816" i="27"/>
  <c r="I2173" i="27"/>
  <c r="I1796" i="27"/>
  <c r="U2455" i="27"/>
  <c r="Z2455" i="27"/>
  <c r="AA2455" i="27"/>
  <c r="I367" i="27"/>
  <c r="F1579" i="27"/>
  <c r="M1579" i="27"/>
  <c r="Z1579" i="27"/>
  <c r="AA1579" i="27"/>
  <c r="G2730" i="27"/>
  <c r="I2730" i="27"/>
  <c r="F68" i="27"/>
  <c r="M68" i="27"/>
  <c r="E68" i="27"/>
  <c r="Z2046" i="27"/>
  <c r="AA2046" i="27"/>
  <c r="F2046" i="27"/>
  <c r="M2046" i="27"/>
  <c r="U2046" i="27"/>
  <c r="I861" i="27"/>
  <c r="G1158" i="27"/>
  <c r="I1158" i="27"/>
  <c r="I1736" i="27"/>
  <c r="G1736" i="27"/>
  <c r="G1547" i="27"/>
  <c r="I1547" i="27"/>
  <c r="F2776" i="27"/>
  <c r="M2776" i="27"/>
  <c r="E2776" i="27"/>
  <c r="G356" i="27"/>
  <c r="I356" i="27"/>
  <c r="G1836" i="27"/>
  <c r="I1836" i="27"/>
  <c r="G2613" i="27"/>
  <c r="I2613" i="27"/>
  <c r="G1335" i="27"/>
  <c r="I1335" i="27"/>
  <c r="Z2124" i="27"/>
  <c r="AA2124" i="27"/>
  <c r="F2124" i="27"/>
  <c r="M2124" i="27"/>
  <c r="U2754" i="27"/>
  <c r="F2669" i="27"/>
  <c r="M2669" i="27"/>
  <c r="U2579" i="27"/>
  <c r="I1326" i="27"/>
  <c r="U1358" i="27"/>
  <c r="I2836" i="27"/>
  <c r="I549" i="27"/>
  <c r="I1548" i="27"/>
  <c r="I2634" i="27"/>
  <c r="I295" i="27"/>
  <c r="I1963" i="27"/>
  <c r="G1963" i="27"/>
  <c r="AA1963" i="27"/>
  <c r="G2640" i="27"/>
  <c r="I2640" i="27"/>
  <c r="I1718" i="27"/>
  <c r="I1788" i="27"/>
  <c r="I1192" i="27"/>
  <c r="G2603" i="27"/>
  <c r="I2603" i="27"/>
  <c r="I49" i="27"/>
  <c r="I2085" i="27"/>
  <c r="I1456" i="27"/>
  <c r="I389" i="27"/>
  <c r="G2066" i="27"/>
  <c r="I2066" i="27"/>
  <c r="I2127" i="27"/>
  <c r="I1925" i="27"/>
  <c r="I2838" i="27"/>
  <c r="G3142" i="27"/>
  <c r="I3142" i="27"/>
  <c r="AA2086" i="27"/>
  <c r="Z2086" i="27"/>
  <c r="F2086" i="27"/>
  <c r="M2086" i="27"/>
  <c r="U2086" i="27"/>
  <c r="AA1417" i="27"/>
  <c r="I1417" i="27"/>
  <c r="G2687" i="27"/>
  <c r="I2687" i="27"/>
  <c r="I3123" i="27"/>
  <c r="E2204" i="27"/>
  <c r="U24" i="27"/>
  <c r="I1221" i="27"/>
  <c r="I2616" i="27"/>
  <c r="I1328" i="27"/>
  <c r="E2596" i="27"/>
  <c r="E2680" i="27"/>
  <c r="F2596" i="27"/>
  <c r="M2596" i="27"/>
  <c r="G1365" i="27"/>
  <c r="I1365" i="27"/>
  <c r="G2736" i="27"/>
  <c r="I2736" i="27"/>
  <c r="I2685" i="27"/>
  <c r="G1965" i="27"/>
  <c r="AA1965" i="27"/>
  <c r="I2839" i="27"/>
  <c r="I2026" i="27"/>
  <c r="I2311" i="27"/>
  <c r="Z1358" i="27"/>
  <c r="AA1358" i="27"/>
  <c r="I171" i="27"/>
  <c r="I2187" i="27"/>
  <c r="I1071" i="27"/>
  <c r="G2025" i="27"/>
  <c r="I2025" i="27"/>
  <c r="G2357" i="27"/>
  <c r="I2357" i="27"/>
  <c r="I2040" i="27"/>
  <c r="G1730" i="27"/>
  <c r="I1730" i="27"/>
  <c r="E2591" i="27"/>
  <c r="F2751" i="27"/>
  <c r="M2751" i="27"/>
  <c r="I2615" i="27"/>
  <c r="I238" i="27"/>
  <c r="I2553" i="27"/>
  <c r="I1709" i="27"/>
  <c r="I2542" i="27"/>
  <c r="Z24" i="27"/>
  <c r="AA24" i="27"/>
  <c r="I2756" i="27"/>
  <c r="I1024" i="27"/>
  <c r="I1612" i="27"/>
  <c r="I1900" i="27"/>
  <c r="G305" i="27"/>
  <c r="I305" i="27"/>
  <c r="E981" i="27"/>
  <c r="I1775" i="27"/>
  <c r="I2012" i="27"/>
  <c r="I2057" i="27"/>
  <c r="U2751" i="27"/>
  <c r="I1931" i="27"/>
  <c r="I428" i="27"/>
  <c r="F2754" i="27"/>
  <c r="M2754" i="27"/>
  <c r="I2936" i="27"/>
  <c r="I2027" i="27"/>
  <c r="E1399" i="27"/>
  <c r="I1481" i="27"/>
  <c r="I1765" i="27"/>
  <c r="F2975" i="27"/>
  <c r="M2975" i="27"/>
  <c r="I2929" i="27"/>
  <c r="I2529" i="27"/>
  <c r="I1610" i="27"/>
  <c r="I1327" i="27"/>
  <c r="I1866" i="27"/>
  <c r="G1866" i="27"/>
  <c r="I928" i="27"/>
  <c r="I2328" i="27"/>
  <c r="I1345" i="27"/>
  <c r="G1500" i="27"/>
  <c r="I1500" i="27"/>
  <c r="G593" i="27"/>
  <c r="I593" i="27"/>
  <c r="G2715" i="27"/>
  <c r="I2715" i="27"/>
  <c r="E346" i="27"/>
  <c r="E2363" i="27"/>
  <c r="E2365" i="27"/>
  <c r="E3017" i="27"/>
  <c r="I2517" i="27"/>
  <c r="F2301" i="27"/>
  <c r="M2301" i="27"/>
  <c r="I2072" i="27"/>
  <c r="I2299" i="27"/>
  <c r="I2601" i="27"/>
  <c r="I742" i="27"/>
  <c r="I1988" i="27"/>
  <c r="I2344" i="27"/>
  <c r="I1868" i="27"/>
  <c r="I1614" i="27"/>
  <c r="I788" i="27"/>
  <c r="G292" i="27"/>
  <c r="I292" i="27"/>
  <c r="I454" i="27"/>
  <c r="I1339" i="27"/>
  <c r="I2512" i="27"/>
  <c r="G2712" i="27"/>
  <c r="I2712" i="27"/>
  <c r="G212" i="27"/>
  <c r="I212" i="27"/>
  <c r="G2700" i="27"/>
  <c r="I2700" i="27"/>
  <c r="G1292" i="27"/>
  <c r="I1292" i="27"/>
  <c r="I1217" i="27"/>
  <c r="G342" i="27"/>
  <c r="I342" i="27"/>
  <c r="U1582" i="27"/>
  <c r="F1582" i="27"/>
  <c r="M1582" i="27"/>
  <c r="I2977" i="27"/>
  <c r="Z2686" i="27"/>
  <c r="AA2686" i="27"/>
  <c r="U2686" i="27"/>
  <c r="F346" i="27"/>
  <c r="I953" i="27"/>
  <c r="I2054" i="27"/>
  <c r="F802" i="27"/>
  <c r="E2769" i="27"/>
  <c r="Z1501" i="27"/>
  <c r="AA1501" i="27"/>
  <c r="E1631" i="27"/>
  <c r="I2548" i="27"/>
  <c r="I2456" i="27"/>
  <c r="G892" i="27"/>
  <c r="I892" i="27"/>
  <c r="I587" i="27"/>
  <c r="G1452" i="27"/>
  <c r="I1452" i="27"/>
  <c r="I1367" i="27"/>
  <c r="G2093" i="27"/>
  <c r="I2093" i="27"/>
  <c r="G1435" i="27"/>
  <c r="I1435" i="27"/>
  <c r="G1542" i="27"/>
  <c r="I1542" i="27"/>
  <c r="Z1932" i="27"/>
  <c r="U1932" i="27"/>
  <c r="G1860" i="27"/>
  <c r="I1860" i="27"/>
  <c r="G1504" i="27"/>
  <c r="I1504" i="27"/>
  <c r="G2439" i="27"/>
  <c r="I2439" i="27"/>
  <c r="U2733" i="27"/>
  <c r="F2733" i="27"/>
  <c r="M2733" i="27"/>
  <c r="I1919" i="27"/>
  <c r="I1240" i="27"/>
  <c r="I2617" i="27"/>
  <c r="Z2122" i="27"/>
  <c r="AA2122" i="27"/>
  <c r="I198" i="27"/>
  <c r="G2068" i="27"/>
  <c r="I2068" i="27"/>
  <c r="I1617" i="27"/>
  <c r="I1263" i="27"/>
  <c r="G1263" i="27"/>
  <c r="I2055" i="27"/>
  <c r="G3121" i="27"/>
  <c r="I3121" i="27"/>
  <c r="I1680" i="27"/>
  <c r="G3153" i="27"/>
  <c r="I3153" i="27"/>
  <c r="I1828" i="27"/>
  <c r="G1828" i="27"/>
  <c r="I1584" i="27"/>
  <c r="G2747" i="27"/>
  <c r="I2747" i="27"/>
  <c r="G553" i="27"/>
  <c r="I553" i="27"/>
  <c r="Z2123" i="27"/>
  <c r="AA2123" i="27"/>
  <c r="U2123" i="27"/>
  <c r="G1332" i="27"/>
  <c r="I1332" i="27"/>
  <c r="F1248" i="27"/>
  <c r="M1248" i="27"/>
  <c r="U1248" i="27"/>
  <c r="Z1248" i="27"/>
  <c r="AA1248" i="27"/>
  <c r="G2738" i="27"/>
  <c r="I2738" i="27"/>
  <c r="F1576" i="27"/>
  <c r="M1576" i="27"/>
  <c r="Z1576" i="27"/>
  <c r="AA1576" i="27"/>
  <c r="G1665" i="27"/>
  <c r="I1665" i="27"/>
  <c r="I1613" i="27"/>
  <c r="G1613" i="27"/>
  <c r="F1290" i="27"/>
  <c r="M1290" i="27"/>
  <c r="Z1290" i="27"/>
  <c r="AA1290" i="27"/>
  <c r="I394" i="27"/>
  <c r="U1922" i="27"/>
  <c r="F1922" i="27"/>
  <c r="M1922" i="27"/>
  <c r="Z2382" i="27"/>
  <c r="AA2382" i="27"/>
  <c r="U2382" i="27"/>
  <c r="I2397" i="27"/>
  <c r="G2972" i="27"/>
  <c r="I2972" i="27"/>
  <c r="I2384" i="27"/>
  <c r="G439" i="27"/>
  <c r="I439" i="27"/>
  <c r="U1611" i="27"/>
  <c r="F1611" i="27"/>
  <c r="M1611" i="27"/>
  <c r="I2652" i="27"/>
  <c r="Z2106" i="27"/>
  <c r="F2106" i="27"/>
  <c r="M2106" i="27"/>
  <c r="U2106" i="27"/>
  <c r="F1854" i="27"/>
  <c r="M1854" i="27"/>
  <c r="Z1854" i="27"/>
  <c r="AA1854" i="27"/>
  <c r="F1241" i="27"/>
  <c r="M1241" i="27"/>
  <c r="Z1241" i="27"/>
  <c r="AA1241" i="27"/>
  <c r="U1241" i="27"/>
  <c r="AA1935" i="27"/>
  <c r="I1935" i="27"/>
  <c r="M101" i="27"/>
  <c r="I2633" i="27"/>
  <c r="G1037" i="27"/>
  <c r="I1037" i="27"/>
  <c r="U1535" i="27"/>
  <c r="F1535" i="27"/>
  <c r="M1535" i="27"/>
  <c r="Z1535" i="27"/>
  <c r="AA1535" i="27"/>
  <c r="G2412" i="27"/>
  <c r="I2412" i="27"/>
  <c r="I3125" i="27"/>
  <c r="I2792" i="27"/>
  <c r="I2312" i="27"/>
  <c r="I1122" i="27"/>
  <c r="C1515" i="27"/>
  <c r="D1515" i="27"/>
  <c r="E1515" i="27"/>
  <c r="C2139" i="27"/>
  <c r="D2139" i="27"/>
  <c r="E2139" i="27"/>
  <c r="C2935" i="27"/>
  <c r="D1929" i="27"/>
  <c r="E1929" i="27"/>
  <c r="I1751" i="27"/>
  <c r="I1785" i="27"/>
  <c r="I2118" i="27"/>
  <c r="I2734" i="27"/>
  <c r="I274" i="27"/>
  <c r="I1406" i="27"/>
  <c r="I1771" i="27"/>
  <c r="I1554" i="27"/>
  <c r="I1974" i="27"/>
  <c r="I2236" i="27"/>
  <c r="I1380" i="27"/>
  <c r="G1605" i="27"/>
  <c r="I1605" i="27"/>
  <c r="F2814" i="27"/>
  <c r="M2814" i="27"/>
  <c r="U2814" i="27"/>
  <c r="F2014" i="27"/>
  <c r="M2014" i="27"/>
  <c r="Z1352" i="27"/>
  <c r="AA1352" i="27"/>
  <c r="I1821" i="27"/>
  <c r="G1462" i="27"/>
  <c r="I1462" i="27"/>
  <c r="U2687" i="27"/>
  <c r="G1799" i="27"/>
  <c r="I1799" i="27"/>
  <c r="I2450" i="27"/>
  <c r="I621" i="27"/>
  <c r="G2812" i="27"/>
  <c r="I2812" i="27"/>
  <c r="G434" i="27"/>
  <c r="I434" i="27"/>
  <c r="I2382" i="27"/>
  <c r="I2847" i="27"/>
  <c r="I2314" i="27"/>
  <c r="I1600" i="27"/>
  <c r="I2370" i="27"/>
  <c r="AA2106" i="27"/>
  <c r="G1782" i="27"/>
  <c r="I1782" i="27"/>
  <c r="I242" i="27"/>
  <c r="G2289" i="27"/>
  <c r="I2289" i="27"/>
  <c r="F2087" i="27"/>
  <c r="M2087" i="27"/>
  <c r="I1143" i="27"/>
  <c r="G1823" i="27"/>
  <c r="I1823" i="27"/>
  <c r="I2635" i="27"/>
  <c r="G3102" i="27"/>
  <c r="I3102" i="27"/>
  <c r="Z1571" i="27"/>
  <c r="AA1571" i="27"/>
  <c r="F1571" i="27"/>
  <c r="M1571" i="27"/>
  <c r="G1445" i="27"/>
  <c r="I1445" i="27"/>
  <c r="I2310" i="27"/>
  <c r="Z2997" i="27"/>
  <c r="AA2997" i="27"/>
  <c r="G774" i="27"/>
  <c r="I774" i="27"/>
  <c r="G2161" i="27"/>
  <c r="I2161" i="27"/>
  <c r="G480" i="27"/>
  <c r="I480" i="27"/>
  <c r="U1838" i="27"/>
  <c r="Z1838" i="27"/>
  <c r="AA1838" i="27"/>
  <c r="G846" i="27"/>
  <c r="I846" i="27"/>
  <c r="I1853" i="27"/>
  <c r="I1340" i="27"/>
  <c r="I2403" i="27"/>
  <c r="G165" i="27"/>
  <c r="I165" i="27"/>
  <c r="G2132" i="27"/>
  <c r="I2132" i="27"/>
  <c r="G2833" i="27"/>
  <c r="I2833" i="27"/>
  <c r="G1879" i="27"/>
  <c r="I1879" i="27"/>
  <c r="I2273" i="27"/>
  <c r="G642" i="27"/>
  <c r="I642" i="27"/>
  <c r="G1190" i="27"/>
  <c r="I1190" i="27"/>
  <c r="I368" i="27"/>
  <c r="G2501" i="27"/>
  <c r="I2501" i="27"/>
  <c r="I1691" i="27"/>
  <c r="G2405" i="27"/>
  <c r="I2405" i="27"/>
  <c r="I1692" i="27"/>
  <c r="I785" i="27"/>
  <c r="G1431" i="27"/>
  <c r="I1431" i="27"/>
  <c r="Z2172" i="27"/>
  <c r="AA2172" i="27"/>
  <c r="U2172" i="27"/>
  <c r="D2925" i="27"/>
  <c r="E2925" i="27"/>
  <c r="C2968" i="27"/>
  <c r="D2968" i="27"/>
  <c r="E2968" i="27"/>
  <c r="G1745" i="27"/>
  <c r="I1745" i="27"/>
  <c r="G1968" i="27"/>
  <c r="AA1968" i="27"/>
  <c r="I440" i="27"/>
  <c r="Z2325" i="27"/>
  <c r="AA2325" i="27"/>
  <c r="G315" i="27"/>
  <c r="I315" i="27"/>
  <c r="E2239" i="27"/>
  <c r="G2099" i="27"/>
  <c r="I2099" i="27"/>
  <c r="G1002" i="27"/>
  <c r="I1002" i="27"/>
  <c r="I939" i="27"/>
  <c r="G2293" i="27"/>
  <c r="I2293" i="27"/>
  <c r="G2175" i="27"/>
  <c r="I2175" i="27"/>
  <c r="I873" i="27"/>
  <c r="I1781" i="27"/>
  <c r="I552" i="27"/>
  <c r="I622" i="27"/>
  <c r="G137" i="27"/>
  <c r="I137" i="27"/>
  <c r="G645" i="27"/>
  <c r="I645" i="27"/>
  <c r="G1227" i="27"/>
  <c r="I1227" i="27"/>
  <c r="G1333" i="27"/>
  <c r="I1333" i="27"/>
  <c r="G256" i="27"/>
  <c r="I256" i="27"/>
  <c r="G261" i="27"/>
  <c r="I261" i="27"/>
  <c r="G771" i="27"/>
  <c r="I771" i="27"/>
  <c r="I921" i="27"/>
  <c r="I2695" i="27"/>
  <c r="G2695" i="27"/>
  <c r="I2672" i="27"/>
  <c r="G2672" i="27"/>
  <c r="I390" i="27"/>
  <c r="G821" i="27"/>
  <c r="I821" i="27"/>
  <c r="G940" i="27"/>
  <c r="I940" i="27"/>
  <c r="G3136" i="27"/>
  <c r="I3136" i="27"/>
  <c r="G102" i="27"/>
  <c r="I102" i="27"/>
  <c r="F1522" i="27"/>
  <c r="M1522" i="27"/>
  <c r="Z1522" i="27"/>
  <c r="AA1522" i="27"/>
  <c r="I476" i="27"/>
  <c r="F2444" i="27"/>
  <c r="M2444" i="27"/>
  <c r="G817" i="27"/>
  <c r="I817" i="27"/>
  <c r="I2493" i="27"/>
  <c r="G1276" i="27"/>
  <c r="I1276" i="27"/>
  <c r="G463" i="27"/>
  <c r="I463" i="27"/>
  <c r="G359" i="27"/>
  <c r="I359" i="27"/>
  <c r="I1001" i="27"/>
  <c r="G248" i="27"/>
  <c r="I248" i="27"/>
  <c r="G2667" i="27"/>
  <c r="I2667" i="27"/>
  <c r="G176" i="27"/>
  <c r="I176" i="27"/>
  <c r="G311" i="27"/>
  <c r="I311" i="27"/>
  <c r="G1154" i="27"/>
  <c r="I1154" i="27"/>
  <c r="Z2459" i="27"/>
  <c r="AA2459" i="27"/>
  <c r="F2459" i="27"/>
  <c r="M2459" i="27"/>
  <c r="U2459" i="27"/>
  <c r="I1524" i="27"/>
  <c r="Z1315" i="27"/>
  <c r="AA1315" i="27"/>
  <c r="U1315" i="27"/>
  <c r="F1315" i="27"/>
  <c r="M1315" i="27"/>
  <c r="G3161" i="27"/>
  <c r="I3161" i="27"/>
  <c r="I1078" i="27"/>
  <c r="G3156" i="27"/>
  <c r="I3156" i="27"/>
  <c r="G764" i="27"/>
  <c r="I764" i="27"/>
  <c r="Z1612" i="27"/>
  <c r="AA1612" i="27"/>
  <c r="I1268" i="27"/>
  <c r="I523" i="27"/>
  <c r="G2228" i="27"/>
  <c r="I2228" i="27"/>
  <c r="F2149" i="27"/>
  <c r="M2149" i="27"/>
  <c r="U2149" i="27"/>
  <c r="G887" i="27"/>
  <c r="I887" i="27"/>
  <c r="I1855" i="27"/>
  <c r="G2810" i="27"/>
  <c r="I2810" i="27"/>
  <c r="G393" i="27"/>
  <c r="I393" i="27"/>
  <c r="G2297" i="27"/>
  <c r="I2297" i="27"/>
  <c r="I474" i="27"/>
  <c r="U1251" i="27"/>
  <c r="F1251" i="27"/>
  <c r="M1251" i="27"/>
  <c r="I610" i="27"/>
  <c r="I2315" i="27"/>
  <c r="G1289" i="27"/>
  <c r="I1289" i="27"/>
  <c r="I384" i="27"/>
  <c r="G384" i="27"/>
  <c r="I2555" i="27"/>
  <c r="G1193" i="27"/>
  <c r="I1193" i="27"/>
  <c r="G997" i="27"/>
  <c r="I997" i="27"/>
  <c r="G1009" i="27"/>
  <c r="I1009" i="27"/>
  <c r="G495" i="27"/>
  <c r="I495" i="27"/>
  <c r="G253" i="27"/>
  <c r="I253" i="27"/>
  <c r="I404" i="27"/>
  <c r="I726" i="27"/>
  <c r="G726" i="27"/>
  <c r="G1324" i="27"/>
  <c r="I1324" i="27"/>
  <c r="I3108" i="27"/>
  <c r="I465" i="27"/>
  <c r="I232" i="27"/>
  <c r="I329" i="27"/>
  <c r="I752" i="27"/>
  <c r="U1136" i="27"/>
  <c r="F1136" i="27"/>
  <c r="M1136" i="27"/>
  <c r="AB1136" i="27"/>
  <c r="AA1136" i="27"/>
  <c r="I215" i="27"/>
  <c r="Z1136" i="27"/>
  <c r="G1430" i="27"/>
  <c r="I1430" i="27"/>
  <c r="G2261" i="27"/>
  <c r="I2261" i="27"/>
  <c r="I318" i="27"/>
  <c r="G1057" i="27"/>
  <c r="I1057" i="27"/>
  <c r="G2231" i="27"/>
  <c r="I2231" i="27"/>
  <c r="G647" i="27"/>
  <c r="I647" i="27"/>
  <c r="G3115" i="27"/>
  <c r="I3115" i="27"/>
  <c r="I1015" i="27"/>
  <c r="G1136" i="27"/>
  <c r="I1136" i="27"/>
  <c r="G2459" i="27"/>
  <c r="I2459" i="27"/>
  <c r="G1535" i="27"/>
  <c r="I1535" i="27"/>
  <c r="G1854" i="27"/>
  <c r="I1854" i="27"/>
  <c r="G2301" i="27"/>
  <c r="I2301" i="27"/>
  <c r="F1163" i="27"/>
  <c r="M39" i="27"/>
  <c r="F44" i="27"/>
  <c r="G2933" i="27"/>
  <c r="I2933" i="27"/>
  <c r="G2666" i="27"/>
  <c r="I2666" i="27"/>
  <c r="G2798" i="27"/>
  <c r="I2798" i="27"/>
  <c r="G1522" i="27"/>
  <c r="I1522" i="27"/>
  <c r="I1968" i="27"/>
  <c r="G1571" i="27"/>
  <c r="I1571" i="27"/>
  <c r="Z1929" i="27"/>
  <c r="U1929" i="27"/>
  <c r="F1929" i="27"/>
  <c r="M1929" i="27"/>
  <c r="E2000" i="27"/>
  <c r="E1998" i="27"/>
  <c r="E3021" i="27"/>
  <c r="G2754" i="27"/>
  <c r="I2754" i="27"/>
  <c r="G2046" i="27"/>
  <c r="I2046" i="27"/>
  <c r="G1651" i="27"/>
  <c r="I1651" i="27"/>
  <c r="D2935" i="27"/>
  <c r="E2935" i="27"/>
  <c r="C2978" i="27"/>
  <c r="D2978" i="27"/>
  <c r="E2978" i="27"/>
  <c r="G2106" i="27"/>
  <c r="I2106" i="27"/>
  <c r="G1576" i="27"/>
  <c r="I1576" i="27"/>
  <c r="G1906" i="27"/>
  <c r="I1906" i="27"/>
  <c r="G1321" i="27"/>
  <c r="I1321" i="27"/>
  <c r="I1381" i="27"/>
  <c r="G1381" i="27"/>
  <c r="M13" i="27"/>
  <c r="F35" i="27"/>
  <c r="G2418" i="27"/>
  <c r="I2418" i="27"/>
  <c r="Z2776" i="27"/>
  <c r="AA2776" i="27"/>
  <c r="U2776" i="27"/>
  <c r="G1319" i="27"/>
  <c r="I1319" i="27"/>
  <c r="E347" i="27"/>
  <c r="E1170" i="27"/>
  <c r="E1173" i="27"/>
  <c r="G2585" i="27"/>
  <c r="I2585" i="27"/>
  <c r="F2968" i="27"/>
  <c r="M2968" i="27"/>
  <c r="U2968" i="27"/>
  <c r="Z2968" i="27"/>
  <c r="AA2968" i="27"/>
  <c r="U1515" i="27"/>
  <c r="Z1515" i="27"/>
  <c r="AA1515" i="27"/>
  <c r="F1515" i="27"/>
  <c r="M1515" i="27"/>
  <c r="E1564" i="27"/>
  <c r="E3019" i="27"/>
  <c r="G2776" i="27"/>
  <c r="I2776" i="27"/>
  <c r="G68" i="27"/>
  <c r="I68" i="27"/>
  <c r="G1890" i="27"/>
  <c r="I1890" i="27"/>
  <c r="G194" i="27"/>
  <c r="I194" i="27"/>
  <c r="G2442" i="27"/>
  <c r="I2442" i="27"/>
  <c r="I1973" i="27"/>
  <c r="F2139" i="27"/>
  <c r="M2139" i="27"/>
  <c r="Z2139" i="27"/>
  <c r="AA2139" i="27"/>
  <c r="U2139" i="27"/>
  <c r="U68" i="27"/>
  <c r="Z68" i="27"/>
  <c r="AA68" i="27"/>
  <c r="G1251" i="27"/>
  <c r="I1251" i="27"/>
  <c r="U2925" i="27"/>
  <c r="F2925" i="27"/>
  <c r="M2925" i="27"/>
  <c r="Z2925" i="27"/>
  <c r="AA2925" i="27"/>
  <c r="G101" i="27"/>
  <c r="I101" i="27"/>
  <c r="G1611" i="27"/>
  <c r="I1611" i="27"/>
  <c r="G2124" i="27"/>
  <c r="I2124" i="27"/>
  <c r="I2579" i="27"/>
  <c r="G2579" i="27"/>
  <c r="M880" i="27"/>
  <c r="F981" i="27"/>
  <c r="F1170" i="27"/>
  <c r="G2976" i="27"/>
  <c r="I2976" i="27"/>
  <c r="E2182" i="27"/>
  <c r="G2823" i="27"/>
  <c r="I2823" i="27"/>
  <c r="I2149" i="27"/>
  <c r="G2149" i="27"/>
  <c r="G2125" i="27"/>
  <c r="I2125" i="27"/>
  <c r="G1922" i="27"/>
  <c r="AA1922" i="27"/>
  <c r="I1922" i="27"/>
  <c r="G2669" i="27"/>
  <c r="I2669" i="27"/>
  <c r="F3178" i="27"/>
  <c r="M3178" i="27"/>
  <c r="U3178" i="27"/>
  <c r="G2016" i="27"/>
  <c r="I2016" i="27"/>
  <c r="G1315" i="27"/>
  <c r="I1315" i="27"/>
  <c r="G1290" i="27"/>
  <c r="I1290" i="27"/>
  <c r="G1248" i="27"/>
  <c r="I1248" i="27"/>
  <c r="G2975" i="27"/>
  <c r="I2975" i="27"/>
  <c r="G2596" i="27"/>
  <c r="I2596" i="27"/>
  <c r="E2859" i="27"/>
  <c r="M52" i="27"/>
  <c r="F97" i="27"/>
  <c r="U2596" i="27"/>
  <c r="Z2596" i="27"/>
  <c r="AA2596" i="27"/>
  <c r="G2086" i="27"/>
  <c r="I2086" i="27"/>
  <c r="G1579" i="27"/>
  <c r="I1579" i="27"/>
  <c r="G2731" i="27"/>
  <c r="I2731" i="27"/>
  <c r="G1758" i="27"/>
  <c r="I1758" i="27"/>
  <c r="G2087" i="27"/>
  <c r="I2087" i="27"/>
  <c r="G2014" i="27"/>
  <c r="I2014" i="27"/>
  <c r="G1582" i="27"/>
  <c r="I1582" i="27"/>
  <c r="G2751" i="27"/>
  <c r="I2751" i="27"/>
  <c r="E97" i="27"/>
  <c r="G2973" i="27"/>
  <c r="I2973" i="27"/>
  <c r="G2444" i="27"/>
  <c r="I2444" i="27"/>
  <c r="G1241" i="27"/>
  <c r="I1241" i="27"/>
  <c r="G1364" i="27"/>
  <c r="I1364" i="27"/>
  <c r="G2453" i="27"/>
  <c r="I2453" i="27"/>
  <c r="G2844" i="27"/>
  <c r="I2844" i="27"/>
  <c r="G2970" i="27"/>
  <c r="I2970" i="27"/>
  <c r="G2974" i="27"/>
  <c r="I2974" i="27"/>
  <c r="G2814" i="27"/>
  <c r="I2814" i="27"/>
  <c r="G2733" i="27"/>
  <c r="I2733" i="27"/>
  <c r="G2830" i="27"/>
  <c r="I2830" i="27"/>
  <c r="G778" i="27"/>
  <c r="I778" i="27"/>
  <c r="E3016" i="27"/>
  <c r="I1979" i="27"/>
  <c r="Z2978" i="27"/>
  <c r="AA2978" i="27"/>
  <c r="U2978" i="27"/>
  <c r="F2978" i="27"/>
  <c r="M2978" i="27"/>
  <c r="G2968" i="27"/>
  <c r="I2968" i="27"/>
  <c r="G13" i="27"/>
  <c r="C78" i="27"/>
  <c r="D78" i="27"/>
  <c r="D94" i="27"/>
  <c r="I13" i="27"/>
  <c r="U2935" i="27"/>
  <c r="Z2935" i="27"/>
  <c r="AA2935" i="27"/>
  <c r="F2935" i="27"/>
  <c r="M2935" i="27"/>
  <c r="G39" i="27"/>
  <c r="I39" i="27"/>
  <c r="G52" i="27"/>
  <c r="I52" i="27"/>
  <c r="E3029" i="27"/>
  <c r="G3178" i="27"/>
  <c r="I3178" i="27"/>
  <c r="G1515" i="27"/>
  <c r="I1515" i="27"/>
  <c r="E2961" i="27"/>
  <c r="G2139" i="27"/>
  <c r="I2139" i="27"/>
  <c r="G1929" i="27"/>
  <c r="AA1929" i="27"/>
  <c r="I1929" i="27"/>
  <c r="I880" i="27"/>
  <c r="G880" i="27"/>
  <c r="G2925" i="27"/>
  <c r="I2925" i="27"/>
  <c r="E3003" i="27"/>
  <c r="G2935" i="27"/>
  <c r="I2935" i="27"/>
  <c r="G2978" i="27"/>
  <c r="I2978" i="27"/>
  <c r="E1163" i="3" l="1"/>
</calcChain>
</file>

<file path=xl/sharedStrings.xml><?xml version="1.0" encoding="utf-8"?>
<sst xmlns="http://schemas.openxmlformats.org/spreadsheetml/2006/main" count="21318" uniqueCount="1230">
  <si>
    <t>УТВЕРЖДАЮ</t>
  </si>
  <si>
    <t>Смена 1</t>
  </si>
  <si>
    <t>Ген. директор ООО КО "Сокол"</t>
  </si>
  <si>
    <t>№</t>
  </si>
  <si>
    <t>Наименование</t>
  </si>
  <si>
    <t>Плановое кол-во корпуса</t>
  </si>
  <si>
    <t>Фактическое кол-во корпуса</t>
  </si>
  <si>
    <t>План</t>
  </si>
  <si>
    <t>Факт</t>
  </si>
  <si>
    <t xml:space="preserve">кол-во людей </t>
  </si>
  <si>
    <t>время</t>
  </si>
  <si>
    <t>кор</t>
  </si>
  <si>
    <t>шт</t>
  </si>
  <si>
    <t>кг</t>
  </si>
  <si>
    <t>варка</t>
  </si>
  <si>
    <t>Телеги</t>
  </si>
  <si>
    <t>ч.</t>
  </si>
  <si>
    <t>Конфеты суфле "SPAR" глазир. ваниль 200г (12)</t>
  </si>
  <si>
    <t>т</t>
  </si>
  <si>
    <t>под</t>
  </si>
  <si>
    <t>Конфеты суфле "Clever" глазир. ваниль 200г (12)</t>
  </si>
  <si>
    <t>Конфеты суфле "Жизель" глазир. пломбир 200г (20)</t>
  </si>
  <si>
    <t>Конфеты суфле "Жизель" глазир. пломбир 2,0 кг</t>
  </si>
  <si>
    <t>Конфеты суфле "Жизель" глазир. крем-брюле 200г (20)</t>
  </si>
  <si>
    <t>Конфеты суфле "Жизель" глазир. ваниль 200г (20)</t>
  </si>
  <si>
    <t>Конфеты суфле "Жизель" глазир. ваниль 2,0 кг</t>
  </si>
  <si>
    <t>Конфеты суфле "Жизель" глазир. ваниль 200г (12)</t>
  </si>
  <si>
    <t>Конфеты суфле "Жизель" глазир. ваниль 280г (пакет)</t>
  </si>
  <si>
    <t>Конфеты суфле "Milla Vanila" глазир. ваниль 280г (пакет)</t>
  </si>
  <si>
    <t>Конфеты суфле "Квартал" глазир. ваниль 250г (пакет)</t>
  </si>
  <si>
    <t>Конфеты суфле "Жизель" глазир. крем-брюле 2,0 кг</t>
  </si>
  <si>
    <t>Конфеты суфле "Квартал" глазир. клубника 250г (пакет)</t>
  </si>
  <si>
    <t>Конфеты суфле завернутые глазир. ваниль 2,0 кг</t>
  </si>
  <si>
    <t>Конфеты суфле завернутые глазир. клубника 2,0 кг</t>
  </si>
  <si>
    <t>Конфеты суфле завернутые глазир. шоколад 2,0 кг</t>
  </si>
  <si>
    <t>Конфеты суфле "Жизель" диз. 8 Марта глазир. ваниль 200г (12)</t>
  </si>
  <si>
    <t>Возвратные отходы суфле</t>
  </si>
  <si>
    <t>Итого корпусов суфле</t>
  </si>
  <si>
    <t>Варка суфле с желейным слоем</t>
  </si>
  <si>
    <t>Конфеты с желейным слоем лимон 3 кг (суфле)</t>
  </si>
  <si>
    <t>Конфеты с желейным слоем слива 3 кг (суфле)</t>
  </si>
  <si>
    <t>Конфеты с желейным слоем персик 3 кг (суфле)</t>
  </si>
  <si>
    <t>Возвратные отходы желе</t>
  </si>
  <si>
    <t>Итого корпусов Желе</t>
  </si>
  <si>
    <t>Варка пастилы</t>
  </si>
  <si>
    <t>"Сокол-пай" пастила глазир. с ароматом апельсина 40гр 28шт</t>
  </si>
  <si>
    <t>"Сокол-пай" пастила глазир. с ароматом банана 40гр 28шт</t>
  </si>
  <si>
    <t>"Сокол-пай" пастила глазир. с ароматом кокоса 40гр 28шт</t>
  </si>
  <si>
    <t>Пастила с ароматом апельсина 4 кг</t>
  </si>
  <si>
    <t>Пастила с ароматом банана 4 кг</t>
  </si>
  <si>
    <t>Пастила с ароматом кокоса 4 кг</t>
  </si>
  <si>
    <t>Пастила с арахисом 5 кг</t>
  </si>
  <si>
    <t>Возвратные отходы пастилы</t>
  </si>
  <si>
    <t>Итого корпусов пастилы</t>
  </si>
  <si>
    <t>Резка суфле</t>
  </si>
  <si>
    <t>Резка суфле с желейным слоем</t>
  </si>
  <si>
    <t xml:space="preserve">Конфеты с желейным слоем лимон 3 кг </t>
  </si>
  <si>
    <t xml:space="preserve">Конфеты с желейным слоем слива 3 кг </t>
  </si>
  <si>
    <t xml:space="preserve">Конфеты с желейным слоем персик 3 кг </t>
  </si>
  <si>
    <t>Резка пастилы</t>
  </si>
  <si>
    <t xml:space="preserve"> Зефир на агаре</t>
  </si>
  <si>
    <t xml:space="preserve">Зеф. в йог .Новинка 2,8кг </t>
  </si>
  <si>
    <t>Зеф. в шок."Жизель" 8 МАРТА" 180гр</t>
  </si>
  <si>
    <t>Зеф. в шок."Жизель" Extrf light" 180гр</t>
  </si>
  <si>
    <t>Зеф. в шок."Жизель  180гр</t>
  </si>
  <si>
    <t>Зеф.в шок."Лучшая цена"150г (26)</t>
  </si>
  <si>
    <t xml:space="preserve">Зеф. в шок."Наш Продукт" 250г(10)  </t>
  </si>
  <si>
    <t xml:space="preserve">Зеф. в шок."7 Континент" 250г(10)  </t>
  </si>
  <si>
    <t>Зеф. в шок."Виктория"  250гр</t>
  </si>
  <si>
    <t xml:space="preserve">Зеф. в шок."SPAR" 250г(10)  </t>
  </si>
  <si>
    <t xml:space="preserve">Зеф. в шок."Ласковый шепот"   250гр </t>
  </si>
  <si>
    <t>Зеф. в шок."Жизель" ваниль   250гр Новогодний</t>
  </si>
  <si>
    <t xml:space="preserve">Зеф. в шок."Жизель" ваниль   250гр </t>
  </si>
  <si>
    <t xml:space="preserve">Зеф. в йог."Наш продукт" 250г(10)  </t>
  </si>
  <si>
    <t>Зеф. в йог."Жизель" ваниль   200гр</t>
  </si>
  <si>
    <t>Зеф. в йог."Жизель" ваниль   250гр</t>
  </si>
  <si>
    <t>Возвратные отходы агар</t>
  </si>
  <si>
    <t>Итого корпусов зефира</t>
  </si>
  <si>
    <t>Зеф.в шок."Сокол "  глазированный  200 г (18) на фруктозе</t>
  </si>
  <si>
    <t xml:space="preserve">Зеф. в с/п "Сокол" 250г  ваниль на фруктозе  </t>
  </si>
  <si>
    <t xml:space="preserve">Зеф. в с/п "Сокол" 250г  малина на фруктозе </t>
  </si>
  <si>
    <t xml:space="preserve">Зеф. в йог. с виш. нач. 2,5кг </t>
  </si>
  <si>
    <t>Зеф. Жизель в йог.с фруктов.напол.в цв.инд.упак.  4кг</t>
  </si>
  <si>
    <t>Зеф. Сокол Пай в шок.с фруктовым наполн. 250г  (10 зеф.)</t>
  </si>
  <si>
    <t>Зеф. Сокол Пай в шок.с фруктовым наполн. 250г  (8 зеф.)</t>
  </si>
  <si>
    <t xml:space="preserve">Зеф. в шок."Жизель" с виш.н. 2,5кг </t>
  </si>
  <si>
    <t>Зеф. Сокол Пай в шок.с вар сгущ . 200г (8 зеф)</t>
  </si>
  <si>
    <t xml:space="preserve">Зеф. Сокол Пай в шок.с вар. сгущ . 250г </t>
  </si>
  <si>
    <t>Зеф. в шок."Жизель" с кар.н. 2,5кг</t>
  </si>
  <si>
    <t>Зеф.Сокол Пай глазиров. с ар.кр.бр с кар.нач. 25 гр</t>
  </si>
  <si>
    <t>Зеф.в с/п с ар.крем бр. с кар. нач. 3,0 кг</t>
  </si>
  <si>
    <t xml:space="preserve">Зеф. в йог. с карам. нач. 2,5кг </t>
  </si>
  <si>
    <t xml:space="preserve">Зеф. в йог .Жизель в ин  цв. уп 4кг </t>
  </si>
  <si>
    <t xml:space="preserve">Зеф. в  йог . ван 2,5кг </t>
  </si>
  <si>
    <t>Зеф.в шок."Сокол " глазированный 200 г (18)</t>
  </si>
  <si>
    <t>Зеф.в шок."365 Дней " глазированный 200 г (18)</t>
  </si>
  <si>
    <t>Зеф. в шок. ван 3,0 кг в телевизоры</t>
  </si>
  <si>
    <t xml:space="preserve">Зеф. в шок. ван 2,5кг </t>
  </si>
  <si>
    <t>Зеф. в  Сок.Пай   глазированный  200г  (10 зеф)</t>
  </si>
  <si>
    <t xml:space="preserve">Зеф  в шок в инд   цвет. упак 4 кг </t>
  </si>
  <si>
    <t>Зеф. в с/п ваниль (половинки) 4кг</t>
  </si>
  <si>
    <t>Зеф. в с/п "Лучшая цена"ван. 130г</t>
  </si>
  <si>
    <t>Зеф. в с/п ваниль  3,2 кг  в телевизоры</t>
  </si>
  <si>
    <t>Зеф. в с/п Наш Продукт" ваниль 250г</t>
  </si>
  <si>
    <t>Зеф. в с/п Не переплачивай ваниль 250г</t>
  </si>
  <si>
    <t>Зеф. в с/п "Жизель" 250г ваниль. "Billa"</t>
  </si>
  <si>
    <t xml:space="preserve">Зеф. в с/п "Жизель" 260г ваниль  </t>
  </si>
  <si>
    <t xml:space="preserve">Зеф. в с/п  260г сливки        </t>
  </si>
  <si>
    <t>Зеф. "Сокол-пай" в с/п ван. "5 витаминов" 3кг</t>
  </si>
  <si>
    <t xml:space="preserve">Зеф. "Сокол" в с/п  200г сливки        </t>
  </si>
  <si>
    <t>Зеф.в с/п Радость Слад.  ваниль. 260</t>
  </si>
  <si>
    <t>Зеф. в с/п Наш Продукт крем-бр. 250г</t>
  </si>
  <si>
    <t>Зеф. в с/п Не переплачивай кр.- бр. 250г</t>
  </si>
  <si>
    <t>Зеф. в с/п "Жизель" 250г крем-бр. "Billa"</t>
  </si>
  <si>
    <t xml:space="preserve">Зеф. в с/п "Жизель" 250г крем-бр.     </t>
  </si>
  <si>
    <t>Зеф. в с/п крем брюл  3,2 кг в телевизоры</t>
  </si>
  <si>
    <t>Зеф.в с/п с ар. мал. с виш. нач. 4,0 кг</t>
  </si>
  <si>
    <t xml:space="preserve">Зеф. в с/п  260г малина   </t>
  </si>
  <si>
    <t>Зеф. в с/п малина 3,2 кг  для Бело-розового в телевизоры</t>
  </si>
  <si>
    <t>Возвратные отходы пектин</t>
  </si>
  <si>
    <t xml:space="preserve"> Итого корпуса зефира</t>
  </si>
  <si>
    <t xml:space="preserve">Итого </t>
  </si>
  <si>
    <t>Непрерывная линия</t>
  </si>
  <si>
    <t xml:space="preserve">Зеф. в с/п ваниль 4кг  </t>
  </si>
  <si>
    <t xml:space="preserve">Зеф. в с/п "Наш Продукт" 250г ваниль. </t>
  </si>
  <si>
    <t>Зеф.в с/п Жизель ваниль. 260</t>
  </si>
  <si>
    <t xml:space="preserve">Зеф. в с/п крем брюле 4кг  </t>
  </si>
  <si>
    <t>Зеф. в с/п "Наш Продукт" крем-бр. 250г</t>
  </si>
  <si>
    <t xml:space="preserve">Итого корпусов зефира </t>
  </si>
  <si>
    <t>Итого  зефира на агаре</t>
  </si>
  <si>
    <t>Итого  зефира на пектине</t>
  </si>
  <si>
    <t>ИТОГО ЗЕФИРА</t>
  </si>
  <si>
    <t>12:00-14:00</t>
  </si>
  <si>
    <t>Йогуртовая линия</t>
  </si>
  <si>
    <t>Итого</t>
  </si>
  <si>
    <t>Линия эквивалент</t>
  </si>
  <si>
    <t>Опудривание пастилы</t>
  </si>
  <si>
    <t>Полуавтоматическая линия сахарной пудры</t>
  </si>
  <si>
    <t>Непрерывная линия сахарной пудры</t>
  </si>
  <si>
    <t>FLOY PAK 1</t>
  </si>
  <si>
    <t>FLOY PAK 3</t>
  </si>
  <si>
    <t>FLOY PAK Большой китайский</t>
  </si>
  <si>
    <t>FLOY PAK Китайский маленький</t>
  </si>
  <si>
    <t>FLOY PAK 2</t>
  </si>
  <si>
    <t>Термоупаковка 1</t>
  </si>
  <si>
    <t>Набор конфет "Изысканность" 1/150г с орех-крем. начинкой</t>
  </si>
  <si>
    <t>Набор конфет "Изысканность" 1/150г с шокол-крем. начинкой</t>
  </si>
  <si>
    <t>Итого зефира</t>
  </si>
  <si>
    <t>Итого конфет</t>
  </si>
  <si>
    <t>Термоупаковка 2</t>
  </si>
  <si>
    <t>Сборка подарочного набора</t>
  </si>
  <si>
    <t>Конфеты ассорти "Букет" 1/150 г (ассорти)</t>
  </si>
  <si>
    <t>Конфеты ассорти "Шампанское" 350 гр</t>
  </si>
  <si>
    <t>Под.набор " Сумочка" 250 гр</t>
  </si>
  <si>
    <t>Под.набор  " Снежинка" 150 гр</t>
  </si>
  <si>
    <t>Под.набор  " Дракон" 250 гр</t>
  </si>
  <si>
    <t>Подарочный набор "Конфета" 500 г</t>
  </si>
  <si>
    <t xml:space="preserve"> Линия ONE SHOT (день)</t>
  </si>
  <si>
    <t xml:space="preserve">Конфеты "Изысканность"  сердца на синем фоне 8,0 кг </t>
  </si>
  <si>
    <t xml:space="preserve">Конфеты "Изысканность"  сердца на красном фоне фоне 8,0 кг </t>
  </si>
  <si>
    <t xml:space="preserve">Конфеты "Изысканность"  сердца на   белом  фоне 8,0 кг </t>
  </si>
  <si>
    <t xml:space="preserve">Конфеты "Изысканность"  Собака 8,0 кг </t>
  </si>
  <si>
    <t xml:space="preserve">Конфеты "Изысканность"  Кошка 8,0 кг </t>
  </si>
  <si>
    <t xml:space="preserve">Конфеты "Изысканность"  Дед Мороз 8,0 кг </t>
  </si>
  <si>
    <t xml:space="preserve">Конфеты "Зоопарк сюрприз"  петушок 10 кг </t>
  </si>
  <si>
    <t xml:space="preserve">Конфеты "Зоопарк сюрприз" белочка 10 кг </t>
  </si>
  <si>
    <t xml:space="preserve">Конфеты "Зоопарк сюрприз" снеговик 10 кг </t>
  </si>
  <si>
    <t xml:space="preserve">Конфеты "Зоопарк сюрприз" дракон 10 кг </t>
  </si>
  <si>
    <t xml:space="preserve">Конфеты "Зоопарк сюрприз" Дед мороз 10 кг </t>
  </si>
  <si>
    <t xml:space="preserve">Конфеты "Зоопарк сюрприз" Мишки на льдине 10 кг </t>
  </si>
  <si>
    <t>Конфеты Изысканность с шок-крем. Нач 50 гр 42 шт (сердечки)</t>
  </si>
  <si>
    <t>Набор конфет "Изысканность" 1/150г с орех-кремов начинкой</t>
  </si>
  <si>
    <t>Набор конфет "Изысканность" 1/150г с шок-кремов начинкой</t>
  </si>
  <si>
    <t xml:space="preserve"> Линия ONE SHOT (Ночь)</t>
  </si>
  <si>
    <t xml:space="preserve"> Вертикальная установка</t>
  </si>
  <si>
    <t>Конфеты "Зоопарк сюрприз" Мишки на льдине 300г 28шт</t>
  </si>
  <si>
    <t>Кон."Изысканность"  сердца на красном фоне фоне 300г 24шт</t>
  </si>
  <si>
    <t>Кон."Изысканность"  сердца на синем фоне 300г 24шт</t>
  </si>
  <si>
    <t>Конфеты суфле "Жизель" глазир. ваниль 200г 20 шт</t>
  </si>
  <si>
    <t>Конфеты суфле "Жизель" глазир. пломбир 200г 20 шт</t>
  </si>
  <si>
    <t>Конфеты суфле "Жизель" глазир. крем-брюле 200г 20 шт</t>
  </si>
  <si>
    <t>Итого готового зефира</t>
  </si>
  <si>
    <t>Итого готовых конфет</t>
  </si>
  <si>
    <t>Итого готовой продукции</t>
  </si>
  <si>
    <t>Участок ОГН</t>
  </si>
  <si>
    <t>Маленький конш</t>
  </si>
  <si>
    <t>Орехово-кремовая начинка</t>
  </si>
  <si>
    <t>Молочно-кремовая начинка</t>
  </si>
  <si>
    <t>Шоколадно-кремовая начинка</t>
  </si>
  <si>
    <t xml:space="preserve">Большой конш </t>
  </si>
  <si>
    <t>Оболочка темная/глазурь шоколадная</t>
  </si>
  <si>
    <t>Картонажный участок</t>
  </si>
  <si>
    <t>Напечатка кроя</t>
  </si>
  <si>
    <t>Подготовка кроя</t>
  </si>
  <si>
    <t>Конфеты суфле "Жизель" диз. 8 Марта глаз. ваниль 200г (12) дно</t>
  </si>
  <si>
    <t>Конфеты суфле "Жизель" диз. 8 Марта глаз. ваниль 200г (12) крышка</t>
  </si>
  <si>
    <t>Конфеты суфле "Clever" глазир. ваниль 200г (12) дно</t>
  </si>
  <si>
    <t>Конфеты суфле "Clever" глазир. ваниль 200г (12) крышка</t>
  </si>
  <si>
    <t>Зеф. в шок."Жизель" 8 МАРТА" 180гр дно</t>
  </si>
  <si>
    <t>Зеф. в шок."Жизель" 8 МАРТА" 180гр крышка</t>
  </si>
  <si>
    <t>Зеф. в шок."Жизель" Extrf light" 180гр дно</t>
  </si>
  <si>
    <t>Зеф. в шок."Жизель" Extrf light" 180гр крышка</t>
  </si>
  <si>
    <t>Зеф. в шок."Жизель  180гр дно</t>
  </si>
  <si>
    <t>Зеф. в шок."Жизель  180гр крышка</t>
  </si>
  <si>
    <t>Зеф. в шок."Наш Продукт" 250г(10)  дно</t>
  </si>
  <si>
    <t>Зеф. в шок."Наш Продукт" 250г(10)   крышка</t>
  </si>
  <si>
    <t>Зеф. в шок."7 Континент" 250г(10)  дно</t>
  </si>
  <si>
    <t>Зеф. в шок."7 Континент" 250г(10)  крышка</t>
  </si>
  <si>
    <t>Зеф. в шок."Виктория"  250гр дно</t>
  </si>
  <si>
    <t>Зеф. в шок."Виктория"  250гр крышка</t>
  </si>
  <si>
    <t>Зеф. в шок."Жизель" ваниль   250гр Новогодний дно</t>
  </si>
  <si>
    <t>Зеф. в шок."Жизель" ваниль   250гр Новогодний крышка</t>
  </si>
  <si>
    <t>Зеф. в шок."Жизель" ваниль   250гр  дно</t>
  </si>
  <si>
    <t>Зеф. в шок."Жизель" ваниль   250гр крышка</t>
  </si>
  <si>
    <t>Набор конфет "Изысканность" 1/150г с орех-крем. начинкой дно</t>
  </si>
  <si>
    <t>Набор конфет "Изысканность" 1/150г с орех-крем. начинкой крышка</t>
  </si>
  <si>
    <t>Набор конфет "Изысканность" 1/150г с шокол-крем. начинкой дно</t>
  </si>
  <si>
    <t>Набор конфет "Изысканность" 1/150г с шокол-крем. нач. крышка</t>
  </si>
  <si>
    <t>Задание получил:  _____________________</t>
  </si>
  <si>
    <t xml:space="preserve">Зеф. Сокол Пай в шок.с фрук. напол . 200г </t>
  </si>
  <si>
    <t xml:space="preserve">начинка вишня </t>
  </si>
  <si>
    <t xml:space="preserve">Зеф. в с/кр.бр. 4кг  </t>
  </si>
  <si>
    <t xml:space="preserve">Зеф. Жизель в шок.с варен. сгущ в инд. цв.упак. 4 кг </t>
  </si>
  <si>
    <t>Задание составил Нач.производства              _____________________ Корнилова Л.А.</t>
  </si>
  <si>
    <t>Зеф. в с/п "Жизель" ваниль 340 гр 16 вл.</t>
  </si>
  <si>
    <t xml:space="preserve">Зеф. в с/п ваниль 2,4кг  </t>
  </si>
  <si>
    <t>Зеф.в шок."Жизель " глазированный 360 г (10)</t>
  </si>
  <si>
    <t>Зеф. в шок."Жизель" Extrf light" 180гр (на пектине)</t>
  </si>
  <si>
    <t>Зеф. в с/п "Жизель"   340 гр 16 вл кр.бр.</t>
  </si>
  <si>
    <t>Зеф. в с/п ваниль 3,2 кг в телевизоры</t>
  </si>
  <si>
    <t>Зеф. в с/п "Жизель" кр.бр.  340 гр 16 вл.</t>
  </si>
  <si>
    <t>Зеф. Наш продукт глазированный 250г  (на пектине)</t>
  </si>
  <si>
    <t>Зеф.  7 континент  глазированный 250г  (на пектине)</t>
  </si>
  <si>
    <t xml:space="preserve">Зеф. в с/п "Жизель" 250г крем-бр. </t>
  </si>
  <si>
    <t>Зеф. Ласковый шепот глазированный 250г  (на пектине)</t>
  </si>
  <si>
    <t xml:space="preserve">Зеф. в с/п "Мое обожание"  бело розовый со вкусом малины  250гр  </t>
  </si>
  <si>
    <t>Зеф. в с/п ваниль 3,2 кг в телевизоры для бело розового</t>
  </si>
  <si>
    <t xml:space="preserve">Зеф. в с/п "Мое обожание"  бело розовый со вкусом ванили 250гр  </t>
  </si>
  <si>
    <t>Зеф. в с/п "Жизель"  ваниль 340 гр 16 вл. для бело розового</t>
  </si>
  <si>
    <t>Зеф. в с/п "Жизель" малина  340 гр 16 вл.  для бело розового</t>
  </si>
  <si>
    <t>Зеф. в с/п   ваниль   4кг   для бело розового</t>
  </si>
  <si>
    <t>Зеф. в с/п малина 4кг  для бело-розового</t>
  </si>
  <si>
    <t>Зеф. в с/п малина  2,4кг  для бело розового</t>
  </si>
  <si>
    <t>Зеф. в с/п ваниль 2,4кг  для бело розового</t>
  </si>
  <si>
    <t>Зеф. в с/п "Мое обожание"  со вкусом ванили 250 гр</t>
  </si>
  <si>
    <t>Зеф. в с/п "Мое обожание"  со вкусом  кр.бр. 250 гр</t>
  </si>
  <si>
    <t xml:space="preserve">Зеф. в шок."Жизель"   250гр </t>
  </si>
  <si>
    <t>Зеф. в с/п "Жизель"   340 гр 16 вл ваниль</t>
  </si>
  <si>
    <t>Конфеты суфле "Жизель" глазир. ваниль 4,0 кг для вертик</t>
  </si>
  <si>
    <t>Конфеты суфле "Жизель" глазир. пломбир 4,0 кг для вертик</t>
  </si>
  <si>
    <t>Конфеты суфле "Жизель" глазир. крем-брюле 4,0 кг для вертик</t>
  </si>
  <si>
    <t>Согласованно</t>
  </si>
  <si>
    <t>Нач.производства</t>
  </si>
  <si>
    <t>_________Корнилова Л.А.</t>
  </si>
  <si>
    <t>Ген. директор ООО КК "Сокол"</t>
  </si>
  <si>
    <t>Наименование продукции</t>
  </si>
  <si>
    <t>Плановое количество</t>
  </si>
  <si>
    <t>Время</t>
  </si>
  <si>
    <t>Фактическое количество</t>
  </si>
  <si>
    <t>Единица измерения</t>
  </si>
  <si>
    <t>Расценка, руб</t>
  </si>
  <si>
    <t>Стоимость,  руб</t>
  </si>
  <si>
    <t>ящ</t>
  </si>
  <si>
    <t xml:space="preserve"> Мастер ______________</t>
  </si>
  <si>
    <t>Нач.смены_________________</t>
  </si>
  <si>
    <t>Должность</t>
  </si>
  <si>
    <t>Отработанное время</t>
  </si>
  <si>
    <t>КТУ</t>
  </si>
  <si>
    <t>Базовая зарплата</t>
  </si>
  <si>
    <t>Премии</t>
  </si>
  <si>
    <t>Всего</t>
  </si>
  <si>
    <t>По наряд-заказу</t>
  </si>
  <si>
    <t>Простои</t>
  </si>
  <si>
    <t>Повременная оплата</t>
  </si>
  <si>
    <t>Базовое</t>
  </si>
  <si>
    <t>По результату</t>
  </si>
  <si>
    <t>Проверил: Нач.смены___________</t>
  </si>
  <si>
    <t>Проверил: Бухг.экон___________</t>
  </si>
  <si>
    <t>12,5% за кач-во выпущ. продукции</t>
  </si>
  <si>
    <t>5% за культуру пр-ва</t>
  </si>
  <si>
    <t>Пастила с арахисом 4,8 кг</t>
  </si>
  <si>
    <t>______________Рогова Л.М.</t>
  </si>
  <si>
    <t>Зеф. Жизель в шок.с фруктовым наполн. 250г  20 шт (8 зеф.)</t>
  </si>
  <si>
    <t>Зеф. Жизель   в шок.с вар.сгущ 250г 20 шт (8 зеф.)</t>
  </si>
  <si>
    <r>
      <t xml:space="preserve">Зеф. Сокол Пай в шок.с фруктовым наполн. 250г  (8 зеф.) </t>
    </r>
    <r>
      <rPr>
        <sz val="14"/>
        <color indexed="10"/>
        <rFont val="Times New Roman"/>
        <family val="1"/>
        <charset val="204"/>
      </rPr>
      <t>(Без ребер)</t>
    </r>
  </si>
  <si>
    <t>ЗЕФИР ГЛАЗИРОВАННЫЙ</t>
  </si>
  <si>
    <t>ФАСОВАННЫЙ</t>
  </si>
  <si>
    <t>ЗЕФИР  В САХАРНОЙ ПУДРЕ</t>
  </si>
  <si>
    <t xml:space="preserve"> ВЕСОВОЙ</t>
  </si>
  <si>
    <t xml:space="preserve">Зефир на  пектине </t>
  </si>
  <si>
    <t>Зеф.в шок." Наш Продукт " глазированный 360 г (10)</t>
  </si>
  <si>
    <t>ЗЕФИР ФАСОВАННЫЙ</t>
  </si>
  <si>
    <t>ЗЕФИР ВЕСОВОЙ</t>
  </si>
  <si>
    <t>Зеф.в с/п  365 дней с ароматом ванили 300гр</t>
  </si>
  <si>
    <t xml:space="preserve"> СУФЛЕ</t>
  </si>
  <si>
    <t>ПАСТИЛА</t>
  </si>
  <si>
    <t>Конфеты суфле "365 дней" глазир. ваниль 250г (пакет)</t>
  </si>
  <si>
    <t>ЗЕФИР НА АГАРЕ</t>
  </si>
  <si>
    <t>ЗЕФИР НА ПЕКТИНЕ</t>
  </si>
  <si>
    <t>ВЕСОВОЙ</t>
  </si>
  <si>
    <t>Шоколадная линия 1</t>
  </si>
  <si>
    <t>Шоколадная линия 2</t>
  </si>
  <si>
    <t xml:space="preserve">Зеф. в с/п "Мое обожание"   со вкусом малины и ванили  250гр  </t>
  </si>
  <si>
    <t xml:space="preserve">Зеф. в с/п "Жизель" бело розовый  340 гр 16 вл.  </t>
  </si>
  <si>
    <t xml:space="preserve">Зеф. в с/п бело розовый  2,4кг  </t>
  </si>
  <si>
    <t>Зеф. в с/п  бело розовый 3,2 кг  в телевизоры</t>
  </si>
  <si>
    <t xml:space="preserve">Зеф. в с/п  бело розовый  4кг  </t>
  </si>
  <si>
    <t>ЗФИР В САХ.ПУДРЕ.</t>
  </si>
  <si>
    <t>FLOY PAK 6</t>
  </si>
  <si>
    <t>Итого зеира</t>
  </si>
  <si>
    <t xml:space="preserve">Итого  зефира </t>
  </si>
  <si>
    <t>Итого  конфет</t>
  </si>
  <si>
    <t>Конфеты глазированные суфле  с желейным слоем «Жизель» c  ароматом персика и ванили 3,0 кг</t>
  </si>
  <si>
    <t>Конфеты глазированные суфле  с желейным слоем «Жизель» c  ароматом лимона и ванили 3,0 кг</t>
  </si>
  <si>
    <t>Конфеты глазированные суфле  с желейным слоем «Жизель» c  ароматом сливы и ванили 3,0 кг</t>
  </si>
  <si>
    <t>Пастила "Сокол" с ароматом кокоса 4,0 кг</t>
  </si>
  <si>
    <t>Пастила "Сокол" с ароматом апельсина 4,0 кг</t>
  </si>
  <si>
    <t>Пастила "Сокол" с ароматом банана 4,0 кг</t>
  </si>
  <si>
    <t>Пастила "Сокол" с арахисом с ароматом ванили 4,8 кг (6 шт)</t>
  </si>
  <si>
    <t>Конфета со сбивным корпусом "Сокол" с арахисом с ароматом ванили 100 г</t>
  </si>
  <si>
    <t>Конфета со сбивным корпусом "Сокол" в шокладной глазури  с арахисом с ароматом ванили 120 г</t>
  </si>
  <si>
    <t xml:space="preserve">Зефир "Жизель" глазированный  с ароматом ванили 2,5  кг </t>
  </si>
  <si>
    <t>Зефир «Жизель» глазированный с ароматом ванили (в индивидуальной цветной упаковке) 4,0 кг</t>
  </si>
  <si>
    <t xml:space="preserve">Зефир «Жизель» с "вареной сгущенкой" глазированный с ароматом ванили  (в индивидуальной цветной упаковке) 4,0 кг </t>
  </si>
  <si>
    <t xml:space="preserve">Зефир "Жизель"с "вареной сгущенкой"  глазированный с ароматом ванили  2,5 кг </t>
  </si>
  <si>
    <t xml:space="preserve">Зефир "Жизель" с фруктовой начинкой  глазированный с ароматом ванили   2,5 кг </t>
  </si>
  <si>
    <t>Зефир «Сокол-Пай» с "вареной сгущенкой"  глазированный с ароматом крем-брюле 25 г, 144 шт</t>
  </si>
  <si>
    <t xml:space="preserve">Зефир "Жизель" глазированный  с ароматом ванили 3,0  кг (в гофроящике "телевизор") </t>
  </si>
  <si>
    <t xml:space="preserve">Зефир "ЗОЛОТО ПЕРВОМАЯ" глазированный  с ароматом ванили 2,5  кг </t>
  </si>
  <si>
    <t xml:space="preserve">Зефир «Angry Birds» с «вареной сгущенкой» глазированный со  вкусом банана  (в индивидуальной цветной упаковке) 4,0 кг </t>
  </si>
  <si>
    <t>Зефир «Жизель» в йогуртовой глазури с ароматом ванили 2,5 кг</t>
  </si>
  <si>
    <t>Зефир «Жизель» в йогуртовой глазури с ароматом ванили (в индивидуальной цветной упаковке) 4,0 кг</t>
  </si>
  <si>
    <t xml:space="preserve">Зефир "Жизель" фруктовой начинкой в йогуртовой глазури с ароматом ванили  2,5 кг </t>
  </si>
  <si>
    <t xml:space="preserve">Зефир «Жизель» с фруктовой начинкой в йогуртовой глазури с ароматом ванили  (в индивидуальной цветной упаковке) 4,0 кг  </t>
  </si>
  <si>
    <t xml:space="preserve">Зефир «Жизель» в йогуртовой глазури с ароматом ванили 3,0 кг (в гофроящике "телевизор") </t>
  </si>
  <si>
    <t>Зефир «Жизель» с ароматом ванили  (в индивидуальной прозрачной упаковке) 4,0 кг</t>
  </si>
  <si>
    <t>Зефир  "Сокол-пай"  "5 витаминов" с ароматом ванили 20 г, 150 шт</t>
  </si>
  <si>
    <t>Зефир  «Жизель» с ароматом ванили 4,0 кг</t>
  </si>
  <si>
    <t>Зефир  «Жизель» с ароматом крем-брюле 4,0 кг</t>
  </si>
  <si>
    <t>Зефир  «Жизель» с фруктовой начинкой с ароматом малины  ( в индивидуальной прозрачной упаковке) 4,0 кг</t>
  </si>
  <si>
    <t>Зефир  «Жизель» с "вареной сгущенкой" с ароматом крем-брюле  ( в индивидуальной прозрачной упаковке) 4,0 кг</t>
  </si>
  <si>
    <t>Зефир  «Жизель» с ароматом ванили 3,2 кг  (в гофроящике "телевизор")</t>
  </si>
  <si>
    <t>Зефир  «Жизель» с ароматом крем-брюле 3,2  кг  (в гофроящике "телевизор")</t>
  </si>
  <si>
    <t xml:space="preserve">Зефир  «Жизель» с ароматом ванили 2,4 кг  </t>
  </si>
  <si>
    <t>Зефир  «ЗОЛОТО ПЕРВОМАЯ» с ароматом ванили 4,0 кг</t>
  </si>
  <si>
    <t xml:space="preserve">Зефир  "Сокол-пай"   с ароматом ванили 20 г , 150 шт </t>
  </si>
  <si>
    <t>Зефир «Жизель» (Extra light)  глазированный с ароматом ванили 180 г  (10 шт)</t>
  </si>
  <si>
    <t>Зефир «Жизель»  глазированный с ароматом ванили 180 г  (10 шт)    (дизайн 8 марта)</t>
  </si>
  <si>
    <t>Зефир "Сокол" глазированный с ароматом ванили 200 г  (18 шт)</t>
  </si>
  <si>
    <t>Зефир  «Сокол» на фруктозе глазированный с ароматом ванили, 200 г  (18 шт)</t>
  </si>
  <si>
    <t>Зефир  «Жизель» (Extra light) в шоколадной глазури с ароматом ванили 250 г  (10 шт)</t>
  </si>
  <si>
    <t>Зефир «Жизель»  глазированный с ароматом ванили 250 г (для торговой сети "Виктория")  (10 шт)</t>
  </si>
  <si>
    <t>Зефир   в шоколадной глазури с ароматом ванили, 250 г  (10 шт)  ("Наш продукт")</t>
  </si>
  <si>
    <t>Зефир  в шоколадной глазури с ароматом ванили 250 г  (10 шт)  ("7 континент" )</t>
  </si>
  <si>
    <t>Зефир "365 дней" глазированный с ароматом ванили 200 г  (18 шт)</t>
  </si>
  <si>
    <t>Зефир «Сокол-Пай» глазированный c ароматом ванили 200г  (10 шт)</t>
  </si>
  <si>
    <t>Зефир «Сокол-Пай» с фруктовой начинкой глазированный с ароматом ванили , 200 г  (10 шт)</t>
  </si>
  <si>
    <t>Зефир «Сокол-Пай» с "вареной сгущенкой"  глазированный с ароматом ванили 200 г  (10 шт)</t>
  </si>
  <si>
    <t>Зефир «Сокол-Пай» с фруктовой начинкой  глазированный с ароматом ванили 250 г  (10 шт)</t>
  </si>
  <si>
    <t xml:space="preserve">Зефир «Жизель»   глазированный с ароматом ванили 360 г  (10 шт) </t>
  </si>
  <si>
    <t>Зефир  «Шоколадница» в шоколадной со вкусом ванили 200 г  (10 шт)</t>
  </si>
  <si>
    <t>Зефир  «Шоколадница» в шоколадной со вкусом капучино 200 г  (10 шт)</t>
  </si>
  <si>
    <t>Зефир в глазури с ароматом ванили 360 г  (10 шт)   ("Наш продукт")</t>
  </si>
  <si>
    <t>Зефир «Жизель» с «вареной сгущенкой»  глазированный с ароматом ванили 250 г  (20 шт)</t>
  </si>
  <si>
    <t>Зефир «Жизель» с фруктовой начинкой глазированный с ароматом ванили , 250 г  (20 шт)</t>
  </si>
  <si>
    <t xml:space="preserve">Зефир «Сокол» с ароматом сливок 200 г  (14 шт)   </t>
  </si>
  <si>
    <t>Зефир  «Сокол» на фруктозе с ароматом ванили, 250 г  (12 шт)</t>
  </si>
  <si>
    <t>Зефир  «Сокол» на фруктозе с ароматом малины, 250 г  (12 шт)</t>
  </si>
  <si>
    <t>Зефир  «Жизель» с ароматом крем-брюле, 250 г  (12 шт)</t>
  </si>
  <si>
    <t>Зефир  «Жизель» с ароматом ванили, 260 г  (12 шт)</t>
  </si>
  <si>
    <t xml:space="preserve">Зефир  «Жизель» с ароматом малины, 260 г  (12 шт) </t>
  </si>
  <si>
    <t>Зефир  «Жизель» с ароматом сливок, 260 г  (12 шт)</t>
  </si>
  <si>
    <t>Зефир  «Жизель» с ароматом ванили , 340 г   (16 шт)</t>
  </si>
  <si>
    <t>Зефир  «Жизель» с ароматом крем-брюле, 340 г   (16 шт)</t>
  </si>
  <si>
    <t>Зефир  «Мое обожание» со вкусом  ванили, 250 г  (14 шт)</t>
  </si>
  <si>
    <t>Зефир  «Мое обожание» со вкусом крем-брюле, 250 г  ( 14 шт)</t>
  </si>
  <si>
    <t>Зеф. в с/п "Жизель" малина  250 гр 14 вл.  для бело розового</t>
  </si>
  <si>
    <t>Зеф. в с/п "Жизель"  ваниль 250 гр 14 вл. для бело розового</t>
  </si>
  <si>
    <t>Зефир  «365 дней»  с ароматом ванили , 300 г  (12  шт)</t>
  </si>
  <si>
    <t>Зеф. в с/п "Жизель" малина  260 гр 12 вл.  для бело розового</t>
  </si>
  <si>
    <t>Зеф. в с/п "Жизель"  ваниль 260 гр 12 вл. для бело розового</t>
  </si>
  <si>
    <t>Зеф. в с/п "Жизель" малина  250 гр 12 вл.  для бело розового</t>
  </si>
  <si>
    <t>Зеф. в с/п "Жизель"  сливки 250 гр 12 вл. для бело розового</t>
  </si>
  <si>
    <t>______________Рогова Л.М</t>
  </si>
  <si>
    <t>12,5%  за выполнение плана</t>
  </si>
  <si>
    <t>Борисова С.</t>
  </si>
  <si>
    <t>Махлычева Ю.</t>
  </si>
  <si>
    <t>Солижонов</t>
  </si>
  <si>
    <t>Тинчурина Ю.</t>
  </si>
  <si>
    <t xml:space="preserve">   </t>
  </si>
  <si>
    <t>с-до Новая Фис машина</t>
  </si>
  <si>
    <t>с-до Первая Фис машина</t>
  </si>
  <si>
    <t>с-до Вторая Фис машина</t>
  </si>
  <si>
    <t>с-до Третья Фис машина</t>
  </si>
  <si>
    <t>с-до Непрерывная линия</t>
  </si>
  <si>
    <t>час</t>
  </si>
  <si>
    <t>Переход на пектин</t>
  </si>
  <si>
    <t>Простой</t>
  </si>
  <si>
    <t>Фамилия Имя Отчество</t>
  </si>
  <si>
    <t>Отклонение фактического                                           кол-ва к плановому</t>
  </si>
  <si>
    <t>Бережная Л</t>
  </si>
  <si>
    <t>Нуров М.</t>
  </si>
  <si>
    <t>Алимардонов М</t>
  </si>
  <si>
    <t>Андреева А</t>
  </si>
  <si>
    <t>Артикова Д.</t>
  </si>
  <si>
    <t xml:space="preserve">Атахонова       </t>
  </si>
  <si>
    <t>Ахмедова</t>
  </si>
  <si>
    <t>Батиров О</t>
  </si>
  <si>
    <t>Бобохонов М</t>
  </si>
  <si>
    <t>Бобохонова Ю.А.</t>
  </si>
  <si>
    <t>Будюк Н</t>
  </si>
  <si>
    <t>Буранов Ш</t>
  </si>
  <si>
    <t>Вануйто О.</t>
  </si>
  <si>
    <t>Гимпу А</t>
  </si>
  <si>
    <t>Голубева Н</t>
  </si>
  <si>
    <t>Горбанёва</t>
  </si>
  <si>
    <t>Григорьева Г.В.</t>
  </si>
  <si>
    <t>Гусева Н</t>
  </si>
  <si>
    <t>Дьяченко И</t>
  </si>
  <si>
    <t>Дисколенко М</t>
  </si>
  <si>
    <t>Иванова А.</t>
  </si>
  <si>
    <t>Иванова Г.</t>
  </si>
  <si>
    <t>Каримова Н</t>
  </si>
  <si>
    <t>Князева Н.</t>
  </si>
  <si>
    <t>Кузнецова А</t>
  </si>
  <si>
    <t>Курязов Н</t>
  </si>
  <si>
    <t>Кушаков Ж</t>
  </si>
  <si>
    <t>Лабуркина М</t>
  </si>
  <si>
    <t>Лавлинцева О</t>
  </si>
  <si>
    <t>Легинзова Е</t>
  </si>
  <si>
    <t>Лях Л</t>
  </si>
  <si>
    <t>Меньшикова Л</t>
  </si>
  <si>
    <t>Охунов М</t>
  </si>
  <si>
    <t>Полозова</t>
  </si>
  <si>
    <t>Рыдкина Е.</t>
  </si>
  <si>
    <t>Артиков С</t>
  </si>
  <si>
    <t>Сатторова М</t>
  </si>
  <si>
    <t>Сатторова З</t>
  </si>
  <si>
    <t>Свистунов Д.</t>
  </si>
  <si>
    <t>Сидрова Н</t>
  </si>
  <si>
    <t>Спартак Н</t>
  </si>
  <si>
    <t>Степанова Ю</t>
  </si>
  <si>
    <t>Судакова</t>
  </si>
  <si>
    <t>Топталина О</t>
  </si>
  <si>
    <t>Трубаков И</t>
  </si>
  <si>
    <t>Тузова Г.</t>
  </si>
  <si>
    <t>Тураев А</t>
  </si>
  <si>
    <t>Турдиев</t>
  </si>
  <si>
    <t>Турышева</t>
  </si>
  <si>
    <t>Халимова Р</t>
  </si>
  <si>
    <t>Халманова Г</t>
  </si>
  <si>
    <t>Ходжаева Ф</t>
  </si>
  <si>
    <t>Хусанова</t>
  </si>
  <si>
    <t>Чибисов Н.В.</t>
  </si>
  <si>
    <t>Шукурилаева</t>
  </si>
  <si>
    <t>Юлдашева</t>
  </si>
  <si>
    <t>Юсупов Ф</t>
  </si>
  <si>
    <t>Хасанова Г</t>
  </si>
  <si>
    <t>Юсуфов Б</t>
  </si>
  <si>
    <t>Натертышева М</t>
  </si>
  <si>
    <t>Абалтусова А.П. ООО Резон</t>
  </si>
  <si>
    <t>Абшинова Х. ООО Резон</t>
  </si>
  <si>
    <t>Адиулина К.И. ООО Резон</t>
  </si>
  <si>
    <t>Амирова Н.М. ООО Резон</t>
  </si>
  <si>
    <t>Аушева М.Д. ООО Резон</t>
  </si>
  <si>
    <t>Белых Е.Ю. ООО Резон</t>
  </si>
  <si>
    <t>Бралиева У.Б. ООО Резон</t>
  </si>
  <si>
    <t>Гаджимуратова Г.С. ООО Резон</t>
  </si>
  <si>
    <t>Глухова А.И. ООО Резон</t>
  </si>
  <si>
    <t>Джумаева Г.К. ООО Резон</t>
  </si>
  <si>
    <t>Дремина Н.А. ООО Резон</t>
  </si>
  <si>
    <t>Дускалиева А.Т. ООО Резон</t>
  </si>
  <si>
    <t>Жумагалиева Р.М. ООО Резон</t>
  </si>
  <si>
    <t>Искалиева Ж.К. ООО Резон</t>
  </si>
  <si>
    <t>Куликова Е.Л. ООО Резон</t>
  </si>
  <si>
    <t>Курзякова М.Э. ООО Резон</t>
  </si>
  <si>
    <t>Лыкашева К.Л. ООО Резон</t>
  </si>
  <si>
    <t>Малышева О.Н. ООО Резон</t>
  </si>
  <si>
    <t>Мурзакова Е.Ю. ООО Резон</t>
  </si>
  <si>
    <t>Николашина Н.Г. ООО Резон</t>
  </si>
  <si>
    <t>Обшинова Х. ООО Резон</t>
  </si>
  <si>
    <t>Першина Ю. ООО Резон</t>
  </si>
  <si>
    <t>Сарбашева А.С. ООО Резон</t>
  </si>
  <si>
    <t>Сомова Н.И. ООО Резон</t>
  </si>
  <si>
    <t>Умбеталиева А.А. ООО Резон</t>
  </si>
  <si>
    <t>Утебергенова Е.Б. ООО Резон</t>
  </si>
  <si>
    <t>Халикова Р.Х. ООО Резон</t>
  </si>
  <si>
    <t>Хаттапова Т.К. ООО Резон</t>
  </si>
  <si>
    <t>Хорошко А.В. ООО Резон</t>
  </si>
  <si>
    <t>Яковлева Т.Е. ООО Резон</t>
  </si>
  <si>
    <t>Белых   НСК</t>
  </si>
  <si>
    <t>Варавский   НСК</t>
  </si>
  <si>
    <t>Ванеева   НСК</t>
  </si>
  <si>
    <t>Гаврин О.   НСК</t>
  </si>
  <si>
    <t>Гладилина   НСК</t>
  </si>
  <si>
    <t>Григорьев   НСК</t>
  </si>
  <si>
    <t>Григорьева   НСК</t>
  </si>
  <si>
    <t>Григорян   НСК</t>
  </si>
  <si>
    <t>Данакер   НСК</t>
  </si>
  <si>
    <t>Денисов А.   НСК</t>
  </si>
  <si>
    <t>Длужневский   НСК</t>
  </si>
  <si>
    <t>Забрудская   НСК</t>
  </si>
  <si>
    <t>Забурунов   НСК</t>
  </si>
  <si>
    <t>Зеленин   НСК</t>
  </si>
  <si>
    <t>Зеленина Л.   НСК</t>
  </si>
  <si>
    <t>Земченко   НСК</t>
  </si>
  <si>
    <t>Зотова   НСК</t>
  </si>
  <si>
    <t>Камынина   НСК</t>
  </si>
  <si>
    <t>Карпеко   НСК</t>
  </si>
  <si>
    <t>Климова   НСК</t>
  </si>
  <si>
    <t>Коновалова   НСК</t>
  </si>
  <si>
    <t>Копылова   НСК</t>
  </si>
  <si>
    <t>Кузнецов   НСК</t>
  </si>
  <si>
    <t>Кукшинова   НСК</t>
  </si>
  <si>
    <t>Куликова    НСК</t>
  </si>
  <si>
    <t>Куприянов   НСК</t>
  </si>
  <si>
    <t>Лаптев Н.А.   НСК</t>
  </si>
  <si>
    <t>Ломонос   НСК</t>
  </si>
  <si>
    <t>Митрохина   НСК</t>
  </si>
  <si>
    <t>Макарова   НСК</t>
  </si>
  <si>
    <t>Малышева   НСК</t>
  </si>
  <si>
    <t>Маркина И.   НСК</t>
  </si>
  <si>
    <t>Мертвенцова М.   НСК</t>
  </si>
  <si>
    <t>Мертвенцова Н.   НСК</t>
  </si>
  <si>
    <t>Минко   НСК</t>
  </si>
  <si>
    <t>Муратова   НСК</t>
  </si>
  <si>
    <t>Перелыгина   НСК</t>
  </si>
  <si>
    <t>Пузик   НСК</t>
  </si>
  <si>
    <t>Пырков М.   НСК</t>
  </si>
  <si>
    <t>Растегина   НСК</t>
  </si>
  <si>
    <t>Стахович   НСК</t>
  </si>
  <si>
    <t>Субботина   НСК</t>
  </si>
  <si>
    <t>Утешкалиева   НСК</t>
  </si>
  <si>
    <t>Чекарев   НСК</t>
  </si>
  <si>
    <t>Челышков Ю.   НСК</t>
  </si>
  <si>
    <t>Челышкова   НСК</t>
  </si>
  <si>
    <t>Яшкова   НСК</t>
  </si>
  <si>
    <t>Макаров   НСК</t>
  </si>
  <si>
    <t>Копылов   НСК</t>
  </si>
  <si>
    <t>Маркина Т.   НСК</t>
  </si>
  <si>
    <t>Камышина   НСК</t>
  </si>
  <si>
    <t>ПРИЧИНЫ отклонения фактического кол-ва к плановому</t>
  </si>
  <si>
    <t xml:space="preserve">с-до </t>
  </si>
  <si>
    <t>Наряд-заказ на участок приготовления корпуса пастилы  на _______________.2014</t>
  </si>
  <si>
    <t>Наряд-заказ на участок резки пастилы  на _______________.2014</t>
  </si>
  <si>
    <t>Вануйто В.</t>
  </si>
  <si>
    <t>Якупов В.П. Профрезерв</t>
  </si>
  <si>
    <t>Якубов Ш.</t>
  </si>
  <si>
    <t>Махлычева Л.</t>
  </si>
  <si>
    <t>Холиков О.</t>
  </si>
  <si>
    <t>Коликов О.</t>
  </si>
  <si>
    <t>Сенчакова А.</t>
  </si>
  <si>
    <t>Шаповалов Д.Ф. Профрезерв</t>
  </si>
  <si>
    <t>Марков А.   НСК</t>
  </si>
  <si>
    <t xml:space="preserve">ВАРКА СУФЛЕ </t>
  </si>
  <si>
    <t xml:space="preserve">Зеф. АВ глазир .с варен. сгущ в инд. цв.упак. 3 кг </t>
  </si>
  <si>
    <t>Зеф.  АВ в шок.с  клубн.нач глаз со вк.сливок  200г  (8 зеф)</t>
  </si>
  <si>
    <t>Зеф.  АВ в  йог.глаз со вкусом вишни с нач.кола  200г  (8 зеф)</t>
  </si>
  <si>
    <t>Зеф.  АВ в шок.с   вар.сгущ глаз с аром.банана  200г  (8 зеф)</t>
  </si>
  <si>
    <t>Зеф. в сах пуд "Билла"  ваниль   255гр</t>
  </si>
  <si>
    <t>Зеф. в сах пуд "Билла"  крем-брюле   255гр</t>
  </si>
  <si>
    <t>Зеф. в сах пуд "Билла"  яблоко   255гр</t>
  </si>
  <si>
    <t>Зеф. Жизель в шок.с фруктовым наполн. 250г  20 шт (8 зеф.) АГАР</t>
  </si>
  <si>
    <t>Зеф. Жизель   в шок.с вар.сгущ 250г 20 шт (8 зеф.) АГАР</t>
  </si>
  <si>
    <t xml:space="preserve">Зеф. Жизель в йог.с фруктов.напол.в цв.инд.упак.  4кг </t>
  </si>
  <si>
    <t xml:space="preserve">Зеф. в йог .Жизель в ин  цв. уп 4кг  </t>
  </si>
  <si>
    <t>Зеф  в шок в инд   цвет. упак 4 кг АГАР</t>
  </si>
  <si>
    <t xml:space="preserve">Дата   19   август              2015 года  </t>
  </si>
  <si>
    <t>Зефир  " БИЛЛА"  в шоколадной глазури с ароматом ванили 250 г  (10 шт)</t>
  </si>
  <si>
    <t>Зефир  «365 дней»  с ароматом кр.бр, 300 г  (12  шт)</t>
  </si>
  <si>
    <t>Зефир "Sweet Queen" глазированный с ароматом ванили 200 г  (18 шт)</t>
  </si>
  <si>
    <t>Зефир  «Sweet Queen»  с ароматом кр.бр, 250 г  (12  шт)</t>
  </si>
  <si>
    <t>Конфеты ПФ "Ликерная коллекция"   амаретто 200гр 20</t>
  </si>
  <si>
    <t>Конфеты ПФ "Ликерная коллекция"   лимончелло 200гр 20</t>
  </si>
  <si>
    <t>Конфеты ПФ "Ликерная коллекция"    малибу 200гр 20</t>
  </si>
  <si>
    <t>Конфеты ПФ "Ликерная коллекция"    бейлиз 200гр 20</t>
  </si>
  <si>
    <t>Конфеты  "Ликерная коллекция"   амаретто 200гр 20</t>
  </si>
  <si>
    <t>Конфеты  "Ликерная коллекция"   лимончелло 200гр 20</t>
  </si>
  <si>
    <t>Конфеты  "Ликерная коллекция"    малибу 200гр 20</t>
  </si>
  <si>
    <t>Конфеты  "Ликерная коллекция"    бейлиз 200гр 20</t>
  </si>
  <si>
    <t>Конфеты  "Ликерная коллекция"   амаретто 3,5 кг</t>
  </si>
  <si>
    <t>Конфеты  "Ликерная коллекция"   лимончелло 3,5 кг</t>
  </si>
  <si>
    <t>Конфеты  "Ликерная коллекция"    малибу  3,5 кг</t>
  </si>
  <si>
    <t>Конфеты  "Ликерная коллекция"    бейлиз  3,5 кг</t>
  </si>
  <si>
    <t>Конфеты  "Ликерная коллекция"   амаретто 3,5 кг (для подарков)</t>
  </si>
  <si>
    <t>Конфеты  "Ликерная коллекция"   лимончелло 3,5 кг (для подарков)</t>
  </si>
  <si>
    <t>Конфеты  "Ликерная коллекция"    малибу  3,5 кг (для подарков)</t>
  </si>
  <si>
    <t>Конфеты  "Ликерная коллекция"    бейлиз  3,5 кг (для подарков)</t>
  </si>
  <si>
    <t>Ликерная начинка АМАРЕТТО</t>
  </si>
  <si>
    <t>Ликерная начинка  ЛИМОНЧЕЛЛО</t>
  </si>
  <si>
    <t>Ликерная начинка  МАЛИБУ</t>
  </si>
  <si>
    <t>Ликерная начинка   БЕЙЛИЗ</t>
  </si>
  <si>
    <t>Ликерная начинка АМАРЕТТО для подарков</t>
  </si>
  <si>
    <t>Ликерная начинка  ЛИМОНЧЕЛЛО для подарков</t>
  </si>
  <si>
    <t>Ликерная начинка  МАЛИБУ для подарков</t>
  </si>
  <si>
    <t>Ликерная начинка   БЕЙЛИЗ для подарков</t>
  </si>
  <si>
    <t>Конфеты Ликерная коллекция бейлиз,амаретто, лимончелло, малибу 200гр</t>
  </si>
  <si>
    <t xml:space="preserve">Зефир  на пектине«АВ» с "вареной сгущенкой" глазированный с ароматом в банана  (в индивидуальной цветной упаковке) 4,0 кг </t>
  </si>
  <si>
    <t>Зеф. АВ глазир .с варен. сгущ в инд. цв.упак. 3 кг  (Go-25гр)</t>
  </si>
  <si>
    <t xml:space="preserve">Зеф. в с/п ваниль (половинки) 4кг на фруктозе </t>
  </si>
  <si>
    <t xml:space="preserve"> </t>
  </si>
  <si>
    <t xml:space="preserve">Зеф. в с/п " не глазированный"  с ароматом ванили  250г </t>
  </si>
  <si>
    <t>Первая фис машина</t>
  </si>
  <si>
    <t>Вторая фис машина</t>
  </si>
  <si>
    <t>Третья фис машина</t>
  </si>
  <si>
    <t>Зефир "Жизель" в йог глаз с ароматом ванили 250 г  (20 шт)</t>
  </si>
  <si>
    <t>Зефир глазированный с ароматом ванили  250 г  (20 шт)</t>
  </si>
  <si>
    <t>Зефир «Жизель» глазированный с ароматом ванили (в индивидуальной цветной упаковке) 3,0 кг</t>
  </si>
  <si>
    <t xml:space="preserve">Зефир «Angry Birds» с «вареной сгущенкой» глазированный со  вкусом банана  (в индивидуальной цветной упаковке) 3,0 кг </t>
  </si>
  <si>
    <t>Конфеты глазированные суфле "Жизель"  с ароматом крем-брюле 2кг, кг</t>
  </si>
  <si>
    <t>Конфеты глазированные суфле "Жизель"  с ароматом пломбира 2кг, кг</t>
  </si>
  <si>
    <t>Суфле "Жизель" 2кг (для подарков), кг</t>
  </si>
  <si>
    <t>Суфле с ароматом ванили завернутые 2кг ( для подарков), кг</t>
  </si>
  <si>
    <t>Конфеты суфле "Жизель" глазированные с ароматом ванили 200гр 20 шт, кг</t>
  </si>
  <si>
    <t>Суфле "Жизель" (дизайн Новогодний) ваниль 200 гр (12), кг</t>
  </si>
  <si>
    <t>Суфле "Жизель" (дизайн 8 марта) ваниль 200 гр (12)</t>
  </si>
  <si>
    <t>Пастила со вкусом малины 4 кг</t>
  </si>
  <si>
    <t>Пастила со вкусом яблока 4 кг</t>
  </si>
  <si>
    <t>Зефир "Билла" в шоколаде со вкусом ванили 250гр 10шт, кг</t>
  </si>
  <si>
    <t>Зефир "Жизель" глазированный с ароматом ванили 250гр 10шт., кг</t>
  </si>
  <si>
    <t>Зефир "Билла" со вкусом ванили 255гр 12шт, кг</t>
  </si>
  <si>
    <t>Зефир "Билла" со вкусом крем-брюле 255гр 12шт, кг</t>
  </si>
  <si>
    <t>Зефир "Билла" со вкусом яблока 255гр 12шт, кг</t>
  </si>
  <si>
    <t xml:space="preserve"> Зефир на желатине</t>
  </si>
  <si>
    <t>Зефир "Angry Birds"  в йогуртовой глазури со вкусом вишни с начинкой "Кола" 200гр 10шт, кг</t>
  </si>
  <si>
    <t>Зефир "Angry Birds"  с "вареной сгущенкой" глазированный со вкусом банана 200гр 10шт, кг</t>
  </si>
  <si>
    <t>Зефир "Angry Birds"  с "клубничной" начинкой глазированный со вкусом сливок 200гр 10шт, кг</t>
  </si>
  <si>
    <t>Зефир "Сокол" на фруктозе глазированный в ароматом ванили 200гр 18шт, кг</t>
  </si>
  <si>
    <t>Зефир "Бело-розовый" с ароматом ванили и малины 3,2кг (в гофроящике "телевизор"), кг</t>
  </si>
  <si>
    <t>Зефир "Бело-розовый" с ароматом ванили и малины 4 кг, кг</t>
  </si>
  <si>
    <t>Зефир "Жизель" с ароматом ванили 4 кг, кг</t>
  </si>
  <si>
    <t>Зефир "Жизель" с ароматом крем-брюле 4 кг, кг</t>
  </si>
  <si>
    <t>Зефир"Жизель" с ароматом ванили 3,2кг (в гофроящике "телевизор"), кг</t>
  </si>
  <si>
    <t>Зефир"Жизель" с ароматом крем-брюле 3,2кг (в гофроящике "телевизор"), кг</t>
  </si>
  <si>
    <t>Зефир "Мое обожание" бело-розовый со вкусом ванили и малины 250гр 14шт, кг</t>
  </si>
  <si>
    <t>Зефир "Мое обожание" со вкусом ванили 250гр 14шт, кг</t>
  </si>
  <si>
    <t>Зефир "Мое обожание" со вкусом крем-брюле 250гр 14шт, кг</t>
  </si>
  <si>
    <t>Зефир "Сокол" на фруктозе с ароматом ванили 250гр 12шт, кг</t>
  </si>
  <si>
    <t>Итого агара</t>
  </si>
  <si>
    <t>Возвратные отходы агара</t>
  </si>
  <si>
    <t>Возвратные отходы желатина</t>
  </si>
  <si>
    <t>Итого желатина</t>
  </si>
  <si>
    <t>ч</t>
  </si>
  <si>
    <t>FLOY PAK Большой китайский №4</t>
  </si>
  <si>
    <t xml:space="preserve"> Зефир на пектине</t>
  </si>
  <si>
    <t>FLOY PAK Китайский маленький №5</t>
  </si>
  <si>
    <t>Конфеты  "Изысканность" с орехово-кремовой начинкой ( шоколадные фигурки) 3 кг, кг</t>
  </si>
  <si>
    <t>Конфеты "Зоопарк-Сюрприз" с орехово-кремовой начинкой ( дизайн Белочка) 10 кг, кг</t>
  </si>
  <si>
    <t>Конфеты "Зоопарк-сюрприз" с шоколадно-кремовой начинкой ( дизайн Петушок) 10 кг, кг</t>
  </si>
  <si>
    <t>Конфеты "Изысканность" с шоколадно-кремовой начинкой ( дизайн Сердца на синем фоне) 8 кг, кг</t>
  </si>
  <si>
    <t>Конфеты "Новогодние" с орехово-кремовой начинкой ( дизайн Снеговик) 10 кг, кг</t>
  </si>
  <si>
    <t xml:space="preserve">Новые названия, </t>
  </si>
  <si>
    <t>Конфеты  "Зоопарк-Сюрприз" с орехово-кремовой начинкой (дизайн Белочка) 3,5кг, кг</t>
  </si>
  <si>
    <t>Конфеты  "Зоопарк-Сюрприз" с орехово-кремовой начинкой (дизайн Тигр) 3,5кг, кг</t>
  </si>
  <si>
    <t>Конфеты "Зоопарк-Сюрприз" с молочно-кремовой начинкой (дизайн Дракон) 3,5кг, кг</t>
  </si>
  <si>
    <t>Конфеты "Зоопарк-Сюрприз" с молочно-кремовой начинкой (дизайн Змея) 3,5кг, кг</t>
  </si>
  <si>
    <t>Конфеты "Зоопарк-Сюрприз" с молочно-кремовой начинкой (дизайн Мишки на льдине) 3,5кг, кг</t>
  </si>
  <si>
    <t xml:space="preserve">2.1.5 КОНФЕТЫ ЛИКЕР. КОЛЛ., </t>
  </si>
  <si>
    <t>Конфеты "Ликерная коллекция" со вкусом амаретто 3,5кг, кг</t>
  </si>
  <si>
    <t>Конфеты "Ликерная коллекция" со вкусом амаретто 3,5кг ( для подарков), кг</t>
  </si>
  <si>
    <t>Конфеты "Ликерная коллекция" со вкусом лимончелло 3,5кг, кг</t>
  </si>
  <si>
    <t>Конфеты "Ликерная коллекция" со вкусом лимончелло 3,5кг ( для подарков), кг</t>
  </si>
  <si>
    <t>Конфеты "Ликерная коллекция" со вкусом малибу 3,5кг, кг</t>
  </si>
  <si>
    <t>Конфеты "Ликерная коллекция" со вкусом малибу 3,5кг ( для подарков), кг</t>
  </si>
  <si>
    <t xml:space="preserve">2.1.1 САШЕ, </t>
  </si>
  <si>
    <t xml:space="preserve">2.2.7. Ликерная коллекция, </t>
  </si>
  <si>
    <t>Конфеты "Ликерная коллекция" со вкусом амаретто 200гр 20шт, кг</t>
  </si>
  <si>
    <t>Конфеты "Ликерная коллекция" со вкусом лимончелло 200гр 20шт, кг</t>
  </si>
  <si>
    <t>Конфеты "Ликерная коллекция" со вкусом малибу 200гр 20шт, кг</t>
  </si>
  <si>
    <t>Итого конфеты</t>
  </si>
  <si>
    <t>ЗЕФИР</t>
  </si>
  <si>
    <t>начинка клубника</t>
  </si>
  <si>
    <t>начинка кока-кола</t>
  </si>
  <si>
    <t>Сборка ящиков под продукцию</t>
  </si>
  <si>
    <t>переваривание отходов</t>
  </si>
  <si>
    <t xml:space="preserve">часы                                                            </t>
  </si>
  <si>
    <t xml:space="preserve"> (+35 мин на подготовительное и заключительное время)</t>
  </si>
  <si>
    <t xml:space="preserve"> (+20 мин на подготовительное и заключительное время)</t>
  </si>
  <si>
    <t xml:space="preserve"> (+40 мин на подготовительное и заключительное время)</t>
  </si>
  <si>
    <t xml:space="preserve"> (+30 мин на подготовительное и заключительное время)</t>
  </si>
  <si>
    <t xml:space="preserve"> (+130 мин на подготовительное и заключительное время)</t>
  </si>
  <si>
    <t xml:space="preserve"> (+10 мин на подготовительное и заключительное время)</t>
  </si>
  <si>
    <t xml:space="preserve"> (+60 мин на подготовительное и заключительное время)</t>
  </si>
  <si>
    <t>Зефир «Lorentini» глазированный со вкусом ванили 200г. 10шт, кг</t>
  </si>
  <si>
    <t>Зефир  «Жизель»  с ароматом ванили , 300 г  (12  шт)</t>
  </si>
  <si>
    <t>Зефир  «Жизель»  с ароматом крем-брюле , 300 г  (12  шт)</t>
  </si>
  <si>
    <t>Зефир  «Жизель» бело-розовый с ароматом малины, 300 г  (12  шт)</t>
  </si>
  <si>
    <t xml:space="preserve">Зеф. в с/п  "Sweet Queen"   бело розовый со вкусом ванили  250гр  </t>
  </si>
  <si>
    <t>Зеф. в с/п ваниль 3,2 кг  для Бело-розового в телевизоры</t>
  </si>
  <si>
    <t>Зеф. в с/п   малина   4кг   для бело розового</t>
  </si>
  <si>
    <t xml:space="preserve">Зеф. в с/п  "Sweet Queen"   бело розовый со вкусом малина  250гр  </t>
  </si>
  <si>
    <t>Зефир  «Жизель» бело-розовый с ароматом ванили, 300 г  (12  шт)</t>
  </si>
  <si>
    <t>Зефир "Жизель"  с ароматом ванили и малины 300гр 12шт, кг</t>
  </si>
  <si>
    <t>ПРИМЕЧАНИЕ</t>
  </si>
  <si>
    <t>Зефир "Жизель" (на пектине) глазированный с ароматом ванили  250 г  (10 шт)</t>
  </si>
  <si>
    <t>в т.ч. время на подготовительные и заключительные работы</t>
  </si>
  <si>
    <t>1,6 часа</t>
  </si>
  <si>
    <t>0,8 часа</t>
  </si>
  <si>
    <t>0,6 часа</t>
  </si>
  <si>
    <t>Итого готовых суфле</t>
  </si>
  <si>
    <t>Итого готовых пастилы</t>
  </si>
  <si>
    <t>Зефир неглазированный с ароматом ванили и малины, 250 г 12шт, кг</t>
  </si>
  <si>
    <t>Зефир неглазированный с ароматом ванили, 250 г 12шт, кг</t>
  </si>
  <si>
    <t>Зефир неглазированный с ароматом крем-брюле, 250 г 12шт, кг</t>
  </si>
  <si>
    <t>Возвратные отходы пастилы неглазир.</t>
  </si>
  <si>
    <t>Возвратные отходы зефира</t>
  </si>
  <si>
    <t>Итого пастила</t>
  </si>
  <si>
    <t>Возвратные отходы пастила</t>
  </si>
  <si>
    <t>Возвратные отходы конфет</t>
  </si>
  <si>
    <t>Итого суфле</t>
  </si>
  <si>
    <t>Итого  суфле</t>
  </si>
  <si>
    <t>Конфеты "Винтажная коллекция" со вкусом трюфеля 3,5 кг, кг</t>
  </si>
  <si>
    <t>Кондитерская глазурь для зефира</t>
  </si>
  <si>
    <t>Кондитерская глазурь для конфет</t>
  </si>
  <si>
    <t>Крой зефир в шоколаде BILLA  250 крышка</t>
  </si>
  <si>
    <t>Зефир "Lorentini" 200г ваниль крышка</t>
  </si>
  <si>
    <t>Крой Суфле (Весна) 200гр крышка</t>
  </si>
  <si>
    <t>Крой Суфле (Жизель) 200гр Новогодний крышка</t>
  </si>
  <si>
    <t xml:space="preserve">Крой Суфле (Жизель) 200гр Новогодний дно </t>
  </si>
  <si>
    <t xml:space="preserve">Крой Суфле (Весна) 200гр дно </t>
  </si>
  <si>
    <t>Крой зефир в шоколаде BILLA  250 дно</t>
  </si>
  <si>
    <t>Зефир "Lorentini" 200г ваниль дно</t>
  </si>
  <si>
    <t>резка</t>
  </si>
  <si>
    <t>ШЛ 1</t>
  </si>
  <si>
    <t>ЙЛ</t>
  </si>
  <si>
    <t>ЛЭ</t>
  </si>
  <si>
    <t>ОП</t>
  </si>
  <si>
    <t>ПА</t>
  </si>
  <si>
    <t>НЛ</t>
  </si>
  <si>
    <t>ФП 1</t>
  </si>
  <si>
    <t>ФП 3</t>
  </si>
  <si>
    <t>ФП 4</t>
  </si>
  <si>
    <t>ФП 6</t>
  </si>
  <si>
    <t>ФП 2</t>
  </si>
  <si>
    <t>ФП 5</t>
  </si>
  <si>
    <t>Терм1</t>
  </si>
  <si>
    <t>Терм2</t>
  </si>
  <si>
    <t>Сборка</t>
  </si>
  <si>
    <t>В-Ш</t>
  </si>
  <si>
    <t>ВЕРТ</t>
  </si>
  <si>
    <t>ОГН</t>
  </si>
  <si>
    <t>крой</t>
  </si>
  <si>
    <t>Суфле "Жизель" ваниль 2кг, кг</t>
  </si>
  <si>
    <t>планировать за сутки</t>
  </si>
  <si>
    <t xml:space="preserve">Зефир "Жизель"  с "вареной сгущенкой" глазированный в цвет. индивид. упаковке 4кг, кг </t>
  </si>
  <si>
    <t xml:space="preserve">Зефир "Жизель"  с вареной сгущенкой глазированный с ароматом ванили 2,5кг, кг </t>
  </si>
  <si>
    <t xml:space="preserve">Зефир "Жизель"  с фруктовой начинкой глазированный в цвет. индивид. упаковке 4кг, кг </t>
  </si>
  <si>
    <t xml:space="preserve">Зефир "Жизель"  с фруктовой начинкой глазированный с ароматом ванили 2,5кг, кг </t>
  </si>
  <si>
    <t xml:space="preserve">Зефир "Жизель" глазированный с ароматом ванили 2,5кг, кг </t>
  </si>
  <si>
    <t xml:space="preserve">Зефир "Жизель" глазированный с ароматом ванили в цвет. индивид. упаковке 4кг, кг </t>
  </si>
  <si>
    <t xml:space="preserve">Зефир "Сокол Пай" с вареной сгущенкой глазированный с ароматом крем-брюле 25гр 144шт, кг </t>
  </si>
  <si>
    <t xml:space="preserve">Зефир для НГ "Жизель" с "вареной сгущенкой" глазированный  с ароматом ванили (в инд.цветн пленке) 4 кг </t>
  </si>
  <si>
    <t xml:space="preserve">Зефир"Жизель" глазированный с ароматом ванили 3,0кг (в гофроящике "телевизор") , кг </t>
  </si>
  <si>
    <t>Зефир "Жизель" в йогуртовой глазури с ароматом ванили 2,5кг, кг</t>
  </si>
  <si>
    <t xml:space="preserve">Зефир "Жизель" в йогуртовой глазури с ароматом ванили в цв. инд. уп. 4кг, кг </t>
  </si>
  <si>
    <t xml:space="preserve">Зефир "Жизель" с фруктовой начинкой в йогуртовой глазури в цвет. индивид. упаковке 4кг </t>
  </si>
  <si>
    <t xml:space="preserve">Зефир "Жизель" с "вареной сгущенкой" в йогуртовой глазури с ароматом ванили 2,5кг, кг </t>
  </si>
  <si>
    <t xml:space="preserve">Зефир "Жизель" с фруктовой начинкой в йогурт. гл. с ароматом ванили 2,5 кг, кг </t>
  </si>
  <si>
    <t xml:space="preserve">Зефир ДЛЯ НГ "Жизель" в йогуртовой глазури с ароматом ванили в цв. инд. уп. 4кг, кг </t>
  </si>
  <si>
    <t>Зефир "Сокол-Пай" с вареной сгущенкой глазированный со вкусом банана, 200г (10 шт)</t>
  </si>
  <si>
    <t xml:space="preserve">Зефир Сокол-Пай с начинкой "кола" глазированный со вкусом вишня, 200г (10шт) </t>
  </si>
  <si>
    <t>Зефир "Жизель" в йогуртовой глазури с ароматом ванили в цв. инд. уп. 4кг, кг</t>
  </si>
  <si>
    <t>Зефир "Жизель" с фруктовой начинкой в йогурт. гл. с ароматом ванили 2,5 кг, кг</t>
  </si>
  <si>
    <t>Зефир ДЛЯ НГ "Жизель" в йогуртовой глазури с ароматом ванили в цв. инд. уп. 4кг, кг</t>
  </si>
  <si>
    <t xml:space="preserve">Зефир "Сокол-Пай" с вареной сгущенкой глазированный со вкусом банана, 200г (10 шт)  </t>
  </si>
  <si>
    <t>Зефир "Жизель" глазированный с ароматом ванили 2,5кг, кг</t>
  </si>
  <si>
    <t>Зефир "Жизель" глазированный с ароматом ванили в цвет. индивид. упаковке 4кг, кг</t>
  </si>
  <si>
    <t xml:space="preserve">Зефир "Сокол-Пай" с вареной сгущенкой глазированный со вкусом банана, 200г (10 шт) </t>
  </si>
  <si>
    <t>Зефир Сокол-Пай с начинкой "кола" глазированный со вкусом вишня, 200г (10шт)</t>
  </si>
  <si>
    <t>Зефир "Сокол Пай" с вареной сгущенкой глазированный с ароматом крем-брюле 25гр 144шт, кг</t>
  </si>
  <si>
    <t xml:space="preserve">Зефир "Жизель" в йогуртовой глазури с ароматом ванили 2,5кг, кг </t>
  </si>
  <si>
    <t>Зефир "Жизель" с "вареной сгущенкой" в йогуртовой глазури с ароматом ванили 2,5кг, кг</t>
  </si>
  <si>
    <t>ФП 7</t>
  </si>
  <si>
    <t>Зефир "Сокол" на фруктозе с ароматом ванили 250гр 6 шт, кг</t>
  </si>
  <si>
    <t>Линия опудривания</t>
  </si>
  <si>
    <t>ЛО</t>
  </si>
  <si>
    <t>НЛ №2</t>
  </si>
  <si>
    <t>FLOY PAK 8</t>
  </si>
  <si>
    <t>ФП 8</t>
  </si>
  <si>
    <t>FLOY PAK 7</t>
  </si>
  <si>
    <t xml:space="preserve">НЕПРЕРЫВНАЯ ЛИНИЯ №2 </t>
  </si>
  <si>
    <t>Зефир «ПР!СТ» с ароматом ванили неглазированный 180 гр 10шт</t>
  </si>
  <si>
    <t>варка-НЛ №1</t>
  </si>
  <si>
    <t>Зефир "Сокол Пай»  с начинкой со вкусом  вареной сгущенки глазированный со вкусом банана 4,0 кг</t>
  </si>
  <si>
    <t>Зефир "Сокол Пай» с начинкой со вкусом колы глазированный со вкусом вишни 4,0 кг</t>
  </si>
  <si>
    <t xml:space="preserve">Зефир "Мое обожание" со вкусом крем-брюле 250гр 14шт, кг </t>
  </si>
  <si>
    <t>Зефир "Жизель" со вкусом творога 4 кг</t>
  </si>
  <si>
    <t>Зефир неглазированный для бело-розового с ароматом ванили, 125 г 28шт, кг</t>
  </si>
  <si>
    <t>Зефир неглазированный для бело-розового с ароматом малины, 125 г 28шт, кг</t>
  </si>
  <si>
    <t>Зефир неглазированный с ароматом ванили для бело-розового, 250 г 12шт, кг</t>
  </si>
  <si>
    <t>Зефир неглазированный с ароматом малины для бело-розового, 250 г 12шт, кг</t>
  </si>
  <si>
    <t>Зефир неглазированный с ароматом ванили и малины, 125 г 28шт, кг</t>
  </si>
  <si>
    <t>После ф.п.3-4-8 ФП 6</t>
  </si>
  <si>
    <t>После ф.п.3-4-8 ФП 7</t>
  </si>
  <si>
    <t>После ф.п.3-4-8ФП 6</t>
  </si>
  <si>
    <t>После ф.п.3-4-8ФП 7</t>
  </si>
  <si>
    <t>Зефир "Жизель" с "вареной сгущенкой" глазированный с ароматом ванили 250гр  8шт, кг</t>
  </si>
  <si>
    <t>Зефир "Жизель" с фруктовой начинкой глазированный с ароматом ванили 250гр 8 шт., кг</t>
  </si>
  <si>
    <t>Зефир неглазированный с ароматом ванили, 125 г 28шт, кг</t>
  </si>
  <si>
    <t>Конфеты "Ликерная коллекция" со вкусом Айриш Крим 200гр 20шт, кг</t>
  </si>
  <si>
    <t>Конфеты "Ликерная коллекция" со вкусом амаретто 10кг, кг</t>
  </si>
  <si>
    <t>Конфеты "Ликерная коллекция" со вкусом лимончелло 10кг, кг</t>
  </si>
  <si>
    <t>Конфеты "Ликерная коллекция" со вкусом малибу 10кг, кг</t>
  </si>
  <si>
    <t>Конфеты "Ликерная коллекция" со вкусом Айриш Крим 10кг, кг</t>
  </si>
  <si>
    <t>Конфеты "Винтажная коллекция" со вкусом трюфеля 10 кг, кг</t>
  </si>
  <si>
    <t>Терм3</t>
  </si>
  <si>
    <t>Термоупаковка 3</t>
  </si>
  <si>
    <t>Зеф. в с/п "Жизель" малина  340 гр 8 вл.  для бело розового</t>
  </si>
  <si>
    <t>Зеф. в с/п "Жизель"  ваниль 340 гр 8 вл. для бело розового</t>
  </si>
  <si>
    <t>Зефир "Бело-розовый" с ароматом ванили и малины 340гр 8шт., кг</t>
  </si>
  <si>
    <t>Зефир "Жизель" с ароматом крем-брюле 340гр 8шт., кг</t>
  </si>
  <si>
    <t xml:space="preserve">Зефир "Жизель" с ароматом крем-брюле 340гр 8шт., кг </t>
  </si>
  <si>
    <t>Зефир с ароматом ванили 180г 15шт п/п</t>
  </si>
  <si>
    <t>Зефир "Мое обожание" глазированный с ароматом ванили 200гр 10шт., кг</t>
  </si>
  <si>
    <t>ПЛАНИРУЕМ НЕ ПО ЛИНИИ!!!</t>
  </si>
  <si>
    <t>Зефир "Жизель" с ароматом ванили и малины 500гр 12шт (Евроторг)</t>
  </si>
  <si>
    <t>Конфеты суфле "ARO" глазир. ваниль 350г (пакет) (Метро)</t>
  </si>
  <si>
    <t>Зефир "Жизель" со вкусом яблока 4 кг</t>
  </si>
  <si>
    <t>Зефир «Жизель» с ароматом ванили в вафельной крошке 4 кг</t>
  </si>
  <si>
    <t>ОБСЫПКА ВАФЕЛЬНОЙ КРОШКОЙ</t>
  </si>
  <si>
    <t>ИТОГО</t>
  </si>
  <si>
    <t>ОБС</t>
  </si>
  <si>
    <t>через 1 час после обсыпки</t>
  </si>
  <si>
    <t>Зефир неглазированный со вкусом творога, 250 г 12шт (Сладавита)</t>
  </si>
  <si>
    <t>Зефир неглазированный со вкусом яблока, 250 г 12шт (Сладавита)</t>
  </si>
  <si>
    <t>Зефир "Жизель"  с ароматом ванили и малины 500гр 12шт (мини-телевизор)</t>
  </si>
  <si>
    <t>Зефир "Жизель"  с ароматом ванили 500гр 12шт (мини-телевизор)</t>
  </si>
  <si>
    <t>Зефир "Жизель" глазированный с ароматом ванили 600гр 12шт (мини-телевизоры)</t>
  </si>
  <si>
    <t>Зефир "Жизель"  с фруктовой начинкой со вкусом мандарина 250гр 12шт</t>
  </si>
  <si>
    <t>НЕПРЕРЫВНАЯ ЛИНИЯ №2 - Шоколадная линия 2</t>
  </si>
  <si>
    <t>НЛ №2-ШЛ №2</t>
  </si>
  <si>
    <t xml:space="preserve">Крой Зефир  "Extra light" (в ассортименте) крышка 250 г  </t>
  </si>
  <si>
    <t xml:space="preserve">Крой Зефир  "Extra light" (в ассортименте) дно 250г </t>
  </si>
  <si>
    <t>Крой Зефир «Лента» глазированный с фрукт.нач.250г дно</t>
  </si>
  <si>
    <t>Крой Зефир «Лента» глазированный с фрукт.нач.250г крышка</t>
  </si>
  <si>
    <t>Крой Зефир «Лента» с ар-ом ванили с фрукт. нач.250г крышка</t>
  </si>
  <si>
    <t>Крой Зефир «Лента» яблочный 250г крышка</t>
  </si>
  <si>
    <t>Крой Зефир «Лента» с ар-ом ванили с фрукт. нач.250г дно</t>
  </si>
  <si>
    <t>Крой Зефир «Лента» яблочный 250г дно</t>
  </si>
  <si>
    <t>Зефир  «Жизель» с фруктовой начинкой со вкусом  мандарина  4,5 кг</t>
  </si>
  <si>
    <t>Зефир "Жизель" с фруктовой начинкой с ароматом малины в индивид. прозрачной упаковке 4кг, кг</t>
  </si>
  <si>
    <t>Зефир  «Сокол» с фруктовой начинкой со вкусом  малины  4,5 кг</t>
  </si>
  <si>
    <t>Конфеты глазированные суфле (незавернутые) "Жизель" с ароматом ванили 2 кг</t>
  </si>
  <si>
    <t>Конфеты неглазированные со сбивным корпусом "Жизель" кокосовые в инд. прозрачной пл. (телевизор) 2кг</t>
  </si>
  <si>
    <t>ОБСЫПКА КОКОСОВОЙ СТРУЖКОЙ</t>
  </si>
  <si>
    <t>Зефирная масса, кг</t>
  </si>
  <si>
    <t>Зефир "Жизель" ванильный, 250 г 12шт, кг (ПРЕМИУМ)</t>
  </si>
  <si>
    <t>Зефир "Жизель" яблочный, 250 г 12шт, кг (ПРЕМИУМ)</t>
  </si>
  <si>
    <t>Зефир "Жизель" кокосовый, 250 г 12шт, кг (ПРЕМИУМ)</t>
  </si>
  <si>
    <t>Зефир"Сокол" в кокосовой стружке 3,2кг (в гофроящике "телевизор"), кг</t>
  </si>
  <si>
    <t>ИТОГО суфле</t>
  </si>
  <si>
    <t>ИТОГО зефир</t>
  </si>
  <si>
    <t>варка 10 часов</t>
  </si>
  <si>
    <t>Зефир  «Сокол» с фруктовой начинкой с ароматом малины  3,5 кг (телевизор)</t>
  </si>
  <si>
    <t>Зефир "Жизель" с ароматом ванили 1 кг, кг</t>
  </si>
  <si>
    <t>Зефир «Сокол» в кокосовой стружке 4 кг</t>
  </si>
  <si>
    <t>Зефир «Sweet Queen» с фруктовой начинкой с ароматом малины 250г, кг</t>
  </si>
  <si>
    <t>Зефир с ароматом ванили с начинкой «со вкусом варёной сгущенки» глазированный «Sweet Queen» 600 г, (12 шт)</t>
  </si>
  <si>
    <t>Зефир глазированный с ароматом ванили 180г 18шт, кг (Евроторг)</t>
  </si>
  <si>
    <t>Зефир в йогуртовой глазури с ароматом ванили 180г 18шт, кг (Евроторг)</t>
  </si>
  <si>
    <t>Зефир с ароматом ванили, 200 г 12шт, кг (Евроторг)</t>
  </si>
  <si>
    <t>Зефир с ароматом ванили и малины, 200 г 12шт, кг (Евроторг)</t>
  </si>
  <si>
    <t>через 5 часов после ОБС</t>
  </si>
  <si>
    <t>Зефир "Жизель" без сахара 160 г 10шт</t>
  </si>
  <si>
    <t>Зефир  «Жизель» с фруктовой начинкой со вкусом  мандарина  2,5 кг ИП Омаров</t>
  </si>
  <si>
    <t>Зеф. в с/п ваниль 2,4кг  для бело розового ИП Омаров</t>
  </si>
  <si>
    <t>Зеф. в с/п малина  2,4кг  для бело розового ИП Омаров</t>
  </si>
  <si>
    <t>Зефир  «Жизель» с фруктовой начинкой со вкусом  мандарина  3,5 кг (телевизор)</t>
  </si>
  <si>
    <t>Зефир "Бело-розовый" с ароматом ванили и малины 2,4 кг, кг ИП Омаров</t>
  </si>
  <si>
    <t>Зефир "Жизель" с ароматом крем-брюле 2,4 кг ИП Омаров</t>
  </si>
  <si>
    <t>Зефир "Жизель" со вкусом творога 2,4 кг ИП Омаров</t>
  </si>
  <si>
    <t>Зефир "Жизель" с ароматом ванили 2,4 кг, кг ИП Омаров</t>
  </si>
  <si>
    <t>Зефир "Жизель" со вкусом яблока 2,4 кг, кг ИП Омаров</t>
  </si>
  <si>
    <t>Зефир «Жизель» с ароматом ванили в вафельной крошке 2,4 кг ИП Омаров</t>
  </si>
  <si>
    <t>Зефир"Сокол" в кокосовой стружке 2,5  кг ИП Омаров</t>
  </si>
  <si>
    <t>варка НЛ №2</t>
  </si>
  <si>
    <t>Непрерывная линия №1 (30 отсадок)</t>
  </si>
  <si>
    <t>ВАРОЧНАЯ КОЛОНКА №1</t>
  </si>
  <si>
    <t>ВАРОЧНАЯ КОЛОНКА №2</t>
  </si>
  <si>
    <t>Зефир "Шарлиз" глазированный с ароматом ванили (в инд. цвет. упаковке) 3,0 кг, кг</t>
  </si>
  <si>
    <t>Зефир "Шарлиз" глазированный с ароматом ванили 240г 18шт, кг</t>
  </si>
  <si>
    <t>Конфеты "Ликерная коллекция" со вкусом Айриш Крим 3,5кг, кг</t>
  </si>
  <si>
    <t>Конфеты "Ликерная коллекция" со вкусом Айриш Крим 3,5кг ( для подарков), кг</t>
  </si>
  <si>
    <r>
      <t>ВАРКА СУФЛЕ -</t>
    </r>
    <r>
      <rPr>
        <b/>
        <sz val="20"/>
        <color indexed="10"/>
        <rFont val="Times New Roman"/>
        <family val="1"/>
        <charset val="204"/>
      </rPr>
      <t xml:space="preserve"> КРАТНОЕ 10</t>
    </r>
    <r>
      <rPr>
        <b/>
        <sz val="20"/>
        <rFont val="Times New Roman"/>
        <family val="1"/>
        <charset val="204"/>
      </rPr>
      <t xml:space="preserve"> (не более 100 котлов)</t>
    </r>
  </si>
  <si>
    <r>
      <t xml:space="preserve">Варка пастилы - </t>
    </r>
    <r>
      <rPr>
        <b/>
        <sz val="20"/>
        <color indexed="10"/>
        <rFont val="Times New Roman"/>
        <family val="1"/>
        <charset val="204"/>
      </rPr>
      <t>КРАТНОЕ 6</t>
    </r>
    <r>
      <rPr>
        <b/>
        <sz val="20"/>
        <rFont val="Times New Roman"/>
        <family val="1"/>
        <charset val="204"/>
      </rPr>
      <t xml:space="preserve"> (не более 66 котлов)</t>
    </r>
  </si>
  <si>
    <t xml:space="preserve"> не более 300 ящ</t>
  </si>
  <si>
    <t>паралл.осн.варки с заданием на 40-50 варок</t>
  </si>
  <si>
    <t>в конце смены</t>
  </si>
  <si>
    <t>После ставить цветную пленку</t>
  </si>
  <si>
    <t>Сначало половинки, потом Лента</t>
  </si>
  <si>
    <t>НЕ НАДО</t>
  </si>
  <si>
    <t>Конфеты "Новогодние" с  начинкой со вкусом шоколада (дизайн Дед Мороз) 3,5кг, кг</t>
  </si>
  <si>
    <t>Конфеты "Новогодние" с начинкой со вкусом ореха (дизайн Снеговик) 3,5кг, кг</t>
  </si>
  <si>
    <t>Зефир глазированный с ароматом ванили ТМ «Peter Ronnen» 180 г 18шт, кг</t>
  </si>
  <si>
    <t>Конфеты глазированные со сбивным корпусом "Жизель» кокосовые, 270 г 12шт</t>
  </si>
  <si>
    <t>Зефир "Angry Birds" глазированный с ароматом ванили в цвет. индивид. упаковке 1,7кг</t>
  </si>
  <si>
    <t>Зефир "Жизель"  с вареной сгущенкой глазированный с ароматом ванили 1,2кг (телевизор)</t>
  </si>
  <si>
    <t>Зефир "Жизель" глазированный с ароматом ванили 1,2кг (телевизор)</t>
  </si>
  <si>
    <t>Зефир "Жизель" в йогуртовой глазури с ароматом ванили 1кг (телевизоры)</t>
  </si>
  <si>
    <t>Зефир "Жизель" с "вареной сгущенкой" в йогуртовой глазури с ароматом ванили 1кг (телевизоры)</t>
  </si>
  <si>
    <t>Зефир "Жизель" с фруктовой начинкой со вкусом мандарина 1кг (телевизор)</t>
  </si>
  <si>
    <t>Зефир "Жизель" с фруктовой начинкой с ароматом малины 1кг (телевизор)</t>
  </si>
  <si>
    <t>Зефир "Жизель" с ароматом ванили и малины 1кг (телевизор)</t>
  </si>
  <si>
    <t>Зефир с начинкой Кола с ароматом ванили 4,5кг (ЗКФ)</t>
  </si>
  <si>
    <t>Зефир "Жизель" с фруктовой начинкой со вкусом мандарина 550гр 12шт (мини-телевизор)</t>
  </si>
  <si>
    <t>Зефир "Жизель"  с фруктовой начинкой со вкусом малины 550гр 12шт (мини-телевизор)</t>
  </si>
  <si>
    <t>Зефир "Жизель" с "вареной сгущенкой" в йогуртовой гл. с ароматом ванили 500гр 12шт (мини-телевизор)</t>
  </si>
  <si>
    <t>28 отс./мин.</t>
  </si>
  <si>
    <t>Зефир "Жизель" с "вареной сгущенкой" глазированный с ароматом ванили 600гр 12шт (мини-телевизоры)</t>
  </si>
  <si>
    <t>Зефир «Жизель» глазированный с ароматом ванили 360гр 12шт</t>
  </si>
  <si>
    <t>Зефир с ароматом ванили в кокосовой стружке «Cafe de Paris» 250гр 12шт</t>
  </si>
  <si>
    <t>Зефир "Жизель" глазированный с ароматом ванили 200 гр 10шт., кг</t>
  </si>
  <si>
    <t xml:space="preserve">Крой Зефир  "Extra light" (в ассортименте) крышка 200 г  </t>
  </si>
  <si>
    <t xml:space="preserve">Крой Зефир  "Extra light" (в ассортименте) дно 200г </t>
  </si>
  <si>
    <t>Зефир с начинкой со вкусом вареной сгущенки с ароматом ванили 4,5кг (ЗКФ)</t>
  </si>
  <si>
    <t>Зефир "Жизель" с ароматом крем-брюле 1 кг (телевизор)</t>
  </si>
  <si>
    <t>Зефир "Жизель" со вкусом яблока 1 кг (телевизор)</t>
  </si>
  <si>
    <t>Зефир "Бело-розовый" с ароматом ванили и малины в индивид. упаковке 4 кг (форма цветок)</t>
  </si>
  <si>
    <t>Зефир «Жизель» с ароматом ванили в вафельной крошке в индивидуальной упаковке 4 кг (половинки)</t>
  </si>
  <si>
    <t>ТОРНАДО - переход 30 мин.</t>
  </si>
  <si>
    <t>Сначало половинки, потом Лента   ТОРНАДО - переход 20 мин.</t>
  </si>
  <si>
    <t>ТОРНАДО - переход 17 мин.</t>
  </si>
  <si>
    <t>+5% весовки на брак                                                ТОРНАДО 1 варка в час</t>
  </si>
  <si>
    <t>5+1</t>
  </si>
  <si>
    <t>4+1</t>
  </si>
  <si>
    <t>переход 30 мин. На без начинки</t>
  </si>
  <si>
    <t>переход 30 мин. На без начинки Сначало половинки, потом Лента   ТОРНАДО - переход 20 мин.</t>
  </si>
  <si>
    <t>переход 30 мин. На без начинки ТОРНАДО - переход 30 мин.</t>
  </si>
  <si>
    <t xml:space="preserve">Зефир "Жизель" глазированный с ароматом ванили 600гр 12шт (мини-телевизоры) </t>
  </si>
  <si>
    <t>лысые фильеры-переход на другие 20 мин.</t>
  </si>
  <si>
    <t>лысые фильеры - переход 20 мин. переход 30 мин. На без начинки</t>
  </si>
  <si>
    <t>фильеры 12 зубцов-переход на другие 20 мин.             переход 30 мин. На без начинки</t>
  </si>
  <si>
    <t>фильеры 8 зубцов-переход на другие 20 мин.         переход 30 мин. на без начинки</t>
  </si>
  <si>
    <t xml:space="preserve">фильеры 8 зубцов-переход на другие 20 мин.   </t>
  </si>
  <si>
    <t>фильеры 8 зубцов-переход на другие 20 мин.   переход 30 мин. На без начинки</t>
  </si>
  <si>
    <t>фильеры 8 зубцов-переход на другие 20 мин.   переход 30 мин. На без начинки  Сначало половинки, потом Лента   ТОРНАДО - переход 20 мин.</t>
  </si>
  <si>
    <t>Первая фис машина (23 отсадки, зефир с начинкой - 19 отсадок)</t>
  </si>
  <si>
    <t>Вторая фис машина (23 отсадки, зефир с начинкой - 19 отсадок)</t>
  </si>
  <si>
    <t>Третья фис машина (23 отсадки, зефир с начинкой - 19 отсадок)</t>
  </si>
  <si>
    <t xml:space="preserve">Зефир "Сокол Пай»  с начинкой со вкусом  вареной сгущенки глазированный со вкусом банана 4,0 кг </t>
  </si>
  <si>
    <t xml:space="preserve">Зефир "Сокол Пай» с начинкой со вкусом колы глазированный со вкусом вишни 4,0 кг </t>
  </si>
  <si>
    <t>Зефир "Жизель"  с вареной сгущенкой глазированный с ароматом ванили 2,5кг, кг</t>
  </si>
  <si>
    <t>Ликерная начинка ТРЮФЕЛЬ</t>
  </si>
  <si>
    <r>
      <t xml:space="preserve">варка </t>
    </r>
    <r>
      <rPr>
        <b/>
        <sz val="20"/>
        <color indexed="10"/>
        <rFont val="Times New Roman"/>
        <family val="1"/>
        <charset val="204"/>
      </rPr>
      <t>2</t>
    </r>
  </si>
  <si>
    <r>
      <t xml:space="preserve">варка </t>
    </r>
    <r>
      <rPr>
        <b/>
        <sz val="20"/>
        <color indexed="10"/>
        <rFont val="Times New Roman"/>
        <family val="1"/>
        <charset val="204"/>
      </rPr>
      <t>3</t>
    </r>
  </si>
  <si>
    <r>
      <t xml:space="preserve">варка </t>
    </r>
    <r>
      <rPr>
        <b/>
        <sz val="20"/>
        <color indexed="10"/>
        <rFont val="Times New Roman"/>
        <family val="1"/>
        <charset val="204"/>
      </rPr>
      <t>1</t>
    </r>
  </si>
  <si>
    <r>
      <t>Резка суфле -</t>
    </r>
    <r>
      <rPr>
        <b/>
        <sz val="20"/>
        <color indexed="10"/>
        <rFont val="Times New Roman"/>
        <family val="1"/>
        <charset val="204"/>
      </rPr>
      <t xml:space="preserve"> через 24 часа</t>
    </r>
  </si>
  <si>
    <r>
      <t xml:space="preserve">Резка пастилы - </t>
    </r>
    <r>
      <rPr>
        <b/>
        <sz val="20"/>
        <color indexed="10"/>
        <rFont val="Times New Roman"/>
        <family val="1"/>
        <charset val="204"/>
      </rPr>
      <t>через 24 часа</t>
    </r>
  </si>
  <si>
    <r>
      <t xml:space="preserve"> Зефир на агаре </t>
    </r>
    <r>
      <rPr>
        <b/>
        <sz val="20"/>
        <color indexed="10"/>
        <rFont val="Times New Roman"/>
        <family val="1"/>
        <charset val="204"/>
      </rPr>
      <t>не более 14 варок</t>
    </r>
    <r>
      <rPr>
        <b/>
        <sz val="20"/>
        <rFont val="Times New Roman"/>
        <family val="1"/>
        <charset val="204"/>
      </rPr>
      <t xml:space="preserve"> (кратное 2)</t>
    </r>
  </si>
  <si>
    <r>
      <t xml:space="preserve"> Зефир на желатине - </t>
    </r>
    <r>
      <rPr>
        <b/>
        <sz val="20"/>
        <color indexed="10"/>
        <rFont val="Times New Roman"/>
        <family val="1"/>
        <charset val="204"/>
      </rPr>
      <t>кратное 6</t>
    </r>
    <r>
      <rPr>
        <b/>
        <sz val="20"/>
        <rFont val="Times New Roman"/>
        <family val="1"/>
        <charset val="204"/>
      </rPr>
      <t xml:space="preserve"> - </t>
    </r>
    <r>
      <rPr>
        <b/>
        <sz val="20"/>
        <color indexed="10"/>
        <rFont val="Times New Roman"/>
        <family val="1"/>
        <charset val="204"/>
      </rPr>
      <t>не более 48 котлов</t>
    </r>
  </si>
  <si>
    <r>
      <t xml:space="preserve">не более 50 варок, </t>
    </r>
    <r>
      <rPr>
        <b/>
        <u/>
        <sz val="20"/>
        <rFont val="Times New Roman"/>
        <family val="1"/>
        <charset val="204"/>
      </rPr>
      <t>кратное 2</t>
    </r>
  </si>
  <si>
    <r>
      <t xml:space="preserve">Зефир глазированный с ароматом ванили, 200 г 18шт, кг </t>
    </r>
    <r>
      <rPr>
        <b/>
        <sz val="20"/>
        <rFont val="Arial"/>
        <family val="2"/>
        <charset val="204"/>
      </rPr>
      <t>ЕВРОТОРГ</t>
    </r>
  </si>
  <si>
    <r>
      <t xml:space="preserve">Зефир глазированный с начинкой со вкусом вареной сгущенки и ароматом ванили, 200 г 18шт, кг </t>
    </r>
    <r>
      <rPr>
        <b/>
        <sz val="20"/>
        <rFont val="Arial"/>
        <family val="2"/>
        <charset val="204"/>
      </rPr>
      <t>ЕВРОТОРГ</t>
    </r>
  </si>
  <si>
    <r>
      <t xml:space="preserve">Зефир глазированный с фруктовой начинкой и ароматом ванили, 200 г 18шт, кг </t>
    </r>
    <r>
      <rPr>
        <b/>
        <sz val="20"/>
        <rFont val="Arial"/>
        <family val="2"/>
        <charset val="204"/>
      </rPr>
      <t>ЕВРОТОРГ</t>
    </r>
  </si>
  <si>
    <r>
      <t xml:space="preserve">не более 50 варок,                                                 не более 300 ящ,                                                  </t>
    </r>
    <r>
      <rPr>
        <sz val="20"/>
        <rFont val="Times New Roman"/>
        <family val="1"/>
        <charset val="204"/>
      </rPr>
      <t>кратное 2</t>
    </r>
  </si>
  <si>
    <r>
      <rPr>
        <sz val="20"/>
        <rFont val="Times New Roman"/>
        <family val="1"/>
        <charset val="204"/>
      </rPr>
      <t xml:space="preserve">фильеры 12 зубцов-переход на другие 20 мин.  </t>
    </r>
    <r>
      <rPr>
        <b/>
        <sz val="20"/>
        <rFont val="Times New Roman"/>
        <family val="1"/>
        <charset val="204"/>
      </rPr>
      <t xml:space="preserve">                                29 отс./мин.</t>
    </r>
  </si>
  <si>
    <r>
      <rPr>
        <sz val="20"/>
        <rFont val="Times New Roman"/>
        <family val="1"/>
        <charset val="204"/>
      </rPr>
      <t xml:space="preserve">фильеры 12 зубцов-переход на другие 20 мин.       </t>
    </r>
    <r>
      <rPr>
        <b/>
        <sz val="20"/>
        <rFont val="Times New Roman"/>
        <family val="1"/>
        <charset val="204"/>
      </rPr>
      <t xml:space="preserve">                                  29 отс./мин.</t>
    </r>
  </si>
  <si>
    <r>
      <t>В-Ш-</t>
    </r>
    <r>
      <rPr>
        <b/>
        <sz val="20"/>
        <color indexed="10"/>
        <rFont val="Times New Roman"/>
        <family val="1"/>
        <charset val="204"/>
      </rPr>
      <t>5</t>
    </r>
  </si>
  <si>
    <r>
      <t>В-Ш-</t>
    </r>
    <r>
      <rPr>
        <b/>
        <sz val="20"/>
        <color indexed="10"/>
        <rFont val="Times New Roman"/>
        <family val="1"/>
        <charset val="204"/>
      </rPr>
      <t>1</t>
    </r>
  </si>
  <si>
    <r>
      <t>В-Ш-</t>
    </r>
    <r>
      <rPr>
        <b/>
        <sz val="20"/>
        <color indexed="10"/>
        <rFont val="Times New Roman"/>
        <family val="1"/>
        <charset val="204"/>
      </rPr>
      <t>3</t>
    </r>
  </si>
  <si>
    <r>
      <t>В-Ш-</t>
    </r>
    <r>
      <rPr>
        <b/>
        <sz val="20"/>
        <color indexed="10"/>
        <rFont val="Times New Roman"/>
        <family val="1"/>
        <charset val="204"/>
      </rPr>
      <t>2</t>
    </r>
  </si>
  <si>
    <r>
      <t>В-Ш-</t>
    </r>
    <r>
      <rPr>
        <b/>
        <sz val="20"/>
        <color indexed="10"/>
        <rFont val="Times New Roman"/>
        <family val="1"/>
        <charset val="204"/>
      </rPr>
      <t>4</t>
    </r>
  </si>
  <si>
    <t>Зефир "Мое обожание" глазированный с ароматом ванили 200гр 10шт крышка</t>
  </si>
  <si>
    <t>Зефир "Мое обожание" глазированный с ароматом ванили 200гр 10шт дно</t>
  </si>
  <si>
    <t xml:space="preserve">Лысые фильеры -переход на другие 20 мин.             </t>
  </si>
  <si>
    <t>На след.день после 10.00</t>
  </si>
  <si>
    <t>На след.день после 11.00</t>
  </si>
  <si>
    <t>Зефир «Жизель» глазированный с ароматом ванили (в индивидуальной цветной упаковке) 300гр (ОЗОН)</t>
  </si>
  <si>
    <t>Зефир «Жизель» с нач. со вкусом вареной сгущ. глаз. с ароматом ванили (в инд. цвет. уп.) 300г (ОЗОН)</t>
  </si>
  <si>
    <t>Зефир «Жизель» в йогуртовой глазури с ароматом ванили (в индивид. цветной упаковке) 300гр (ОЗОН)</t>
  </si>
  <si>
    <t>Зефир «Жизель» глазированный с ароматом ванили (в индивидуальной цветной упаковке) 300гр</t>
  </si>
  <si>
    <t xml:space="preserve">Зефир «Жизель» глазированный с ароматом ванили (в индивидуальной цветной упаковке) 300гр </t>
  </si>
  <si>
    <t xml:space="preserve"> НАИМЕНОВАНИЕ</t>
  </si>
  <si>
    <t xml:space="preserve"> телеги </t>
  </si>
  <si>
    <t xml:space="preserve"> Кол-во отходов, кг</t>
  </si>
  <si>
    <t>НОРМА</t>
  </si>
  <si>
    <t>ФАКТ</t>
  </si>
  <si>
    <t xml:space="preserve"> ИТОГО</t>
  </si>
  <si>
    <t>Конфеты "Ликерная коллекция" со вкусом амаретто 10кг по 1 кг, кг</t>
  </si>
  <si>
    <t>Конфеты "Ликерная коллекция" со вкусом Айриш Крим 10кг по 1 кг, кг</t>
  </si>
  <si>
    <t>Конфеты "Ликерная коллекция" со вкусом лимончелло 10кг по 1 кг, кг</t>
  </si>
  <si>
    <t>Конфеты "Ликерная коллекция" со вкусом малибу 10кг по 1 кг, кг</t>
  </si>
  <si>
    <t>Конфеты "Винтажная коллекция" со вкусом трюфеля 10 кг по 1 кг, кг</t>
  </si>
  <si>
    <t>Конфеты глазированные суфле с ароматом пломбира в молочном шоколаде "Машуля" 500гр 5шт</t>
  </si>
  <si>
    <t>Конфеты глазированные суфле с ароматом банана в молочном шоколаде "Машуля" 500гр 5шт</t>
  </si>
  <si>
    <t>Конфеты глазированные суфле с ароматом ванили в молочном шоколаде "Машуля" 500гр 5шт</t>
  </si>
  <si>
    <t>Конфеты глазированные в шоколадной глазури суфле с ароматом ванили (БИЛЛА), 250г 12шт.</t>
  </si>
  <si>
    <t>Конфеты глазированные в шоколадной глазури суфле со вкусом шоколада (БИЛЛА), 250 г   12 шт.</t>
  </si>
  <si>
    <r>
      <t xml:space="preserve">варка </t>
    </r>
    <r>
      <rPr>
        <sz val="20"/>
        <color indexed="10"/>
        <rFont val="Times New Roman"/>
        <family val="1"/>
        <charset val="204"/>
      </rPr>
      <t>4</t>
    </r>
  </si>
  <si>
    <t>СУФЛЕ</t>
  </si>
  <si>
    <t>через 8 часов</t>
  </si>
  <si>
    <t>день</t>
  </si>
  <si>
    <t>Зефир "Воздушный замок" (на фурцеллеране) глазированный с ароматом ванили  250 г  (12 шт)</t>
  </si>
  <si>
    <t xml:space="preserve">Зефир "Воздушный замок" (на фурцеллеране) глазированный с ароматом ванили  крышка 250 г  </t>
  </si>
  <si>
    <t xml:space="preserve">Зефир "Воздушный замок" (на фурцеллеране) глазированный с ароматом ванили крышка 250 г  </t>
  </si>
  <si>
    <t xml:space="preserve">Зефир "Воздушный замок" (на фурцеллеране) глазированный с ароматом ванили дно 250г </t>
  </si>
  <si>
    <t>Зефир «Шарлиз» «ванильный» 180 гр 12шт</t>
  </si>
  <si>
    <t>Зефир «Шарлиз» «клюквенный» 180 гр 12шт</t>
  </si>
  <si>
    <t>Зефир «Жизель» с ароматом ванили 180гр 26шт, кг (Чижик)</t>
  </si>
  <si>
    <t>Зефир "Sweet Queen" с ароматом ванили 250гр 16шт, кг</t>
  </si>
  <si>
    <t>Зефир "Sweet Queen" с ароматом крем-брюле 250гр 16шт, кг</t>
  </si>
  <si>
    <t>Зефир "Sweet Queen" глазированный с ароматом ванили 200гр 22шт, кг</t>
  </si>
  <si>
    <t>Зефир "Sweet Queen" с ароматом ванили и малины 250гр 16шт, кг</t>
  </si>
  <si>
    <t xml:space="preserve">фильеры лысые-переход на другие 20 мин.   </t>
  </si>
  <si>
    <t>Зефир «Жизель» глазированный с ароматом ванили 360гр 14шт, кг</t>
  </si>
  <si>
    <t>Конфеты глазированные со сбивным корпусом "Жизель» кокосовые 650 гр , кг</t>
  </si>
  <si>
    <t>Зефир неглазированный со вкусом творога, 250 г 16шт (Виталюр)</t>
  </si>
  <si>
    <t>Зефир неглазированный с ароматом крем-брюле, 250 г 16шт (Виталюр)</t>
  </si>
  <si>
    <t>Зефир "Жизель" в йогуртовой глазури с ароматом ванили в цв. инд. уп., 2 кг. (телевизор), кг</t>
  </si>
  <si>
    <t>Зефир "Жизель" (новогодний дизайн) глазированный с ароматом ванили в инд. цвет. уп. 2 кг (телевизор), кг</t>
  </si>
  <si>
    <t>Зефир "Жизель" с "вареной сгущенкой" глазированный (в инд. цветной упаковке) 2 кг. (телевизор), кг</t>
  </si>
  <si>
    <t>Зефир "Жизель" с фруктовой начинкой глазированный в цвет. индивид. упаковке 2 кг. (телевизор), кг</t>
  </si>
  <si>
    <t>Конфеты "Новогодние" с  начинкой со вкусом шоколада (дизайн Дед Мороз), в пакетах по 1кг 10шт, кг</t>
  </si>
  <si>
    <t>Конфеты "Новогодние" с начинкой со вкусом ореха (дизайн Снеговик), в пакетах по 1кг 10шт, кг</t>
  </si>
  <si>
    <t>Если Виталюр,то ставим еще 1 чел.на стикер</t>
  </si>
  <si>
    <t>Зефир "Жизель" глазированный с ароматом ванили 500гр 12шт (мини-телевизоры), кг</t>
  </si>
  <si>
    <t>Если Виталюр, то +1 чел.на стикер</t>
  </si>
  <si>
    <t>Зефир "Жизель"  с фруктовой начинкой со вкусом малины 250гр 12шт ВИТАЛЮР</t>
  </si>
  <si>
    <t>Конфеты глазированные суфле с ароматом пломбира в молочном шоколаде "Машуля" 500гр 5шт (со сгущенным молоком)</t>
  </si>
  <si>
    <t>Конфеты глазированные суфле с ароматом банана в молочном шоколаде "Машуля" 500гр 5шт (со сгущенным молоком)</t>
  </si>
  <si>
    <t>Конфеты глазированные суфле с ароматом ванили в молочном шоколаде "Машуля" 500гр 5шт (со сгущенным молоком)</t>
  </si>
  <si>
    <t xml:space="preserve">Зефир "Жизель" без сахара 130 г 22шт </t>
  </si>
  <si>
    <t>не менее 2-х варок</t>
  </si>
  <si>
    <t>Зефир "Жизель" без сахара 160 г 8шт</t>
  </si>
  <si>
    <t>не менее 2-х варок,                                 28 ОТСАДОК</t>
  </si>
  <si>
    <t>Крой Зефир  без сахара (в ассортименте) крышка 160 г  8 шт</t>
  </si>
  <si>
    <t>Крой Зефир  без сахара (в ассортименте) дно 160 г  8 шт</t>
  </si>
  <si>
    <t>Зефир «Жизель» с начинкой со вкусом варённой сгущёнки глазированный с ароматом ванили 360 гр 7шт, кг</t>
  </si>
  <si>
    <t>Зефир «Шарлиз» «Бело-розовый» с ароматом ванили и малины 180 гр 12шт</t>
  </si>
  <si>
    <t>через 1,5 часов</t>
  </si>
  <si>
    <t>двойная уп-ка</t>
  </si>
  <si>
    <t>Зефир глазированный с ароматом ванили 180г 22шт, кг (ВИТАЛЮР)</t>
  </si>
  <si>
    <t>Зефир в йогуртовой глазури с ароматом ванили 180г 22шт, кг (ВИТАЛЮР)</t>
  </si>
  <si>
    <t>Зефир "Славянка" ванильный ГОСТ" 3,2кг</t>
  </si>
  <si>
    <r>
      <t xml:space="preserve">Зефир "Жизель" с ароматом ванили 4 кг </t>
    </r>
    <r>
      <rPr>
        <b/>
        <sz val="20"/>
        <rFont val="Arial"/>
        <family val="2"/>
        <charset val="204"/>
      </rPr>
      <t>ЗКФ</t>
    </r>
    <r>
      <rPr>
        <sz val="20"/>
        <rFont val="Arial"/>
        <family val="2"/>
        <charset val="204"/>
      </rPr>
      <t>, кг</t>
    </r>
  </si>
  <si>
    <t>НЛ №1</t>
  </si>
  <si>
    <t>Зефир "365 ДНЕЙ" глазированный с ароматом ванили 200г 22шт, кг</t>
  </si>
  <si>
    <t>Зефир «365 дней» с ароматом ванили 270гр. 16шт, кг</t>
  </si>
  <si>
    <t>Зефир «365 дней» с ароматом крем-брюле 270гр. 16шт, кг</t>
  </si>
  <si>
    <t>Конфеты глазированные суфле "365 ДНЕЙ"  с ароматом ванили 250г 16шт, кг</t>
  </si>
  <si>
    <t>Зефир "ЛЕНТА" с фруктовой начинкой глазированный с ароматом ванили 250 г 12шт</t>
  </si>
  <si>
    <t>Зефир "ЛЕНТА" с фруктовой начинкой с ароматом ванили 250 г 12шт</t>
  </si>
  <si>
    <t>Зефир "ЛЕНТА" яблочный 250 г 12шт</t>
  </si>
  <si>
    <t>Зефир "Жизель"  глазированный с ароматом ванили в инд. цвет. уп. 2 кг (телевизор)</t>
  </si>
  <si>
    <t>Конфеты глазированные суфле со вкусом банана BABY ПИН 2кг</t>
  </si>
  <si>
    <t>Конфеты неглазированные суфле банановые с начинкой со вкусом вареной сгущенки  BABY ПИН 2кг</t>
  </si>
  <si>
    <r>
      <t xml:space="preserve">Конфеты неглазированные суфле банановые с начинкой со вкусом вареной сгущенки  BABY ПИН 2кг - </t>
    </r>
    <r>
      <rPr>
        <b/>
        <sz val="20"/>
        <rFont val="Arial"/>
        <family val="2"/>
        <charset val="204"/>
      </rPr>
      <t>ОПУДРИВАЕМ СВЕРХУ И ГЛАЗИРУЕМ ДОНЫШКИ</t>
    </r>
  </si>
  <si>
    <t>Если цвет, то 85кг</t>
  </si>
  <si>
    <t>запуск-25кг+переход цвета-20кг+измер.плотности-10кг (1 раз в час)+остановка 30кг</t>
  </si>
  <si>
    <t>запуск-25кг+переход нач.-20кг+нач.на цвет-35кг, с цвета на цвет-30кг, измерение плотности -10кг (1 раз в час)+ остановка 40кг</t>
  </si>
  <si>
    <t>через Торнадо: запуск-25кг+цвет-30кг+нач.-20кг,с агара на пектин-50кг+с нач.на цвет-30кг+измер.плотности-10кг+останолвка 50кг</t>
  </si>
  <si>
    <t>Запуск-15кг+увет-30кг+настройка формы-20кг+измер.плотности-10кг+остановка-30кг</t>
  </si>
  <si>
    <t>Запуск-15кг+начинка-20кг+цвет и нач.-30кг+измер.плотности-10кг+остановка-20кг</t>
  </si>
  <si>
    <t>Запуск-15кг+цвет-40кг+не идет вес-50кг+остановка-10кг</t>
  </si>
  <si>
    <t>Запуск-15кг+цвет-70кг+с фруктозы на пектин-60кг+цвет-60кг+остановка-10кг</t>
  </si>
  <si>
    <t>Возвратные отходы зеф.массы</t>
  </si>
  <si>
    <t>Конфеты «Винтажная коллекция» с начинкой со вкусом шоколада 150гр 12шт</t>
  </si>
  <si>
    <t>вес 1 поддон-460гр (36шт на поддоне), вес 1 шт = 0,013кг</t>
  </si>
  <si>
    <t>вес 1 поддон-507гр (36шт на поддоне), вес 1 шт = 0,014кг</t>
  </si>
  <si>
    <t>1 поддон-12сек, в час-300 поддонов, или 300*0,46=138кг/час*1,02=140,7кг/час</t>
  </si>
  <si>
    <t xml:space="preserve">Конфеты неглазированные суфле банановые с начинкой со вкусом вареной сгущенки  BABY ПИН 2кг </t>
  </si>
  <si>
    <t>Для Фудлогистик +1чел.</t>
  </si>
  <si>
    <t>Если Фудлогистик,то ставим еще 1 чел.на стикер</t>
  </si>
  <si>
    <t xml:space="preserve">Зефир "Бело-розовый" с ароматом ванили и малины, форма цветок (в индивид. упаковке) 2кг </t>
  </si>
  <si>
    <t>Зефир "Жизель" со вкусом творога 1 кг (телевизор)</t>
  </si>
  <si>
    <t xml:space="preserve">Зефир «Жизель» клюквенный 4,0 кг </t>
  </si>
  <si>
    <t>Зефир"Жизель" со вкусом творога 3,2кг (в гофроящике "телевизор")</t>
  </si>
  <si>
    <t>Зефир"Жизель" со вкусом яблока 3,2кг (в гофроящике "телевизор")</t>
  </si>
  <si>
    <t>Зефир "Жизель" (Дизайн Новогодний) глазированный с ароматом ванили 250г (10)</t>
  </si>
  <si>
    <t xml:space="preserve">Крой Зефир  "Extra light"  (Дизайн Новогодний) крышка 250 г  </t>
  </si>
  <si>
    <t xml:space="preserve">Крой Зефир  "Extra light"   (Дизайн Новогодний)  крышка 250 г  </t>
  </si>
  <si>
    <t xml:space="preserve">Крой Зефир  "Extra light"   (Дизайн Новогодний)  дно 250г </t>
  </si>
  <si>
    <t>Зефир "Жизель" (на пектине) глазированный с ароматом ванили  200 г  (10 шт)</t>
  </si>
  <si>
    <t>Зефир "Жизель"  с фруктовой начинкой со вкусом малины 250гр 16шт ЮНИФУД</t>
  </si>
  <si>
    <t>Зефир "Жизель"  с фруктовой начинкой со вкусом мандарина 250гр 16шт ЮНИФУД</t>
  </si>
  <si>
    <t>Зефир неглазированный с ароматом ванили для бело-розового, 250 г 16шт, кг ВИТАЛЮР</t>
  </si>
  <si>
    <t>Зефир неглазированный с ароматом малины для бело-розового, 250 г 16шт, кг ВИТАЛЮР</t>
  </si>
  <si>
    <t>Зефир неглазированный с ароматом ванили, 250 г 16шт, кг ВИТАЛЮР</t>
  </si>
  <si>
    <t>Зефир неглазированный с ароматом ванили и малины, 250 г 16шт, кг ВИТАЛЮР</t>
  </si>
  <si>
    <t>Конфеты глазированные суфле "Sweet Queen" с ароматом ванили 200гр 7шт, кг</t>
  </si>
  <si>
    <t>Конфеты «Sweet Queen» глазированные суфле с ароматом ванили в молочном шоколаде 2кг</t>
  </si>
  <si>
    <t>Зефир «Жизель» клюквенный 3,2 кг  (в гофроящике "телевизор")</t>
  </si>
  <si>
    <t>Зефир "Жизель" с фруктовой начинкой глазированный 1,2кг (телевизор)</t>
  </si>
  <si>
    <t>Конфеты неглазированные суфле банановые с начинкой со вкусом вареной сгущенки  BABY ПИН 400 гр</t>
  </si>
  <si>
    <t>Конфеты глазированные суфле со вкусом банана BABY ПИН 400 гр</t>
  </si>
  <si>
    <r>
      <t xml:space="preserve">Конфеты неглазированные суфле банановые с начинкой со вкусом вареной сгущенки  BABY ПИН 400 гр - </t>
    </r>
    <r>
      <rPr>
        <b/>
        <sz val="20"/>
        <rFont val="Arial"/>
        <family val="2"/>
        <charset val="204"/>
      </rPr>
      <t>ОПУДРИВАЕМ СВЕРХУ И ГЛАЗИРУЕМ ДОНЫШКИ</t>
    </r>
  </si>
  <si>
    <t>Кф. гл. суфле BABY ПИН вкус банан 400г Кф. негл.  банан  с нач. со вкус. вар.сгущ.400г(спайка 800 г)</t>
  </si>
  <si>
    <t xml:space="preserve">Через Торнадо (формовать // нельзя)                                                         Сначало формуем без начинки, потом с начинкой </t>
  </si>
  <si>
    <t>варка НЛ №1</t>
  </si>
  <si>
    <r>
      <t xml:space="preserve">НЕПРЕРЫВНАЯ ЛИНИЯ №2  (31 отсадка, зефир с начинкой - 27 отсадок) </t>
    </r>
    <r>
      <rPr>
        <b/>
        <sz val="20"/>
        <color indexed="10"/>
        <rFont val="Times New Roman"/>
        <family val="1"/>
        <charset val="204"/>
      </rPr>
      <t>40 мин.с цвета на др.цвет, 20 мин. при переходе на др.фильеры</t>
    </r>
  </si>
  <si>
    <t>ПЕРЕНАСТРОЙКА ЛИНИИ НА НАЧИНКУ И БЕЗ - 1 СМЕНА (либо бело-розовый, либо с начинкой…)</t>
  </si>
  <si>
    <t>МОНДОМИКС</t>
  </si>
  <si>
    <t>ТОРНАДО</t>
  </si>
  <si>
    <r>
      <t xml:space="preserve">Зефир глазированный с начинкой со вкусом вареной сгущенки и ароматом ванили, 200 г 18шт, кг </t>
    </r>
    <r>
      <rPr>
        <b/>
        <sz val="20"/>
        <color indexed="10"/>
        <rFont val="Arial"/>
        <family val="2"/>
        <charset val="204"/>
      </rPr>
      <t>ЕВРОТОРГ</t>
    </r>
  </si>
  <si>
    <t>Через ТОРНАДО - 430 кг/час</t>
  </si>
  <si>
    <r>
      <t xml:space="preserve">лысые фильеры-переход на другие 20 мин.  </t>
    </r>
    <r>
      <rPr>
        <b/>
        <i/>
        <sz val="20"/>
        <rFont val="Times New Roman"/>
        <family val="1"/>
        <charset val="204"/>
      </rPr>
      <t>Через ТОРНАДО - 430 кг/час</t>
    </r>
  </si>
  <si>
    <r>
      <t xml:space="preserve">переход 30 мин. На без начинки ТОРНАДО - переход 30 мин.                                  </t>
    </r>
    <r>
      <rPr>
        <b/>
        <i/>
        <u/>
        <sz val="20"/>
        <color indexed="10"/>
        <rFont val="Times New Roman"/>
        <family val="1"/>
        <charset val="204"/>
      </rPr>
      <t>Через ТОРНАДО - 430 кг/час</t>
    </r>
  </si>
  <si>
    <r>
      <t xml:space="preserve">переход 30 мин. На без начинки ТОРНАДО - переход 30 мин.                                  </t>
    </r>
    <r>
      <rPr>
        <b/>
        <i/>
        <sz val="20"/>
        <color indexed="10"/>
        <rFont val="Times New Roman"/>
        <family val="1"/>
        <charset val="204"/>
      </rPr>
      <t>Через ТОРНАДО - 430 кг/час</t>
    </r>
  </si>
  <si>
    <t>НЛ №1-ШЛ №1</t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</si>
  <si>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b/>
        <sz val="20"/>
        <rFont val="Times New Roman"/>
        <family val="1"/>
        <charset val="204"/>
      </rPr>
      <t xml:space="preserve">                                    </t>
    </r>
    <r>
      <rPr>
        <sz val="20"/>
        <rFont val="Times New Roman"/>
        <family val="1"/>
        <charset val="204"/>
      </rPr>
      <t xml:space="preserve">фильеры 12 зубцов-переход на другие 20 мин.       </t>
    </r>
    <r>
      <rPr>
        <b/>
        <sz val="20"/>
        <rFont val="Times New Roman"/>
        <family val="1"/>
        <charset val="204"/>
      </rPr>
      <t xml:space="preserve">                                    28 отс./мин.</t>
    </r>
  </si>
  <si>
    <r>
      <rPr>
        <b/>
        <i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     фильеры 8 зубцов-переход на другие 20 мин.   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</si>
  <si>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  </t>
    </r>
    <r>
      <rPr>
        <sz val="20"/>
        <rFont val="Times New Roman"/>
        <family val="1"/>
        <charset val="204"/>
      </rPr>
      <t xml:space="preserve">                                         фильеры 8 зубцов-переход на другие 20 мин.   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</si>
  <si>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b/>
        <sz val="20"/>
        <rFont val="Times New Roman"/>
        <family val="1"/>
        <charset val="204"/>
      </rPr>
      <t xml:space="preserve">                                              </t>
    </r>
    <r>
      <rPr>
        <sz val="20"/>
        <rFont val="Times New Roman"/>
        <family val="1"/>
        <charset val="204"/>
      </rPr>
      <t xml:space="preserve">фильеры 12 зубцов-переход на другие 20 мин.      </t>
    </r>
    <r>
      <rPr>
        <b/>
        <sz val="20"/>
        <rFont val="Times New Roman"/>
        <family val="1"/>
        <charset val="204"/>
      </rPr>
      <t xml:space="preserve">                                  28 отс./мин.</t>
    </r>
  </si>
  <si>
    <r>
      <rPr>
        <b/>
        <i/>
        <u/>
        <sz val="20"/>
        <color indexed="10"/>
        <rFont val="Times New Roman"/>
        <family val="1"/>
        <charset val="204"/>
      </rPr>
      <t xml:space="preserve"> Через ТОРНАДО - 430 кг/час       </t>
    </r>
    <r>
      <rPr>
        <sz val="20"/>
        <color indexed="10"/>
        <rFont val="Times New Roman"/>
        <family val="1"/>
        <charset val="204"/>
      </rPr>
      <t xml:space="preserve">                                         не более 300 ящ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</si>
  <si>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</t>
    </r>
    <r>
      <rPr>
        <sz val="20"/>
        <color indexed="10"/>
        <rFont val="Times New Roman"/>
        <family val="1"/>
        <charset val="204"/>
      </rPr>
      <t xml:space="preserve">                                   не более 300 ящ</t>
    </r>
  </si>
  <si>
    <r>
      <t xml:space="preserve">РОВНОЕ КОЛ-ВО ВАРОК фильеры 6 зубцов-переход на другие 20 мин.                                                </t>
    </r>
    <r>
      <rPr>
        <b/>
        <sz val="20"/>
        <rFont val="Times New Roman"/>
        <family val="1"/>
        <charset val="204"/>
      </rPr>
      <t>27 отсадок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</si>
  <si>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               лысые фильеры - переход 20 мин. 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</si>
  <si>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            фильеры 8 зубцов-переход на другие 20 мин.         переход 30 мин. на без начинки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</si>
  <si>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           лысые фильеры - переход 20 мин. переход 30 мин. На без начинки                              </t>
    </r>
    <r>
      <rPr>
        <b/>
        <sz val="20"/>
        <rFont val="Times New Roman"/>
        <family val="1"/>
        <charset val="204"/>
      </rPr>
      <t xml:space="preserve"> 27 отсадок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</si>
  <si>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фильеры 8 зубцов-переход на другие 20 мин.         переход 30 мин. на без начинки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</si>
  <si>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  фильеры 8 зубцов-переход на другие 20 мин.         переход 30 мин. на без начинки</t>
    </r>
  </si>
  <si>
    <t xml:space="preserve">переход 30 мин. На без начинки ТОРНАДО - переход 30 мин.                               </t>
  </si>
  <si>
    <t xml:space="preserve">переход 30 мин. На без начинки ТОРНАДО - переход 30 мин.                                          </t>
  </si>
  <si>
    <r>
      <rPr>
        <b/>
        <i/>
        <u/>
        <sz val="20"/>
        <color indexed="10"/>
        <rFont val="Times New Roman"/>
        <family val="1"/>
        <charset val="204"/>
      </rPr>
      <t>Через ТОРНАДО - 430 кг/час</t>
    </r>
    <r>
      <rPr>
        <sz val="20"/>
        <color indexed="10"/>
        <rFont val="Times New Roman"/>
        <family val="1"/>
        <charset val="204"/>
      </rPr>
      <t xml:space="preserve">                            переход 30 мин. На без начинки ТОРНАДО - переход 30 мин.                                           </t>
    </r>
    <r>
      <rPr>
        <b/>
        <sz val="20"/>
        <color indexed="10"/>
        <rFont val="Times New Roman"/>
        <family val="1"/>
        <charset val="204"/>
      </rPr>
      <t xml:space="preserve"> 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</si>
  <si>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     лысые фильеры - переход 20 мин. 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</si>
  <si>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      лысые фильеры - переход 20 мин. 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</si>
  <si>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фильеры 8 зубцов-переход на другие 20 мин.   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</si>
  <si>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лысые фильеры-переход на другие 20 мин.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</si>
  <si>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 фильеры 8 зубцов-переход на другие 20 мин.   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</si>
  <si>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фильеры 8 зубцов-переход на другие 20 мин.   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</si>
  <si>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                  фильеры 8 зубцов-переход на другие 20 мин.   переход 30 мин. на без начинки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</si>
  <si>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     лысые фильеры-переход на другие 20 мин., переход 30 мин. На без начинки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</si>
  <si>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</t>
    </r>
    <r>
      <rPr>
        <sz val="20"/>
        <color indexed="10"/>
        <rFont val="Times New Roman"/>
        <family val="1"/>
        <charset val="204"/>
      </rPr>
      <t xml:space="preserve">                               не более 300 ящ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</si>
  <si>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      </t>
    </r>
    <r>
      <rPr>
        <sz val="20"/>
        <color indexed="10"/>
        <rFont val="Times New Roman"/>
        <family val="1"/>
        <charset val="204"/>
      </rPr>
      <t xml:space="preserve">                                ТОРНАДО - переход 17 мин.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</si>
  <si>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 </t>
    </r>
    <r>
      <rPr>
        <sz val="20"/>
        <color indexed="10"/>
        <rFont val="Times New Roman"/>
        <family val="1"/>
        <charset val="204"/>
      </rPr>
      <t xml:space="preserve">                                 ТОРНАДО - переход 17 мин.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</si>
  <si>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</t>
    </r>
    <r>
      <rPr>
        <sz val="20"/>
        <color indexed="10"/>
        <rFont val="Times New Roman"/>
        <family val="1"/>
        <charset val="204"/>
      </rPr>
      <t xml:space="preserve">                              ТОРНАДО - переход 17 мин.</t>
    </r>
  </si>
  <si>
    <r>
      <rPr>
        <b/>
        <i/>
        <u/>
        <sz val="20"/>
        <color indexed="10"/>
        <rFont val="Times New Roman"/>
        <family val="1"/>
        <charset val="204"/>
      </rPr>
      <t>Через ТОРНАДО - 430 кг/час</t>
    </r>
    <r>
      <rPr>
        <sz val="20"/>
        <color indexed="10"/>
        <rFont val="Times New Roman"/>
        <family val="1"/>
        <charset val="204"/>
      </rPr>
      <t xml:space="preserve">                           ТОРНАДО - переход 17 мин.</t>
    </r>
  </si>
  <si>
    <r>
      <rPr>
        <b/>
        <i/>
        <u/>
        <sz val="20"/>
        <color indexed="10"/>
        <rFont val="Times New Roman"/>
        <family val="1"/>
        <charset val="204"/>
      </rPr>
      <t>Через ТОРНАДО - 430 кг/час</t>
    </r>
    <r>
      <rPr>
        <sz val="20"/>
        <color indexed="10"/>
        <rFont val="Times New Roman"/>
        <family val="1"/>
        <charset val="204"/>
      </rPr>
      <t xml:space="preserve">                         переход 30 мин. На без начинки ТОРНАДО - переход 30 мин.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</si>
  <si>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          переход 30 мин. На без начинки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</si>
  <si>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 </t>
    </r>
    <r>
      <rPr>
        <sz val="20"/>
        <color indexed="10"/>
        <rFont val="Times New Roman"/>
        <family val="1"/>
        <charset val="204"/>
      </rPr>
      <t xml:space="preserve">                                    переход 30 мин. На без начинки ТОРНАДО - переход 30 мин.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</si>
  <si>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</t>
    </r>
    <r>
      <rPr>
        <sz val="20"/>
        <color indexed="10"/>
        <rFont val="Times New Roman"/>
        <family val="1"/>
        <charset val="204"/>
      </rPr>
      <t xml:space="preserve">                                       переход 30 мин. На без начинки ТОРНАДО - переход 30 мин.</t>
    </r>
  </si>
  <si>
    <r>
      <rPr>
        <b/>
        <i/>
        <u/>
        <sz val="20"/>
        <color indexed="10"/>
        <rFont val="Times New Roman"/>
        <family val="1"/>
        <charset val="204"/>
      </rPr>
      <t>Через ТОРНАДО - 430 кг/час</t>
    </r>
    <r>
      <rPr>
        <sz val="20"/>
        <color indexed="10"/>
        <rFont val="Times New Roman"/>
        <family val="1"/>
        <charset val="204"/>
      </rPr>
      <t xml:space="preserve">                                          ТОРНАДО - переход 30 мин.</t>
    </r>
  </si>
  <si>
    <r>
      <rPr>
        <b/>
        <i/>
        <u/>
        <sz val="20"/>
        <color indexed="10"/>
        <rFont val="Times New Roman"/>
        <family val="1"/>
        <charset val="204"/>
      </rPr>
      <t xml:space="preserve">Через ТОРНАДО - 430 кг/час  </t>
    </r>
    <r>
      <rPr>
        <sz val="20"/>
        <color indexed="10"/>
        <rFont val="Times New Roman"/>
        <family val="1"/>
        <charset val="204"/>
      </rPr>
      <t xml:space="preserve">                                              ТОРНАДО - переход 30 мин.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</si>
  <si>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          фильеры 12 зубцов-переход на другие 20 мин.         Сначало половинки, потом Лента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</si>
  <si>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   фильеры 8 зубцов-переход на другие 20 мин.         переход 30 мин. на без начинки</t>
    </r>
  </si>
  <si>
    <r>
      <rPr>
        <b/>
        <i/>
        <u/>
        <sz val="20"/>
        <rFont val="Times New Roman"/>
        <family val="1"/>
        <charset val="204"/>
      </rPr>
      <t>Через ТОРНАДО - 430 кг/час</t>
    </r>
    <r>
      <rPr>
        <sz val="20"/>
        <rFont val="Times New Roman"/>
        <family val="1"/>
        <charset val="204"/>
      </rPr>
      <t xml:space="preserve">                                        фильеры 8 зубцов-переход на другие 20 мин.         переход 30 мин. на без начинки</t>
    </r>
  </si>
  <si>
    <r>
      <rPr>
        <b/>
        <i/>
        <u/>
        <sz val="20"/>
        <color indexed="10"/>
        <rFont val="Times New Roman"/>
        <family val="1"/>
        <charset val="204"/>
      </rPr>
      <t>Через ТОРНАДО - 430 кг/час</t>
    </r>
    <r>
      <rPr>
        <sz val="20"/>
        <color indexed="10"/>
        <rFont val="Times New Roman"/>
        <family val="1"/>
        <charset val="204"/>
      </rPr>
      <t xml:space="preserve">                                           </t>
    </r>
    <r>
      <rPr>
        <sz val="20"/>
        <rFont val="Times New Roman"/>
        <family val="1"/>
        <charset val="204"/>
      </rPr>
      <t xml:space="preserve">фильеры 12 зубцов-переход на другие 20 мин.      </t>
    </r>
    <r>
      <rPr>
        <b/>
        <sz val="20"/>
        <rFont val="Times New Roman"/>
        <family val="1"/>
        <charset val="204"/>
      </rPr>
      <t xml:space="preserve">                                         28 отс./мин.  </t>
    </r>
    <r>
      <rPr>
        <sz val="20"/>
        <color indexed="10"/>
        <rFont val="Times New Roman"/>
        <family val="1"/>
        <charset val="204"/>
      </rPr>
      <t xml:space="preserve">                              не более 50 варок, </t>
    </r>
    <r>
      <rPr>
        <b/>
        <u/>
        <sz val="20"/>
        <rFont val="Times New Roman"/>
        <family val="1"/>
        <charset val="204"/>
      </rPr>
      <t>кратное 2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</si>
  <si>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фильеры 8 зубцов-переход на другие 20 мин.   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</si>
  <si>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фильеры 12 зубцов-переход на другие 20 мин.         </t>
    </r>
  </si>
  <si>
    <r>
      <rPr>
        <b/>
        <i/>
        <u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    фильеры лысые-переход на другие 20 мин.   </t>
    </r>
  </si>
  <si>
    <t>Через ТОРНАДО - 430 кг/час                                                        28 отсадок</t>
  </si>
  <si>
    <t>Зефир «Жизель» с фруктовой нач. глазированный с ароматом ванили (в инд. цвет. уп.) 300гр (ОЗОН)</t>
  </si>
  <si>
    <t xml:space="preserve">Через ТОРНАДО - 430 кг/час                                                             28 варок                                                              фильеры 6 зубцов-переход на другие 20 мин.   </t>
  </si>
  <si>
    <t xml:space="preserve">Через ТОРНАДО - 430 кг/час                                          28 варок                                                              фильеры 6 зубцов-переход на другие 20 мин.   </t>
  </si>
  <si>
    <t xml:space="preserve">Через ТОРНАДО - 430 кг/час                                 28 варок                                                              фильеры 6 зубцов-переход на другие 20 мин.   </t>
  </si>
  <si>
    <r>
      <t xml:space="preserve">Через ТОРНАДО - 430 кг/час                            </t>
    </r>
    <r>
      <rPr>
        <sz val="20"/>
        <rFont val="Times New Roman"/>
        <family val="1"/>
        <charset val="204"/>
      </rPr>
      <t xml:space="preserve">фильеры 12 зубцов-переход на другие 20 мин.       </t>
    </r>
    <r>
      <rPr>
        <b/>
        <sz val="20"/>
        <rFont val="Times New Roman"/>
        <family val="1"/>
        <charset val="204"/>
      </rPr>
      <t xml:space="preserve">                                      28 отс./мин.</t>
    </r>
  </si>
  <si>
    <r>
      <rPr>
        <b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фильеры 12 зубцов-переход на другие 20 мин.         переход 30 мин. На без начинки    </t>
    </r>
  </si>
  <si>
    <r>
      <t xml:space="preserve">Зефир глазированный с фруктовой начинкой и ароматом ванили, 200 г 18шт, кг </t>
    </r>
    <r>
      <rPr>
        <b/>
        <sz val="20"/>
        <color indexed="10"/>
        <rFont val="Arial"/>
        <family val="2"/>
        <charset val="204"/>
      </rPr>
      <t>ЕВРОТОРГ</t>
    </r>
  </si>
  <si>
    <r>
      <rPr>
        <b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    фильеры 12 зубцов-переход на другие 20 мин.         переход 30 мин. на без начинки    </t>
    </r>
  </si>
  <si>
    <t>Зефир "Жизель" (новогодний дизайн) глазированный с ароматом ванили в цвет. индивид. упаковке 4кг</t>
  </si>
  <si>
    <r>
      <rPr>
        <b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     фильеры 8 зубцов-переход на другие 20 мин.   </t>
    </r>
  </si>
  <si>
    <r>
      <rPr>
        <b/>
        <sz val="20"/>
        <rFont val="Times New Roman"/>
        <family val="1"/>
        <charset val="204"/>
      </rPr>
      <t xml:space="preserve">Через ТОРНАДО - 430 кг/час </t>
    </r>
    <r>
      <rPr>
        <sz val="20"/>
        <rFont val="Times New Roman"/>
        <family val="1"/>
        <charset val="204"/>
      </rPr>
      <t xml:space="preserve">                                     фильеры 8 зубцов-переход на другие 20 мин.         переход 30 мин. на без начинки</t>
    </r>
  </si>
  <si>
    <r>
      <rPr>
        <b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             лысые фильеры-переход на другие 20 мин., переход 30 мин. На без начинки</t>
    </r>
  </si>
  <si>
    <r>
      <rPr>
        <b/>
        <sz val="20"/>
        <rFont val="Times New Roman"/>
        <family val="1"/>
        <charset val="204"/>
      </rPr>
      <t xml:space="preserve">Через ТОРНАДО - 430 кг/час  </t>
    </r>
    <r>
      <rPr>
        <sz val="20"/>
        <rFont val="Times New Roman"/>
        <family val="1"/>
        <charset val="204"/>
      </rPr>
      <t xml:space="preserve">                            лысые фильеры - переход 20 мин. </t>
    </r>
  </si>
  <si>
    <r>
      <rPr>
        <b/>
        <sz val="20"/>
        <color indexed="10"/>
        <rFont val="Times New Roman"/>
        <family val="1"/>
        <charset val="204"/>
      </rPr>
      <t xml:space="preserve">Через ТОРНАДО - 430 кг/час </t>
    </r>
    <r>
      <rPr>
        <sz val="20"/>
        <color indexed="10"/>
        <rFont val="Times New Roman"/>
        <family val="1"/>
        <charset val="204"/>
      </rPr>
      <t xml:space="preserve">                                  ТОРНАДО - переход 17 мин.</t>
    </r>
  </si>
  <si>
    <r>
      <rPr>
        <b/>
        <sz val="20"/>
        <rFont val="Calibri"/>
        <family val="2"/>
        <charset val="204"/>
      </rPr>
      <t xml:space="preserve">Через ТОРНАДО - 430 кг/час                                   </t>
    </r>
    <r>
      <rPr>
        <sz val="20"/>
        <rFont val="Calibri"/>
        <family val="2"/>
        <charset val="204"/>
      </rPr>
      <t>ТОРНАДО - переход 17 мин.</t>
    </r>
  </si>
  <si>
    <r>
      <rPr>
        <b/>
        <sz val="20"/>
        <color indexed="10"/>
        <rFont val="Times New Roman"/>
        <family val="1"/>
        <charset val="204"/>
      </rPr>
      <t xml:space="preserve">Через ТОРНАДО - 430 кг/час  </t>
    </r>
    <r>
      <rPr>
        <sz val="20"/>
        <color indexed="10"/>
        <rFont val="Times New Roman"/>
        <family val="1"/>
        <charset val="204"/>
      </rPr>
      <t xml:space="preserve">                                        ТОРНАДО - переход 17 мин.</t>
    </r>
  </si>
  <si>
    <r>
      <rPr>
        <b/>
        <sz val="20"/>
        <color indexed="10"/>
        <rFont val="Times New Roman"/>
        <family val="1"/>
        <charset val="204"/>
      </rPr>
      <t xml:space="preserve">Через ТОРНАДО - 430 кг/час </t>
    </r>
    <r>
      <rPr>
        <sz val="20"/>
        <color indexed="10"/>
        <rFont val="Times New Roman"/>
        <family val="1"/>
        <charset val="204"/>
      </rPr>
      <t xml:space="preserve">                                        ТОРНАДО - переход 17 мин.</t>
    </r>
  </si>
  <si>
    <t xml:space="preserve">Конфеты Ликерная коллекция ассорти (амаретто, лимончелло, айриш-крим, малибу) 200 гр 12 шт. </t>
  </si>
  <si>
    <t>6 пак./мин</t>
  </si>
  <si>
    <t>6 шт/мин</t>
  </si>
  <si>
    <t>Ликерная начинка   БЕЙЛИЗ-2</t>
  </si>
  <si>
    <t>Ликерная начинка   БЕЙЛИЗ-2 для подарков</t>
  </si>
  <si>
    <t>Итого без сахара</t>
  </si>
  <si>
    <t>Итого фруктозы</t>
  </si>
  <si>
    <t>РЕЗЕРВ</t>
  </si>
  <si>
    <t>Итого фурцелеран</t>
  </si>
  <si>
    <t>Зефир неглазированный с ароматом ванили для бело-розового ТМ «Peter Ronnen» 250 г 16шт, кг</t>
  </si>
  <si>
    <t>Зефир неглазированный с ароматом малины для бело-розового ТМ «Peter Ronnen» 250 г 16шт, кг</t>
  </si>
  <si>
    <t>Зефир неглазированный с ароматом ванили ТМ «Peter Ronnen» 250 г 16шт, кг</t>
  </si>
  <si>
    <t>Зефир неглазированный с ароматом ванили и малины ТМ «Peter Ronnen» 250 г 16шт, кг</t>
  </si>
  <si>
    <t>Машина для производства стаканчиков</t>
  </si>
  <si>
    <t>Крем-десерт со вкусом ванильного мороженого с клубничным сиропом 110 г 10 шт</t>
  </si>
  <si>
    <t>Крем-десерт со вкусом ванильного мороженого с сиропом со вкусом карамели 110 г 10 шт</t>
  </si>
  <si>
    <t>Крем-десерт со вкусом ванильного мороженого с сиропом со вкусом шоколада 110 г 10 шт</t>
  </si>
  <si>
    <t>Итого крем-десерты</t>
  </si>
  <si>
    <t>Сироп Клубничный</t>
  </si>
  <si>
    <t>Сироп Карамельный</t>
  </si>
  <si>
    <t>Сироп Шоколадный</t>
  </si>
  <si>
    <t>При перенастройке на сах.пудру, необходимо помыть ванную глазировочной машины (на мойке - мойщицы) - 2 часа</t>
  </si>
  <si>
    <t>Крем-десерт "Жизель" ванильный 130гр 36 шт</t>
  </si>
  <si>
    <t>с зефирной массой</t>
  </si>
  <si>
    <t>Зефир "Жизель" с ароматом ванили без добавления сахара 260 гр (2 коррекса по 130гр. в спайке) 10шт</t>
  </si>
  <si>
    <t>Конфеты "Зоопарк-Сюрприз" с шоколадно-кремовой начинкой (дизайн Петушок) 3,5кг</t>
  </si>
  <si>
    <t>Зефир «Sweet Queen» с фруктовой начинкой с ароматом ванили 250 гр 16 шт</t>
  </si>
  <si>
    <t>Зефир "Жизель" глазированный с ароматом ванили в индивид. цветной упаковке 1,7 кг (Вайлдберриз)</t>
  </si>
  <si>
    <t>Зефир "Жизель" в йогуртовой глазури с ароматом ванили в цвет. индивид. упак. 1.7кг (Вайлдберриз)</t>
  </si>
  <si>
    <t>Зефир "Жизель" с "вареной сгущенкой" глазированный в индивид. цветной упак. 1,7 кг (Вайлдберриз)</t>
  </si>
  <si>
    <t>Непрерывная линия сахарной пудры №1 - Шоколадная линия</t>
  </si>
  <si>
    <t xml:space="preserve">Непрерывная линия сахарной пудры №1 </t>
  </si>
  <si>
    <t xml:space="preserve"> НОВАЯ вертикальная установка</t>
  </si>
  <si>
    <t xml:space="preserve"> СТАРАЯ вертикальная установка</t>
  </si>
  <si>
    <t>Зефир "Жизель" с фруктовой начинкой с ароматом малины в индивид. прозрачной упаковке 1,3 кг</t>
  </si>
  <si>
    <t>Крем-десерт в асортименте (клубника, карамель, шоколад) 330гр (3 стаканчика по 110 гр) 8шт</t>
  </si>
  <si>
    <t>Зефир "Жизель" без сахара 160 г 12шт</t>
  </si>
  <si>
    <t xml:space="preserve">Зефир "Жизель" без сахара 160 г 12шт </t>
  </si>
  <si>
    <t>Зефир  «Жизель»  с ароматом крем-брюле , 300 г  (14  шт) в 305у</t>
  </si>
  <si>
    <t>Зефир "Жизель" с фруктовой начинкой с ароматом малины, 300 г 16шт</t>
  </si>
  <si>
    <t>Крем-десерт со вкусом ванильного мороженого с сиропом со вкусом карамели и клубники 110г 24 шт</t>
  </si>
  <si>
    <t>Крем-десерт со вкусом ванильного мороженого с сиропом со вкусом карамели и шоколада 110г 24 шт</t>
  </si>
  <si>
    <t>Крем-десерт со вкусом ванильного мороженого с сиропом со вкусом клубники и шоколада 110г 24 шт</t>
  </si>
  <si>
    <t>Крой Зефир  без сахара (в ассортименте) крышка 160 г  12шт</t>
  </si>
  <si>
    <t>Крой Зефир  без сахара (в ассортименте) дно 160 г  12 шт</t>
  </si>
  <si>
    <t>Зефир "Жизель" глазированный с ароматом ванили 6шт по 1,2кг (телевизор)</t>
  </si>
  <si>
    <t>Зефир "Жизель" с ароматом ванили 6шт по 1кг (телевизор)</t>
  </si>
  <si>
    <t>Зефир "Жизель" с ароматом крем-брюле 6шт по1 кг (телевизор)</t>
  </si>
  <si>
    <t>Зефир "Жизель" с ароматом ванили и малины 6шт по 1кг (телевизор)</t>
  </si>
  <si>
    <t>Зефир «Жизель» с ароматом ванили с медово-клюквенной начинкой без добавления сахара 270гр 12шт</t>
  </si>
  <si>
    <t>Зефир глазированный  в шоколадной глазури без добавления сахара, 300 г</t>
  </si>
  <si>
    <t>Зефир "Лента" глазированный с ароматом ванили в цвет. индивид. упаковке 4кг</t>
  </si>
  <si>
    <t>Крем-десерт ассорти (карамель,шоколад) 110 гр 36 шт</t>
  </si>
  <si>
    <t>Зефир "Жизель" ванильный, 250 г 14шт, кг (ПРЕМИУМ)  (Вайлдберриз)</t>
  </si>
  <si>
    <t>Зефир "Жизель" кокосовый, 250 г 14шт, кг (ПРЕМИУМ)  (Вайлдберриз)</t>
  </si>
  <si>
    <t>Зефир "Жизель" яблочный, 250 г 14шт, кг (ПРЕМИУМ)  (Вайлдберриз)</t>
  </si>
  <si>
    <t>Зефир "Сокол" на фруктозе с ароматом ванили 250гр 14шт  (Вайлдберриз)</t>
  </si>
  <si>
    <t>Зефир "Жизель" без сахара 160 г 10шт Вайлдберриз</t>
  </si>
  <si>
    <t>Крой Зефир  без сахара (в ассортименте) крышка 160 г  10 шт Вайлдберриз</t>
  </si>
  <si>
    <t>Крой Зефир  без сахара (в ассортименте) дно 160 г  10 шт Вайлдберриз</t>
  </si>
  <si>
    <t>РУЧНАЯ РАСКЛАДКА</t>
  </si>
  <si>
    <t>Зефир "Жизель" с ароматом ванили в индивид. прозрачной упаковке 4кг (сдвоенные в форме "ЦВЕТКА") АШАН</t>
  </si>
  <si>
    <t>Зефир "Жизель" с ароматом крем-брюле в индивид. прозрачной упаковке 4кг (сдвоенные в форме "ЦВЕТКА") АШАН</t>
  </si>
  <si>
    <t>Зефир «Жизель» с ароматом ванили с медово-клюквенной начинкой без добавления сахара 270гр 7шт</t>
  </si>
  <si>
    <t>Пропускаем через 2,5 часа после формовки</t>
  </si>
  <si>
    <t xml:space="preserve">Зефир "Жизель" без сахара 130 г 12шт </t>
  </si>
  <si>
    <t>через 5 часов</t>
  </si>
  <si>
    <t xml:space="preserve">Зефир "Жизель" глазированный с ароматом ванили 300гр 10 шт (пакет на новой ВУ) </t>
  </si>
  <si>
    <t>Итого зефир</t>
  </si>
  <si>
    <t xml:space="preserve">Дата 22 октября          2022 года  </t>
  </si>
  <si>
    <t>4,00-4,45</t>
  </si>
  <si>
    <t>4,45-5,30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</si>
</sst>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"/>
  </numFmts>
  <fonts count="79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Arial"/>
      <family val="2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4"/>
      <color indexed="1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20"/>
      <name val="Times New Roman"/>
      <family val="1"/>
      <charset val="204"/>
    </font>
    <font>
      <sz val="10"/>
      <name val="Arial"/>
      <family val="2"/>
      <charset val="204"/>
    </font>
    <font>
      <b/>
      <sz val="20"/>
      <color indexed="10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20"/>
      <name val="Arial"/>
      <family val="2"/>
      <charset val="204"/>
    </font>
    <font>
      <sz val="20"/>
      <color indexed="8"/>
      <name val="Times New Roman"/>
      <family val="1"/>
      <charset val="204"/>
    </font>
    <font>
      <b/>
      <sz val="20"/>
      <name val="Arial"/>
      <family val="2"/>
      <charset val="204"/>
    </font>
    <font>
      <b/>
      <u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0"/>
      <color indexed="10"/>
      <name val="Arial"/>
      <family val="2"/>
      <charset val="204"/>
    </font>
    <font>
      <b/>
      <i/>
      <sz val="20"/>
      <color indexed="10"/>
      <name val="Times New Roman"/>
      <family val="1"/>
      <charset val="204"/>
    </font>
    <font>
      <b/>
      <i/>
      <sz val="20"/>
      <name val="Calibri"/>
      <family val="2"/>
      <charset val="204"/>
    </font>
    <font>
      <b/>
      <i/>
      <u/>
      <sz val="20"/>
      <color indexed="10"/>
      <name val="Times New Roman"/>
      <family val="1"/>
      <charset val="204"/>
    </font>
    <font>
      <b/>
      <i/>
      <u/>
      <sz val="2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i/>
      <u/>
      <sz val="20"/>
      <color indexed="10"/>
      <name val="Times New Roman"/>
      <family val="1"/>
      <charset val="204"/>
    </font>
    <font>
      <b/>
      <sz val="20"/>
      <color indexed="1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i/>
      <u/>
      <sz val="20"/>
      <color indexed="1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i/>
      <u/>
      <sz val="20"/>
      <color indexed="1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i/>
      <u/>
      <sz val="20"/>
      <color indexed="1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i/>
      <u/>
      <sz val="20"/>
      <color indexed="1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i/>
      <u/>
      <sz val="20"/>
      <color indexed="10"/>
      <name val="Times New Roman"/>
      <family val="1"/>
      <charset val="204"/>
    </font>
    <font>
      <b/>
      <sz val="12"/>
      <name val="Calibri"/>
      <family val="2"/>
      <charset val="204"/>
    </font>
    <font>
      <b/>
      <sz val="20"/>
      <color indexed="10"/>
      <name val="Arial"/>
      <family val="2"/>
      <charset val="204"/>
    </font>
    <font>
      <b/>
      <sz val="20"/>
      <color indexed="10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name val="Calibri"/>
      <family val="2"/>
      <charset val="204"/>
    </font>
    <font>
      <sz val="20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4"/>
      <color rgb="FF7030A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sz val="20"/>
      <color rgb="FFFF000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i/>
      <sz val="20"/>
      <color rgb="FFFF0000"/>
      <name val="Times New Roman"/>
      <family val="1"/>
      <charset val="204"/>
    </font>
    <font>
      <sz val="9"/>
      <color rgb="FFFF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2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26"/>
      </patternFill>
    </fill>
    <fill>
      <patternFill patternType="solid">
        <fgColor theme="4" tint="0.79998168889431442"/>
        <bgColor indexed="64"/>
      </patternFill>
    </fill>
  </fills>
  <borders count="13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8"/>
      </left>
      <right style="medium">
        <color indexed="58"/>
      </right>
      <top style="medium">
        <color indexed="58"/>
      </top>
      <bottom/>
      <diagonal/>
    </border>
    <border>
      <left style="medium">
        <color indexed="58"/>
      </left>
      <right/>
      <top style="medium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medium">
        <color indexed="58"/>
      </top>
      <bottom style="thin">
        <color indexed="58"/>
      </bottom>
      <diagonal/>
    </border>
    <border>
      <left/>
      <right style="medium">
        <color indexed="58"/>
      </right>
      <top style="medium">
        <color indexed="58"/>
      </top>
      <bottom style="thin">
        <color indexed="58"/>
      </bottom>
      <diagonal/>
    </border>
    <border>
      <left/>
      <right/>
      <top style="medium">
        <color indexed="58"/>
      </top>
      <bottom style="medium">
        <color indexed="58"/>
      </bottom>
      <diagonal/>
    </border>
    <border>
      <left style="medium">
        <color indexed="58"/>
      </left>
      <right style="medium">
        <color indexed="58"/>
      </right>
      <top style="medium">
        <color indexed="58"/>
      </top>
      <bottom style="medium">
        <color indexed="58"/>
      </bottom>
      <diagonal/>
    </border>
    <border>
      <left style="medium">
        <color indexed="58"/>
      </left>
      <right/>
      <top style="thin">
        <color indexed="58"/>
      </top>
      <bottom/>
      <diagonal/>
    </border>
    <border>
      <left/>
      <right/>
      <top style="thin">
        <color indexed="58"/>
      </top>
      <bottom/>
      <diagonal/>
    </border>
    <border>
      <left/>
      <right style="medium">
        <color indexed="58"/>
      </right>
      <top style="thin">
        <color indexed="58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58"/>
      </left>
      <right style="medium">
        <color indexed="58"/>
      </right>
      <top style="thin">
        <color indexed="58"/>
      </top>
      <bottom style="thin">
        <color indexed="58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58"/>
      </bottom>
      <diagonal/>
    </border>
    <border>
      <left/>
      <right style="thick">
        <color indexed="64"/>
      </right>
      <top style="thin">
        <color indexed="64"/>
      </top>
      <bottom style="medium">
        <color indexed="58"/>
      </bottom>
      <diagonal/>
    </border>
    <border>
      <left/>
      <right/>
      <top style="thin">
        <color indexed="64"/>
      </top>
      <bottom style="medium">
        <color indexed="58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58"/>
      </bottom>
      <diagonal/>
    </border>
    <border>
      <left style="medium">
        <color indexed="64"/>
      </left>
      <right style="medium">
        <color indexed="64"/>
      </right>
      <top style="thin">
        <color indexed="58"/>
      </top>
      <bottom style="thin">
        <color indexed="58"/>
      </bottom>
      <diagonal/>
    </border>
    <border>
      <left style="medium">
        <color indexed="64"/>
      </left>
      <right style="medium">
        <color indexed="64"/>
      </right>
      <top style="thin">
        <color indexed="58"/>
      </top>
      <bottom style="medium">
        <color indexed="64"/>
      </bottom>
      <diagonal/>
    </border>
    <border>
      <left style="medium">
        <color indexed="58"/>
      </left>
      <right style="medium">
        <color indexed="58"/>
      </right>
      <top style="thin">
        <color indexed="58"/>
      </top>
      <bottom/>
      <diagonal/>
    </border>
    <border>
      <left style="medium">
        <color indexed="58"/>
      </left>
      <right style="medium">
        <color indexed="58"/>
      </right>
      <top style="thin">
        <color indexed="58"/>
      </top>
      <bottom style="medium">
        <color indexed="58"/>
      </bottom>
      <diagonal/>
    </border>
    <border>
      <left style="medium">
        <color indexed="58"/>
      </left>
      <right/>
      <top style="medium">
        <color indexed="58"/>
      </top>
      <bottom style="medium">
        <color indexed="58"/>
      </bottom>
      <diagonal/>
    </border>
    <border>
      <left style="medium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medium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/>
      <top style="medium">
        <color indexed="58"/>
      </top>
      <bottom style="thin">
        <color indexed="58"/>
      </bottom>
      <diagonal/>
    </border>
    <border>
      <left style="medium">
        <color indexed="58"/>
      </left>
      <right/>
      <top/>
      <bottom style="medium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medium">
        <color indexed="64"/>
      </left>
      <right style="thin">
        <color indexed="60"/>
      </right>
      <top style="thin">
        <color indexed="6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60"/>
      </top>
      <bottom style="thin">
        <color indexed="64"/>
      </bottom>
      <diagonal/>
    </border>
    <border>
      <left/>
      <right style="medium">
        <color indexed="8"/>
      </right>
      <top style="thin">
        <color indexed="60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/>
      <top style="thin">
        <color indexed="6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0"/>
      </right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0"/>
      </right>
      <top/>
      <bottom style="thin">
        <color indexed="6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58"/>
      </left>
      <right style="medium">
        <color indexed="58"/>
      </right>
      <top/>
      <bottom style="medium">
        <color indexed="58"/>
      </bottom>
      <diagonal/>
    </border>
    <border>
      <left style="medium">
        <color indexed="58"/>
      </left>
      <right/>
      <top style="medium">
        <color indexed="58"/>
      </top>
      <bottom/>
      <diagonal/>
    </border>
    <border>
      <left/>
      <right/>
      <top style="medium">
        <color indexed="58"/>
      </top>
      <bottom/>
      <diagonal/>
    </border>
    <border>
      <left/>
      <right/>
      <top/>
      <bottom style="medium">
        <color indexed="58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58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58"/>
      </right>
      <top style="medium">
        <color indexed="58"/>
      </top>
      <bottom/>
      <diagonal/>
    </border>
    <border>
      <left style="medium">
        <color indexed="58"/>
      </left>
      <right/>
      <top/>
      <bottom/>
      <diagonal/>
    </border>
    <border>
      <left/>
      <right style="medium">
        <color indexed="58"/>
      </right>
      <top/>
      <bottom/>
      <diagonal/>
    </border>
    <border>
      <left/>
      <right style="medium">
        <color indexed="58"/>
      </right>
      <top style="medium">
        <color indexed="58"/>
      </top>
      <bottom style="medium">
        <color indexed="58"/>
      </bottom>
      <diagonal/>
    </border>
    <border>
      <left style="medium">
        <color indexed="64"/>
      </left>
      <right style="medium">
        <color indexed="64"/>
      </right>
      <top style="medium">
        <color indexed="5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58"/>
      </bottom>
      <diagonal/>
    </border>
    <border>
      <left/>
      <right/>
      <top/>
      <bottom style="thin">
        <color indexed="5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8"/>
      </left>
      <right/>
      <top/>
      <bottom style="thin">
        <color indexed="58"/>
      </bottom>
      <diagonal/>
    </border>
    <border>
      <left/>
      <right style="medium">
        <color indexed="58"/>
      </right>
      <top/>
      <bottom style="thin">
        <color indexed="58"/>
      </bottom>
      <diagonal/>
    </border>
    <border>
      <left style="medium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/>
      <right style="medium">
        <color indexed="58"/>
      </right>
      <top style="thin">
        <color indexed="58"/>
      </top>
      <bottom style="thin">
        <color indexed="58"/>
      </bottom>
      <diagonal/>
    </border>
    <border>
      <left style="medium">
        <color indexed="58"/>
      </left>
      <right style="medium">
        <color indexed="64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58"/>
      </top>
      <bottom style="medium">
        <color indexed="58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1" fillId="0" borderId="0"/>
    <xf numFmtId="0" fontId="1" fillId="0" borderId="0"/>
    <xf numFmtId="9" fontId="2" fillId="0" borderId="0" applyFill="0" applyBorder="0" applyAlignment="0" applyProtection="0"/>
  </cellStyleXfs>
  <cellXfs count="1065">
    <xf numFmtId="0" fontId="0" fillId="0" borderId="0" xfId="0"/>
    <xf numFmtId="1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Font="1"/>
    <xf numFmtId="1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2" fontId="5" fillId="0" borderId="1" xfId="0" applyNumberFormat="1" applyFont="1" applyFill="1" applyBorder="1" applyAlignment="1">
      <alignment horizontal="center" wrapText="1"/>
    </xf>
    <xf numFmtId="2" fontId="5" fillId="0" borderId="1" xfId="0" applyNumberFormat="1" applyFont="1" applyFill="1" applyBorder="1"/>
    <xf numFmtId="0" fontId="6" fillId="0" borderId="0" xfId="0" applyFont="1"/>
    <xf numFmtId="2" fontId="5" fillId="0" borderId="2" xfId="0" applyNumberFormat="1" applyFont="1" applyFill="1" applyBorder="1"/>
    <xf numFmtId="2" fontId="5" fillId="0" borderId="3" xfId="0" applyNumberFormat="1" applyFont="1" applyFill="1" applyBorder="1" applyAlignment="1">
      <alignment horizontal="left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left" vertical="center" wrapText="1"/>
    </xf>
    <xf numFmtId="1" fontId="5" fillId="0" borderId="1" xfId="0" applyNumberFormat="1" applyFont="1" applyFill="1" applyBorder="1"/>
    <xf numFmtId="0" fontId="5" fillId="0" borderId="1" xfId="0" applyNumberFormat="1" applyFont="1" applyFill="1" applyBorder="1"/>
    <xf numFmtId="2" fontId="5" fillId="2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/>
    <xf numFmtId="2" fontId="5" fillId="2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/>
    <xf numFmtId="0" fontId="6" fillId="0" borderId="0" xfId="0" applyFont="1" applyBorder="1" applyAlignment="1"/>
    <xf numFmtId="2" fontId="3" fillId="0" borderId="4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2" fontId="3" fillId="0" borderId="2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/>
    <xf numFmtId="0" fontId="3" fillId="0" borderId="1" xfId="0" applyNumberFormat="1" applyFont="1" applyFill="1" applyBorder="1"/>
    <xf numFmtId="2" fontId="3" fillId="2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/>
    <xf numFmtId="1" fontId="3" fillId="0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 vertical="center" wrapText="1"/>
    </xf>
    <xf numFmtId="2" fontId="3" fillId="0" borderId="1" xfId="0" applyNumberFormat="1" applyFont="1" applyBorder="1"/>
    <xf numFmtId="2" fontId="3" fillId="0" borderId="2" xfId="0" applyNumberFormat="1" applyFont="1" applyFill="1" applyBorder="1"/>
    <xf numFmtId="0" fontId="7" fillId="0" borderId="0" xfId="0" applyFont="1"/>
    <xf numFmtId="0" fontId="3" fillId="0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2" fontId="3" fillId="2" borderId="2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/>
    <xf numFmtId="2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1" fontId="3" fillId="0" borderId="1" xfId="0" applyNumberFormat="1" applyFont="1" applyBorder="1"/>
    <xf numFmtId="2" fontId="3" fillId="0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right"/>
    </xf>
    <xf numFmtId="2" fontId="5" fillId="0" borderId="1" xfId="0" applyNumberFormat="1" applyFont="1" applyBorder="1"/>
    <xf numFmtId="2" fontId="5" fillId="0" borderId="1" xfId="0" applyNumberFormat="1" applyFont="1" applyFill="1" applyBorder="1" applyAlignment="1">
      <alignment horizontal="left" vertical="center" wrapText="1"/>
    </xf>
    <xf numFmtId="2" fontId="5" fillId="0" borderId="1" xfId="0" applyNumberFormat="1" applyFont="1" applyFill="1" applyBorder="1" applyAlignment="1">
      <alignment vertical="center"/>
    </xf>
    <xf numFmtId="2" fontId="5" fillId="0" borderId="5" xfId="0" applyNumberFormat="1" applyFont="1" applyFill="1" applyBorder="1"/>
    <xf numFmtId="2" fontId="5" fillId="0" borderId="2" xfId="0" applyNumberFormat="1" applyFont="1" applyBorder="1"/>
    <xf numFmtId="1" fontId="5" fillId="0" borderId="1" xfId="0" applyNumberFormat="1" applyFont="1" applyBorder="1" applyAlignment="1"/>
    <xf numFmtId="1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2" fontId="3" fillId="0" borderId="2" xfId="0" applyNumberFormat="1" applyFont="1" applyBorder="1"/>
    <xf numFmtId="1" fontId="3" fillId="0" borderId="1" xfId="8" applyNumberFormat="1" applyFont="1" applyFill="1" applyBorder="1" applyAlignment="1" applyProtection="1"/>
    <xf numFmtId="0" fontId="3" fillId="2" borderId="6" xfId="1" applyNumberFormat="1" applyFont="1" applyFill="1" applyBorder="1" applyAlignment="1">
      <alignment vertical="top" wrapText="1"/>
    </xf>
    <xf numFmtId="0" fontId="5" fillId="0" borderId="1" xfId="0" applyNumberFormat="1" applyFont="1" applyBorder="1"/>
    <xf numFmtId="2" fontId="3" fillId="0" borderId="5" xfId="0" applyNumberFormat="1" applyFont="1" applyFill="1" applyBorder="1"/>
    <xf numFmtId="1" fontId="3" fillId="0" borderId="2" xfId="0" applyNumberFormat="1" applyFont="1" applyBorder="1"/>
    <xf numFmtId="1" fontId="3" fillId="0" borderId="5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Font="1" applyBorder="1"/>
    <xf numFmtId="0" fontId="4" fillId="0" borderId="0" xfId="0" applyFont="1" applyFill="1" applyBorder="1"/>
    <xf numFmtId="1" fontId="0" fillId="0" borderId="0" xfId="0" applyNumberFormat="1" applyFont="1" applyBorder="1"/>
    <xf numFmtId="2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4" fillId="0" borderId="0" xfId="0" applyFont="1" applyBorder="1"/>
    <xf numFmtId="1" fontId="4" fillId="0" borderId="0" xfId="0" applyNumberFormat="1" applyFont="1" applyBorder="1"/>
    <xf numFmtId="0" fontId="4" fillId="0" borderId="0" xfId="0" applyNumberFormat="1" applyFont="1" applyBorder="1"/>
    <xf numFmtId="1" fontId="4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4" fillId="0" borderId="1" xfId="0" applyFont="1" applyBorder="1"/>
    <xf numFmtId="1" fontId="4" fillId="0" borderId="0" xfId="0" applyNumberFormat="1" applyFont="1"/>
    <xf numFmtId="0" fontId="4" fillId="0" borderId="0" xfId="0" applyNumberFormat="1" applyFont="1"/>
    <xf numFmtId="1" fontId="4" fillId="0" borderId="0" xfId="0" applyNumberFormat="1" applyFont="1" applyAlignment="1">
      <alignment horizontal="center"/>
    </xf>
    <xf numFmtId="0" fontId="9" fillId="0" borderId="0" xfId="0" applyFont="1"/>
    <xf numFmtId="2" fontId="5" fillId="0" borderId="7" xfId="0" applyNumberFormat="1" applyFont="1" applyBorder="1"/>
    <xf numFmtId="2" fontId="5" fillId="0" borderId="8" xfId="0" applyNumberFormat="1" applyFont="1" applyBorder="1"/>
    <xf numFmtId="2" fontId="5" fillId="0" borderId="7" xfId="0" applyNumberFormat="1" applyFont="1" applyFill="1" applyBorder="1"/>
    <xf numFmtId="1" fontId="5" fillId="0" borderId="7" xfId="0" applyNumberFormat="1" applyFont="1" applyBorder="1"/>
    <xf numFmtId="1" fontId="5" fillId="0" borderId="7" xfId="0" applyNumberFormat="1" applyFont="1" applyBorder="1" applyAlignment="1">
      <alignment horizontal="center"/>
    </xf>
    <xf numFmtId="0" fontId="0" fillId="0" borderId="9" xfId="0" applyFont="1" applyBorder="1"/>
    <xf numFmtId="1" fontId="0" fillId="0" borderId="10" xfId="0" applyNumberFormat="1" applyFont="1" applyBorder="1"/>
    <xf numFmtId="0" fontId="0" fillId="0" borderId="10" xfId="0" applyFont="1" applyBorder="1"/>
    <xf numFmtId="1" fontId="0" fillId="0" borderId="10" xfId="0" applyNumberFormat="1" applyFont="1" applyBorder="1" applyAlignment="1">
      <alignment horizontal="center"/>
    </xf>
    <xf numFmtId="0" fontId="0" fillId="0" borderId="11" xfId="0" applyFont="1" applyBorder="1"/>
    <xf numFmtId="0" fontId="10" fillId="0" borderId="12" xfId="0" applyFont="1" applyFill="1" applyBorder="1"/>
    <xf numFmtId="0" fontId="0" fillId="0" borderId="12" xfId="0" applyFont="1" applyBorder="1"/>
    <xf numFmtId="2" fontId="11" fillId="0" borderId="12" xfId="0" applyNumberFormat="1" applyFont="1" applyBorder="1"/>
    <xf numFmtId="0" fontId="0" fillId="0" borderId="10" xfId="0" applyBorder="1"/>
    <xf numFmtId="2" fontId="65" fillId="0" borderId="2" xfId="0" applyNumberFormat="1" applyFont="1" applyFill="1" applyBorder="1" applyAlignment="1">
      <alignment horizontal="left" vertical="center" wrapText="1"/>
    </xf>
    <xf numFmtId="2" fontId="3" fillId="3" borderId="1" xfId="0" applyNumberFormat="1" applyFont="1" applyFill="1" applyBorder="1"/>
    <xf numFmtId="2" fontId="66" fillId="0" borderId="1" xfId="0" applyNumberFormat="1" applyFont="1" applyFill="1" applyBorder="1" applyAlignment="1"/>
    <xf numFmtId="0" fontId="67" fillId="0" borderId="0" xfId="0" applyFont="1" applyBorder="1" applyAlignment="1"/>
    <xf numFmtId="0" fontId="67" fillId="0" borderId="0" xfId="0" applyFont="1"/>
    <xf numFmtId="0" fontId="0" fillId="0" borderId="0" xfId="0" applyFont="1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3" fillId="0" borderId="13" xfId="0" applyFont="1" applyBorder="1" applyAlignment="1">
      <alignment horizontal="center" vertical="center"/>
    </xf>
    <xf numFmtId="0" fontId="13" fillId="0" borderId="0" xfId="0" applyFont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6" fillId="4" borderId="0" xfId="0" applyFont="1" applyFill="1"/>
    <xf numFmtId="2" fontId="3" fillId="5" borderId="2" xfId="0" applyNumberFormat="1" applyFont="1" applyFill="1" applyBorder="1"/>
    <xf numFmtId="2" fontId="3" fillId="5" borderId="2" xfId="0" applyNumberFormat="1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left" vertical="center" wrapText="1"/>
    </xf>
    <xf numFmtId="2" fontId="68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left"/>
    </xf>
    <xf numFmtId="2" fontId="3" fillId="5" borderId="1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left"/>
    </xf>
    <xf numFmtId="2" fontId="5" fillId="3" borderId="2" xfId="0" applyNumberFormat="1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/>
    </xf>
    <xf numFmtId="2" fontId="3" fillId="0" borderId="3" xfId="0" applyNumberFormat="1" applyFont="1" applyFill="1" applyBorder="1" applyAlignment="1">
      <alignment horizontal="left" vertical="center" wrapText="1"/>
    </xf>
    <xf numFmtId="2" fontId="3" fillId="3" borderId="2" xfId="0" applyNumberFormat="1" applyFont="1" applyFill="1" applyBorder="1" applyAlignment="1">
      <alignment horizontal="left" vertical="center" wrapText="1"/>
    </xf>
    <xf numFmtId="2" fontId="3" fillId="4" borderId="2" xfId="0" applyNumberFormat="1" applyFont="1" applyFill="1" applyBorder="1" applyAlignment="1">
      <alignment horizontal="left" vertical="center" wrapText="1"/>
    </xf>
    <xf numFmtId="0" fontId="10" fillId="0" borderId="1" xfId="0" applyFont="1" applyBorder="1"/>
    <xf numFmtId="0" fontId="17" fillId="0" borderId="0" xfId="0" applyFont="1"/>
    <xf numFmtId="2" fontId="66" fillId="0" borderId="1" xfId="0" applyNumberFormat="1" applyFont="1" applyFill="1" applyBorder="1" applyAlignment="1">
      <alignment horizontal="center"/>
    </xf>
    <xf numFmtId="2" fontId="66" fillId="0" borderId="2" xfId="0" applyNumberFormat="1" applyFont="1" applyFill="1" applyBorder="1" applyAlignment="1">
      <alignment horizontal="left" vertical="center" wrapText="1"/>
    </xf>
    <xf numFmtId="1" fontId="66" fillId="0" borderId="1" xfId="0" applyNumberFormat="1" applyFont="1" applyFill="1" applyBorder="1"/>
    <xf numFmtId="0" fontId="66" fillId="0" borderId="1" xfId="0" applyNumberFormat="1" applyFont="1" applyFill="1" applyBorder="1"/>
    <xf numFmtId="2" fontId="66" fillId="0" borderId="1" xfId="0" applyNumberFormat="1" applyFont="1" applyFill="1" applyBorder="1"/>
    <xf numFmtId="2" fontId="66" fillId="6" borderId="1" xfId="0" applyNumberFormat="1" applyFont="1" applyFill="1" applyBorder="1" applyAlignment="1">
      <alignment horizontal="left"/>
    </xf>
    <xf numFmtId="2" fontId="66" fillId="0" borderId="1" xfId="0" applyNumberFormat="1" applyFont="1" applyFill="1" applyBorder="1" applyAlignment="1">
      <alignment horizontal="center" vertical="center"/>
    </xf>
    <xf numFmtId="2" fontId="66" fillId="2" borderId="1" xfId="0" applyNumberFormat="1" applyFont="1" applyFill="1" applyBorder="1"/>
    <xf numFmtId="1" fontId="66" fillId="0" borderId="1" xfId="0" applyNumberFormat="1" applyFont="1" applyFill="1" applyBorder="1" applyAlignment="1">
      <alignment horizontal="center"/>
    </xf>
    <xf numFmtId="0" fontId="66" fillId="3" borderId="1" xfId="0" applyNumberFormat="1" applyFont="1" applyFill="1" applyBorder="1"/>
    <xf numFmtId="2" fontId="66" fillId="0" borderId="1" xfId="0" applyNumberFormat="1" applyFont="1" applyFill="1" applyBorder="1" applyAlignment="1">
      <alignment horizontal="left"/>
    </xf>
    <xf numFmtId="2" fontId="66" fillId="3" borderId="1" xfId="0" applyNumberFormat="1" applyFont="1" applyFill="1" applyBorder="1" applyAlignment="1">
      <alignment horizontal="left"/>
    </xf>
    <xf numFmtId="2" fontId="3" fillId="7" borderId="2" xfId="0" applyNumberFormat="1" applyFont="1" applyFill="1" applyBorder="1" applyAlignment="1">
      <alignment horizontal="left" vertical="center" wrapText="1"/>
    </xf>
    <xf numFmtId="2" fontId="66" fillId="0" borderId="1" xfId="0" applyNumberFormat="1" applyFont="1" applyBorder="1"/>
    <xf numFmtId="2" fontId="13" fillId="0" borderId="16" xfId="0" applyNumberFormat="1" applyFont="1" applyBorder="1" applyAlignment="1"/>
    <xf numFmtId="2" fontId="13" fillId="2" borderId="17" xfId="0" applyNumberFormat="1" applyFont="1" applyFill="1" applyBorder="1" applyAlignment="1"/>
    <xf numFmtId="2" fontId="13" fillId="2" borderId="18" xfId="0" applyNumberFormat="1" applyFont="1" applyFill="1" applyBorder="1" applyAlignment="1"/>
    <xf numFmtId="2" fontId="13" fillId="2" borderId="19" xfId="0" applyNumberFormat="1" applyFont="1" applyFill="1" applyBorder="1" applyAlignment="1">
      <alignment wrapText="1"/>
    </xf>
    <xf numFmtId="2" fontId="13" fillId="0" borderId="20" xfId="0" applyNumberFormat="1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right"/>
    </xf>
    <xf numFmtId="2" fontId="69" fillId="0" borderId="24" xfId="0" applyNumberFormat="1" applyFont="1" applyBorder="1" applyAlignment="1">
      <alignment horizontal="center"/>
    </xf>
    <xf numFmtId="0" fontId="69" fillId="0" borderId="0" xfId="0" applyFont="1"/>
    <xf numFmtId="2" fontId="69" fillId="2" borderId="17" xfId="0" applyNumberFormat="1" applyFont="1" applyFill="1" applyBorder="1" applyAlignment="1">
      <alignment horizontal="center"/>
    </xf>
    <xf numFmtId="2" fontId="69" fillId="0" borderId="25" xfId="0" applyNumberFormat="1" applyFont="1" applyBorder="1"/>
    <xf numFmtId="0" fontId="69" fillId="0" borderId="0" xfId="0" applyFont="1" applyBorder="1"/>
    <xf numFmtId="0" fontId="23" fillId="0" borderId="0" xfId="0" applyFont="1" applyBorder="1" applyAlignment="1"/>
    <xf numFmtId="0" fontId="13" fillId="0" borderId="26" xfId="0" applyFont="1" applyBorder="1" applyAlignment="1">
      <alignment horizontal="center" vertical="center"/>
    </xf>
    <xf numFmtId="49" fontId="3" fillId="0" borderId="1" xfId="0" applyNumberFormat="1" applyFont="1" applyFill="1" applyBorder="1"/>
    <xf numFmtId="0" fontId="13" fillId="0" borderId="27" xfId="0" applyFont="1" applyBorder="1" applyAlignment="1">
      <alignment horizontal="center" vertical="center" wrapText="1"/>
    </xf>
    <xf numFmtId="2" fontId="21" fillId="0" borderId="28" xfId="0" applyNumberFormat="1" applyFont="1" applyFill="1" applyBorder="1" applyAlignment="1">
      <alignment horizontal="center" vertical="center" wrapText="1"/>
    </xf>
    <xf numFmtId="2" fontId="21" fillId="0" borderId="29" xfId="0" applyNumberFormat="1" applyFont="1" applyFill="1" applyBorder="1" applyAlignment="1">
      <alignment horizontal="center" vertical="center" wrapText="1"/>
    </xf>
    <xf numFmtId="2" fontId="21" fillId="0" borderId="30" xfId="0" applyNumberFormat="1" applyFont="1" applyFill="1" applyBorder="1" applyAlignment="1">
      <alignment horizontal="center" vertical="center" wrapText="1"/>
    </xf>
    <xf numFmtId="2" fontId="21" fillId="0" borderId="31" xfId="0" applyNumberFormat="1" applyFont="1" applyFill="1" applyBorder="1" applyAlignment="1">
      <alignment horizontal="center" vertical="center" wrapText="1"/>
    </xf>
    <xf numFmtId="2" fontId="21" fillId="0" borderId="32" xfId="0" applyNumberFormat="1" applyFont="1" applyFill="1" applyBorder="1" applyAlignment="1">
      <alignment horizontal="center" vertical="center" wrapText="1"/>
    </xf>
    <xf numFmtId="20" fontId="13" fillId="0" borderId="32" xfId="0" applyNumberFormat="1" applyFont="1" applyBorder="1" applyAlignment="1">
      <alignment horizontal="center" vertical="center"/>
    </xf>
    <xf numFmtId="20" fontId="13" fillId="0" borderId="33" xfId="0" applyNumberFormat="1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 vertical="center"/>
    </xf>
    <xf numFmtId="49" fontId="13" fillId="0" borderId="33" xfId="0" applyNumberFormat="1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2" fontId="22" fillId="7" borderId="40" xfId="0" applyNumberFormat="1" applyFont="1" applyFill="1" applyBorder="1" applyAlignment="1">
      <alignment horizontal="center" vertical="center"/>
    </xf>
    <xf numFmtId="0" fontId="13" fillId="3" borderId="42" xfId="0" applyFont="1" applyFill="1" applyBorder="1" applyAlignment="1">
      <alignment horizontal="center"/>
    </xf>
    <xf numFmtId="0" fontId="13" fillId="3" borderId="43" xfId="0" applyFont="1" applyFill="1" applyBorder="1" applyAlignment="1">
      <alignment horizontal="center"/>
    </xf>
    <xf numFmtId="0" fontId="22" fillId="3" borderId="43" xfId="0" applyFont="1" applyFill="1" applyBorder="1" applyAlignment="1">
      <alignment horizontal="center"/>
    </xf>
    <xf numFmtId="0" fontId="20" fillId="3" borderId="43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/>
    </xf>
    <xf numFmtId="0" fontId="13" fillId="3" borderId="45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center"/>
    </xf>
    <xf numFmtId="0" fontId="22" fillId="3" borderId="46" xfId="0" applyFont="1" applyFill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0" fillId="3" borderId="48" xfId="0" applyFont="1" applyFill="1" applyBorder="1" applyAlignment="1">
      <alignment horizontal="center" vertical="center" wrapText="1"/>
    </xf>
    <xf numFmtId="0" fontId="0" fillId="3" borderId="49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/>
    </xf>
    <xf numFmtId="0" fontId="13" fillId="3" borderId="50" xfId="0" applyFont="1" applyFill="1" applyBorder="1" applyAlignment="1">
      <alignment horizontal="center"/>
    </xf>
    <xf numFmtId="0" fontId="13" fillId="3" borderId="50" xfId="0" applyFont="1" applyFill="1" applyBorder="1" applyAlignment="1"/>
    <xf numFmtId="0" fontId="13" fillId="3" borderId="46" xfId="0" applyFont="1" applyFill="1" applyBorder="1" applyAlignment="1">
      <alignment horizontal="center"/>
    </xf>
    <xf numFmtId="0" fontId="0" fillId="3" borderId="51" xfId="0" applyFont="1" applyFill="1" applyBorder="1" applyAlignment="1">
      <alignment horizontal="center" vertical="center" wrapText="1"/>
    </xf>
    <xf numFmtId="2" fontId="13" fillId="0" borderId="52" xfId="0" applyNumberFormat="1" applyFont="1" applyBorder="1" applyAlignment="1"/>
    <xf numFmtId="2" fontId="22" fillId="0" borderId="20" xfId="0" applyNumberFormat="1" applyFont="1" applyBorder="1" applyAlignment="1">
      <alignment horizontal="center"/>
    </xf>
    <xf numFmtId="2" fontId="70" fillId="0" borderId="53" xfId="0" applyNumberFormat="1" applyFont="1" applyBorder="1"/>
    <xf numFmtId="2" fontId="71" fillId="3" borderId="54" xfId="0" applyNumberFormat="1" applyFont="1" applyFill="1" applyBorder="1" applyAlignment="1">
      <alignment vertical="center"/>
    </xf>
    <xf numFmtId="0" fontId="13" fillId="3" borderId="16" xfId="0" applyFont="1" applyFill="1" applyBorder="1" applyAlignment="1"/>
    <xf numFmtId="0" fontId="0" fillId="0" borderId="54" xfId="0" applyFont="1" applyBorder="1" applyAlignment="1">
      <alignment horizontal="center" vertical="center"/>
    </xf>
    <xf numFmtId="0" fontId="13" fillId="8" borderId="54" xfId="0" applyFont="1" applyFill="1" applyBorder="1" applyAlignment="1">
      <alignment horizontal="center"/>
    </xf>
    <xf numFmtId="0" fontId="22" fillId="8" borderId="54" xfId="0" applyFont="1" applyFill="1" applyBorder="1" applyAlignment="1">
      <alignment horizontal="center"/>
    </xf>
    <xf numFmtId="0" fontId="13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/>
    </xf>
    <xf numFmtId="2" fontId="66" fillId="3" borderId="2" xfId="0" applyNumberFormat="1" applyFont="1" applyFill="1" applyBorder="1" applyAlignment="1">
      <alignment horizontal="left" vertical="center" wrapText="1"/>
    </xf>
    <xf numFmtId="1" fontId="66" fillId="3" borderId="1" xfId="0" applyNumberFormat="1" applyFont="1" applyFill="1" applyBorder="1"/>
    <xf numFmtId="2" fontId="66" fillId="3" borderId="1" xfId="0" applyNumberFormat="1" applyFont="1" applyFill="1" applyBorder="1" applyAlignment="1">
      <alignment horizontal="center" vertical="center"/>
    </xf>
    <xf numFmtId="2" fontId="66" fillId="3" borderId="1" xfId="0" applyNumberFormat="1" applyFont="1" applyFill="1" applyBorder="1"/>
    <xf numFmtId="2" fontId="66" fillId="6" borderId="1" xfId="0" applyNumberFormat="1" applyFont="1" applyFill="1" applyBorder="1"/>
    <xf numFmtId="0" fontId="6" fillId="0" borderId="1" xfId="0" applyFont="1" applyBorder="1"/>
    <xf numFmtId="2" fontId="10" fillId="0" borderId="2" xfId="0" applyNumberFormat="1" applyFont="1" applyFill="1" applyBorder="1" applyAlignment="1">
      <alignment horizontal="left" vertical="center" wrapText="1"/>
    </xf>
    <xf numFmtId="2" fontId="68" fillId="3" borderId="2" xfId="0" applyNumberFormat="1" applyFont="1" applyFill="1" applyBorder="1" applyAlignment="1">
      <alignment horizontal="left" vertical="center" wrapText="1"/>
    </xf>
    <xf numFmtId="1" fontId="68" fillId="3" borderId="1" xfId="0" applyNumberFormat="1" applyFont="1" applyFill="1" applyBorder="1"/>
    <xf numFmtId="0" fontId="68" fillId="3" borderId="1" xfId="0" applyNumberFormat="1" applyFont="1" applyFill="1" applyBorder="1"/>
    <xf numFmtId="2" fontId="68" fillId="3" borderId="1" xfId="0" applyNumberFormat="1" applyFont="1" applyFill="1" applyBorder="1" applyAlignment="1">
      <alignment horizontal="center" vertical="center"/>
    </xf>
    <xf numFmtId="2" fontId="68" fillId="3" borderId="1" xfId="0" applyNumberFormat="1" applyFont="1" applyFill="1" applyBorder="1" applyAlignment="1">
      <alignment horizontal="left"/>
    </xf>
    <xf numFmtId="2" fontId="68" fillId="3" borderId="1" xfId="0" applyNumberFormat="1" applyFont="1" applyFill="1" applyBorder="1"/>
    <xf numFmtId="2" fontId="68" fillId="6" borderId="1" xfId="0" applyNumberFormat="1" applyFont="1" applyFill="1" applyBorder="1"/>
    <xf numFmtId="2" fontId="10" fillId="0" borderId="1" xfId="0" applyNumberFormat="1" applyFont="1" applyFill="1" applyBorder="1"/>
    <xf numFmtId="2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25" fillId="0" borderId="1" xfId="0" applyFont="1" applyBorder="1"/>
    <xf numFmtId="0" fontId="25" fillId="0" borderId="0" xfId="0" applyFont="1"/>
    <xf numFmtId="2" fontId="68" fillId="4" borderId="2" xfId="0" applyNumberFormat="1" applyFont="1" applyFill="1" applyBorder="1" applyAlignment="1">
      <alignment horizontal="left" vertical="center" wrapText="1"/>
    </xf>
    <xf numFmtId="1" fontId="68" fillId="4" borderId="1" xfId="0" applyNumberFormat="1" applyFont="1" applyFill="1" applyBorder="1"/>
    <xf numFmtId="0" fontId="68" fillId="4" borderId="1" xfId="0" applyNumberFormat="1" applyFont="1" applyFill="1" applyBorder="1"/>
    <xf numFmtId="2" fontId="68" fillId="4" borderId="1" xfId="0" applyNumberFormat="1" applyFont="1" applyFill="1" applyBorder="1" applyAlignment="1">
      <alignment horizontal="center" vertical="center"/>
    </xf>
    <xf numFmtId="2" fontId="68" fillId="4" borderId="1" xfId="0" applyNumberFormat="1" applyFont="1" applyFill="1" applyBorder="1" applyAlignment="1">
      <alignment horizontal="left"/>
    </xf>
    <xf numFmtId="2" fontId="68" fillId="4" borderId="1" xfId="0" applyNumberFormat="1" applyFont="1" applyFill="1" applyBorder="1"/>
    <xf numFmtId="2" fontId="68" fillId="8" borderId="1" xfId="0" applyNumberFormat="1" applyFont="1" applyFill="1" applyBorder="1"/>
    <xf numFmtId="2" fontId="10" fillId="4" borderId="1" xfId="0" applyNumberFormat="1" applyFont="1" applyFill="1" applyBorder="1"/>
    <xf numFmtId="2" fontId="10" fillId="4" borderId="1" xfId="0" applyNumberFormat="1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/>
    </xf>
    <xf numFmtId="2" fontId="66" fillId="9" borderId="2" xfId="0" applyNumberFormat="1" applyFont="1" applyFill="1" applyBorder="1" applyAlignment="1">
      <alignment horizontal="left" vertical="center" wrapText="1"/>
    </xf>
    <xf numFmtId="1" fontId="66" fillId="9" borderId="1" xfId="0" applyNumberFormat="1" applyFont="1" applyFill="1" applyBorder="1"/>
    <xf numFmtId="0" fontId="66" fillId="9" borderId="1" xfId="0" applyNumberFormat="1" applyFont="1" applyFill="1" applyBorder="1"/>
    <xf numFmtId="2" fontId="66" fillId="9" borderId="1" xfId="0" applyNumberFormat="1" applyFont="1" applyFill="1" applyBorder="1"/>
    <xf numFmtId="2" fontId="66" fillId="10" borderId="1" xfId="0" applyNumberFormat="1" applyFont="1" applyFill="1" applyBorder="1" applyAlignment="1">
      <alignment horizontal="left"/>
    </xf>
    <xf numFmtId="2" fontId="66" fillId="9" borderId="1" xfId="0" applyNumberFormat="1" applyFont="1" applyFill="1" applyBorder="1" applyAlignment="1">
      <alignment horizontal="center" vertical="center"/>
    </xf>
    <xf numFmtId="2" fontId="66" fillId="10" borderId="1" xfId="0" applyNumberFormat="1" applyFont="1" applyFill="1" applyBorder="1"/>
    <xf numFmtId="1" fontId="66" fillId="9" borderId="1" xfId="0" applyNumberFormat="1" applyFont="1" applyFill="1" applyBorder="1" applyAlignment="1">
      <alignment horizontal="center"/>
    </xf>
    <xf numFmtId="0" fontId="67" fillId="9" borderId="1" xfId="0" applyFont="1" applyFill="1" applyBorder="1"/>
    <xf numFmtId="0" fontId="67" fillId="9" borderId="0" xfId="0" applyFont="1" applyFill="1"/>
    <xf numFmtId="2" fontId="16" fillId="0" borderId="1" xfId="0" applyNumberFormat="1" applyFont="1" applyBorder="1" applyAlignment="1">
      <alignment horizontal="center"/>
    </xf>
    <xf numFmtId="2" fontId="72" fillId="11" borderId="2" xfId="0" applyNumberFormat="1" applyFont="1" applyFill="1" applyBorder="1" applyAlignment="1">
      <alignment horizontal="left" vertical="center" wrapText="1"/>
    </xf>
    <xf numFmtId="1" fontId="3" fillId="11" borderId="1" xfId="0" applyNumberFormat="1" applyFont="1" applyFill="1" applyBorder="1"/>
    <xf numFmtId="0" fontId="3" fillId="11" borderId="1" xfId="0" applyNumberFormat="1" applyFont="1" applyFill="1" applyBorder="1"/>
    <xf numFmtId="2" fontId="3" fillId="11" borderId="1" xfId="0" applyNumberFormat="1" applyFont="1" applyFill="1" applyBorder="1" applyAlignment="1">
      <alignment horizontal="center" vertical="center"/>
    </xf>
    <xf numFmtId="2" fontId="3" fillId="11" borderId="1" xfId="0" applyNumberFormat="1" applyFont="1" applyFill="1" applyBorder="1" applyAlignment="1">
      <alignment horizontal="left"/>
    </xf>
    <xf numFmtId="2" fontId="3" fillId="11" borderId="1" xfId="0" applyNumberFormat="1" applyFont="1" applyFill="1" applyBorder="1"/>
    <xf numFmtId="2" fontId="3" fillId="12" borderId="1" xfId="0" applyNumberFormat="1" applyFont="1" applyFill="1" applyBorder="1"/>
    <xf numFmtId="2" fontId="10" fillId="0" borderId="1" xfId="0" applyNumberFormat="1" applyFont="1" applyBorder="1" applyAlignment="1">
      <alignment horizontal="center"/>
    </xf>
    <xf numFmtId="2" fontId="3" fillId="0" borderId="5" xfId="0" applyNumberFormat="1" applyFont="1" applyBorder="1"/>
    <xf numFmtId="2" fontId="3" fillId="0" borderId="2" xfId="0" applyNumberFormat="1" applyFont="1" applyBorder="1" applyAlignment="1">
      <alignment horizontal="left" wrapText="1"/>
    </xf>
    <xf numFmtId="2" fontId="3" fillId="13" borderId="2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/>
    <xf numFmtId="0" fontId="3" fillId="3" borderId="1" xfId="0" applyNumberFormat="1" applyFont="1" applyFill="1" applyBorder="1"/>
    <xf numFmtId="2" fontId="3" fillId="3" borderId="1" xfId="0" applyNumberFormat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0" fontId="6" fillId="3" borderId="0" xfId="0" applyFont="1" applyFill="1"/>
    <xf numFmtId="2" fontId="3" fillId="14" borderId="1" xfId="0" applyNumberFormat="1" applyFont="1" applyFill="1" applyBorder="1" applyAlignment="1">
      <alignment horizontal="left"/>
    </xf>
    <xf numFmtId="2" fontId="3" fillId="15" borderId="1" xfId="0" applyNumberFormat="1" applyFont="1" applyFill="1" applyBorder="1"/>
    <xf numFmtId="2" fontId="66" fillId="14" borderId="1" xfId="0" applyNumberFormat="1" applyFont="1" applyFill="1" applyBorder="1" applyAlignment="1">
      <alignment horizontal="left"/>
    </xf>
    <xf numFmtId="2" fontId="66" fillId="15" borderId="1" xfId="0" applyNumberFormat="1" applyFont="1" applyFill="1" applyBorder="1"/>
    <xf numFmtId="2" fontId="66" fillId="0" borderId="1" xfId="0" applyNumberFormat="1" applyFont="1" applyFill="1" applyBorder="1" applyAlignment="1">
      <alignment horizontal="center"/>
    </xf>
    <xf numFmtId="2" fontId="3" fillId="6" borderId="1" xfId="0" applyNumberFormat="1" applyFont="1" applyFill="1" applyBorder="1"/>
    <xf numFmtId="2" fontId="66" fillId="3" borderId="1" xfId="0" applyNumberFormat="1" applyFont="1" applyFill="1" applyBorder="1" applyAlignment="1">
      <alignment horizontal="center"/>
    </xf>
    <xf numFmtId="1" fontId="66" fillId="3" borderId="1" xfId="0" applyNumberFormat="1" applyFont="1" applyFill="1" applyBorder="1" applyAlignment="1">
      <alignment horizontal="center"/>
    </xf>
    <xf numFmtId="0" fontId="67" fillId="3" borderId="0" xfId="0" applyFont="1" applyFill="1"/>
    <xf numFmtId="0" fontId="6" fillId="0" borderId="0" xfId="0" applyFont="1" applyFill="1"/>
    <xf numFmtId="0" fontId="27" fillId="0" borderId="56" xfId="0" applyFont="1" applyFill="1" applyBorder="1" applyAlignment="1">
      <alignment wrapText="1"/>
    </xf>
    <xf numFmtId="2" fontId="27" fillId="0" borderId="5" xfId="0" applyNumberFormat="1" applyFont="1" applyFill="1" applyBorder="1" applyAlignment="1">
      <alignment wrapText="1"/>
    </xf>
    <xf numFmtId="2" fontId="27" fillId="0" borderId="1" xfId="0" applyNumberFormat="1" applyFont="1" applyFill="1" applyBorder="1" applyAlignment="1">
      <alignment vertical="center" wrapText="1"/>
    </xf>
    <xf numFmtId="2" fontId="27" fillId="0" borderId="1" xfId="0" applyNumberFormat="1" applyFont="1" applyFill="1" applyBorder="1" applyAlignment="1"/>
    <xf numFmtId="2" fontId="30" fillId="0" borderId="2" xfId="0" applyNumberFormat="1" applyFont="1" applyFill="1" applyBorder="1" applyAlignment="1">
      <alignment horizontal="left" vertical="center" wrapText="1"/>
    </xf>
    <xf numFmtId="2" fontId="27" fillId="0" borderId="5" xfId="0" applyNumberFormat="1" applyFont="1" applyFill="1" applyBorder="1" applyAlignment="1"/>
    <xf numFmtId="2" fontId="27" fillId="0" borderId="3" xfId="0" applyNumberFormat="1" applyFont="1" applyFill="1" applyBorder="1" applyAlignment="1"/>
    <xf numFmtId="2" fontId="27" fillId="0" borderId="57" xfId="0" applyNumberFormat="1" applyFont="1" applyFill="1" applyBorder="1" applyAlignment="1">
      <alignment vertical="center" wrapText="1"/>
    </xf>
    <xf numFmtId="0" fontId="27" fillId="0" borderId="5" xfId="0" applyFont="1" applyFill="1" applyBorder="1" applyAlignment="1"/>
    <xf numFmtId="0" fontId="32" fillId="0" borderId="0" xfId="0" applyFont="1" applyFill="1" applyAlignment="1">
      <alignment horizontal="center"/>
    </xf>
    <xf numFmtId="0" fontId="32" fillId="0" borderId="0" xfId="0" applyFont="1" applyFill="1"/>
    <xf numFmtId="0" fontId="32" fillId="0" borderId="0" xfId="0" applyFont="1" applyFill="1" applyAlignment="1">
      <alignment wrapText="1"/>
    </xf>
    <xf numFmtId="1" fontId="27" fillId="0" borderId="0" xfId="0" applyNumberFormat="1" applyFont="1" applyFill="1"/>
    <xf numFmtId="2" fontId="33" fillId="0" borderId="0" xfId="0" applyNumberFormat="1" applyFont="1" applyFill="1"/>
    <xf numFmtId="0" fontId="33" fillId="0" borderId="0" xfId="0" applyFont="1" applyFill="1"/>
    <xf numFmtId="0" fontId="32" fillId="0" borderId="0" xfId="0" applyFont="1" applyFill="1" applyBorder="1" applyAlignment="1">
      <alignment wrapText="1"/>
    </xf>
    <xf numFmtId="2" fontId="32" fillId="0" borderId="0" xfId="0" applyNumberFormat="1" applyFont="1" applyFill="1"/>
    <xf numFmtId="2" fontId="32" fillId="0" borderId="0" xfId="0" applyNumberFormat="1" applyFont="1" applyFill="1" applyAlignment="1">
      <alignment horizontal="center" wrapText="1"/>
    </xf>
    <xf numFmtId="1" fontId="73" fillId="0" borderId="2" xfId="0" applyNumberFormat="1" applyFont="1" applyFill="1" applyBorder="1" applyAlignment="1">
      <alignment horizontal="center" vertical="center" wrapText="1"/>
    </xf>
    <xf numFmtId="2" fontId="32" fillId="0" borderId="2" xfId="0" applyNumberFormat="1" applyFont="1" applyFill="1" applyBorder="1" applyAlignment="1">
      <alignment horizontal="left" vertical="center" wrapText="1"/>
    </xf>
    <xf numFmtId="0" fontId="33" fillId="0" borderId="58" xfId="6" applyNumberFormat="1" applyFont="1" applyFill="1" applyBorder="1" applyAlignment="1">
      <alignment horizontal="left" vertical="top" wrapText="1"/>
    </xf>
    <xf numFmtId="2" fontId="34" fillId="0" borderId="1" xfId="0" applyNumberFormat="1" applyFont="1" applyFill="1" applyBorder="1" applyAlignment="1">
      <alignment horizontal="center" vertical="center"/>
    </xf>
    <xf numFmtId="2" fontId="32" fillId="0" borderId="5" xfId="0" applyNumberFormat="1" applyFont="1" applyFill="1" applyBorder="1"/>
    <xf numFmtId="0" fontId="32" fillId="0" borderId="56" xfId="0" applyFont="1" applyFill="1" applyBorder="1" applyAlignment="1">
      <alignment wrapText="1"/>
    </xf>
    <xf numFmtId="2" fontId="32" fillId="0" borderId="1" xfId="0" applyNumberFormat="1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left" vertical="center" wrapText="1"/>
    </xf>
    <xf numFmtId="0" fontId="74" fillId="0" borderId="1" xfId="0" applyFont="1" applyFill="1" applyBorder="1" applyAlignment="1">
      <alignment wrapText="1"/>
    </xf>
    <xf numFmtId="0" fontId="34" fillId="0" borderId="0" xfId="0" applyFont="1" applyFill="1"/>
    <xf numFmtId="0" fontId="33" fillId="0" borderId="59" xfId="7" applyNumberFormat="1" applyFont="1" applyFill="1" applyBorder="1" applyAlignment="1">
      <alignment horizontal="left" vertical="top" wrapText="1"/>
    </xf>
    <xf numFmtId="2" fontId="32" fillId="0" borderId="3" xfId="0" applyNumberFormat="1" applyFont="1" applyFill="1" applyBorder="1" applyAlignment="1">
      <alignment horizontal="left" vertical="center" wrapText="1"/>
    </xf>
    <xf numFmtId="0" fontId="33" fillId="0" borderId="12" xfId="7" applyNumberFormat="1" applyFont="1" applyFill="1" applyBorder="1" applyAlignment="1">
      <alignment horizontal="left" vertical="top" wrapText="1"/>
    </xf>
    <xf numFmtId="0" fontId="33" fillId="0" borderId="0" xfId="7" applyNumberFormat="1" applyFont="1" applyFill="1" applyBorder="1" applyAlignment="1">
      <alignment horizontal="left" vertical="top" wrapText="1"/>
    </xf>
    <xf numFmtId="2" fontId="27" fillId="0" borderId="2" xfId="0" applyNumberFormat="1" applyFont="1" applyFill="1" applyBorder="1" applyAlignment="1">
      <alignment horizontal="left" vertical="center" wrapText="1"/>
    </xf>
    <xf numFmtId="2" fontId="32" fillId="0" borderId="3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 wrapText="1"/>
    </xf>
    <xf numFmtId="2" fontId="27" fillId="0" borderId="1" xfId="0" applyNumberFormat="1" applyFont="1" applyFill="1" applyBorder="1" applyAlignment="1">
      <alignment horizontal="center" vertical="center" wrapText="1"/>
    </xf>
    <xf numFmtId="2" fontId="27" fillId="0" borderId="5" xfId="0" applyNumberFormat="1" applyFont="1" applyFill="1" applyBorder="1" applyAlignment="1">
      <alignment vertical="center" wrapText="1"/>
    </xf>
    <xf numFmtId="0" fontId="33" fillId="0" borderId="60" xfId="7" applyNumberFormat="1" applyFont="1" applyFill="1" applyBorder="1" applyAlignment="1">
      <alignment horizontal="left" vertical="top" wrapText="1"/>
    </xf>
    <xf numFmtId="0" fontId="33" fillId="0" borderId="61" xfId="7" applyNumberFormat="1" applyFont="1" applyFill="1" applyBorder="1" applyAlignment="1">
      <alignment horizontal="left" vertical="top" wrapText="1"/>
    </xf>
    <xf numFmtId="0" fontId="33" fillId="0" borderId="54" xfId="7" applyNumberFormat="1" applyFont="1" applyFill="1" applyBorder="1" applyAlignment="1">
      <alignment horizontal="left" vertical="top" wrapText="1"/>
    </xf>
    <xf numFmtId="2" fontId="27" fillId="0" borderId="3" xfId="0" applyNumberFormat="1" applyFont="1" applyFill="1" applyBorder="1" applyAlignment="1">
      <alignment horizontal="left" vertical="center" wrapText="1"/>
    </xf>
    <xf numFmtId="1" fontId="32" fillId="0" borderId="3" xfId="0" applyNumberFormat="1" applyFont="1" applyFill="1" applyBorder="1" applyAlignment="1">
      <alignment horizontal="center" vertical="center" wrapText="1"/>
    </xf>
    <xf numFmtId="2" fontId="32" fillId="0" borderId="3" xfId="0" applyNumberFormat="1" applyFont="1" applyFill="1" applyBorder="1" applyAlignment="1">
      <alignment horizontal="center" vertical="center" wrapText="1"/>
    </xf>
    <xf numFmtId="0" fontId="33" fillId="0" borderId="62" xfId="6" applyNumberFormat="1" applyFont="1" applyFill="1" applyBorder="1" applyAlignment="1">
      <alignment horizontal="left" vertical="top" wrapText="1"/>
    </xf>
    <xf numFmtId="0" fontId="33" fillId="0" borderId="54" xfId="6" applyNumberFormat="1" applyFont="1" applyFill="1" applyBorder="1" applyAlignment="1">
      <alignment horizontal="left" vertical="top" wrapText="1"/>
    </xf>
    <xf numFmtId="0" fontId="33" fillId="0" borderId="63" xfId="6" applyNumberFormat="1" applyFont="1" applyFill="1" applyBorder="1" applyAlignment="1">
      <alignment horizontal="left" vertical="top" wrapText="1"/>
    </xf>
    <xf numFmtId="0" fontId="33" fillId="0" borderId="0" xfId="6" applyNumberFormat="1" applyFont="1" applyFill="1" applyBorder="1" applyAlignment="1">
      <alignment horizontal="left" vertical="top" wrapText="1"/>
    </xf>
    <xf numFmtId="1" fontId="32" fillId="0" borderId="1" xfId="0" applyNumberFormat="1" applyFont="1" applyFill="1" applyBorder="1" applyAlignment="1">
      <alignment horizontal="center" vertical="center" wrapText="1"/>
    </xf>
    <xf numFmtId="2" fontId="32" fillId="0" borderId="1" xfId="0" applyNumberFormat="1" applyFont="1" applyFill="1" applyBorder="1" applyAlignment="1">
      <alignment horizontal="center" vertical="center" wrapText="1"/>
    </xf>
    <xf numFmtId="2" fontId="32" fillId="0" borderId="5" xfId="0" applyNumberFormat="1" applyFont="1" applyFill="1" applyBorder="1" applyAlignment="1">
      <alignment vertical="center" wrapText="1"/>
    </xf>
    <xf numFmtId="2" fontId="32" fillId="0" borderId="5" xfId="0" applyNumberFormat="1" applyFont="1" applyFill="1" applyBorder="1" applyAlignment="1">
      <alignment wrapText="1"/>
    </xf>
    <xf numFmtId="49" fontId="74" fillId="0" borderId="56" xfId="0" applyNumberFormat="1" applyFont="1" applyFill="1" applyBorder="1" applyAlignment="1">
      <alignment wrapText="1"/>
    </xf>
    <xf numFmtId="0" fontId="73" fillId="0" borderId="0" xfId="0" applyFont="1" applyFill="1"/>
    <xf numFmtId="0" fontId="33" fillId="0" borderId="12" xfId="6" applyNumberFormat="1" applyFont="1" applyFill="1" applyBorder="1" applyAlignment="1">
      <alignment horizontal="left" vertical="top" wrapText="1"/>
    </xf>
    <xf numFmtId="2" fontId="27" fillId="0" borderId="1" xfId="0" applyNumberFormat="1" applyFont="1" applyFill="1" applyBorder="1" applyAlignment="1">
      <alignment horizontal="center" vertical="center"/>
    </xf>
    <xf numFmtId="2" fontId="27" fillId="0" borderId="1" xfId="0" applyNumberFormat="1" applyFont="1" applyFill="1" applyBorder="1"/>
    <xf numFmtId="2" fontId="32" fillId="0" borderId="1" xfId="0" applyNumberFormat="1" applyFont="1" applyFill="1" applyBorder="1" applyAlignment="1">
      <alignment horizontal="left" vertical="center" wrapText="1"/>
    </xf>
    <xf numFmtId="2" fontId="32" fillId="0" borderId="5" xfId="0" applyNumberFormat="1" applyFont="1" applyFill="1" applyBorder="1" applyAlignment="1">
      <alignment horizontal="left" vertical="center" wrapText="1"/>
    </xf>
    <xf numFmtId="2" fontId="32" fillId="4" borderId="1" xfId="0" applyNumberFormat="1" applyFon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0" fontId="74" fillId="0" borderId="56" xfId="0" applyFont="1" applyFill="1" applyBorder="1" applyAlignment="1">
      <alignment wrapText="1"/>
    </xf>
    <xf numFmtId="0" fontId="33" fillId="0" borderId="64" xfId="2" applyNumberFormat="1" applyFont="1" applyFill="1" applyBorder="1" applyAlignment="1">
      <alignment vertical="top" wrapText="1"/>
    </xf>
    <xf numFmtId="0" fontId="75" fillId="0" borderId="58" xfId="6" applyNumberFormat="1" applyFont="1" applyFill="1" applyBorder="1" applyAlignment="1">
      <alignment horizontal="left" vertical="top" wrapText="1"/>
    </xf>
    <xf numFmtId="0" fontId="33" fillId="0" borderId="54" xfId="5" applyNumberFormat="1" applyFont="1" applyFill="1" applyBorder="1" applyAlignment="1">
      <alignment horizontal="left" vertical="top" wrapText="1"/>
    </xf>
    <xf numFmtId="2" fontId="33" fillId="0" borderId="2" xfId="0" applyNumberFormat="1" applyFont="1" applyFill="1" applyBorder="1" applyAlignment="1">
      <alignment horizontal="left" vertical="center" wrapText="1"/>
    </xf>
    <xf numFmtId="2" fontId="32" fillId="0" borderId="12" xfId="0" applyNumberFormat="1" applyFont="1" applyFill="1" applyBorder="1" applyAlignment="1">
      <alignment horizontal="left" vertical="center" wrapText="1"/>
    </xf>
    <xf numFmtId="2" fontId="32" fillId="4" borderId="12" xfId="0" applyNumberFormat="1" applyFont="1" applyFill="1" applyBorder="1" applyAlignment="1">
      <alignment horizontal="center" vertical="center"/>
    </xf>
    <xf numFmtId="0" fontId="74" fillId="0" borderId="2" xfId="0" applyFont="1" applyFill="1" applyBorder="1" applyAlignment="1">
      <alignment wrapText="1"/>
    </xf>
    <xf numFmtId="2" fontId="74" fillId="0" borderId="2" xfId="0" applyNumberFormat="1" applyFont="1" applyFill="1" applyBorder="1" applyAlignment="1">
      <alignment horizontal="left" vertical="center" wrapText="1"/>
    </xf>
    <xf numFmtId="0" fontId="75" fillId="0" borderId="62" xfId="6" applyNumberFormat="1" applyFont="1" applyFill="1" applyBorder="1" applyAlignment="1">
      <alignment horizontal="left" vertical="top" wrapText="1"/>
    </xf>
    <xf numFmtId="0" fontId="32" fillId="0" borderId="54" xfId="6" applyNumberFormat="1" applyFont="1" applyFill="1" applyBorder="1" applyAlignment="1">
      <alignment horizontal="left" vertical="top" wrapText="1"/>
    </xf>
    <xf numFmtId="0" fontId="75" fillId="0" borderId="54" xfId="6" applyNumberFormat="1" applyFont="1" applyFill="1" applyBorder="1" applyAlignment="1">
      <alignment horizontal="left" vertical="top" wrapText="1"/>
    </xf>
    <xf numFmtId="2" fontId="32" fillId="0" borderId="65" xfId="0" applyNumberFormat="1" applyFont="1" applyFill="1" applyBorder="1" applyAlignment="1">
      <alignment horizontal="left" vertical="center" wrapText="1"/>
    </xf>
    <xf numFmtId="2" fontId="27" fillId="0" borderId="3" xfId="0" applyNumberFormat="1" applyFont="1" applyFill="1" applyBorder="1" applyAlignment="1">
      <alignment wrapText="1"/>
    </xf>
    <xf numFmtId="2" fontId="32" fillId="0" borderId="3" xfId="0" applyNumberFormat="1" applyFont="1" applyFill="1" applyBorder="1" applyAlignment="1">
      <alignment wrapText="1"/>
    </xf>
    <xf numFmtId="2" fontId="32" fillId="0" borderId="8" xfId="0" applyNumberFormat="1" applyFont="1" applyFill="1" applyBorder="1" applyAlignment="1">
      <alignment horizontal="left" vertical="center" wrapText="1"/>
    </xf>
    <xf numFmtId="2" fontId="32" fillId="0" borderId="66" xfId="0" applyNumberFormat="1" applyFont="1" applyFill="1" applyBorder="1" applyAlignment="1">
      <alignment horizontal="left" vertical="center" wrapText="1"/>
    </xf>
    <xf numFmtId="2" fontId="27" fillId="0" borderId="67" xfId="0" applyNumberFormat="1" applyFont="1" applyFill="1" applyBorder="1" applyAlignment="1">
      <alignment horizontal="left" vertical="center" wrapText="1"/>
    </xf>
    <xf numFmtId="1" fontId="32" fillId="0" borderId="68" xfId="0" applyNumberFormat="1" applyFont="1" applyFill="1" applyBorder="1" applyAlignment="1">
      <alignment horizontal="center" vertical="center" wrapText="1"/>
    </xf>
    <xf numFmtId="2" fontId="32" fillId="0" borderId="68" xfId="0" applyNumberFormat="1" applyFont="1" applyFill="1" applyBorder="1" applyAlignment="1">
      <alignment horizontal="center" vertical="center" wrapText="1"/>
    </xf>
    <xf numFmtId="2" fontId="32" fillId="0" borderId="69" xfId="0" applyNumberFormat="1" applyFont="1" applyFill="1" applyBorder="1" applyAlignment="1">
      <alignment horizontal="left" vertical="center" wrapText="1"/>
    </xf>
    <xf numFmtId="0" fontId="32" fillId="0" borderId="25" xfId="0" applyFont="1" applyFill="1" applyBorder="1" applyAlignment="1">
      <alignment wrapText="1"/>
    </xf>
    <xf numFmtId="2" fontId="27" fillId="0" borderId="1" xfId="0" applyNumberFormat="1" applyFont="1" applyFill="1" applyBorder="1" applyAlignment="1">
      <alignment horizontal="left" vertical="center" wrapText="1"/>
    </xf>
    <xf numFmtId="2" fontId="32" fillId="0" borderId="0" xfId="0" applyNumberFormat="1" applyFont="1" applyFill="1" applyBorder="1"/>
    <xf numFmtId="2" fontId="32" fillId="0" borderId="0" xfId="0" applyNumberFormat="1" applyFont="1" applyFill="1" applyBorder="1" applyAlignment="1">
      <alignment horizontal="left" vertical="center" wrapText="1"/>
    </xf>
    <xf numFmtId="0" fontId="27" fillId="0" borderId="12" xfId="0" applyFont="1" applyFill="1" applyBorder="1"/>
    <xf numFmtId="0" fontId="27" fillId="0" borderId="11" xfId="0" applyFont="1" applyFill="1" applyBorder="1"/>
    <xf numFmtId="1" fontId="35" fillId="0" borderId="0" xfId="0" applyNumberFormat="1" applyFont="1" applyFill="1"/>
    <xf numFmtId="0" fontId="27" fillId="0" borderId="0" xfId="0" applyFont="1" applyFill="1" applyBorder="1"/>
    <xf numFmtId="0" fontId="33" fillId="0" borderId="56" xfId="0" applyFont="1" applyFill="1" applyBorder="1" applyAlignment="1">
      <alignment wrapText="1"/>
    </xf>
    <xf numFmtId="2" fontId="32" fillId="0" borderId="54" xfId="0" applyNumberFormat="1" applyFont="1" applyFill="1" applyBorder="1" applyAlignment="1">
      <alignment horizontal="left" vertical="center" wrapText="1"/>
    </xf>
    <xf numFmtId="2" fontId="27" fillId="0" borderId="0" xfId="0" applyNumberFormat="1" applyFont="1" applyFill="1"/>
    <xf numFmtId="2" fontId="32" fillId="0" borderId="70" xfId="0" applyNumberFormat="1" applyFont="1" applyFill="1" applyBorder="1" applyAlignment="1">
      <alignment horizontal="left" vertical="center" wrapText="1"/>
    </xf>
    <xf numFmtId="2" fontId="32" fillId="0" borderId="54" xfId="0" applyNumberFormat="1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left" vertical="center" wrapText="1"/>
    </xf>
    <xf numFmtId="2" fontId="27" fillId="0" borderId="1" xfId="0" applyNumberFormat="1" applyFont="1" applyFill="1" applyBorder="1" applyAlignment="1">
      <alignment horizontal="left"/>
    </xf>
    <xf numFmtId="0" fontId="32" fillId="0" borderId="71" xfId="0" applyFont="1" applyFill="1" applyBorder="1" applyAlignment="1">
      <alignment wrapText="1"/>
    </xf>
    <xf numFmtId="0" fontId="73" fillId="0" borderId="56" xfId="0" applyFont="1" applyFill="1" applyBorder="1" applyAlignment="1">
      <alignment wrapText="1"/>
    </xf>
    <xf numFmtId="2" fontId="27" fillId="0" borderId="5" xfId="0" applyNumberFormat="1" applyFont="1" applyFill="1" applyBorder="1" applyAlignment="1">
      <alignment horizontal="left" vertical="center" wrapText="1"/>
    </xf>
    <xf numFmtId="2" fontId="32" fillId="0" borderId="0" xfId="0" applyNumberFormat="1" applyFont="1" applyFill="1" applyBorder="1" applyAlignment="1">
      <alignment horizontal="center" vertical="center"/>
    </xf>
    <xf numFmtId="0" fontId="32" fillId="0" borderId="72" xfId="0" applyFont="1" applyFill="1" applyBorder="1" applyAlignment="1">
      <alignment wrapText="1"/>
    </xf>
    <xf numFmtId="2" fontId="35" fillId="0" borderId="8" xfId="0" applyNumberFormat="1" applyFont="1" applyFill="1" applyBorder="1" applyAlignment="1">
      <alignment horizontal="left" vertical="center" wrapText="1"/>
    </xf>
    <xf numFmtId="0" fontId="33" fillId="0" borderId="73" xfId="6" applyNumberFormat="1" applyFont="1" applyFill="1" applyBorder="1" applyAlignment="1">
      <alignment horizontal="left" vertical="top" wrapText="1"/>
    </xf>
    <xf numFmtId="2" fontId="27" fillId="0" borderId="3" xfId="0" applyNumberFormat="1" applyFont="1" applyFill="1" applyBorder="1" applyAlignment="1">
      <alignment vertical="center" wrapText="1"/>
    </xf>
    <xf numFmtId="1" fontId="27" fillId="0" borderId="3" xfId="0" applyNumberFormat="1" applyFont="1" applyFill="1" applyBorder="1" applyAlignment="1">
      <alignment horizontal="center" vertical="center" wrapText="1"/>
    </xf>
    <xf numFmtId="2" fontId="27" fillId="0" borderId="3" xfId="0" applyNumberFormat="1" applyFont="1" applyFill="1" applyBorder="1" applyAlignment="1">
      <alignment horizontal="center" vertical="center" wrapText="1"/>
    </xf>
    <xf numFmtId="2" fontId="30" fillId="0" borderId="65" xfId="0" applyNumberFormat="1" applyFont="1" applyFill="1" applyBorder="1" applyAlignment="1">
      <alignment horizontal="left" vertical="center" wrapText="1"/>
    </xf>
    <xf numFmtId="1" fontId="73" fillId="0" borderId="0" xfId="0" applyNumberFormat="1" applyFont="1" applyFill="1"/>
    <xf numFmtId="0" fontId="35" fillId="0" borderId="12" xfId="6" applyNumberFormat="1" applyFont="1" applyFill="1" applyBorder="1" applyAlignment="1">
      <alignment horizontal="left" vertical="top" wrapText="1"/>
    </xf>
    <xf numFmtId="1" fontId="32" fillId="0" borderId="3" xfId="0" applyNumberFormat="1" applyFont="1" applyFill="1" applyBorder="1"/>
    <xf numFmtId="0" fontId="33" fillId="0" borderId="74" xfId="6" applyNumberFormat="1" applyFont="1" applyFill="1" applyBorder="1" applyAlignment="1">
      <alignment horizontal="left" vertical="top" wrapText="1"/>
    </xf>
    <xf numFmtId="2" fontId="32" fillId="0" borderId="7" xfId="0" applyNumberFormat="1" applyFont="1" applyFill="1" applyBorder="1" applyAlignment="1">
      <alignment horizontal="center" vertical="center"/>
    </xf>
    <xf numFmtId="2" fontId="32" fillId="0" borderId="75" xfId="0" applyNumberFormat="1" applyFont="1" applyFill="1" applyBorder="1" applyAlignment="1">
      <alignment horizontal="center" vertical="center"/>
    </xf>
    <xf numFmtId="1" fontId="32" fillId="0" borderId="76" xfId="0" applyNumberFormat="1" applyFont="1" applyFill="1" applyBorder="1" applyAlignment="1">
      <alignment horizontal="center" vertical="center" wrapText="1"/>
    </xf>
    <xf numFmtId="0" fontId="75" fillId="0" borderId="64" xfId="2" applyNumberFormat="1" applyFont="1" applyFill="1" applyBorder="1" applyAlignment="1">
      <alignment vertical="top" wrapText="1"/>
    </xf>
    <xf numFmtId="2" fontId="73" fillId="0" borderId="0" xfId="0" applyNumberFormat="1" applyFont="1" applyFill="1"/>
    <xf numFmtId="2" fontId="74" fillId="0" borderId="0" xfId="0" applyNumberFormat="1" applyFont="1" applyFill="1"/>
    <xf numFmtId="0" fontId="33" fillId="0" borderId="77" xfId="6" applyNumberFormat="1" applyFont="1" applyFill="1" applyBorder="1" applyAlignment="1">
      <alignment horizontal="left" vertical="top" wrapText="1"/>
    </xf>
    <xf numFmtId="0" fontId="33" fillId="0" borderId="78" xfId="6" applyNumberFormat="1" applyFont="1" applyFill="1" applyBorder="1" applyAlignment="1">
      <alignment horizontal="left" vertical="top" wrapText="1"/>
    </xf>
    <xf numFmtId="2" fontId="74" fillId="0" borderId="12" xfId="0" applyNumberFormat="1" applyFont="1" applyFill="1" applyBorder="1" applyAlignment="1">
      <alignment horizontal="left" vertical="center" wrapText="1"/>
    </xf>
    <xf numFmtId="0" fontId="75" fillId="0" borderId="54" xfId="5" applyNumberFormat="1" applyFont="1" applyFill="1" applyBorder="1" applyAlignment="1">
      <alignment horizontal="left" vertical="top" wrapText="1"/>
    </xf>
    <xf numFmtId="2" fontId="75" fillId="0" borderId="2" xfId="0" applyNumberFormat="1" applyFont="1" applyFill="1" applyBorder="1" applyAlignment="1">
      <alignment horizontal="left" vertical="center" wrapText="1"/>
    </xf>
    <xf numFmtId="2" fontId="32" fillId="0" borderId="2" xfId="0" applyNumberFormat="1" applyFont="1" applyFill="1" applyBorder="1" applyAlignment="1">
      <alignment horizontal="left" wrapText="1"/>
    </xf>
    <xf numFmtId="0" fontId="35" fillId="0" borderId="79" xfId="5" applyNumberFormat="1" applyFont="1" applyFill="1" applyBorder="1" applyAlignment="1">
      <alignment horizontal="left" vertical="top" wrapText="1"/>
    </xf>
    <xf numFmtId="0" fontId="33" fillId="0" borderId="79" xfId="5" applyNumberFormat="1" applyFont="1" applyFill="1" applyBorder="1" applyAlignment="1">
      <alignment horizontal="left" vertical="top" wrapText="1"/>
    </xf>
    <xf numFmtId="0" fontId="33" fillId="0" borderId="80" xfId="5" applyNumberFormat="1" applyFont="1" applyFill="1" applyBorder="1" applyAlignment="1">
      <alignment horizontal="left" vertical="top" wrapText="1"/>
    </xf>
    <xf numFmtId="1" fontId="35" fillId="0" borderId="79" xfId="5" applyNumberFormat="1" applyFont="1" applyFill="1" applyBorder="1" applyAlignment="1">
      <alignment horizontal="left" vertical="top" wrapText="1"/>
    </xf>
    <xf numFmtId="0" fontId="33" fillId="0" borderId="59" xfId="5" applyNumberFormat="1" applyFont="1" applyFill="1" applyBorder="1" applyAlignment="1">
      <alignment horizontal="left" vertical="top" wrapText="1"/>
    </xf>
    <xf numFmtId="0" fontId="33" fillId="0" borderId="0" xfId="5" applyNumberFormat="1" applyFont="1" applyFill="1" applyBorder="1" applyAlignment="1">
      <alignment horizontal="left" vertical="top" wrapText="1"/>
    </xf>
    <xf numFmtId="0" fontId="32" fillId="0" borderId="54" xfId="0" applyFont="1" applyFill="1" applyBorder="1" applyAlignment="1">
      <alignment wrapText="1"/>
    </xf>
    <xf numFmtId="0" fontId="35" fillId="0" borderId="80" xfId="5" applyNumberFormat="1" applyFont="1" applyFill="1" applyBorder="1" applyAlignment="1">
      <alignment horizontal="left" vertical="top" wrapText="1"/>
    </xf>
    <xf numFmtId="0" fontId="33" fillId="0" borderId="61" xfId="5" applyNumberFormat="1" applyFont="1" applyFill="1" applyBorder="1" applyAlignment="1">
      <alignment horizontal="left" vertical="top" wrapText="1"/>
    </xf>
    <xf numFmtId="0" fontId="33" fillId="0" borderId="81" xfId="5" applyNumberFormat="1" applyFont="1" applyFill="1" applyBorder="1" applyAlignment="1">
      <alignment horizontal="left" vertical="top" wrapText="1"/>
    </xf>
    <xf numFmtId="1" fontId="35" fillId="0" borderId="0" xfId="5" applyNumberFormat="1" applyFont="1" applyFill="1" applyBorder="1" applyAlignment="1">
      <alignment horizontal="left" vertical="top" wrapText="1"/>
    </xf>
    <xf numFmtId="0" fontId="33" fillId="0" borderId="82" xfId="5" applyNumberFormat="1" applyFont="1" applyFill="1" applyBorder="1" applyAlignment="1">
      <alignment horizontal="left" vertical="top" wrapText="1"/>
    </xf>
    <xf numFmtId="0" fontId="33" fillId="0" borderId="77" xfId="5" applyNumberFormat="1" applyFont="1" applyFill="1" applyBorder="1" applyAlignment="1">
      <alignment horizontal="left" vertical="top" wrapText="1"/>
    </xf>
    <xf numFmtId="0" fontId="35" fillId="0" borderId="0" xfId="5" applyNumberFormat="1" applyFont="1" applyFill="1" applyBorder="1" applyAlignment="1">
      <alignment horizontal="left" vertical="top" wrapText="1"/>
    </xf>
    <xf numFmtId="0" fontId="27" fillId="0" borderId="0" xfId="0" applyFont="1" applyFill="1"/>
    <xf numFmtId="1" fontId="32" fillId="0" borderId="2" xfId="0" applyNumberFormat="1" applyFont="1" applyFill="1" applyBorder="1"/>
    <xf numFmtId="1" fontId="27" fillId="0" borderId="5" xfId="0" applyNumberFormat="1" applyFont="1" applyFill="1" applyBorder="1" applyAlignment="1"/>
    <xf numFmtId="1" fontId="32" fillId="0" borderId="3" xfId="0" applyNumberFormat="1" applyFont="1" applyFill="1" applyBorder="1" applyAlignment="1">
      <alignment wrapText="1"/>
    </xf>
    <xf numFmtId="0" fontId="27" fillId="0" borderId="3" xfId="0" applyFont="1" applyFill="1" applyBorder="1" applyAlignment="1">
      <alignment wrapText="1"/>
    </xf>
    <xf numFmtId="0" fontId="33" fillId="0" borderId="60" xfId="6" applyNumberFormat="1" applyFont="1" applyFill="1" applyBorder="1" applyAlignment="1">
      <alignment horizontal="left" vertical="top" wrapText="1"/>
    </xf>
    <xf numFmtId="2" fontId="32" fillId="0" borderId="4" xfId="0" applyNumberFormat="1" applyFont="1" applyFill="1" applyBorder="1" applyAlignment="1">
      <alignment horizontal="left" vertical="center" wrapText="1"/>
    </xf>
    <xf numFmtId="2" fontId="32" fillId="0" borderId="75" xfId="0" applyNumberFormat="1" applyFont="1" applyFill="1" applyBorder="1" applyAlignment="1">
      <alignment horizontal="left" vertical="center" wrapText="1"/>
    </xf>
    <xf numFmtId="0" fontId="32" fillId="0" borderId="83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32" fillId="0" borderId="0" xfId="0" applyFont="1" applyFill="1" applyBorder="1"/>
    <xf numFmtId="0" fontId="33" fillId="0" borderId="0" xfId="0" applyFont="1" applyFill="1" applyBorder="1" applyAlignment="1">
      <alignment horizontal="left"/>
    </xf>
    <xf numFmtId="1" fontId="27" fillId="0" borderId="0" xfId="0" applyNumberFormat="1" applyFont="1" applyFill="1" applyBorder="1"/>
    <xf numFmtId="2" fontId="32" fillId="0" borderId="3" xfId="0" applyNumberFormat="1" applyFont="1" applyBorder="1" applyAlignment="1">
      <alignment horizontal="center" vertical="center"/>
    </xf>
    <xf numFmtId="0" fontId="32" fillId="0" borderId="56" xfId="0" applyFont="1" applyBorder="1" applyAlignment="1">
      <alignment wrapText="1"/>
    </xf>
    <xf numFmtId="1" fontId="27" fillId="0" borderId="0" xfId="0" applyNumberFormat="1" applyFont="1"/>
    <xf numFmtId="0" fontId="32" fillId="0" borderId="0" xfId="0" applyFont="1"/>
    <xf numFmtId="2" fontId="27" fillId="16" borderId="1" xfId="0" applyNumberFormat="1" applyFont="1" applyFill="1" applyBorder="1" applyAlignment="1">
      <alignment horizontal="left" vertical="center" wrapText="1"/>
    </xf>
    <xf numFmtId="179" fontId="27" fillId="16" borderId="1" xfId="0" applyNumberFormat="1" applyFont="1" applyFill="1" applyBorder="1" applyAlignment="1">
      <alignment horizontal="center" vertical="center" wrapText="1"/>
    </xf>
    <xf numFmtId="179" fontId="32" fillId="4" borderId="1" xfId="0" applyNumberFormat="1" applyFont="1" applyFill="1" applyBorder="1" applyAlignment="1">
      <alignment horizontal="center" vertical="center"/>
    </xf>
    <xf numFmtId="179" fontId="27" fillId="4" borderId="1" xfId="0" applyNumberFormat="1" applyFont="1" applyFill="1" applyBorder="1" applyAlignment="1">
      <alignment horizontal="center" vertical="center"/>
    </xf>
    <xf numFmtId="179" fontId="32" fillId="4" borderId="12" xfId="0" applyNumberFormat="1" applyFont="1" applyFill="1" applyBorder="1" applyAlignment="1">
      <alignment horizontal="center" vertical="center"/>
    </xf>
    <xf numFmtId="179" fontId="32" fillId="0" borderId="54" xfId="0" applyNumberFormat="1" applyFont="1" applyFill="1" applyBorder="1" applyAlignment="1">
      <alignment horizontal="center" vertical="center"/>
    </xf>
    <xf numFmtId="179" fontId="32" fillId="0" borderId="1" xfId="0" applyNumberFormat="1" applyFont="1" applyFill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0" fontId="33" fillId="0" borderId="58" xfId="6" applyFont="1" applyBorder="1" applyAlignment="1">
      <alignment horizontal="left" vertical="top" wrapText="1"/>
    </xf>
    <xf numFmtId="2" fontId="34" fillId="0" borderId="1" xfId="0" applyNumberFormat="1" applyFont="1" applyBorder="1" applyAlignment="1">
      <alignment horizontal="center" vertical="center"/>
    </xf>
    <xf numFmtId="2" fontId="27" fillId="0" borderId="0" xfId="0" applyNumberFormat="1" applyFont="1" applyFill="1" applyBorder="1" applyAlignment="1"/>
    <xf numFmtId="2" fontId="32" fillId="0" borderId="54" xfId="0" applyNumberFormat="1" applyFont="1" applyFill="1" applyBorder="1" applyAlignment="1">
      <alignment wrapText="1"/>
    </xf>
    <xf numFmtId="2" fontId="27" fillId="0" borderId="84" xfId="0" applyNumberFormat="1" applyFont="1" applyFill="1" applyBorder="1" applyAlignment="1"/>
    <xf numFmtId="0" fontId="33" fillId="0" borderId="85" xfId="6" applyNumberFormat="1" applyFont="1" applyFill="1" applyBorder="1" applyAlignment="1">
      <alignment horizontal="left" vertical="top" wrapText="1"/>
    </xf>
    <xf numFmtId="2" fontId="27" fillId="0" borderId="54" xfId="0" applyNumberFormat="1" applyFont="1" applyFill="1" applyBorder="1" applyAlignment="1"/>
    <xf numFmtId="2" fontId="32" fillId="0" borderId="30" xfId="0" applyNumberFormat="1" applyFont="1" applyFill="1" applyBorder="1" applyAlignment="1">
      <alignment wrapText="1"/>
    </xf>
    <xf numFmtId="2" fontId="35" fillId="0" borderId="0" xfId="0" applyNumberFormat="1" applyFont="1" applyFill="1" applyBorder="1" applyAlignment="1">
      <alignment horizontal="left" vertical="center" wrapText="1"/>
    </xf>
    <xf numFmtId="2" fontId="27" fillId="0" borderId="3" xfId="0" applyNumberFormat="1" applyFont="1" applyFill="1" applyBorder="1" applyAlignment="1">
      <alignment horizontal="center" vertical="center"/>
    </xf>
    <xf numFmtId="2" fontId="74" fillId="0" borderId="1" xfId="0" applyNumberFormat="1" applyFont="1" applyBorder="1" applyAlignment="1">
      <alignment horizontal="center" vertical="center"/>
    </xf>
    <xf numFmtId="2" fontId="32" fillId="3" borderId="1" xfId="0" applyNumberFormat="1" applyFont="1" applyFill="1" applyBorder="1" applyAlignment="1">
      <alignment horizontal="center" vertical="center"/>
    </xf>
    <xf numFmtId="1" fontId="73" fillId="16" borderId="1" xfId="0" applyNumberFormat="1" applyFont="1" applyFill="1" applyBorder="1" applyAlignment="1">
      <alignment horizontal="center" vertical="center" wrapText="1"/>
    </xf>
    <xf numFmtId="0" fontId="76" fillId="16" borderId="4" xfId="0" applyFont="1" applyFill="1" applyBorder="1" applyAlignment="1">
      <alignment horizontal="left" vertical="center" wrapText="1"/>
    </xf>
    <xf numFmtId="2" fontId="76" fillId="16" borderId="1" xfId="0" applyNumberFormat="1" applyFont="1" applyFill="1" applyBorder="1" applyAlignment="1">
      <alignment horizontal="center" vertical="center" wrapText="1"/>
    </xf>
    <xf numFmtId="0" fontId="35" fillId="3" borderId="0" xfId="6" applyNumberFormat="1" applyFont="1" applyFill="1" applyBorder="1" applyAlignment="1">
      <alignment horizontal="left" vertical="top" wrapText="1"/>
    </xf>
    <xf numFmtId="2" fontId="32" fillId="17" borderId="1" xfId="0" applyNumberFormat="1" applyFont="1" applyFill="1" applyBorder="1" applyAlignment="1">
      <alignment horizontal="center" vertical="center"/>
    </xf>
    <xf numFmtId="0" fontId="75" fillId="0" borderId="58" xfId="6" applyFont="1" applyBorder="1" applyAlignment="1">
      <alignment horizontal="left" vertical="top" wrapText="1"/>
    </xf>
    <xf numFmtId="0" fontId="33" fillId="18" borderId="58" xfId="6" applyFont="1" applyFill="1" applyBorder="1" applyAlignment="1">
      <alignment horizontal="left" vertical="top" wrapText="1"/>
    </xf>
    <xf numFmtId="2" fontId="30" fillId="0" borderId="1" xfId="0" applyNumberFormat="1" applyFont="1" applyFill="1" applyBorder="1" applyAlignment="1">
      <alignment horizontal="left" vertical="center" wrapText="1"/>
    </xf>
    <xf numFmtId="2" fontId="40" fillId="0" borderId="1" xfId="0" applyNumberFormat="1" applyFont="1" applyFill="1" applyBorder="1" applyAlignment="1">
      <alignment horizontal="center" vertical="center"/>
    </xf>
    <xf numFmtId="0" fontId="40" fillId="0" borderId="56" xfId="0" applyFont="1" applyFill="1" applyBorder="1" applyAlignment="1">
      <alignment wrapText="1"/>
    </xf>
    <xf numFmtId="1" fontId="30" fillId="0" borderId="0" xfId="0" applyNumberFormat="1" applyFont="1" applyFill="1"/>
    <xf numFmtId="2" fontId="40" fillId="0" borderId="0" xfId="0" applyNumberFormat="1" applyFont="1" applyFill="1"/>
    <xf numFmtId="0" fontId="40" fillId="0" borderId="0" xfId="0" applyFont="1" applyFill="1"/>
    <xf numFmtId="0" fontId="75" fillId="18" borderId="58" xfId="6" applyFont="1" applyFill="1" applyBorder="1" applyAlignment="1">
      <alignment horizontal="left" vertical="top" wrapText="1"/>
    </xf>
    <xf numFmtId="1" fontId="27" fillId="16" borderId="1" xfId="0" applyNumberFormat="1" applyFont="1" applyFill="1" applyBorder="1" applyAlignment="1">
      <alignment horizontal="center" vertical="center" wrapText="1"/>
    </xf>
    <xf numFmtId="179" fontId="27" fillId="0" borderId="1" xfId="0" applyNumberFormat="1" applyFont="1" applyFill="1" applyBorder="1" applyAlignment="1">
      <alignment horizontal="center" vertical="center" wrapText="1"/>
    </xf>
    <xf numFmtId="2" fontId="27" fillId="0" borderId="5" xfId="0" applyNumberFormat="1" applyFont="1" applyFill="1" applyBorder="1" applyAlignment="1">
      <alignment horizontal="center" vertical="center" wrapText="1"/>
    </xf>
    <xf numFmtId="179" fontId="32" fillId="0" borderId="3" xfId="0" applyNumberFormat="1" applyFont="1" applyFill="1" applyBorder="1" applyAlignment="1">
      <alignment horizontal="center" vertical="center" wrapText="1"/>
    </xf>
    <xf numFmtId="179" fontId="27" fillId="16" borderId="1" xfId="0" applyNumberFormat="1" applyFont="1" applyFill="1" applyBorder="1" applyAlignment="1">
      <alignment horizontal="center" vertical="center"/>
    </xf>
    <xf numFmtId="179" fontId="38" fillId="19" borderId="1" xfId="0" applyNumberFormat="1" applyFont="1" applyFill="1" applyBorder="1" applyAlignment="1">
      <alignment horizontal="center" vertical="center"/>
    </xf>
    <xf numFmtId="179" fontId="32" fillId="0" borderId="1" xfId="0" applyNumberFormat="1" applyFont="1" applyFill="1" applyBorder="1" applyAlignment="1">
      <alignment horizontal="center" vertical="center" wrapText="1"/>
    </xf>
    <xf numFmtId="2" fontId="32" fillId="0" borderId="5" xfId="0" applyNumberFormat="1" applyFont="1" applyFill="1" applyBorder="1" applyAlignment="1">
      <alignment horizontal="center" vertical="center" wrapText="1"/>
    </xf>
    <xf numFmtId="179" fontId="27" fillId="0" borderId="1" xfId="0" applyNumberFormat="1" applyFont="1" applyFill="1" applyBorder="1" applyAlignment="1">
      <alignment horizontal="center" vertical="center"/>
    </xf>
    <xf numFmtId="179" fontId="32" fillId="0" borderId="68" xfId="0" applyNumberFormat="1" applyFont="1" applyFill="1" applyBorder="1" applyAlignment="1">
      <alignment horizontal="center" vertical="center" wrapText="1"/>
    </xf>
    <xf numFmtId="2" fontId="32" fillId="0" borderId="86" xfId="0" applyNumberFormat="1" applyFont="1" applyFill="1" applyBorder="1" applyAlignment="1">
      <alignment horizontal="center" vertical="center" wrapText="1"/>
    </xf>
    <xf numFmtId="1" fontId="30" fillId="0" borderId="1" xfId="0" applyNumberFormat="1" applyFont="1" applyFill="1" applyBorder="1" applyAlignment="1">
      <alignment horizontal="center" vertical="center"/>
    </xf>
    <xf numFmtId="179" fontId="30" fillId="0" borderId="1" xfId="0" applyNumberFormat="1" applyFont="1" applyFill="1" applyBorder="1" applyAlignment="1">
      <alignment horizontal="center" vertical="center"/>
    </xf>
    <xf numFmtId="2" fontId="32" fillId="0" borderId="70" xfId="0" applyNumberFormat="1" applyFont="1" applyFill="1" applyBorder="1" applyAlignment="1">
      <alignment horizontal="center" vertical="center" wrapText="1"/>
    </xf>
    <xf numFmtId="179" fontId="32" fillId="0" borderId="3" xfId="0" applyNumberFormat="1" applyFont="1" applyFill="1" applyBorder="1" applyAlignment="1">
      <alignment horizontal="center" vertical="center"/>
    </xf>
    <xf numFmtId="179" fontId="77" fillId="0" borderId="1" xfId="0" applyNumberFormat="1" applyFont="1" applyFill="1" applyBorder="1" applyAlignment="1">
      <alignment horizontal="center" vertical="center"/>
    </xf>
    <xf numFmtId="179" fontId="27" fillId="0" borderId="0" xfId="0" applyNumberFormat="1" applyFont="1" applyFill="1" applyBorder="1" applyAlignment="1">
      <alignment horizontal="center" vertical="center"/>
    </xf>
    <xf numFmtId="179" fontId="27" fillId="0" borderId="3" xfId="0" applyNumberFormat="1" applyFont="1" applyFill="1" applyBorder="1" applyAlignment="1">
      <alignment horizontal="center" vertical="center" wrapText="1"/>
    </xf>
    <xf numFmtId="179" fontId="27" fillId="0" borderId="7" xfId="0" applyNumberFormat="1" applyFont="1" applyFill="1" applyBorder="1" applyAlignment="1">
      <alignment horizontal="center" vertical="center"/>
    </xf>
    <xf numFmtId="179" fontId="27" fillId="0" borderId="54" xfId="0" applyNumberFormat="1" applyFont="1" applyFill="1" applyBorder="1" applyAlignment="1">
      <alignment horizontal="center" vertical="center"/>
    </xf>
    <xf numFmtId="179" fontId="30" fillId="0" borderId="0" xfId="0" applyNumberFormat="1" applyFont="1" applyFill="1" applyBorder="1" applyAlignment="1">
      <alignment horizontal="center" vertical="center"/>
    </xf>
    <xf numFmtId="179" fontId="32" fillId="0" borderId="75" xfId="0" applyNumberFormat="1" applyFont="1" applyFill="1" applyBorder="1" applyAlignment="1">
      <alignment horizontal="center" vertical="center"/>
    </xf>
    <xf numFmtId="179" fontId="27" fillId="0" borderId="3" xfId="0" applyNumberFormat="1" applyFont="1" applyFill="1" applyBorder="1" applyAlignment="1">
      <alignment horizontal="center" vertical="center"/>
    </xf>
    <xf numFmtId="179" fontId="27" fillId="3" borderId="1" xfId="0" applyNumberFormat="1" applyFont="1" applyFill="1" applyBorder="1" applyAlignment="1">
      <alignment horizontal="center" vertical="center"/>
    </xf>
    <xf numFmtId="1" fontId="32" fillId="0" borderId="0" xfId="0" applyNumberFormat="1" applyFont="1" applyFill="1" applyAlignment="1">
      <alignment horizontal="center" vertical="center"/>
    </xf>
    <xf numFmtId="179" fontId="32" fillId="0" borderId="0" xfId="0" applyNumberFormat="1" applyFont="1" applyFill="1" applyAlignment="1">
      <alignment horizontal="center" vertical="center"/>
    </xf>
    <xf numFmtId="2" fontId="32" fillId="0" borderId="0" xfId="0" applyNumberFormat="1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" fontId="32" fillId="0" borderId="0" xfId="0" applyNumberFormat="1" applyFont="1" applyFill="1" applyAlignment="1">
      <alignment horizontal="center" vertical="center" wrapText="1"/>
    </xf>
    <xf numFmtId="179" fontId="32" fillId="0" borderId="0" xfId="0" applyNumberFormat="1" applyFont="1" applyFill="1" applyAlignment="1">
      <alignment horizontal="center" vertical="center" wrapText="1"/>
    </xf>
    <xf numFmtId="2" fontId="32" fillId="0" borderId="0" xfId="0" applyNumberFormat="1" applyFont="1" applyFill="1" applyAlignment="1">
      <alignment horizontal="center" vertical="center" wrapText="1"/>
    </xf>
    <xf numFmtId="0" fontId="32" fillId="0" borderId="0" xfId="0" applyFont="1" applyFill="1" applyAlignment="1">
      <alignment horizontal="center" vertical="center" wrapText="1"/>
    </xf>
    <xf numFmtId="1" fontId="32" fillId="0" borderId="0" xfId="0" applyNumberFormat="1" applyFont="1" applyFill="1" applyBorder="1" applyAlignment="1">
      <alignment horizontal="center" vertical="center" wrapText="1"/>
    </xf>
    <xf numFmtId="179" fontId="32" fillId="0" borderId="0" xfId="0" applyNumberFormat="1" applyFont="1" applyFill="1" applyBorder="1" applyAlignment="1">
      <alignment horizontal="center" vertical="center" wrapText="1"/>
    </xf>
    <xf numFmtId="2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1" fontId="34" fillId="0" borderId="1" xfId="0" applyNumberFormat="1" applyFont="1" applyBorder="1" applyAlignment="1">
      <alignment horizontal="center" vertical="center"/>
    </xf>
    <xf numFmtId="179" fontId="34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2" fontId="32" fillId="0" borderId="5" xfId="0" applyNumberFormat="1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center"/>
    </xf>
    <xf numFmtId="1" fontId="74" fillId="0" borderId="1" xfId="0" applyNumberFormat="1" applyFont="1" applyBorder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79" fontId="34" fillId="0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/>
    </xf>
    <xf numFmtId="2" fontId="77" fillId="0" borderId="1" xfId="0" applyNumberFormat="1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2" fontId="27" fillId="0" borderId="5" xfId="0" applyNumberFormat="1" applyFont="1" applyFill="1" applyBorder="1" applyAlignment="1">
      <alignment horizontal="center" vertical="center"/>
    </xf>
    <xf numFmtId="1" fontId="32" fillId="0" borderId="3" xfId="0" applyNumberFormat="1" applyFont="1" applyBorder="1" applyAlignment="1">
      <alignment horizontal="center" vertical="center"/>
    </xf>
    <xf numFmtId="1" fontId="32" fillId="16" borderId="1" xfId="0" applyNumberFormat="1" applyFont="1" applyFill="1" applyBorder="1" applyAlignment="1">
      <alignment horizontal="center" vertical="center"/>
    </xf>
    <xf numFmtId="1" fontId="37" fillId="19" borderId="1" xfId="0" applyNumberFormat="1" applyFont="1" applyFill="1" applyBorder="1" applyAlignment="1">
      <alignment horizontal="center" vertical="center"/>
    </xf>
    <xf numFmtId="2" fontId="30" fillId="0" borderId="1" xfId="0" applyNumberFormat="1" applyFont="1" applyFill="1" applyBorder="1" applyAlignment="1">
      <alignment horizontal="center" vertical="center"/>
    </xf>
    <xf numFmtId="179" fontId="32" fillId="0" borderId="1" xfId="0" applyNumberFormat="1" applyFont="1" applyBorder="1" applyAlignment="1">
      <alignment horizontal="center" vertical="center"/>
    </xf>
    <xf numFmtId="2" fontId="74" fillId="0" borderId="1" xfId="0" applyNumberFormat="1" applyFont="1" applyFill="1" applyBorder="1" applyAlignment="1">
      <alignment horizontal="center" vertical="center"/>
    </xf>
    <xf numFmtId="1" fontId="27" fillId="0" borderId="2" xfId="0" applyNumberFormat="1" applyFont="1" applyFill="1" applyBorder="1" applyAlignment="1">
      <alignment horizontal="center" vertical="center"/>
    </xf>
    <xf numFmtId="1" fontId="32" fillId="4" borderId="1" xfId="0" applyNumberFormat="1" applyFont="1" applyFill="1" applyBorder="1" applyAlignment="1">
      <alignment horizontal="center" vertical="center"/>
    </xf>
    <xf numFmtId="1" fontId="27" fillId="4" borderId="1" xfId="0" applyNumberFormat="1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0" fontId="32" fillId="4" borderId="1" xfId="0" applyNumberFormat="1" applyFont="1" applyFill="1" applyBorder="1" applyAlignment="1">
      <alignment horizontal="center" vertical="center"/>
    </xf>
    <xf numFmtId="2" fontId="32" fillId="8" borderId="1" xfId="0" applyNumberFormat="1" applyFont="1" applyFill="1" applyBorder="1" applyAlignment="1">
      <alignment horizontal="center" vertical="center"/>
    </xf>
    <xf numFmtId="1" fontId="32" fillId="0" borderId="12" xfId="0" applyNumberFormat="1" applyFont="1" applyFill="1" applyBorder="1" applyAlignment="1">
      <alignment horizontal="center" vertical="center"/>
    </xf>
    <xf numFmtId="0" fontId="32" fillId="0" borderId="12" xfId="0" applyNumberFormat="1" applyFont="1" applyFill="1" applyBorder="1" applyAlignment="1">
      <alignment horizontal="center" vertical="center"/>
    </xf>
    <xf numFmtId="2" fontId="32" fillId="0" borderId="12" xfId="0" applyNumberFormat="1" applyFont="1" applyFill="1" applyBorder="1" applyAlignment="1">
      <alignment horizontal="center" vertical="center"/>
    </xf>
    <xf numFmtId="1" fontId="32" fillId="4" borderId="12" xfId="0" applyNumberFormat="1" applyFont="1" applyFill="1" applyBorder="1" applyAlignment="1">
      <alignment horizontal="center" vertical="center"/>
    </xf>
    <xf numFmtId="0" fontId="27" fillId="4" borderId="1" xfId="0" applyNumberFormat="1" applyFont="1" applyFill="1" applyBorder="1" applyAlignment="1">
      <alignment horizontal="center" vertical="center"/>
    </xf>
    <xf numFmtId="1" fontId="27" fillId="4" borderId="12" xfId="0" applyNumberFormat="1" applyFont="1" applyFill="1" applyBorder="1" applyAlignment="1">
      <alignment horizontal="center" vertical="center"/>
    </xf>
    <xf numFmtId="1" fontId="27" fillId="0" borderId="3" xfId="0" applyNumberFormat="1" applyFont="1" applyFill="1" applyBorder="1" applyAlignment="1">
      <alignment horizontal="center" vertical="center"/>
    </xf>
    <xf numFmtId="2" fontId="32" fillId="0" borderId="5" xfId="0" applyNumberFormat="1" applyFont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84" xfId="0" applyNumberFormat="1" applyFont="1" applyFill="1" applyBorder="1" applyAlignment="1">
      <alignment horizontal="center" vertical="center"/>
    </xf>
    <xf numFmtId="1" fontId="32" fillId="0" borderId="4" xfId="0" applyNumberFormat="1" applyFont="1" applyFill="1" applyBorder="1" applyAlignment="1">
      <alignment horizontal="center" vertical="center"/>
    </xf>
    <xf numFmtId="2" fontId="32" fillId="0" borderId="4" xfId="0" applyNumberFormat="1" applyFont="1" applyFill="1" applyBorder="1" applyAlignment="1">
      <alignment horizontal="center" vertical="center"/>
    </xf>
    <xf numFmtId="2" fontId="32" fillId="0" borderId="70" xfId="0" applyNumberFormat="1" applyFont="1" applyFill="1" applyBorder="1" applyAlignment="1">
      <alignment horizontal="center" vertical="center"/>
    </xf>
    <xf numFmtId="0" fontId="33" fillId="0" borderId="58" xfId="6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1" fontId="32" fillId="3" borderId="1" xfId="0" applyNumberFormat="1" applyFont="1" applyFill="1" applyBorder="1" applyAlignment="1">
      <alignment horizontal="center" vertical="center"/>
    </xf>
    <xf numFmtId="0" fontId="32" fillId="4" borderId="12" xfId="0" applyNumberFormat="1" applyFont="1" applyFill="1" applyBorder="1" applyAlignment="1">
      <alignment horizontal="center" vertical="center"/>
    </xf>
    <xf numFmtId="2" fontId="32" fillId="8" borderId="12" xfId="0" applyNumberFormat="1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/>
    </xf>
    <xf numFmtId="1" fontId="32" fillId="0" borderId="0" xfId="0" applyNumberFormat="1" applyFont="1" applyFill="1" applyBorder="1" applyAlignment="1">
      <alignment horizontal="center" vertical="center"/>
    </xf>
    <xf numFmtId="179" fontId="32" fillId="0" borderId="0" xfId="0" applyNumberFormat="1" applyFont="1" applyFill="1" applyBorder="1" applyAlignment="1">
      <alignment horizontal="center" vertical="center"/>
    </xf>
    <xf numFmtId="1" fontId="33" fillId="0" borderId="10" xfId="0" applyNumberFormat="1" applyFont="1" applyFill="1" applyBorder="1" applyAlignment="1">
      <alignment horizontal="center" vertical="center"/>
    </xf>
    <xf numFmtId="1" fontId="33" fillId="0" borderId="12" xfId="0" applyNumberFormat="1" applyFont="1" applyFill="1" applyBorder="1" applyAlignment="1">
      <alignment horizontal="center" vertical="center"/>
    </xf>
    <xf numFmtId="179" fontId="35" fillId="0" borderId="12" xfId="0" applyNumberFormat="1" applyFont="1" applyFill="1" applyBorder="1" applyAlignment="1">
      <alignment horizontal="center" vertical="center"/>
    </xf>
    <xf numFmtId="2" fontId="33" fillId="0" borderId="12" xfId="0" applyNumberFormat="1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1" fontId="33" fillId="0" borderId="0" xfId="0" applyNumberFormat="1" applyFont="1" applyFill="1" applyBorder="1" applyAlignment="1">
      <alignment horizontal="center" vertical="center"/>
    </xf>
    <xf numFmtId="179" fontId="35" fillId="0" borderId="0" xfId="0" applyNumberFormat="1" applyFont="1" applyFill="1" applyBorder="1" applyAlignment="1">
      <alignment horizontal="center" vertical="center"/>
    </xf>
    <xf numFmtId="2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1" fontId="32" fillId="0" borderId="54" xfId="0" applyNumberFormat="1" applyFont="1" applyFill="1" applyBorder="1" applyAlignment="1">
      <alignment horizontal="center" vertical="center"/>
    </xf>
    <xf numFmtId="0" fontId="32" fillId="0" borderId="54" xfId="0" applyNumberFormat="1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33" fillId="0" borderId="58" xfId="6" applyNumberFormat="1" applyFont="1" applyFill="1" applyBorder="1" applyAlignment="1">
      <alignment horizontal="center" vertical="center" wrapText="1"/>
    </xf>
    <xf numFmtId="1" fontId="33" fillId="0" borderId="62" xfId="6" applyNumberFormat="1" applyFont="1" applyFill="1" applyBorder="1" applyAlignment="1">
      <alignment horizontal="center" vertical="center" wrapText="1"/>
    </xf>
    <xf numFmtId="1" fontId="33" fillId="0" borderId="54" xfId="6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/>
    </xf>
    <xf numFmtId="1" fontId="27" fillId="0" borderId="0" xfId="0" applyNumberFormat="1" applyFont="1" applyFill="1" applyBorder="1" applyAlignment="1">
      <alignment horizontal="center" vertical="center"/>
    </xf>
    <xf numFmtId="1" fontId="32" fillId="0" borderId="57" xfId="0" applyNumberFormat="1" applyFont="1" applyFill="1" applyBorder="1" applyAlignment="1">
      <alignment horizontal="center" vertical="center"/>
    </xf>
    <xf numFmtId="1" fontId="33" fillId="0" borderId="85" xfId="6" applyNumberFormat="1" applyFont="1" applyFill="1" applyBorder="1" applyAlignment="1">
      <alignment horizontal="center" vertical="center" wrapText="1"/>
    </xf>
    <xf numFmtId="1" fontId="33" fillId="0" borderId="60" xfId="7" applyNumberFormat="1" applyFont="1" applyFill="1" applyBorder="1" applyAlignment="1">
      <alignment horizontal="center" vertical="center" wrapText="1"/>
    </xf>
    <xf numFmtId="1" fontId="33" fillId="0" borderId="61" xfId="7" applyNumberFormat="1" applyFont="1" applyFill="1" applyBorder="1" applyAlignment="1">
      <alignment horizontal="center" vertical="center" wrapText="1"/>
    </xf>
    <xf numFmtId="1" fontId="33" fillId="0" borderId="54" xfId="7" applyNumberFormat="1" applyFont="1" applyFill="1" applyBorder="1" applyAlignment="1">
      <alignment horizontal="center" vertical="center" wrapText="1"/>
    </xf>
    <xf numFmtId="1" fontId="27" fillId="0" borderId="7" xfId="0" applyNumberFormat="1" applyFont="1" applyFill="1" applyBorder="1" applyAlignment="1">
      <alignment horizontal="center" vertical="center"/>
    </xf>
    <xf numFmtId="1" fontId="27" fillId="0" borderId="54" xfId="0" applyNumberFormat="1" applyFont="1" applyFill="1" applyBorder="1" applyAlignment="1">
      <alignment horizontal="center" vertical="center"/>
    </xf>
    <xf numFmtId="1" fontId="32" fillId="0" borderId="75" xfId="0" applyNumberFormat="1" applyFont="1" applyFill="1" applyBorder="1" applyAlignment="1">
      <alignment horizontal="center" vertical="center"/>
    </xf>
    <xf numFmtId="1" fontId="33" fillId="0" borderId="0" xfId="6" applyNumberFormat="1" applyFont="1" applyFill="1" applyBorder="1" applyAlignment="1">
      <alignment horizontal="center" vertical="center" wrapText="1"/>
    </xf>
    <xf numFmtId="1" fontId="32" fillId="0" borderId="8" xfId="0" applyNumberFormat="1" applyFont="1" applyFill="1" applyBorder="1" applyAlignment="1">
      <alignment horizontal="center" vertical="center"/>
    </xf>
    <xf numFmtId="1" fontId="33" fillId="0" borderId="87" xfId="6" applyNumberFormat="1" applyFont="1" applyFill="1" applyBorder="1" applyAlignment="1">
      <alignment horizontal="center" vertical="center" wrapText="1"/>
    </xf>
    <xf numFmtId="1" fontId="33" fillId="0" borderId="54" xfId="5" applyNumberFormat="1" applyFont="1" applyFill="1" applyBorder="1" applyAlignment="1">
      <alignment horizontal="center" vertical="center" wrapText="1"/>
    </xf>
    <xf numFmtId="2" fontId="33" fillId="0" borderId="54" xfId="5" applyNumberFormat="1" applyFont="1" applyFill="1" applyBorder="1" applyAlignment="1">
      <alignment horizontal="center" vertical="center" wrapText="1"/>
    </xf>
    <xf numFmtId="0" fontId="33" fillId="0" borderId="54" xfId="5" applyNumberFormat="1" applyFont="1" applyFill="1" applyBorder="1" applyAlignment="1">
      <alignment horizontal="center" vertical="center" wrapText="1"/>
    </xf>
    <xf numFmtId="0" fontId="33" fillId="0" borderId="60" xfId="5" applyNumberFormat="1" applyFont="1" applyFill="1" applyBorder="1" applyAlignment="1">
      <alignment horizontal="center" vertical="center" wrapText="1"/>
    </xf>
    <xf numFmtId="0" fontId="33" fillId="0" borderId="79" xfId="5" applyNumberFormat="1" applyFont="1" applyFill="1" applyBorder="1" applyAlignment="1">
      <alignment horizontal="center" vertical="center" wrapText="1"/>
    </xf>
    <xf numFmtId="1" fontId="40" fillId="0" borderId="1" xfId="0" applyNumberFormat="1" applyFont="1" applyFill="1" applyBorder="1" applyAlignment="1">
      <alignment horizontal="center" vertical="center"/>
    </xf>
    <xf numFmtId="2" fontId="40" fillId="0" borderId="5" xfId="0" applyNumberFormat="1" applyFont="1" applyFill="1" applyBorder="1" applyAlignment="1">
      <alignment horizontal="center" vertical="center"/>
    </xf>
    <xf numFmtId="1" fontId="27" fillId="0" borderId="57" xfId="0" applyNumberFormat="1" applyFont="1" applyFill="1" applyBorder="1" applyAlignment="1">
      <alignment horizontal="center" vertical="center"/>
    </xf>
    <xf numFmtId="179" fontId="27" fillId="0" borderId="57" xfId="0" applyNumberFormat="1" applyFont="1" applyFill="1" applyBorder="1" applyAlignment="1">
      <alignment horizontal="center" vertical="center"/>
    </xf>
    <xf numFmtId="2" fontId="27" fillId="0" borderId="57" xfId="0" applyNumberFormat="1" applyFont="1" applyFill="1" applyBorder="1" applyAlignment="1">
      <alignment horizontal="center" vertical="center"/>
    </xf>
    <xf numFmtId="2" fontId="27" fillId="0" borderId="54" xfId="0" applyNumberFormat="1" applyFont="1" applyFill="1" applyBorder="1" applyAlignment="1">
      <alignment horizontal="center" vertical="center"/>
    </xf>
    <xf numFmtId="1" fontId="33" fillId="0" borderId="74" xfId="5" applyNumberFormat="1" applyFont="1" applyFill="1" applyBorder="1" applyAlignment="1">
      <alignment horizontal="center" vertical="center" wrapText="1"/>
    </xf>
    <xf numFmtId="179" fontId="32" fillId="0" borderId="74" xfId="0" applyNumberFormat="1" applyFont="1" applyFill="1" applyBorder="1" applyAlignment="1">
      <alignment horizontal="center" vertical="center"/>
    </xf>
    <xf numFmtId="2" fontId="33" fillId="0" borderId="74" xfId="5" applyNumberFormat="1" applyFont="1" applyFill="1" applyBorder="1" applyAlignment="1">
      <alignment horizontal="center" vertical="center" wrapText="1"/>
    </xf>
    <xf numFmtId="0" fontId="33" fillId="0" borderId="74" xfId="5" applyNumberFormat="1" applyFont="1" applyFill="1" applyBorder="1" applyAlignment="1">
      <alignment horizontal="center" vertical="center" wrapText="1"/>
    </xf>
    <xf numFmtId="1" fontId="32" fillId="0" borderId="74" xfId="0" applyNumberFormat="1" applyFont="1" applyFill="1" applyBorder="1" applyAlignment="1">
      <alignment horizontal="center" vertical="center"/>
    </xf>
    <xf numFmtId="2" fontId="27" fillId="0" borderId="74" xfId="0" applyNumberFormat="1" applyFont="1" applyFill="1" applyBorder="1" applyAlignment="1">
      <alignment horizontal="center" vertical="center"/>
    </xf>
    <xf numFmtId="1" fontId="32" fillId="0" borderId="5" xfId="0" applyNumberFormat="1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179" fontId="32" fillId="0" borderId="2" xfId="0" applyNumberFormat="1" applyFont="1" applyFill="1" applyBorder="1" applyAlignment="1">
      <alignment horizontal="center" vertical="center"/>
    </xf>
    <xf numFmtId="179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1" fontId="33" fillId="0" borderId="0" xfId="0" applyNumberFormat="1" applyFont="1" applyFill="1" applyAlignment="1">
      <alignment horizontal="center" vertical="center"/>
    </xf>
    <xf numFmtId="1" fontId="32" fillId="0" borderId="1" xfId="0" applyNumberFormat="1" applyFont="1" applyBorder="1" applyAlignment="1">
      <alignment horizontal="right"/>
    </xf>
    <xf numFmtId="2" fontId="32" fillId="4" borderId="1" xfId="0" applyNumberFormat="1" applyFont="1" applyFill="1" applyBorder="1" applyAlignment="1">
      <alignment horizontal="right"/>
    </xf>
    <xf numFmtId="1" fontId="27" fillId="4" borderId="1" xfId="0" applyNumberFormat="1" applyFont="1" applyFill="1" applyBorder="1"/>
    <xf numFmtId="2" fontId="27" fillId="4" borderId="1" xfId="0" applyNumberFormat="1" applyFont="1" applyFill="1" applyBorder="1"/>
    <xf numFmtId="2" fontId="32" fillId="4" borderId="1" xfId="0" applyNumberFormat="1" applyFont="1" applyFill="1" applyBorder="1"/>
    <xf numFmtId="2" fontId="32" fillId="0" borderId="1" xfId="0" applyNumberFormat="1" applyFont="1" applyBorder="1"/>
    <xf numFmtId="0" fontId="75" fillId="18" borderId="58" xfId="6" applyNumberFormat="1" applyFont="1" applyFill="1" applyBorder="1" applyAlignment="1">
      <alignment horizontal="left" vertical="top" wrapText="1"/>
    </xf>
    <xf numFmtId="0" fontId="33" fillId="18" borderId="58" xfId="6" applyNumberFormat="1" applyFont="1" applyFill="1" applyBorder="1" applyAlignment="1">
      <alignment horizontal="left" vertical="top" wrapText="1"/>
    </xf>
    <xf numFmtId="0" fontId="33" fillId="20" borderId="58" xfId="6" applyNumberFormat="1" applyFont="1" applyFill="1" applyBorder="1" applyAlignment="1">
      <alignment horizontal="left" vertical="top" wrapText="1"/>
    </xf>
    <xf numFmtId="0" fontId="75" fillId="20" borderId="58" xfId="6" applyNumberFormat="1" applyFont="1" applyFill="1" applyBorder="1" applyAlignment="1">
      <alignment horizontal="left" vertical="top" wrapText="1"/>
    </xf>
    <xf numFmtId="2" fontId="32" fillId="20" borderId="2" xfId="0" applyNumberFormat="1" applyFont="1" applyFill="1" applyBorder="1" applyAlignment="1">
      <alignment horizontal="left" vertical="center" wrapText="1"/>
    </xf>
    <xf numFmtId="179" fontId="32" fillId="0" borderId="12" xfId="0" applyNumberFormat="1" applyFont="1" applyFill="1" applyBorder="1" applyAlignment="1">
      <alignment horizontal="center" vertical="center"/>
    </xf>
    <xf numFmtId="1" fontId="75" fillId="0" borderId="58" xfId="6" applyNumberFormat="1" applyFont="1" applyFill="1" applyBorder="1" applyAlignment="1">
      <alignment horizontal="center" vertical="center" wrapText="1"/>
    </xf>
    <xf numFmtId="1" fontId="74" fillId="0" borderId="1" xfId="0" applyNumberFormat="1" applyFont="1" applyFill="1" applyBorder="1" applyAlignment="1">
      <alignment horizontal="center" vertical="center"/>
    </xf>
    <xf numFmtId="179" fontId="32" fillId="3" borderId="1" xfId="0" applyNumberFormat="1" applyFont="1" applyFill="1" applyBorder="1" applyAlignment="1">
      <alignment horizontal="center" vertical="center"/>
    </xf>
    <xf numFmtId="2" fontId="73" fillId="3" borderId="1" xfId="0" applyNumberFormat="1" applyFont="1" applyFill="1" applyBorder="1" applyAlignment="1"/>
    <xf numFmtId="2" fontId="30" fillId="3" borderId="3" xfId="0" applyNumberFormat="1" applyFont="1" applyFill="1" applyBorder="1" applyAlignment="1">
      <alignment horizontal="left" vertical="center" wrapText="1"/>
    </xf>
    <xf numFmtId="0" fontId="74" fillId="0" borderId="0" xfId="0" applyFont="1" applyFill="1"/>
    <xf numFmtId="0" fontId="43" fillId="3" borderId="88" xfId="0" applyFont="1" applyFill="1" applyBorder="1" applyAlignment="1">
      <alignment wrapText="1"/>
    </xf>
    <xf numFmtId="0" fontId="32" fillId="3" borderId="56" xfId="0" applyFont="1" applyFill="1" applyBorder="1" applyAlignment="1">
      <alignment wrapText="1"/>
    </xf>
    <xf numFmtId="0" fontId="74" fillId="3" borderId="2" xfId="0" applyFont="1" applyFill="1" applyBorder="1" applyAlignment="1">
      <alignment wrapText="1"/>
    </xf>
    <xf numFmtId="0" fontId="27" fillId="3" borderId="56" xfId="0" applyFont="1" applyFill="1" applyBorder="1" applyAlignment="1">
      <alignment wrapText="1"/>
    </xf>
    <xf numFmtId="0" fontId="74" fillId="3" borderId="56" xfId="0" applyFont="1" applyFill="1" applyBorder="1" applyAlignment="1">
      <alignment wrapText="1"/>
    </xf>
    <xf numFmtId="2" fontId="74" fillId="4" borderId="1" xfId="0" applyNumberFormat="1" applyFont="1" applyFill="1" applyBorder="1" applyAlignment="1">
      <alignment horizontal="center" vertical="center"/>
    </xf>
    <xf numFmtId="2" fontId="74" fillId="0" borderId="5" xfId="0" applyNumberFormat="1" applyFont="1" applyFill="1" applyBorder="1" applyAlignment="1">
      <alignment horizontal="center" vertical="center"/>
    </xf>
    <xf numFmtId="0" fontId="73" fillId="4" borderId="1" xfId="0" applyNumberFormat="1" applyFont="1" applyFill="1" applyBorder="1" applyAlignment="1">
      <alignment horizontal="center" vertical="center"/>
    </xf>
    <xf numFmtId="179" fontId="73" fillId="4" borderId="1" xfId="0" applyNumberFormat="1" applyFont="1" applyFill="1" applyBorder="1" applyAlignment="1">
      <alignment horizontal="center" vertical="center"/>
    </xf>
    <xf numFmtId="2" fontId="73" fillId="4" borderId="1" xfId="0" applyNumberFormat="1" applyFont="1" applyFill="1" applyBorder="1" applyAlignment="1">
      <alignment horizontal="center" vertical="center"/>
    </xf>
    <xf numFmtId="1" fontId="73" fillId="4" borderId="12" xfId="0" applyNumberFormat="1" applyFont="1" applyFill="1" applyBorder="1" applyAlignment="1">
      <alignment horizontal="center" vertical="center"/>
    </xf>
    <xf numFmtId="2" fontId="74" fillId="4" borderId="12" xfId="0" applyNumberFormat="1" applyFont="1" applyFill="1" applyBorder="1" applyAlignment="1">
      <alignment horizontal="center" vertical="center"/>
    </xf>
    <xf numFmtId="1" fontId="74" fillId="4" borderId="12" xfId="0" applyNumberFormat="1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wrapText="1"/>
    </xf>
    <xf numFmtId="0" fontId="74" fillId="0" borderId="8" xfId="0" applyFont="1" applyFill="1" applyBorder="1" applyAlignment="1">
      <alignment wrapText="1"/>
    </xf>
    <xf numFmtId="0" fontId="74" fillId="0" borderId="65" xfId="0" applyFont="1" applyFill="1" applyBorder="1" applyAlignment="1">
      <alignment wrapText="1"/>
    </xf>
    <xf numFmtId="0" fontId="74" fillId="0" borderId="12" xfId="0" applyFont="1" applyFill="1" applyBorder="1" applyAlignment="1">
      <alignment wrapText="1"/>
    </xf>
    <xf numFmtId="0" fontId="74" fillId="0" borderId="25" xfId="0" applyFont="1" applyFill="1" applyBorder="1" applyAlignment="1">
      <alignment wrapText="1"/>
    </xf>
    <xf numFmtId="0" fontId="32" fillId="0" borderId="65" xfId="0" applyFont="1" applyFill="1" applyBorder="1" applyAlignment="1">
      <alignment wrapText="1"/>
    </xf>
    <xf numFmtId="0" fontId="32" fillId="0" borderId="12" xfId="0" applyFont="1" applyFill="1" applyBorder="1" applyAlignment="1">
      <alignment wrapText="1"/>
    </xf>
    <xf numFmtId="0" fontId="74" fillId="3" borderId="12" xfId="0" applyFont="1" applyFill="1" applyBorder="1" applyAlignment="1">
      <alignment wrapText="1"/>
    </xf>
    <xf numFmtId="0" fontId="74" fillId="0" borderId="89" xfId="0" applyFont="1" applyFill="1" applyBorder="1" applyAlignment="1">
      <alignment wrapText="1"/>
    </xf>
    <xf numFmtId="0" fontId="74" fillId="0" borderId="90" xfId="0" applyFont="1" applyFill="1" applyBorder="1" applyAlignment="1">
      <alignment wrapText="1"/>
    </xf>
    <xf numFmtId="0" fontId="32" fillId="0" borderId="89" xfId="0" applyFont="1" applyFill="1" applyBorder="1" applyAlignment="1">
      <alignment wrapText="1"/>
    </xf>
    <xf numFmtId="0" fontId="74" fillId="0" borderId="91" xfId="0" applyFont="1" applyFill="1" applyBorder="1" applyAlignment="1">
      <alignment wrapText="1"/>
    </xf>
    <xf numFmtId="0" fontId="32" fillId="0" borderId="91" xfId="0" applyFont="1" applyFill="1" applyBorder="1" applyAlignment="1">
      <alignment wrapText="1"/>
    </xf>
    <xf numFmtId="2" fontId="74" fillId="0" borderId="1" xfId="0" applyNumberFormat="1" applyFont="1" applyFill="1" applyBorder="1" applyAlignment="1">
      <alignment horizontal="left" vertical="center"/>
    </xf>
    <xf numFmtId="0" fontId="74" fillId="3" borderId="8" xfId="0" applyFont="1" applyFill="1" applyBorder="1" applyAlignment="1">
      <alignment wrapText="1"/>
    </xf>
    <xf numFmtId="0" fontId="33" fillId="20" borderId="62" xfId="6" applyNumberFormat="1" applyFont="1" applyFill="1" applyBorder="1" applyAlignment="1">
      <alignment horizontal="left" vertical="top" wrapText="1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2" fontId="32" fillId="0" borderId="1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43" fillId="3" borderId="92" xfId="0" applyFont="1" applyFill="1" applyBorder="1" applyAlignment="1">
      <alignment horizontal="left" wrapText="1"/>
    </xf>
    <xf numFmtId="2" fontId="32" fillId="0" borderId="3" xfId="0" applyNumberFormat="1" applyFont="1" applyFill="1" applyBorder="1" applyAlignment="1">
      <alignment horizontal="left" vertical="center"/>
    </xf>
    <xf numFmtId="2" fontId="27" fillId="0" borderId="1" xfId="0" applyNumberFormat="1" applyFont="1" applyFill="1" applyBorder="1" applyAlignment="1">
      <alignment horizontal="left" vertical="center"/>
    </xf>
    <xf numFmtId="2" fontId="34" fillId="0" borderId="1" xfId="0" applyNumberFormat="1" applyFont="1" applyFill="1" applyBorder="1" applyAlignment="1">
      <alignment horizontal="left" vertical="center"/>
    </xf>
    <xf numFmtId="2" fontId="32" fillId="0" borderId="3" xfId="0" applyNumberFormat="1" applyFont="1" applyBorder="1" applyAlignment="1">
      <alignment horizontal="left" vertical="center"/>
    </xf>
    <xf numFmtId="49" fontId="32" fillId="0" borderId="1" xfId="0" applyNumberFormat="1" applyFont="1" applyFill="1" applyBorder="1" applyAlignment="1">
      <alignment horizontal="left" vertical="center"/>
    </xf>
    <xf numFmtId="49" fontId="32" fillId="0" borderId="12" xfId="0" applyNumberFormat="1" applyFont="1" applyFill="1" applyBorder="1" applyAlignment="1">
      <alignment horizontal="left" vertical="center"/>
    </xf>
    <xf numFmtId="2" fontId="27" fillId="0" borderId="3" xfId="0" applyNumberFormat="1" applyFont="1" applyFill="1" applyBorder="1" applyAlignment="1">
      <alignment horizontal="left" vertical="center"/>
    </xf>
    <xf numFmtId="2" fontId="32" fillId="0" borderId="1" xfId="0" applyNumberFormat="1" applyFont="1" applyBorder="1" applyAlignment="1">
      <alignment horizontal="left" vertical="center"/>
    </xf>
    <xf numFmtId="2" fontId="32" fillId="0" borderId="7" xfId="0" applyNumberFormat="1" applyFont="1" applyFill="1" applyBorder="1" applyAlignment="1">
      <alignment horizontal="left" vertical="center"/>
    </xf>
    <xf numFmtId="2" fontId="32" fillId="0" borderId="68" xfId="0" applyNumberFormat="1" applyFont="1" applyFill="1" applyBorder="1" applyAlignment="1">
      <alignment horizontal="left" vertical="center" wrapText="1"/>
    </xf>
    <xf numFmtId="2" fontId="32" fillId="0" borderId="4" xfId="0" applyNumberFormat="1" applyFont="1" applyFill="1" applyBorder="1" applyAlignment="1">
      <alignment horizontal="left" vertical="center"/>
    </xf>
    <xf numFmtId="0" fontId="33" fillId="0" borderId="58" xfId="6" applyNumberFormat="1" applyFont="1" applyFill="1" applyBorder="1" applyAlignment="1">
      <alignment horizontal="left" vertical="center" wrapText="1"/>
    </xf>
    <xf numFmtId="49" fontId="27" fillId="0" borderId="1" xfId="0" applyNumberFormat="1" applyFont="1" applyFill="1" applyBorder="1" applyAlignment="1">
      <alignment horizontal="left" vertical="center"/>
    </xf>
    <xf numFmtId="2" fontId="32" fillId="0" borderId="0" xfId="0" applyNumberFormat="1" applyFont="1" applyFill="1" applyBorder="1" applyAlignment="1">
      <alignment horizontal="left" vertical="center"/>
    </xf>
    <xf numFmtId="0" fontId="33" fillId="0" borderId="10" xfId="0" applyFont="1" applyFill="1" applyBorder="1" applyAlignment="1">
      <alignment horizontal="left" vertical="center"/>
    </xf>
    <xf numFmtId="2" fontId="32" fillId="0" borderId="54" xfId="0" applyNumberFormat="1" applyFont="1" applyFill="1" applyBorder="1" applyAlignment="1">
      <alignment horizontal="left" vertical="center"/>
    </xf>
    <xf numFmtId="2" fontId="32" fillId="0" borderId="75" xfId="0" applyNumberFormat="1" applyFont="1" applyFill="1" applyBorder="1" applyAlignment="1">
      <alignment horizontal="left" vertical="center"/>
    </xf>
    <xf numFmtId="0" fontId="33" fillId="0" borderId="79" xfId="5" applyNumberFormat="1" applyFont="1" applyFill="1" applyBorder="1" applyAlignment="1">
      <alignment horizontal="left" vertical="center" wrapText="1"/>
    </xf>
    <xf numFmtId="2" fontId="40" fillId="0" borderId="1" xfId="0" applyNumberFormat="1" applyFont="1" applyFill="1" applyBorder="1" applyAlignment="1">
      <alignment horizontal="left" vertical="center"/>
    </xf>
    <xf numFmtId="2" fontId="27" fillId="0" borderId="54" xfId="0" applyNumberFormat="1" applyFont="1" applyFill="1" applyBorder="1" applyAlignment="1">
      <alignment horizontal="left" vertical="center"/>
    </xf>
    <xf numFmtId="2" fontId="27" fillId="0" borderId="74" xfId="0" applyNumberFormat="1" applyFont="1" applyFill="1" applyBorder="1" applyAlignment="1">
      <alignment horizontal="left" vertical="center"/>
    </xf>
    <xf numFmtId="0" fontId="33" fillId="0" borderId="74" xfId="5" applyNumberFormat="1" applyFont="1" applyFill="1" applyBorder="1" applyAlignment="1">
      <alignment horizontal="left" vertical="center" wrapText="1"/>
    </xf>
    <xf numFmtId="0" fontId="33" fillId="0" borderId="54" xfId="5" applyNumberFormat="1" applyFont="1" applyFill="1" applyBorder="1" applyAlignment="1">
      <alignment horizontal="left" vertical="center" wrapText="1"/>
    </xf>
    <xf numFmtId="1" fontId="32" fillId="0" borderId="1" xfId="0" applyNumberFormat="1" applyFont="1" applyFill="1" applyBorder="1" applyAlignment="1">
      <alignment horizontal="left" vertical="center"/>
    </xf>
    <xf numFmtId="1" fontId="32" fillId="0" borderId="3" xfId="0" applyNumberFormat="1" applyFont="1" applyFill="1" applyBorder="1" applyAlignment="1">
      <alignment horizontal="left" vertical="center"/>
    </xf>
    <xf numFmtId="0" fontId="27" fillId="0" borderId="3" xfId="0" applyFont="1" applyFill="1" applyBorder="1" applyAlignment="1">
      <alignment horizontal="left" vertical="center"/>
    </xf>
    <xf numFmtId="0" fontId="32" fillId="0" borderId="3" xfId="0" applyFont="1" applyFill="1" applyBorder="1" applyAlignment="1">
      <alignment horizontal="left" vertical="center"/>
    </xf>
    <xf numFmtId="0" fontId="33" fillId="0" borderId="58" xfId="6" applyFont="1" applyFill="1" applyBorder="1" applyAlignment="1">
      <alignment horizontal="left" vertical="top" wrapText="1"/>
    </xf>
    <xf numFmtId="0" fontId="27" fillId="0" borderId="1" xfId="0" applyNumberFormat="1" applyFont="1" applyFill="1" applyBorder="1" applyAlignment="1">
      <alignment horizontal="center" vertical="center"/>
    </xf>
    <xf numFmtId="1" fontId="27" fillId="0" borderId="12" xfId="0" applyNumberFormat="1" applyFont="1" applyFill="1" applyBorder="1" applyAlignment="1">
      <alignment horizontal="center" vertical="center"/>
    </xf>
    <xf numFmtId="0" fontId="43" fillId="0" borderId="88" xfId="0" applyFont="1" applyFill="1" applyBorder="1" applyAlignment="1">
      <alignment wrapText="1"/>
    </xf>
    <xf numFmtId="0" fontId="73" fillId="0" borderId="1" xfId="0" applyNumberFormat="1" applyFont="1" applyFill="1" applyBorder="1" applyAlignment="1">
      <alignment horizontal="center" vertical="center"/>
    </xf>
    <xf numFmtId="179" fontId="73" fillId="0" borderId="1" xfId="0" applyNumberFormat="1" applyFont="1" applyFill="1" applyBorder="1" applyAlignment="1">
      <alignment horizontal="center" vertical="center"/>
    </xf>
    <xf numFmtId="2" fontId="73" fillId="0" borderId="1" xfId="0" applyNumberFormat="1" applyFont="1" applyFill="1" applyBorder="1" applyAlignment="1">
      <alignment horizontal="center" vertical="center"/>
    </xf>
    <xf numFmtId="1" fontId="73" fillId="0" borderId="12" xfId="0" applyNumberFormat="1" applyFont="1" applyFill="1" applyBorder="1" applyAlignment="1">
      <alignment horizontal="center" vertical="center"/>
    </xf>
    <xf numFmtId="2" fontId="74" fillId="0" borderId="12" xfId="0" applyNumberFormat="1" applyFont="1" applyFill="1" applyBorder="1" applyAlignment="1">
      <alignment horizontal="center" vertical="center"/>
    </xf>
    <xf numFmtId="1" fontId="74" fillId="0" borderId="12" xfId="0" applyNumberFormat="1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/>
    </xf>
    <xf numFmtId="0" fontId="75" fillId="0" borderId="58" xfId="6" applyFont="1" applyFill="1" applyBorder="1" applyAlignment="1">
      <alignment horizontal="left" vertical="top" wrapText="1"/>
    </xf>
    <xf numFmtId="1" fontId="32" fillId="20" borderId="1" xfId="0" applyNumberFormat="1" applyFont="1" applyFill="1" applyBorder="1" applyAlignment="1">
      <alignment horizontal="center" vertical="center"/>
    </xf>
    <xf numFmtId="179" fontId="32" fillId="20" borderId="1" xfId="0" applyNumberFormat="1" applyFont="1" applyFill="1" applyBorder="1" applyAlignment="1">
      <alignment horizontal="center" vertical="center"/>
    </xf>
    <xf numFmtId="2" fontId="32" fillId="20" borderId="1" xfId="0" applyNumberFormat="1" applyFont="1" applyFill="1" applyBorder="1" applyAlignment="1">
      <alignment horizontal="center" vertical="center"/>
    </xf>
    <xf numFmtId="2" fontId="74" fillId="20" borderId="1" xfId="0" applyNumberFormat="1" applyFont="1" applyFill="1" applyBorder="1" applyAlignment="1">
      <alignment horizontal="center" vertical="center"/>
    </xf>
    <xf numFmtId="2" fontId="32" fillId="20" borderId="1" xfId="0" applyNumberFormat="1" applyFont="1" applyFill="1" applyBorder="1" applyAlignment="1">
      <alignment horizontal="left" vertical="center"/>
    </xf>
    <xf numFmtId="2" fontId="32" fillId="20" borderId="5" xfId="0" applyNumberFormat="1" applyFont="1" applyFill="1" applyBorder="1" applyAlignment="1">
      <alignment horizontal="center" vertical="center"/>
    </xf>
    <xf numFmtId="0" fontId="73" fillId="20" borderId="56" xfId="0" applyFont="1" applyFill="1" applyBorder="1" applyAlignment="1">
      <alignment wrapText="1"/>
    </xf>
    <xf numFmtId="1" fontId="27" fillId="20" borderId="0" xfId="0" applyNumberFormat="1" applyFont="1" applyFill="1"/>
    <xf numFmtId="0" fontId="32" fillId="20" borderId="0" xfId="0" applyFont="1" applyFill="1"/>
    <xf numFmtId="1" fontId="33" fillId="20" borderId="58" xfId="6" applyNumberFormat="1" applyFont="1" applyFill="1" applyBorder="1" applyAlignment="1">
      <alignment horizontal="center" vertical="center" wrapText="1"/>
    </xf>
    <xf numFmtId="1" fontId="32" fillId="20" borderId="54" xfId="0" applyNumberFormat="1" applyFont="1" applyFill="1" applyBorder="1" applyAlignment="1">
      <alignment horizontal="center" vertical="center"/>
    </xf>
    <xf numFmtId="2" fontId="32" fillId="20" borderId="12" xfId="0" applyNumberFormat="1" applyFont="1" applyFill="1" applyBorder="1" applyAlignment="1">
      <alignment horizontal="left" vertical="center" wrapText="1"/>
    </xf>
    <xf numFmtId="1" fontId="32" fillId="20" borderId="12" xfId="0" applyNumberFormat="1" applyFont="1" applyFill="1" applyBorder="1" applyAlignment="1">
      <alignment horizontal="center" vertical="center"/>
    </xf>
    <xf numFmtId="0" fontId="32" fillId="20" borderId="12" xfId="0" applyNumberFormat="1" applyFont="1" applyFill="1" applyBorder="1" applyAlignment="1">
      <alignment horizontal="center" vertical="center"/>
    </xf>
    <xf numFmtId="179" fontId="32" fillId="20" borderId="12" xfId="0" applyNumberFormat="1" applyFont="1" applyFill="1" applyBorder="1" applyAlignment="1">
      <alignment horizontal="center" vertical="center"/>
    </xf>
    <xf numFmtId="2" fontId="32" fillId="20" borderId="12" xfId="0" applyNumberFormat="1" applyFont="1" applyFill="1" applyBorder="1" applyAlignment="1">
      <alignment horizontal="center" vertical="center"/>
    </xf>
    <xf numFmtId="0" fontId="32" fillId="20" borderId="56" xfId="0" applyFont="1" applyFill="1" applyBorder="1" applyAlignment="1">
      <alignment wrapText="1"/>
    </xf>
    <xf numFmtId="0" fontId="74" fillId="20" borderId="56" xfId="0" applyFont="1" applyFill="1" applyBorder="1" applyAlignment="1">
      <alignment wrapText="1"/>
    </xf>
    <xf numFmtId="49" fontId="32" fillId="20" borderId="12" xfId="0" applyNumberFormat="1" applyFont="1" applyFill="1" applyBorder="1" applyAlignment="1">
      <alignment horizontal="left" vertical="center"/>
    </xf>
    <xf numFmtId="0" fontId="74" fillId="20" borderId="2" xfId="0" applyFont="1" applyFill="1" applyBorder="1" applyAlignment="1">
      <alignment wrapText="1"/>
    </xf>
    <xf numFmtId="0" fontId="34" fillId="20" borderId="0" xfId="0" applyFont="1" applyFill="1"/>
    <xf numFmtId="0" fontId="32" fillId="20" borderId="1" xfId="0" applyNumberFormat="1" applyFont="1" applyFill="1" applyBorder="1" applyAlignment="1">
      <alignment horizontal="center" vertical="center"/>
    </xf>
    <xf numFmtId="2" fontId="74" fillId="20" borderId="2" xfId="0" applyNumberFormat="1" applyFont="1" applyFill="1" applyBorder="1" applyAlignment="1">
      <alignment horizontal="left" vertical="center" wrapText="1"/>
    </xf>
    <xf numFmtId="0" fontId="27" fillId="20" borderId="1" xfId="0" applyNumberFormat="1" applyFont="1" applyFill="1" applyBorder="1" applyAlignment="1">
      <alignment horizontal="center" vertical="center"/>
    </xf>
    <xf numFmtId="179" fontId="27" fillId="20" borderId="1" xfId="0" applyNumberFormat="1" applyFont="1" applyFill="1" applyBorder="1" applyAlignment="1">
      <alignment horizontal="center" vertical="center"/>
    </xf>
    <xf numFmtId="2" fontId="27" fillId="20" borderId="1" xfId="0" applyNumberFormat="1" applyFont="1" applyFill="1" applyBorder="1" applyAlignment="1">
      <alignment horizontal="center" vertical="center"/>
    </xf>
    <xf numFmtId="1" fontId="27" fillId="20" borderId="12" xfId="0" applyNumberFormat="1" applyFont="1" applyFill="1" applyBorder="1" applyAlignment="1">
      <alignment horizontal="center" vertical="center"/>
    </xf>
    <xf numFmtId="0" fontId="33" fillId="20" borderId="54" xfId="6" applyNumberFormat="1" applyFont="1" applyFill="1" applyBorder="1" applyAlignment="1">
      <alignment horizontal="left" vertical="top" wrapText="1"/>
    </xf>
    <xf numFmtId="0" fontId="75" fillId="20" borderId="54" xfId="6" applyNumberFormat="1" applyFont="1" applyFill="1" applyBorder="1" applyAlignment="1">
      <alignment horizontal="left" vertical="top" wrapText="1"/>
    </xf>
    <xf numFmtId="0" fontId="32" fillId="20" borderId="72" xfId="0" applyFont="1" applyFill="1" applyBorder="1" applyAlignment="1">
      <alignment wrapText="1"/>
    </xf>
    <xf numFmtId="0" fontId="74" fillId="20" borderId="12" xfId="0" applyFont="1" applyFill="1" applyBorder="1" applyAlignment="1">
      <alignment wrapText="1"/>
    </xf>
    <xf numFmtId="0" fontId="32" fillId="20" borderId="25" xfId="0" applyFont="1" applyFill="1" applyBorder="1" applyAlignment="1">
      <alignment wrapText="1"/>
    </xf>
    <xf numFmtId="0" fontId="32" fillId="20" borderId="12" xfId="0" applyFont="1" applyFill="1" applyBorder="1" applyAlignment="1">
      <alignment wrapText="1"/>
    </xf>
    <xf numFmtId="0" fontId="74" fillId="20" borderId="91" xfId="0" applyFont="1" applyFill="1" applyBorder="1" applyAlignment="1">
      <alignment wrapText="1"/>
    </xf>
    <xf numFmtId="2" fontId="27" fillId="20" borderId="2" xfId="0" applyNumberFormat="1" applyFont="1" applyFill="1" applyBorder="1" applyAlignment="1">
      <alignment horizontal="left" vertical="center" wrapText="1"/>
    </xf>
    <xf numFmtId="1" fontId="32" fillId="20" borderId="1" xfId="0" applyNumberFormat="1" applyFont="1" applyFill="1" applyBorder="1" applyAlignment="1">
      <alignment horizontal="center" vertical="center" wrapText="1"/>
    </xf>
    <xf numFmtId="179" fontId="32" fillId="20" borderId="1" xfId="0" applyNumberFormat="1" applyFont="1" applyFill="1" applyBorder="1" applyAlignment="1">
      <alignment horizontal="center" vertical="center" wrapText="1"/>
    </xf>
    <xf numFmtId="2" fontId="32" fillId="20" borderId="1" xfId="0" applyNumberFormat="1" applyFont="1" applyFill="1" applyBorder="1" applyAlignment="1">
      <alignment horizontal="center" vertical="center" wrapText="1"/>
    </xf>
    <xf numFmtId="1" fontId="32" fillId="20" borderId="76" xfId="0" applyNumberFormat="1" applyFont="1" applyFill="1" applyBorder="1" applyAlignment="1">
      <alignment horizontal="center" vertical="center" wrapText="1"/>
    </xf>
    <xf numFmtId="2" fontId="32" fillId="20" borderId="1" xfId="0" applyNumberFormat="1" applyFont="1" applyFill="1" applyBorder="1" applyAlignment="1">
      <alignment horizontal="left" vertical="center" wrapText="1"/>
    </xf>
    <xf numFmtId="2" fontId="32" fillId="20" borderId="5" xfId="0" applyNumberFormat="1" applyFont="1" applyFill="1" applyBorder="1" applyAlignment="1">
      <alignment horizontal="center" vertical="center" wrapText="1"/>
    </xf>
    <xf numFmtId="2" fontId="32" fillId="20" borderId="5" xfId="0" applyNumberFormat="1" applyFont="1" applyFill="1" applyBorder="1" applyAlignment="1">
      <alignment horizontal="left" vertical="center" wrapText="1"/>
    </xf>
    <xf numFmtId="2" fontId="32" fillId="20" borderId="3" xfId="0" applyNumberFormat="1" applyFont="1" applyFill="1" applyBorder="1" applyAlignment="1">
      <alignment horizontal="left" vertical="center" wrapText="1"/>
    </xf>
    <xf numFmtId="1" fontId="32" fillId="20" borderId="2" xfId="0" applyNumberFormat="1" applyFont="1" applyFill="1" applyBorder="1" applyAlignment="1">
      <alignment horizontal="center" vertical="center"/>
    </xf>
    <xf numFmtId="1" fontId="32" fillId="20" borderId="4" xfId="0" applyNumberFormat="1" applyFont="1" applyFill="1" applyBorder="1" applyAlignment="1">
      <alignment horizontal="center" vertical="center"/>
    </xf>
    <xf numFmtId="2" fontId="35" fillId="20" borderId="2" xfId="0" applyNumberFormat="1" applyFont="1" applyFill="1" applyBorder="1" applyAlignment="1">
      <alignment horizontal="left" vertical="center" wrapText="1"/>
    </xf>
    <xf numFmtId="1" fontId="27" fillId="20" borderId="1" xfId="0" applyNumberFormat="1" applyFont="1" applyFill="1" applyBorder="1" applyAlignment="1">
      <alignment horizontal="center" vertical="center"/>
    </xf>
    <xf numFmtId="2" fontId="27" fillId="20" borderId="1" xfId="0" applyNumberFormat="1" applyFont="1" applyFill="1" applyBorder="1" applyAlignment="1">
      <alignment horizontal="left" vertical="center"/>
    </xf>
    <xf numFmtId="2" fontId="27" fillId="20" borderId="5" xfId="0" applyNumberFormat="1" applyFont="1" applyFill="1" applyBorder="1" applyAlignment="1">
      <alignment horizontal="center" vertical="center"/>
    </xf>
    <xf numFmtId="2" fontId="30" fillId="20" borderId="2" xfId="0" applyNumberFormat="1" applyFont="1" applyFill="1" applyBorder="1" applyAlignment="1">
      <alignment horizontal="left" vertical="center" wrapText="1"/>
    </xf>
    <xf numFmtId="1" fontId="30" fillId="20" borderId="1" xfId="0" applyNumberFormat="1" applyFont="1" applyFill="1" applyBorder="1" applyAlignment="1">
      <alignment horizontal="center" vertical="center"/>
    </xf>
    <xf numFmtId="179" fontId="30" fillId="20" borderId="1" xfId="0" applyNumberFormat="1" applyFont="1" applyFill="1" applyBorder="1" applyAlignment="1">
      <alignment horizontal="center" vertical="center"/>
    </xf>
    <xf numFmtId="2" fontId="77" fillId="20" borderId="1" xfId="0" applyNumberFormat="1" applyFont="1" applyFill="1" applyBorder="1" applyAlignment="1">
      <alignment horizontal="center" vertical="center"/>
    </xf>
    <xf numFmtId="2" fontId="27" fillId="20" borderId="1" xfId="0" applyNumberFormat="1" applyFont="1" applyFill="1" applyBorder="1" applyAlignment="1">
      <alignment horizontal="left" vertical="center" wrapText="1"/>
    </xf>
    <xf numFmtId="1" fontId="32" fillId="20" borderId="7" xfId="0" applyNumberFormat="1" applyFont="1" applyFill="1" applyBorder="1" applyAlignment="1">
      <alignment horizontal="center" vertical="center" wrapText="1"/>
    </xf>
    <xf numFmtId="2" fontId="27" fillId="20" borderId="5" xfId="0" applyNumberFormat="1" applyFont="1" applyFill="1" applyBorder="1" applyAlignment="1"/>
    <xf numFmtId="1" fontId="27" fillId="20" borderId="3" xfId="0" applyNumberFormat="1" applyFont="1" applyFill="1" applyBorder="1" applyAlignment="1">
      <alignment horizontal="center" vertical="center"/>
    </xf>
    <xf numFmtId="179" fontId="27" fillId="20" borderId="3" xfId="0" applyNumberFormat="1" applyFont="1" applyFill="1" applyBorder="1" applyAlignment="1">
      <alignment horizontal="center" vertical="center"/>
    </xf>
    <xf numFmtId="2" fontId="27" fillId="20" borderId="3" xfId="0" applyNumberFormat="1" applyFont="1" applyFill="1" applyBorder="1" applyAlignment="1">
      <alignment horizontal="center" vertical="center"/>
    </xf>
    <xf numFmtId="2" fontId="27" fillId="20" borderId="3" xfId="0" applyNumberFormat="1" applyFont="1" applyFill="1" applyBorder="1" applyAlignment="1">
      <alignment horizontal="left" vertical="center"/>
    </xf>
    <xf numFmtId="2" fontId="27" fillId="20" borderId="3" xfId="0" applyNumberFormat="1" applyFont="1" applyFill="1" applyBorder="1" applyAlignment="1">
      <alignment wrapText="1"/>
    </xf>
    <xf numFmtId="2" fontId="30" fillId="0" borderId="3" xfId="0" applyNumberFormat="1" applyFont="1" applyFill="1" applyBorder="1" applyAlignment="1">
      <alignment horizontal="left" vertical="center" wrapText="1"/>
    </xf>
    <xf numFmtId="1" fontId="32" fillId="4" borderId="1" xfId="0" applyNumberFormat="1" applyFont="1" applyFill="1" applyBorder="1"/>
    <xf numFmtId="2" fontId="32" fillId="0" borderId="1" xfId="0" applyNumberFormat="1" applyFont="1" applyBorder="1" applyAlignment="1">
      <alignment horizontal="center"/>
    </xf>
    <xf numFmtId="1" fontId="32" fillId="0" borderId="1" xfId="0" applyNumberFormat="1" applyFont="1" applyBorder="1" applyAlignment="1">
      <alignment horizontal="center"/>
    </xf>
    <xf numFmtId="2" fontId="32" fillId="0" borderId="5" xfId="0" applyNumberFormat="1" applyFont="1" applyBorder="1"/>
    <xf numFmtId="0" fontId="32" fillId="0" borderId="0" xfId="0" applyFont="1" applyAlignment="1">
      <alignment wrapText="1"/>
    </xf>
    <xf numFmtId="2" fontId="32" fillId="21" borderId="0" xfId="0" applyNumberFormat="1" applyFont="1" applyFill="1"/>
    <xf numFmtId="2" fontId="32" fillId="0" borderId="54" xfId="0" applyNumberFormat="1" applyFont="1" applyFill="1" applyBorder="1" applyAlignment="1">
      <alignment horizontal="center" wrapText="1"/>
    </xf>
    <xf numFmtId="2" fontId="73" fillId="3" borderId="3" xfId="0" applyNumberFormat="1" applyFont="1" applyFill="1" applyBorder="1" applyAlignment="1"/>
    <xf numFmtId="1" fontId="32" fillId="3" borderId="3" xfId="0" applyNumberFormat="1" applyFont="1" applyFill="1" applyBorder="1" applyAlignment="1">
      <alignment horizontal="center" vertical="center"/>
    </xf>
    <xf numFmtId="179" fontId="32" fillId="3" borderId="3" xfId="0" applyNumberFormat="1" applyFont="1" applyFill="1" applyBorder="1" applyAlignment="1">
      <alignment horizontal="center" vertical="center"/>
    </xf>
    <xf numFmtId="2" fontId="32" fillId="3" borderId="3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wrapText="1"/>
    </xf>
    <xf numFmtId="1" fontId="32" fillId="0" borderId="2" xfId="0" applyNumberFormat="1" applyFont="1" applyBorder="1"/>
    <xf numFmtId="2" fontId="32" fillId="0" borderId="3" xfId="0" applyNumberFormat="1" applyFont="1" applyBorder="1" applyAlignment="1">
      <alignment horizontal="left" vertical="center" wrapText="1"/>
    </xf>
    <xf numFmtId="2" fontId="30" fillId="3" borderId="57" xfId="0" applyNumberFormat="1" applyFont="1" applyFill="1" applyBorder="1" applyAlignment="1">
      <alignment horizontal="left" vertical="center" wrapText="1"/>
    </xf>
    <xf numFmtId="2" fontId="30" fillId="0" borderId="75" xfId="0" applyNumberFormat="1" applyFont="1" applyFill="1" applyBorder="1" applyAlignment="1">
      <alignment horizontal="left" vertical="center" wrapText="1"/>
    </xf>
    <xf numFmtId="0" fontId="33" fillId="0" borderId="54" xfId="6" applyFont="1" applyBorder="1" applyAlignment="1">
      <alignment horizontal="left" vertical="top" wrapText="1"/>
    </xf>
    <xf numFmtId="0" fontId="33" fillId="3" borderId="58" xfId="6" applyNumberFormat="1" applyFont="1" applyFill="1" applyBorder="1" applyAlignment="1">
      <alignment horizontal="left" vertical="top" wrapText="1"/>
    </xf>
    <xf numFmtId="2" fontId="27" fillId="3" borderId="5" xfId="0" applyNumberFormat="1" applyFont="1" applyFill="1" applyBorder="1" applyAlignment="1"/>
    <xf numFmtId="1" fontId="27" fillId="3" borderId="3" xfId="0" applyNumberFormat="1" applyFont="1" applyFill="1" applyBorder="1" applyAlignment="1">
      <alignment horizontal="center" vertical="center"/>
    </xf>
    <xf numFmtId="0" fontId="75" fillId="3" borderId="58" xfId="6" applyNumberFormat="1" applyFont="1" applyFill="1" applyBorder="1" applyAlignment="1">
      <alignment horizontal="left" vertical="top" wrapText="1"/>
    </xf>
    <xf numFmtId="2" fontId="34" fillId="20" borderId="2" xfId="0" applyNumberFormat="1" applyFont="1" applyFill="1" applyBorder="1" applyAlignment="1">
      <alignment horizontal="left" vertical="center" wrapText="1"/>
    </xf>
    <xf numFmtId="0" fontId="34" fillId="20" borderId="1" xfId="0" applyNumberFormat="1" applyFont="1" applyFill="1" applyBorder="1" applyAlignment="1">
      <alignment horizontal="center" vertical="center"/>
    </xf>
    <xf numFmtId="179" fontId="34" fillId="20" borderId="1" xfId="0" applyNumberFormat="1" applyFont="1" applyFill="1" applyBorder="1" applyAlignment="1">
      <alignment horizontal="center" vertical="center"/>
    </xf>
    <xf numFmtId="2" fontId="34" fillId="20" borderId="1" xfId="0" applyNumberFormat="1" applyFont="1" applyFill="1" applyBorder="1" applyAlignment="1">
      <alignment horizontal="center" vertical="center"/>
    </xf>
    <xf numFmtId="1" fontId="34" fillId="20" borderId="1" xfId="0" applyNumberFormat="1" applyFont="1" applyFill="1" applyBorder="1" applyAlignment="1">
      <alignment horizontal="center" vertical="center"/>
    </xf>
    <xf numFmtId="2" fontId="34" fillId="20" borderId="1" xfId="0" applyNumberFormat="1" applyFont="1" applyFill="1" applyBorder="1" applyAlignment="1">
      <alignment horizontal="left" vertical="center"/>
    </xf>
    <xf numFmtId="0" fontId="74" fillId="20" borderId="1" xfId="0" applyFont="1" applyFill="1" applyBorder="1" applyAlignment="1">
      <alignment wrapText="1"/>
    </xf>
    <xf numFmtId="2" fontId="73" fillId="20" borderId="0" xfId="0" applyNumberFormat="1" applyFont="1" applyFill="1"/>
    <xf numFmtId="0" fontId="33" fillId="20" borderId="58" xfId="6" applyFont="1" applyFill="1" applyBorder="1" applyAlignment="1">
      <alignment horizontal="left" vertical="top" wrapText="1"/>
    </xf>
    <xf numFmtId="2" fontId="27" fillId="20" borderId="0" xfId="0" applyNumberFormat="1" applyFont="1" applyFill="1"/>
    <xf numFmtId="2" fontId="32" fillId="3" borderId="2" xfId="0" applyNumberFormat="1" applyFont="1" applyFill="1" applyBorder="1" applyAlignment="1">
      <alignment horizontal="left" wrapText="1"/>
    </xf>
    <xf numFmtId="0" fontId="33" fillId="20" borderId="54" xfId="5" applyNumberFormat="1" applyFont="1" applyFill="1" applyBorder="1" applyAlignment="1">
      <alignment horizontal="left" vertical="top" wrapText="1"/>
    </xf>
    <xf numFmtId="2" fontId="32" fillId="20" borderId="0" xfId="0" applyNumberFormat="1" applyFont="1" applyFill="1"/>
    <xf numFmtId="2" fontId="32" fillId="22" borderId="1" xfId="0" applyNumberFormat="1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74" fillId="20" borderId="0" xfId="0" applyFont="1" applyFill="1"/>
    <xf numFmtId="1" fontId="74" fillId="20" borderId="1" xfId="0" applyNumberFormat="1" applyFont="1" applyFill="1" applyBorder="1" applyAlignment="1">
      <alignment horizontal="center" vertical="center"/>
    </xf>
    <xf numFmtId="179" fontId="74" fillId="20" borderId="1" xfId="0" applyNumberFormat="1" applyFont="1" applyFill="1" applyBorder="1" applyAlignment="1">
      <alignment horizontal="center" vertical="center"/>
    </xf>
    <xf numFmtId="2" fontId="74" fillId="20" borderId="1" xfId="0" applyNumberFormat="1" applyFont="1" applyFill="1" applyBorder="1" applyAlignment="1">
      <alignment horizontal="left" vertical="center"/>
    </xf>
    <xf numFmtId="2" fontId="74" fillId="20" borderId="5" xfId="0" applyNumberFormat="1" applyFont="1" applyFill="1" applyBorder="1" applyAlignment="1">
      <alignment horizontal="center" vertical="center"/>
    </xf>
    <xf numFmtId="0" fontId="74" fillId="20" borderId="72" xfId="0" applyFont="1" applyFill="1" applyBorder="1" applyAlignment="1">
      <alignment wrapText="1"/>
    </xf>
    <xf numFmtId="1" fontId="73" fillId="20" borderId="0" xfId="0" applyNumberFormat="1" applyFont="1" applyFill="1"/>
    <xf numFmtId="2" fontId="74" fillId="20" borderId="0" xfId="0" applyNumberFormat="1" applyFont="1" applyFill="1"/>
    <xf numFmtId="0" fontId="32" fillId="20" borderId="0" xfId="0" applyFont="1" applyFill="1" applyAlignment="1">
      <alignment horizontal="center" vertical="center"/>
    </xf>
    <xf numFmtId="1" fontId="33" fillId="20" borderId="62" xfId="6" applyNumberFormat="1" applyFont="1" applyFill="1" applyBorder="1" applyAlignment="1">
      <alignment horizontal="center" vertical="center" wrapText="1"/>
    </xf>
    <xf numFmtId="1" fontId="32" fillId="20" borderId="7" xfId="0" applyNumberFormat="1" applyFont="1" applyFill="1" applyBorder="1" applyAlignment="1">
      <alignment horizontal="center" vertical="center"/>
    </xf>
    <xf numFmtId="2" fontId="32" fillId="0" borderId="1" xfId="0" applyNumberFormat="1" applyFont="1" applyFill="1" applyBorder="1" applyAlignment="1">
      <alignment wrapText="1"/>
    </xf>
    <xf numFmtId="2" fontId="32" fillId="0" borderId="2" xfId="0" applyNumberFormat="1" applyFont="1" applyFill="1" applyBorder="1" applyAlignment="1">
      <alignment wrapText="1"/>
    </xf>
    <xf numFmtId="1" fontId="73" fillId="0" borderId="1" xfId="0" applyNumberFormat="1" applyFont="1" applyFill="1" applyBorder="1" applyAlignment="1">
      <alignment horizontal="center" wrapText="1"/>
    </xf>
    <xf numFmtId="0" fontId="33" fillId="0" borderId="0" xfId="0" applyFont="1" applyFill="1" applyBorder="1" applyAlignment="1">
      <alignment wrapText="1"/>
    </xf>
    <xf numFmtId="2" fontId="32" fillId="20" borderId="1" xfId="0" applyNumberFormat="1" applyFont="1" applyFill="1" applyBorder="1" applyAlignment="1">
      <alignment wrapText="1"/>
    </xf>
    <xf numFmtId="2" fontId="32" fillId="20" borderId="2" xfId="0" applyNumberFormat="1" applyFont="1" applyFill="1" applyBorder="1" applyAlignment="1">
      <alignment wrapText="1"/>
    </xf>
    <xf numFmtId="2" fontId="40" fillId="0" borderId="5" xfId="0" applyNumberFormat="1" applyFont="1" applyFill="1" applyBorder="1" applyAlignment="1">
      <alignment wrapText="1"/>
    </xf>
    <xf numFmtId="0" fontId="27" fillId="0" borderId="1" xfId="0" applyFont="1" applyFill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27" fillId="0" borderId="5" xfId="0" applyFont="1" applyFill="1" applyBorder="1" applyAlignment="1">
      <alignment wrapText="1"/>
    </xf>
    <xf numFmtId="0" fontId="33" fillId="20" borderId="60" xfId="6" applyNumberFormat="1" applyFont="1" applyFill="1" applyBorder="1" applyAlignment="1">
      <alignment horizontal="left" vertical="top" wrapText="1"/>
    </xf>
    <xf numFmtId="1" fontId="73" fillId="0" borderId="2" xfId="0" applyNumberFormat="1" applyFont="1" applyBorder="1" applyAlignment="1">
      <alignment horizontal="center" vertical="center" wrapText="1"/>
    </xf>
    <xf numFmtId="2" fontId="27" fillId="0" borderId="5" xfId="0" applyNumberFormat="1" applyFont="1" applyBorder="1" applyAlignment="1">
      <alignment wrapText="1"/>
    </xf>
    <xf numFmtId="1" fontId="33" fillId="0" borderId="3" xfId="0" applyNumberFormat="1" applyFont="1" applyBorder="1" applyAlignment="1">
      <alignment horizontal="center" vertical="center" wrapText="1"/>
    </xf>
    <xf numFmtId="179" fontId="33" fillId="0" borderId="3" xfId="0" applyNumberFormat="1" applyFont="1" applyBorder="1" applyAlignment="1">
      <alignment horizontal="center" vertical="center" wrapText="1"/>
    </xf>
    <xf numFmtId="2" fontId="33" fillId="0" borderId="3" xfId="0" applyNumberFormat="1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left" vertical="center" wrapText="1"/>
    </xf>
    <xf numFmtId="0" fontId="76" fillId="0" borderId="3" xfId="0" applyFont="1" applyBorder="1" applyAlignment="1">
      <alignment wrapText="1"/>
    </xf>
    <xf numFmtId="2" fontId="32" fillId="0" borderId="0" xfId="0" applyNumberFormat="1" applyFont="1"/>
    <xf numFmtId="2" fontId="32" fillId="4" borderId="1" xfId="0" applyNumberFormat="1" applyFont="1" applyFill="1" applyBorder="1" applyAlignment="1">
      <alignment vertical="center"/>
    </xf>
    <xf numFmtId="1" fontId="32" fillId="4" borderId="1" xfId="0" applyNumberFormat="1" applyFont="1" applyFill="1" applyBorder="1" applyAlignment="1">
      <alignment horizontal="center"/>
    </xf>
    <xf numFmtId="2" fontId="32" fillId="4" borderId="1" xfId="0" applyNumberFormat="1" applyFont="1" applyFill="1" applyBorder="1" applyAlignment="1">
      <alignment horizontal="center"/>
    </xf>
    <xf numFmtId="2" fontId="32" fillId="0" borderId="1" xfId="0" applyNumberFormat="1" applyFont="1" applyFill="1" applyBorder="1" applyAlignment="1">
      <alignment horizontal="right" vertical="center"/>
    </xf>
    <xf numFmtId="1" fontId="32" fillId="0" borderId="1" xfId="0" applyNumberFormat="1" applyFont="1" applyBorder="1"/>
    <xf numFmtId="2" fontId="32" fillId="3" borderId="2" xfId="0" applyNumberFormat="1" applyFont="1" applyFill="1" applyBorder="1" applyAlignment="1">
      <alignment horizontal="left" vertical="center" wrapText="1"/>
    </xf>
    <xf numFmtId="0" fontId="75" fillId="3" borderId="58" xfId="6" applyFont="1" applyFill="1" applyBorder="1" applyAlignment="1">
      <alignment horizontal="left" vertical="top" wrapText="1"/>
    </xf>
    <xf numFmtId="0" fontId="27" fillId="4" borderId="1" xfId="0" applyFont="1" applyFill="1" applyBorder="1" applyAlignment="1">
      <alignment horizontal="right"/>
    </xf>
    <xf numFmtId="2" fontId="27" fillId="4" borderId="1" xfId="0" applyNumberFormat="1" applyFont="1" applyFill="1" applyBorder="1" applyAlignment="1">
      <alignment horizontal="right"/>
    </xf>
    <xf numFmtId="1" fontId="27" fillId="4" borderId="12" xfId="0" applyNumberFormat="1" applyFont="1" applyFill="1" applyBorder="1"/>
    <xf numFmtId="1" fontId="32" fillId="4" borderId="12" xfId="0" applyNumberFormat="1" applyFont="1" applyFill="1" applyBorder="1"/>
    <xf numFmtId="2" fontId="32" fillId="4" borderId="12" xfId="0" applyNumberFormat="1" applyFont="1" applyFill="1" applyBorder="1"/>
    <xf numFmtId="2" fontId="32" fillId="4" borderId="12" xfId="0" applyNumberFormat="1" applyFont="1" applyFill="1" applyBorder="1" applyAlignment="1">
      <alignment horizontal="right"/>
    </xf>
    <xf numFmtId="0" fontId="33" fillId="3" borderId="58" xfId="6" applyFont="1" applyFill="1" applyBorder="1" applyAlignment="1">
      <alignment horizontal="left" vertical="top" wrapText="1"/>
    </xf>
    <xf numFmtId="1" fontId="32" fillId="20" borderId="1" xfId="0" applyNumberFormat="1" applyFont="1" applyFill="1" applyBorder="1"/>
    <xf numFmtId="0" fontId="27" fillId="20" borderId="1" xfId="0" applyFont="1" applyFill="1" applyBorder="1" applyAlignment="1">
      <alignment horizontal="right"/>
    </xf>
    <xf numFmtId="2" fontId="27" fillId="20" borderId="1" xfId="0" applyNumberFormat="1" applyFont="1" applyFill="1" applyBorder="1"/>
    <xf numFmtId="2" fontId="27" fillId="20" borderId="1" xfId="0" applyNumberFormat="1" applyFont="1" applyFill="1" applyBorder="1" applyAlignment="1">
      <alignment horizontal="right"/>
    </xf>
    <xf numFmtId="1" fontId="27" fillId="20" borderId="12" xfId="0" applyNumberFormat="1" applyFont="1" applyFill="1" applyBorder="1"/>
    <xf numFmtId="1" fontId="32" fillId="20" borderId="12" xfId="0" applyNumberFormat="1" applyFont="1" applyFill="1" applyBorder="1"/>
    <xf numFmtId="2" fontId="32" fillId="20" borderId="12" xfId="0" applyNumberFormat="1" applyFont="1" applyFill="1" applyBorder="1"/>
    <xf numFmtId="2" fontId="32" fillId="20" borderId="12" xfId="0" applyNumberFormat="1" applyFont="1" applyFill="1" applyBorder="1" applyAlignment="1">
      <alignment horizontal="right"/>
    </xf>
    <xf numFmtId="0" fontId="43" fillId="20" borderId="88" xfId="0" applyFont="1" applyFill="1" applyBorder="1" applyAlignment="1">
      <alignment wrapText="1"/>
    </xf>
    <xf numFmtId="1" fontId="32" fillId="0" borderId="2" xfId="0" applyNumberFormat="1" applyFont="1" applyBorder="1" applyAlignment="1">
      <alignment horizontal="center" vertical="center"/>
    </xf>
    <xf numFmtId="0" fontId="33" fillId="3" borderId="62" xfId="6" applyNumberFormat="1" applyFont="1" applyFill="1" applyBorder="1" applyAlignment="1">
      <alignment horizontal="left" vertical="top" wrapText="1"/>
    </xf>
    <xf numFmtId="0" fontId="75" fillId="20" borderId="93" xfId="6" applyNumberFormat="1" applyFont="1" applyFill="1" applyBorder="1" applyAlignment="1">
      <alignment horizontal="left" vertical="top" wrapText="1"/>
    </xf>
    <xf numFmtId="0" fontId="75" fillId="0" borderId="93" xfId="6" applyNumberFormat="1" applyFont="1" applyFill="1" applyBorder="1" applyAlignment="1">
      <alignment horizontal="left" vertical="top" wrapText="1"/>
    </xf>
    <xf numFmtId="0" fontId="33" fillId="0" borderId="93" xfId="6" applyNumberFormat="1" applyFont="1" applyFill="1" applyBorder="1" applyAlignment="1">
      <alignment horizontal="left" vertical="top" wrapText="1"/>
    </xf>
    <xf numFmtId="0" fontId="33" fillId="0" borderId="55" xfId="6" applyNumberFormat="1" applyFont="1" applyFill="1" applyBorder="1" applyAlignment="1">
      <alignment horizontal="left" vertical="top" wrapText="1"/>
    </xf>
    <xf numFmtId="0" fontId="33" fillId="3" borderId="54" xfId="6" applyFont="1" applyFill="1" applyBorder="1" applyAlignment="1">
      <alignment horizontal="left" vertical="top" wrapText="1"/>
    </xf>
    <xf numFmtId="0" fontId="33" fillId="3" borderId="54" xfId="6" applyNumberFormat="1" applyFont="1" applyFill="1" applyBorder="1" applyAlignment="1">
      <alignment horizontal="left" vertical="top" wrapText="1"/>
    </xf>
    <xf numFmtId="0" fontId="75" fillId="3" borderId="54" xfId="6" applyNumberFormat="1" applyFont="1" applyFill="1" applyBorder="1" applyAlignment="1">
      <alignment horizontal="left" vertical="top" wrapText="1"/>
    </xf>
    <xf numFmtId="0" fontId="33" fillId="3" borderId="74" xfId="6" applyNumberFormat="1" applyFont="1" applyFill="1" applyBorder="1" applyAlignment="1">
      <alignment horizontal="left" vertical="top" wrapText="1"/>
    </xf>
    <xf numFmtId="2" fontId="27" fillId="0" borderId="0" xfId="0" applyNumberFormat="1" applyFont="1" applyFill="1" applyBorder="1" applyAlignment="1">
      <alignment wrapText="1"/>
    </xf>
    <xf numFmtId="2" fontId="27" fillId="3" borderId="1" xfId="0" applyNumberFormat="1" applyFont="1" applyFill="1" applyBorder="1" applyAlignment="1">
      <alignment horizontal="left"/>
    </xf>
    <xf numFmtId="2" fontId="34" fillId="3" borderId="2" xfId="0" applyNumberFormat="1" applyFont="1" applyFill="1" applyBorder="1" applyAlignment="1">
      <alignment horizontal="left" vertical="center" wrapText="1"/>
    </xf>
    <xf numFmtId="0" fontId="33" fillId="3" borderId="59" xfId="7" applyNumberFormat="1" applyFont="1" applyFill="1" applyBorder="1" applyAlignment="1">
      <alignment horizontal="left" vertical="top" wrapText="1"/>
    </xf>
    <xf numFmtId="0" fontId="75" fillId="3" borderId="62" xfId="6" applyFont="1" applyFill="1" applyBorder="1" applyAlignment="1">
      <alignment horizontal="left" vertical="top" wrapText="1"/>
    </xf>
    <xf numFmtId="0" fontId="33" fillId="3" borderId="62" xfId="6" applyFont="1" applyFill="1" applyBorder="1" applyAlignment="1">
      <alignment horizontal="left" vertical="top" wrapText="1"/>
    </xf>
    <xf numFmtId="179" fontId="35" fillId="0" borderId="12" xfId="0" applyNumberFormat="1" applyFont="1" applyBorder="1" applyAlignment="1">
      <alignment horizontal="center" vertical="center"/>
    </xf>
    <xf numFmtId="2" fontId="33" fillId="0" borderId="12" xfId="0" applyNumberFormat="1" applyFont="1" applyBorder="1" applyAlignment="1">
      <alignment horizontal="center" vertical="center"/>
    </xf>
    <xf numFmtId="1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left" vertical="center"/>
    </xf>
    <xf numFmtId="0" fontId="27" fillId="0" borderId="97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7" fillId="0" borderId="98" xfId="0" applyFont="1" applyFill="1" applyBorder="1" applyAlignment="1">
      <alignment horizontal="left" wrapText="1"/>
    </xf>
    <xf numFmtId="0" fontId="33" fillId="0" borderId="0" xfId="0" applyFont="1" applyFill="1" applyBorder="1" applyAlignment="1">
      <alignment horizontal="left" wrapText="1"/>
    </xf>
    <xf numFmtId="1" fontId="27" fillId="0" borderId="0" xfId="0" applyNumberFormat="1" applyFont="1" applyFill="1" applyAlignment="1">
      <alignment horizontal="center" vertical="center" wrapText="1"/>
    </xf>
    <xf numFmtId="1" fontId="32" fillId="0" borderId="1" xfId="0" applyNumberFormat="1" applyFont="1" applyFill="1" applyBorder="1" applyAlignment="1">
      <alignment horizontal="center" vertical="center" wrapText="1"/>
    </xf>
    <xf numFmtId="2" fontId="32" fillId="0" borderId="1" xfId="0" applyNumberFormat="1" applyFont="1" applyFill="1" applyBorder="1" applyAlignment="1">
      <alignment horizontal="center" vertical="center" wrapText="1"/>
    </xf>
    <xf numFmtId="1" fontId="32" fillId="0" borderId="1" xfId="0" applyNumberFormat="1" applyFont="1" applyFill="1" applyBorder="1" applyAlignment="1">
      <alignment horizontal="center" vertical="center"/>
    </xf>
    <xf numFmtId="1" fontId="73" fillId="0" borderId="94" xfId="0" applyNumberFormat="1" applyFont="1" applyFill="1" applyBorder="1" applyAlignment="1">
      <alignment horizontal="left" wrapText="1"/>
    </xf>
    <xf numFmtId="1" fontId="73" fillId="0" borderId="0" xfId="0" applyNumberFormat="1" applyFont="1" applyFill="1" applyAlignment="1">
      <alignment horizontal="left" wrapText="1"/>
    </xf>
    <xf numFmtId="2" fontId="32" fillId="0" borderId="5" xfId="0" applyNumberFormat="1" applyFont="1" applyFill="1" applyBorder="1" applyAlignment="1">
      <alignment horizontal="center" vertical="center" wrapText="1"/>
    </xf>
    <xf numFmtId="2" fontId="27" fillId="16" borderId="7" xfId="0" applyNumberFormat="1" applyFont="1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1" fontId="27" fillId="16" borderId="1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/>
    </xf>
    <xf numFmtId="2" fontId="32" fillId="0" borderId="1" xfId="0" applyNumberFormat="1" applyFont="1" applyFill="1" applyBorder="1" applyAlignment="1">
      <alignment horizontal="center" wrapText="1"/>
    </xf>
    <xf numFmtId="0" fontId="27" fillId="0" borderId="95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27" fillId="0" borderId="83" xfId="0" applyFont="1" applyFill="1" applyBorder="1" applyAlignment="1">
      <alignment horizontal="center" vertical="center" wrapText="1"/>
    </xf>
    <xf numFmtId="2" fontId="32" fillId="0" borderId="1" xfId="0" applyNumberFormat="1" applyFont="1" applyFill="1" applyBorder="1" applyAlignment="1">
      <alignment horizontal="left" vertical="center" wrapText="1"/>
    </xf>
    <xf numFmtId="0" fontId="63" fillId="3" borderId="92" xfId="0" applyFont="1" applyFill="1" applyBorder="1" applyAlignment="1">
      <alignment horizontal="left" wrapText="1"/>
    </xf>
    <xf numFmtId="0" fontId="59" fillId="3" borderId="96" xfId="0" applyFont="1" applyFill="1" applyBorder="1" applyAlignment="1">
      <alignment horizontal="left" wrapText="1"/>
    </xf>
    <xf numFmtId="2" fontId="73" fillId="0" borderId="0" xfId="0" applyNumberFormat="1" applyFont="1" applyFill="1" applyAlignment="1">
      <alignment horizontal="left" wrapText="1"/>
    </xf>
    <xf numFmtId="2" fontId="3" fillId="3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1" fontId="5" fillId="0" borderId="7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2" fontId="16" fillId="0" borderId="5" xfId="0" applyNumberFormat="1" applyFont="1" applyBorder="1" applyAlignment="1">
      <alignment horizontal="center"/>
    </xf>
    <xf numFmtId="2" fontId="16" fillId="0" borderId="3" xfId="0" applyNumberFormat="1" applyFont="1" applyBorder="1" applyAlignment="1">
      <alignment horizontal="center"/>
    </xf>
    <xf numFmtId="2" fontId="16" fillId="0" borderId="2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16" fillId="0" borderId="3" xfId="0" applyNumberFormat="1" applyFont="1" applyFill="1" applyBorder="1" applyAlignment="1">
      <alignment horizontal="center" vertical="center" wrapText="1"/>
    </xf>
    <xf numFmtId="2" fontId="16" fillId="0" borderId="2" xfId="0" applyNumberFormat="1" applyFont="1" applyFill="1" applyBorder="1" applyAlignment="1">
      <alignment horizontal="center" vertical="center" wrapText="1"/>
    </xf>
    <xf numFmtId="2" fontId="68" fillId="0" borderId="1" xfId="0" applyNumberFormat="1" applyFont="1" applyFill="1" applyBorder="1" applyAlignment="1">
      <alignment horizontal="center"/>
    </xf>
    <xf numFmtId="2" fontId="66" fillId="0" borderId="1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/>
    <xf numFmtId="2" fontId="3" fillId="3" borderId="3" xfId="0" applyNumberFormat="1" applyFont="1" applyFill="1" applyBorder="1" applyAlignment="1"/>
    <xf numFmtId="2" fontId="3" fillId="3" borderId="2" xfId="0" applyNumberFormat="1" applyFont="1" applyFill="1" applyBorder="1" applyAlignment="1"/>
    <xf numFmtId="2" fontId="68" fillId="0" borderId="5" xfId="0" applyNumberFormat="1" applyFont="1" applyBorder="1" applyAlignment="1">
      <alignment horizontal="center"/>
    </xf>
    <xf numFmtId="2" fontId="68" fillId="0" borderId="3" xfId="0" applyNumberFormat="1" applyFont="1" applyBorder="1" applyAlignment="1">
      <alignment horizontal="center"/>
    </xf>
    <xf numFmtId="2" fontId="68" fillId="0" borderId="2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16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wrapText="1"/>
    </xf>
    <xf numFmtId="2" fontId="16" fillId="3" borderId="1" xfId="0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0" fontId="23" fillId="0" borderId="0" xfId="0" applyFont="1" applyBorder="1" applyAlignment="1"/>
    <xf numFmtId="0" fontId="22" fillId="0" borderId="129" xfId="0" applyFont="1" applyBorder="1" applyAlignment="1">
      <alignment horizontal="left"/>
    </xf>
    <xf numFmtId="0" fontId="22" fillId="0" borderId="26" xfId="0" applyFont="1" applyBorder="1" applyAlignment="1">
      <alignment horizontal="left"/>
    </xf>
    <xf numFmtId="0" fontId="13" fillId="8" borderId="115" xfId="0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13" fillId="8" borderId="116" xfId="0" applyFont="1" applyFill="1" applyBorder="1" applyAlignment="1">
      <alignment horizontal="center"/>
    </xf>
    <xf numFmtId="0" fontId="13" fillId="8" borderId="127" xfId="0" applyFont="1" applyFill="1" applyBorder="1" applyAlignment="1">
      <alignment horizontal="center"/>
    </xf>
    <xf numFmtId="0" fontId="13" fillId="8" borderId="129" xfId="0" applyFont="1" applyFill="1" applyBorder="1" applyAlignment="1">
      <alignment horizontal="center"/>
    </xf>
    <xf numFmtId="0" fontId="13" fillId="3" borderId="54" xfId="0" applyFont="1" applyFill="1" applyBorder="1" applyAlignment="1">
      <alignment horizontal="center"/>
    </xf>
    <xf numFmtId="0" fontId="22" fillId="8" borderId="9" xfId="0" applyFont="1" applyFill="1" applyBorder="1" applyAlignment="1">
      <alignment horizontal="center"/>
    </xf>
    <xf numFmtId="0" fontId="22" fillId="8" borderId="10" xfId="0" applyFont="1" applyFill="1" applyBorder="1" applyAlignment="1">
      <alignment horizontal="center"/>
    </xf>
    <xf numFmtId="0" fontId="22" fillId="8" borderId="11" xfId="0" applyFont="1" applyFill="1" applyBorder="1" applyAlignment="1">
      <alignment horizontal="center"/>
    </xf>
    <xf numFmtId="0" fontId="13" fillId="0" borderId="132" xfId="0" applyFont="1" applyBorder="1" applyAlignment="1">
      <alignment horizontal="center"/>
    </xf>
    <xf numFmtId="0" fontId="13" fillId="0" borderId="117" xfId="0" applyFont="1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17" xfId="0" applyFont="1" applyBorder="1" applyAlignment="1">
      <alignment horizontal="center"/>
    </xf>
    <xf numFmtId="0" fontId="13" fillId="8" borderId="125" xfId="0" applyFont="1" applyFill="1" applyBorder="1" applyAlignment="1">
      <alignment horizontal="center"/>
    </xf>
    <xf numFmtId="0" fontId="13" fillId="8" borderId="120" xfId="0" applyFont="1" applyFill="1" applyBorder="1" applyAlignment="1">
      <alignment horizontal="center"/>
    </xf>
    <xf numFmtId="0" fontId="13" fillId="8" borderId="126" xfId="0" applyFont="1" applyFill="1" applyBorder="1" applyAlignment="1">
      <alignment horizontal="center"/>
    </xf>
    <xf numFmtId="0" fontId="20" fillId="23" borderId="129" xfId="0" applyFont="1" applyFill="1" applyBorder="1" applyAlignment="1">
      <alignment horizontal="left"/>
    </xf>
    <xf numFmtId="0" fontId="20" fillId="23" borderId="26" xfId="0" applyFont="1" applyFill="1" applyBorder="1" applyAlignment="1">
      <alignment horizontal="left"/>
    </xf>
    <xf numFmtId="0" fontId="20" fillId="23" borderId="130" xfId="0" applyFont="1" applyFill="1" applyBorder="1" applyAlignment="1">
      <alignment horizontal="left"/>
    </xf>
    <xf numFmtId="0" fontId="78" fillId="23" borderId="129" xfId="0" applyFont="1" applyFill="1" applyBorder="1" applyAlignment="1">
      <alignment horizontal="left"/>
    </xf>
    <xf numFmtId="0" fontId="78" fillId="23" borderId="26" xfId="0" applyFont="1" applyFill="1" applyBorder="1" applyAlignment="1">
      <alignment horizontal="left"/>
    </xf>
    <xf numFmtId="0" fontId="78" fillId="23" borderId="130" xfId="0" applyFont="1" applyFill="1" applyBorder="1" applyAlignment="1">
      <alignment horizontal="left"/>
    </xf>
    <xf numFmtId="0" fontId="20" fillId="23" borderId="124" xfId="0" applyFont="1" applyFill="1" applyBorder="1" applyAlignment="1">
      <alignment horizontal="left"/>
    </xf>
    <xf numFmtId="0" fontId="20" fillId="23" borderId="54" xfId="0" applyFont="1" applyFill="1" applyBorder="1" applyAlignment="1">
      <alignment horizontal="left"/>
    </xf>
    <xf numFmtId="0" fontId="20" fillId="23" borderId="131" xfId="0" applyFont="1" applyFill="1" applyBorder="1" applyAlignment="1">
      <alignment horizontal="left"/>
    </xf>
    <xf numFmtId="0" fontId="13" fillId="23" borderId="129" xfId="0" applyFont="1" applyFill="1" applyBorder="1" applyAlignment="1">
      <alignment horizontal="left"/>
    </xf>
    <xf numFmtId="0" fontId="13" fillId="23" borderId="26" xfId="0" applyFont="1" applyFill="1" applyBorder="1" applyAlignment="1">
      <alignment horizontal="left"/>
    </xf>
    <xf numFmtId="0" fontId="13" fillId="23" borderId="124" xfId="0" applyFont="1" applyFill="1" applyBorder="1" applyAlignment="1">
      <alignment horizontal="left"/>
    </xf>
    <xf numFmtId="0" fontId="13" fillId="23" borderId="54" xfId="0" applyFont="1" applyFill="1" applyBorder="1" applyAlignment="1">
      <alignment horizontal="left"/>
    </xf>
    <xf numFmtId="0" fontId="13" fillId="23" borderId="131" xfId="0" applyFont="1" applyFill="1" applyBorder="1" applyAlignment="1">
      <alignment horizontal="left"/>
    </xf>
    <xf numFmtId="0" fontId="13" fillId="23" borderId="127" xfId="0" applyFont="1" applyFill="1" applyBorder="1" applyAlignment="1">
      <alignment horizontal="left"/>
    </xf>
    <xf numFmtId="0" fontId="13" fillId="23" borderId="130" xfId="0" applyFont="1" applyFill="1" applyBorder="1" applyAlignment="1">
      <alignment horizontal="left"/>
    </xf>
    <xf numFmtId="0" fontId="24" fillId="4" borderId="30" xfId="0" applyFont="1" applyFill="1" applyBorder="1" applyAlignment="1">
      <alignment horizontal="left"/>
    </xf>
    <xf numFmtId="0" fontId="24" fillId="4" borderId="124" xfId="0" applyFont="1" applyFill="1" applyBorder="1" applyAlignment="1">
      <alignment horizontal="left"/>
    </xf>
    <xf numFmtId="0" fontId="24" fillId="0" borderId="30" xfId="0" applyFont="1" applyBorder="1" applyAlignment="1">
      <alignment horizontal="left"/>
    </xf>
    <xf numFmtId="0" fontId="24" fillId="0" borderId="124" xfId="0" applyFont="1" applyBorder="1" applyAlignment="1">
      <alignment horizontal="left"/>
    </xf>
    <xf numFmtId="0" fontId="0" fillId="21" borderId="30" xfId="0" applyFont="1" applyFill="1" applyBorder="1" applyAlignment="1">
      <alignment horizontal="left"/>
    </xf>
    <xf numFmtId="0" fontId="0" fillId="21" borderId="124" xfId="0" applyFont="1" applyFill="1" applyBorder="1" applyAlignment="1">
      <alignment horizontal="left"/>
    </xf>
    <xf numFmtId="0" fontId="13" fillId="8" borderId="128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10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17" xfId="0" applyFont="1" applyBorder="1" applyAlignment="1">
      <alignment horizontal="center" vertical="center" wrapText="1"/>
    </xf>
    <xf numFmtId="0" fontId="0" fillId="0" borderId="101" xfId="0" applyFont="1" applyBorder="1" applyAlignment="1">
      <alignment horizontal="center" vertical="center"/>
    </xf>
    <xf numFmtId="0" fontId="0" fillId="0" borderId="91" xfId="0" applyFont="1" applyBorder="1" applyAlignment="1">
      <alignment horizontal="center" vertical="center"/>
    </xf>
    <xf numFmtId="0" fontId="0" fillId="0" borderId="11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9" xfId="0" applyFont="1" applyBorder="1" applyAlignment="1">
      <alignment horizontal="center" vertical="center"/>
    </xf>
    <xf numFmtId="0" fontId="0" fillId="0" borderId="120" xfId="0" applyFont="1" applyBorder="1" applyAlignment="1">
      <alignment horizontal="center" vertical="center"/>
    </xf>
    <xf numFmtId="0" fontId="0" fillId="0" borderId="121" xfId="0" applyFont="1" applyBorder="1" applyAlignment="1">
      <alignment horizontal="center" vertical="center" wrapText="1"/>
    </xf>
    <xf numFmtId="0" fontId="0" fillId="0" borderId="122" xfId="0" applyFont="1" applyBorder="1" applyAlignment="1">
      <alignment horizontal="center" vertical="center" wrapText="1"/>
    </xf>
    <xf numFmtId="0" fontId="0" fillId="0" borderId="123" xfId="0" applyFont="1" applyBorder="1" applyAlignment="1">
      <alignment horizontal="center" vertical="center" wrapText="1"/>
    </xf>
    <xf numFmtId="2" fontId="4" fillId="0" borderId="110" xfId="0" applyNumberFormat="1" applyFont="1" applyFill="1" applyBorder="1" applyAlignment="1">
      <alignment horizontal="left" vertical="center" wrapText="1"/>
    </xf>
    <xf numFmtId="2" fontId="4" fillId="0" borderId="10" xfId="0" applyNumberFormat="1" applyFont="1" applyFill="1" applyBorder="1" applyAlignment="1">
      <alignment horizontal="left" vertical="center" wrapText="1"/>
    </xf>
    <xf numFmtId="2" fontId="4" fillId="0" borderId="111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/>
    <xf numFmtId="0" fontId="13" fillId="0" borderId="15" xfId="0" applyFont="1" applyBorder="1" applyAlignment="1">
      <alignment horizontal="center"/>
    </xf>
    <xf numFmtId="0" fontId="13" fillId="0" borderId="101" xfId="0" applyFont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/>
    </xf>
    <xf numFmtId="0" fontId="13" fillId="0" borderId="114" xfId="0" applyFont="1" applyBorder="1" applyAlignment="1">
      <alignment horizontal="center" vertical="center"/>
    </xf>
    <xf numFmtId="0" fontId="13" fillId="0" borderId="11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6" xfId="0" applyFont="1" applyBorder="1" applyAlignment="1">
      <alignment horizontal="center" vertical="center"/>
    </xf>
    <xf numFmtId="0" fontId="0" fillId="3" borderId="101" xfId="0" applyFont="1" applyFill="1" applyBorder="1" applyAlignment="1">
      <alignment horizontal="center" vertical="center" wrapText="1"/>
    </xf>
    <xf numFmtId="0" fontId="0" fillId="3" borderId="115" xfId="0" applyFont="1" applyFill="1" applyBorder="1" applyAlignment="1">
      <alignment horizontal="center" vertical="center" wrapText="1"/>
    </xf>
    <xf numFmtId="0" fontId="0" fillId="0" borderId="91" xfId="0" applyFont="1" applyBorder="1" applyAlignment="1">
      <alignment horizontal="center" textRotation="90" wrapText="1"/>
    </xf>
    <xf numFmtId="0" fontId="0" fillId="0" borderId="90" xfId="0" applyFont="1" applyBorder="1" applyAlignment="1">
      <alignment horizontal="center" textRotation="90" wrapText="1"/>
    </xf>
    <xf numFmtId="0" fontId="13" fillId="0" borderId="108" xfId="0" applyFont="1" applyBorder="1" applyAlignment="1">
      <alignment horizontal="center" vertical="center" textRotation="90" wrapText="1"/>
    </xf>
    <xf numFmtId="0" fontId="13" fillId="0" borderId="109" xfId="0" applyFont="1" applyBorder="1" applyAlignment="1">
      <alignment horizontal="center" vertical="center" textRotation="90" wrapText="1"/>
    </xf>
    <xf numFmtId="0" fontId="0" fillId="0" borderId="112" xfId="0" applyFont="1" applyBorder="1" applyAlignment="1">
      <alignment horizontal="center" textRotation="90" wrapText="1"/>
    </xf>
    <xf numFmtId="0" fontId="0" fillId="0" borderId="113" xfId="0" applyFont="1" applyBorder="1" applyAlignment="1">
      <alignment horizontal="center" textRotation="90" wrapText="1"/>
    </xf>
    <xf numFmtId="0" fontId="19" fillId="3" borderId="91" xfId="0" applyFont="1" applyFill="1" applyBorder="1" applyAlignment="1">
      <alignment horizontal="center" vertical="center" wrapText="1"/>
    </xf>
    <xf numFmtId="0" fontId="19" fillId="3" borderId="90" xfId="0" applyFont="1" applyFill="1" applyBorder="1" applyAlignment="1">
      <alignment horizontal="center" vertical="center" wrapText="1"/>
    </xf>
    <xf numFmtId="2" fontId="71" fillId="0" borderId="94" xfId="0" applyNumberFormat="1" applyFont="1" applyBorder="1" applyAlignment="1">
      <alignment horizontal="center" vertical="center" textRotation="90"/>
    </xf>
    <xf numFmtId="2" fontId="71" fillId="0" borderId="99" xfId="0" applyNumberFormat="1" applyFont="1" applyBorder="1" applyAlignment="1">
      <alignment horizontal="center" vertical="center" textRotation="90"/>
    </xf>
    <xf numFmtId="0" fontId="12" fillId="0" borderId="0" xfId="0" applyFont="1" applyBorder="1" applyAlignment="1">
      <alignment horizontal="left"/>
    </xf>
    <xf numFmtId="0" fontId="13" fillId="0" borderId="15" xfId="0" applyFont="1" applyBorder="1" applyAlignment="1">
      <alignment horizontal="center" vertical="center"/>
    </xf>
    <xf numFmtId="0" fontId="13" fillId="0" borderId="100" xfId="0" applyFont="1" applyBorder="1" applyAlignment="1">
      <alignment horizontal="center" vertical="center"/>
    </xf>
    <xf numFmtId="0" fontId="14" fillId="0" borderId="101" xfId="0" applyFont="1" applyBorder="1" applyAlignment="1">
      <alignment horizontal="center" vertical="center"/>
    </xf>
    <xf numFmtId="0" fontId="14" fillId="0" borderId="10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103" xfId="0" applyFont="1" applyBorder="1" applyAlignment="1">
      <alignment horizontal="center" vertical="center"/>
    </xf>
    <xf numFmtId="0" fontId="20" fillId="0" borderId="104" xfId="0" applyFont="1" applyBorder="1" applyAlignment="1">
      <alignment horizontal="center" vertical="center"/>
    </xf>
    <xf numFmtId="0" fontId="20" fillId="0" borderId="105" xfId="0" applyFont="1" applyBorder="1" applyAlignment="1">
      <alignment horizontal="center" vertical="center"/>
    </xf>
    <xf numFmtId="0" fontId="13" fillId="7" borderId="106" xfId="0" applyFont="1" applyFill="1" applyBorder="1" applyAlignment="1">
      <alignment horizontal="center" vertical="center" wrapText="1"/>
    </xf>
    <xf numFmtId="0" fontId="13" fillId="7" borderId="105" xfId="0" applyFont="1" applyFill="1" applyBorder="1" applyAlignment="1">
      <alignment horizontal="center" vertical="center" wrapText="1"/>
    </xf>
    <xf numFmtId="0" fontId="13" fillId="7" borderId="107" xfId="0" applyFont="1" applyFill="1" applyBorder="1" applyAlignment="1">
      <alignment horizontal="center" vertical="center" wrapText="1"/>
    </xf>
    <xf numFmtId="0" fontId="13" fillId="0" borderId="10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3" borderId="124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98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/>
    </xf>
    <xf numFmtId="2" fontId="21" fillId="0" borderId="9" xfId="0" applyNumberFormat="1" applyFont="1" applyFill="1" applyBorder="1" applyAlignment="1">
      <alignment horizontal="center" vertical="center" wrapText="1"/>
    </xf>
    <xf numFmtId="2" fontId="21" fillId="0" borderId="134" xfId="0" applyNumberFormat="1" applyFont="1" applyFill="1" applyBorder="1" applyAlignment="1">
      <alignment horizontal="center" vertical="center" wrapText="1"/>
    </xf>
    <xf numFmtId="2" fontId="21" fillId="0" borderId="11" xfId="0" applyNumberFormat="1" applyFont="1" applyFill="1" applyBorder="1" applyAlignment="1">
      <alignment horizontal="center" vertical="center" wrapText="1"/>
    </xf>
    <xf numFmtId="0" fontId="13" fillId="0" borderId="133" xfId="0" applyFont="1" applyBorder="1" applyAlignment="1">
      <alignment horizontal="center" vertical="center" wrapText="1"/>
    </xf>
    <xf numFmtId="0" fontId="13" fillId="0" borderId="111" xfId="0" applyFont="1" applyBorder="1" applyAlignment="1">
      <alignment horizontal="center" vertical="center" wrapText="1"/>
    </xf>
    <xf numFmtId="2" fontId="71" fillId="0" borderId="54" xfId="0" applyNumberFormat="1" applyFont="1" applyBorder="1" applyAlignment="1">
      <alignment horizontal="center" vertical="center" textRotation="90"/>
    </xf>
  </cellXfs>
  <cellStyles count="9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_Лист1" xfId="5"/>
    <cellStyle name="Обычный_Расценки" xfId="6"/>
    <cellStyle name="Обычный_Реестр" xfId="7"/>
    <cellStyle name="Процентный" xfId="8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89"/>
  <sheetViews>
    <sheetView tabSelected="1" topLeftCell="A7" zoomScale="55" zoomScaleNormal="55" zoomScalePageLayoutView="75" workbookViewId="0">
      <selection activeCell="B31" sqref="B31"/>
    </sheetView>
  </sheetViews>
  <sheetFormatPr defaultColWidth="11.42578125" defaultRowHeight="27" thickBottom="1" outlineLevelRow="2" x14ac:dyDescent="0.45"/>
  <cols>
    <col min="1" max="1" width="11.85546875" style="837" customWidth="1"/>
    <col min="2" max="2" width="73.85546875" style="310" customWidth="1"/>
    <col min="3" max="3" width="10.140625" style="512" customWidth="1"/>
    <col min="4" max="4" width="11.140625" style="512" customWidth="1"/>
    <col min="5" max="5" width="28.140625" style="513" customWidth="1"/>
    <col min="6" max="6" width="13.28515625" style="514" customWidth="1"/>
    <col min="7" max="7" width="12.5703125" style="512" customWidth="1"/>
    <col min="8" max="8" width="7.5703125" style="515" customWidth="1"/>
    <col min="9" max="9" width="9.42578125" style="512" customWidth="1"/>
    <col min="10" max="10" width="6.7109375" style="515" customWidth="1"/>
    <col min="11" max="12" width="9.140625" style="515" customWidth="1"/>
    <col min="13" max="13" width="14.140625" style="515" customWidth="1"/>
    <col min="14" max="14" width="15.42578125" style="515" customWidth="1"/>
    <col min="15" max="15" width="9.140625" style="515" customWidth="1"/>
    <col min="16" max="16" width="4.7109375" style="515" customWidth="1"/>
    <col min="17" max="17" width="3.7109375" style="515" customWidth="1"/>
    <col min="18" max="18" width="4.42578125" style="515" customWidth="1"/>
    <col min="19" max="19" width="5.7109375" style="515" customWidth="1"/>
    <col min="20" max="20" width="9.140625" style="512" customWidth="1"/>
    <col min="21" max="21" width="9.140625" style="515" hidden="1" customWidth="1"/>
    <col min="22" max="22" width="15.140625" style="673" customWidth="1"/>
    <col min="23" max="23" width="16" style="512" customWidth="1"/>
    <col min="24" max="24" width="13.28515625" style="515" customWidth="1"/>
    <col min="25" max="25" width="27.140625" style="311" customWidth="1"/>
    <col min="26" max="26" width="9.140625" style="312" customWidth="1"/>
    <col min="27" max="27" width="11.28515625" style="316" customWidth="1"/>
    <col min="28" max="16384" width="11.42578125" style="310"/>
  </cols>
  <sheetData>
    <row r="1" spans="1:255" ht="26.25" x14ac:dyDescent="0.4">
      <c r="A1" s="908" t="s">
        <v>1227</v>
      </c>
      <c r="B1" s="908"/>
      <c r="X1" s="515" t="s">
        <v>0</v>
      </c>
      <c r="AA1" s="313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4"/>
      <c r="AR1" s="314"/>
      <c r="AS1" s="314"/>
      <c r="AT1" s="314"/>
      <c r="AU1" s="314"/>
      <c r="AV1" s="314"/>
      <c r="AW1" s="314"/>
      <c r="AX1" s="314"/>
      <c r="AY1" s="314"/>
      <c r="AZ1" s="314"/>
      <c r="BA1" s="314"/>
      <c r="BB1" s="314"/>
      <c r="BC1" s="314"/>
      <c r="BD1" s="314"/>
      <c r="BE1" s="314"/>
      <c r="BF1" s="314"/>
      <c r="BG1" s="314"/>
      <c r="BH1" s="314"/>
      <c r="BI1" s="314"/>
      <c r="BJ1" s="314"/>
      <c r="BK1" s="314"/>
      <c r="BL1" s="314"/>
      <c r="BM1" s="314"/>
      <c r="BN1" s="314"/>
      <c r="BO1" s="314"/>
      <c r="BP1" s="314"/>
      <c r="BQ1" s="314"/>
      <c r="BR1" s="314"/>
      <c r="BS1" s="314"/>
      <c r="BT1" s="314"/>
      <c r="BU1" s="314"/>
      <c r="BV1" s="314"/>
      <c r="BW1" s="314"/>
      <c r="BX1" s="314"/>
      <c r="BY1" s="314"/>
      <c r="BZ1" s="314"/>
      <c r="CA1" s="314"/>
      <c r="CB1" s="314"/>
      <c r="CC1" s="314"/>
      <c r="CD1" s="314"/>
      <c r="CE1" s="314"/>
      <c r="CF1" s="314"/>
      <c r="CG1" s="314"/>
      <c r="CH1" s="314"/>
      <c r="CI1" s="314"/>
      <c r="CJ1" s="314"/>
      <c r="CK1" s="314"/>
      <c r="CL1" s="314"/>
      <c r="CM1" s="314"/>
      <c r="CN1" s="314"/>
      <c r="CO1" s="314"/>
      <c r="CP1" s="314"/>
      <c r="CQ1" s="314"/>
      <c r="CR1" s="314"/>
      <c r="CS1" s="314"/>
      <c r="CT1" s="314"/>
      <c r="CU1" s="314"/>
      <c r="CV1" s="314"/>
      <c r="CW1" s="314"/>
      <c r="CX1" s="314"/>
      <c r="CY1" s="314"/>
      <c r="CZ1" s="314"/>
      <c r="DA1" s="314"/>
      <c r="DB1" s="314"/>
      <c r="DC1" s="314"/>
      <c r="DD1" s="314"/>
      <c r="DE1" s="314"/>
      <c r="DF1" s="314"/>
      <c r="DG1" s="314"/>
      <c r="DH1" s="314"/>
      <c r="DI1" s="314"/>
      <c r="DJ1" s="314"/>
      <c r="DK1" s="314"/>
      <c r="DL1" s="314"/>
      <c r="DM1" s="314"/>
      <c r="DN1" s="314"/>
      <c r="DO1" s="314"/>
      <c r="DP1" s="314"/>
      <c r="DQ1" s="314"/>
      <c r="DR1" s="314"/>
      <c r="DS1" s="314"/>
      <c r="DT1" s="314"/>
      <c r="DU1" s="314"/>
      <c r="DV1" s="314"/>
      <c r="DW1" s="314"/>
      <c r="DX1" s="314"/>
      <c r="DY1" s="314"/>
      <c r="DZ1" s="314"/>
      <c r="EA1" s="314"/>
      <c r="EB1" s="314"/>
      <c r="EC1" s="314"/>
      <c r="ED1" s="314"/>
      <c r="EE1" s="314"/>
      <c r="EF1" s="314"/>
      <c r="EG1" s="314"/>
      <c r="EH1" s="314"/>
      <c r="EI1" s="314"/>
      <c r="EJ1" s="314"/>
      <c r="EK1" s="314"/>
      <c r="EL1" s="314"/>
      <c r="EM1" s="314"/>
      <c r="EN1" s="314"/>
      <c r="EO1" s="314"/>
      <c r="EP1" s="314"/>
      <c r="EQ1" s="314"/>
      <c r="ER1" s="314"/>
      <c r="ES1" s="314"/>
      <c r="ET1" s="314"/>
      <c r="EU1" s="314"/>
      <c r="EV1" s="314"/>
      <c r="EW1" s="314"/>
      <c r="EX1" s="314"/>
      <c r="EY1" s="314"/>
      <c r="EZ1" s="314"/>
      <c r="FA1" s="314"/>
      <c r="FB1" s="314"/>
      <c r="FC1" s="314"/>
      <c r="FD1" s="314"/>
      <c r="FE1" s="314"/>
      <c r="FF1" s="314"/>
      <c r="FG1" s="314"/>
      <c r="FH1" s="314"/>
      <c r="FI1" s="314"/>
      <c r="FJ1" s="314"/>
      <c r="FK1" s="314"/>
      <c r="FL1" s="314"/>
      <c r="FM1" s="314"/>
      <c r="FN1" s="314"/>
      <c r="FO1" s="314"/>
      <c r="FP1" s="314"/>
      <c r="FQ1" s="314"/>
      <c r="FR1" s="314"/>
      <c r="FS1" s="314"/>
      <c r="FT1" s="314"/>
      <c r="FU1" s="314"/>
      <c r="FV1" s="314"/>
      <c r="FW1" s="314"/>
      <c r="FX1" s="314"/>
      <c r="FY1" s="314"/>
      <c r="FZ1" s="314"/>
      <c r="GA1" s="314"/>
      <c r="GB1" s="314"/>
      <c r="GC1" s="314"/>
      <c r="GD1" s="314"/>
      <c r="GE1" s="314"/>
      <c r="GF1" s="314"/>
      <c r="GG1" s="314"/>
      <c r="GH1" s="314"/>
      <c r="GI1" s="314"/>
      <c r="GJ1" s="314"/>
      <c r="GK1" s="314"/>
      <c r="GL1" s="314"/>
      <c r="GM1" s="314"/>
      <c r="GN1" s="314"/>
      <c r="GO1" s="314"/>
      <c r="GP1" s="314"/>
      <c r="GQ1" s="314"/>
      <c r="GR1" s="314"/>
      <c r="GS1" s="314"/>
      <c r="GT1" s="314"/>
      <c r="GU1" s="314"/>
      <c r="GV1" s="314"/>
      <c r="GW1" s="314"/>
      <c r="GX1" s="314"/>
      <c r="GY1" s="314"/>
      <c r="GZ1" s="314"/>
      <c r="HA1" s="314"/>
      <c r="HB1" s="314"/>
      <c r="HC1" s="314"/>
      <c r="HD1" s="314"/>
      <c r="HE1" s="314"/>
      <c r="HF1" s="314"/>
      <c r="HG1" s="314"/>
      <c r="HH1" s="314"/>
      <c r="HI1" s="314"/>
      <c r="HJ1" s="314"/>
      <c r="HK1" s="314"/>
      <c r="HL1" s="314"/>
      <c r="HM1" s="314"/>
      <c r="HN1" s="314"/>
      <c r="HO1" s="314"/>
      <c r="HP1" s="314"/>
      <c r="HQ1" s="314"/>
      <c r="HR1" s="314"/>
      <c r="HS1" s="314"/>
      <c r="HT1" s="314"/>
      <c r="HU1" s="314"/>
      <c r="HV1" s="314"/>
      <c r="HW1" s="314"/>
      <c r="HX1" s="314"/>
      <c r="HY1" s="314"/>
      <c r="HZ1" s="314"/>
      <c r="IA1" s="314"/>
      <c r="IB1" s="314"/>
      <c r="IC1" s="314"/>
      <c r="ID1" s="314"/>
      <c r="IE1" s="314"/>
      <c r="IF1" s="314"/>
      <c r="IG1" s="314"/>
      <c r="IH1" s="314"/>
      <c r="II1" s="314"/>
      <c r="IJ1" s="314"/>
      <c r="IK1" s="314"/>
      <c r="IL1" s="314"/>
      <c r="IM1" s="314"/>
      <c r="IN1" s="314"/>
      <c r="IO1" s="314"/>
      <c r="IP1" s="314"/>
      <c r="IQ1" s="314"/>
      <c r="IR1" s="314"/>
      <c r="IS1" s="314"/>
      <c r="IT1" s="314"/>
      <c r="IU1" s="314"/>
    </row>
    <row r="2" spans="1:255" ht="52.5" x14ac:dyDescent="0.4">
      <c r="A2" s="311" t="s">
        <v>1</v>
      </c>
      <c r="B2" s="309" t="s">
        <v>991</v>
      </c>
      <c r="C2" s="516"/>
      <c r="D2" s="516"/>
      <c r="E2" s="517" t="s">
        <v>1181</v>
      </c>
      <c r="F2" s="518"/>
      <c r="G2" s="516"/>
      <c r="H2" s="519"/>
      <c r="I2" s="516"/>
      <c r="J2" s="519"/>
      <c r="K2" s="519"/>
      <c r="L2" s="519"/>
      <c r="M2" s="519"/>
      <c r="N2" s="519"/>
      <c r="O2" s="519"/>
      <c r="P2" s="519"/>
      <c r="Q2" s="519"/>
      <c r="R2" s="519"/>
      <c r="S2" s="519"/>
      <c r="U2" s="519"/>
      <c r="V2" s="674"/>
      <c r="X2" s="515" t="s">
        <v>254</v>
      </c>
      <c r="AA2" s="313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  <c r="BL2" s="314"/>
      <c r="BM2" s="314"/>
      <c r="BN2" s="314"/>
      <c r="BO2" s="314"/>
      <c r="BP2" s="314"/>
      <c r="BQ2" s="314"/>
      <c r="BR2" s="314"/>
      <c r="BS2" s="314"/>
      <c r="BT2" s="314"/>
      <c r="BU2" s="314"/>
      <c r="BV2" s="314"/>
      <c r="BW2" s="314"/>
      <c r="BX2" s="314"/>
      <c r="BY2" s="314"/>
      <c r="BZ2" s="314"/>
      <c r="CA2" s="314"/>
      <c r="CB2" s="314"/>
      <c r="CC2" s="314"/>
      <c r="CD2" s="314"/>
      <c r="CE2" s="314"/>
      <c r="CF2" s="314"/>
      <c r="CG2" s="314"/>
      <c r="CH2" s="314"/>
      <c r="CI2" s="314"/>
      <c r="CJ2" s="314"/>
      <c r="CK2" s="314"/>
      <c r="CL2" s="314"/>
      <c r="CM2" s="314"/>
      <c r="CN2" s="314"/>
      <c r="CO2" s="314"/>
      <c r="CP2" s="314"/>
      <c r="CQ2" s="314"/>
      <c r="CR2" s="314"/>
      <c r="CS2" s="314"/>
      <c r="CT2" s="314"/>
      <c r="CU2" s="314"/>
      <c r="CV2" s="314"/>
      <c r="CW2" s="314"/>
      <c r="CX2" s="314"/>
      <c r="CY2" s="314"/>
      <c r="CZ2" s="314"/>
      <c r="DA2" s="314"/>
      <c r="DB2" s="314"/>
      <c r="DC2" s="314"/>
      <c r="DD2" s="314"/>
      <c r="DE2" s="314"/>
      <c r="DF2" s="314"/>
      <c r="DG2" s="314"/>
      <c r="DH2" s="314"/>
      <c r="DI2" s="314"/>
      <c r="DJ2" s="314"/>
      <c r="DK2" s="314"/>
      <c r="DL2" s="314"/>
      <c r="DM2" s="314"/>
      <c r="DN2" s="314"/>
      <c r="DO2" s="314"/>
      <c r="DP2" s="314"/>
      <c r="DQ2" s="314"/>
      <c r="DR2" s="314"/>
      <c r="DS2" s="314"/>
      <c r="DT2" s="314"/>
      <c r="DU2" s="314"/>
      <c r="DV2" s="314"/>
      <c r="DW2" s="314"/>
      <c r="DX2" s="314"/>
      <c r="DY2" s="314"/>
      <c r="DZ2" s="314"/>
      <c r="EA2" s="314"/>
      <c r="EB2" s="314"/>
      <c r="EC2" s="314"/>
      <c r="ED2" s="314"/>
      <c r="EE2" s="314"/>
      <c r="EF2" s="314"/>
      <c r="EG2" s="314"/>
      <c r="EH2" s="314"/>
      <c r="EI2" s="314"/>
      <c r="EJ2" s="314"/>
      <c r="EK2" s="314"/>
      <c r="EL2" s="314"/>
      <c r="EM2" s="314"/>
      <c r="EN2" s="314"/>
      <c r="EO2" s="314"/>
      <c r="EP2" s="314"/>
      <c r="EQ2" s="314"/>
      <c r="ER2" s="314"/>
      <c r="ES2" s="314"/>
      <c r="ET2" s="314"/>
      <c r="EU2" s="314"/>
      <c r="EV2" s="314"/>
      <c r="EW2" s="314"/>
      <c r="EX2" s="314"/>
      <c r="EY2" s="314"/>
      <c r="EZ2" s="314"/>
      <c r="FA2" s="314"/>
      <c r="FB2" s="314"/>
      <c r="FC2" s="314"/>
      <c r="FD2" s="314"/>
      <c r="FE2" s="314"/>
      <c r="FF2" s="314"/>
      <c r="FG2" s="314"/>
      <c r="FH2" s="314"/>
      <c r="FI2" s="314"/>
      <c r="FJ2" s="314"/>
      <c r="FK2" s="314"/>
      <c r="FL2" s="314"/>
      <c r="FM2" s="314"/>
      <c r="FN2" s="314"/>
      <c r="FO2" s="314"/>
      <c r="FP2" s="314"/>
      <c r="FQ2" s="314"/>
      <c r="FR2" s="314"/>
      <c r="FS2" s="314"/>
      <c r="FT2" s="314"/>
      <c r="FU2" s="314"/>
      <c r="FV2" s="314"/>
      <c r="FW2" s="314"/>
      <c r="FX2" s="314"/>
      <c r="FY2" s="314"/>
      <c r="FZ2" s="314"/>
      <c r="GA2" s="314"/>
      <c r="GB2" s="314"/>
      <c r="GC2" s="314"/>
      <c r="GD2" s="314"/>
      <c r="GE2" s="314"/>
      <c r="GF2" s="314"/>
      <c r="GG2" s="314"/>
      <c r="GH2" s="314"/>
      <c r="GI2" s="314"/>
      <c r="GJ2" s="314"/>
      <c r="GK2" s="314"/>
      <c r="GL2" s="314"/>
      <c r="GM2" s="314"/>
      <c r="GN2" s="314"/>
      <c r="GO2" s="314"/>
      <c r="GP2" s="314"/>
      <c r="GQ2" s="314"/>
      <c r="GR2" s="314"/>
      <c r="GS2" s="314"/>
      <c r="GT2" s="314"/>
      <c r="GU2" s="314"/>
      <c r="GV2" s="314"/>
      <c r="GW2" s="314"/>
      <c r="GX2" s="314"/>
      <c r="GY2" s="314"/>
      <c r="GZ2" s="314"/>
      <c r="HA2" s="314"/>
      <c r="HB2" s="314"/>
      <c r="HC2" s="314"/>
      <c r="HD2" s="314"/>
      <c r="HE2" s="314"/>
      <c r="HF2" s="314"/>
      <c r="HG2" s="314"/>
      <c r="HH2" s="314"/>
      <c r="HI2" s="314"/>
      <c r="HJ2" s="314"/>
      <c r="HK2" s="314"/>
      <c r="HL2" s="314"/>
      <c r="HM2" s="314"/>
      <c r="HN2" s="314"/>
      <c r="HO2" s="314"/>
      <c r="HP2" s="314"/>
      <c r="HQ2" s="314"/>
      <c r="HR2" s="314"/>
      <c r="HS2" s="314"/>
      <c r="HT2" s="314"/>
      <c r="HU2" s="314"/>
      <c r="HV2" s="314"/>
      <c r="HW2" s="314"/>
      <c r="HX2" s="314"/>
      <c r="HY2" s="314"/>
      <c r="HZ2" s="314"/>
      <c r="IA2" s="314"/>
      <c r="IB2" s="314"/>
      <c r="IC2" s="314"/>
      <c r="ID2" s="314"/>
      <c r="IE2" s="314"/>
      <c r="IF2" s="314"/>
      <c r="IG2" s="314"/>
      <c r="IH2" s="314"/>
      <c r="II2" s="314"/>
      <c r="IJ2" s="314"/>
      <c r="IK2" s="314"/>
      <c r="IL2" s="314"/>
      <c r="IM2" s="314"/>
      <c r="IN2" s="314"/>
      <c r="IO2" s="314"/>
      <c r="IP2" s="314"/>
      <c r="IQ2" s="314"/>
      <c r="IR2" s="314"/>
      <c r="IS2" s="314"/>
      <c r="IT2" s="314"/>
      <c r="IU2" s="314"/>
    </row>
    <row r="3" spans="1:255" thickBot="1" x14ac:dyDescent="0.45">
      <c r="A3" s="908"/>
      <c r="B3" s="908"/>
      <c r="C3" s="520"/>
      <c r="D3" s="520"/>
      <c r="E3" s="521"/>
      <c r="F3" s="522"/>
      <c r="G3" s="520"/>
      <c r="H3" s="523"/>
      <c r="I3" s="520"/>
      <c r="J3" s="523"/>
      <c r="K3" s="523"/>
      <c r="L3" s="523"/>
      <c r="M3" s="523"/>
      <c r="N3" s="523"/>
      <c r="O3" s="523"/>
      <c r="P3" s="523"/>
      <c r="Q3" s="523"/>
      <c r="R3" s="523"/>
      <c r="S3" s="523"/>
      <c r="U3" s="523"/>
      <c r="V3" s="675"/>
      <c r="X3" s="524" t="s">
        <v>281</v>
      </c>
      <c r="AA3" s="313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  <c r="AV3" s="314"/>
      <c r="AW3" s="314"/>
      <c r="AX3" s="314"/>
      <c r="AY3" s="314"/>
      <c r="AZ3" s="314"/>
      <c r="BA3" s="314"/>
      <c r="BB3" s="314"/>
      <c r="BC3" s="314"/>
      <c r="BD3" s="314"/>
      <c r="BE3" s="314"/>
      <c r="BF3" s="314"/>
      <c r="BG3" s="314"/>
      <c r="BH3" s="314"/>
      <c r="BI3" s="314"/>
      <c r="BJ3" s="314"/>
      <c r="BK3" s="314"/>
      <c r="BL3" s="314"/>
      <c r="BM3" s="314"/>
      <c r="BN3" s="314"/>
      <c r="BO3" s="314"/>
      <c r="BP3" s="314"/>
      <c r="BQ3" s="314"/>
      <c r="BR3" s="314"/>
      <c r="BS3" s="314"/>
      <c r="BT3" s="314"/>
      <c r="BU3" s="314"/>
      <c r="BV3" s="314"/>
      <c r="BW3" s="314"/>
      <c r="BX3" s="314"/>
      <c r="BY3" s="314"/>
      <c r="BZ3" s="314"/>
      <c r="CA3" s="314"/>
      <c r="CB3" s="314"/>
      <c r="CC3" s="314"/>
      <c r="CD3" s="314"/>
      <c r="CE3" s="314"/>
      <c r="CF3" s="314"/>
      <c r="CG3" s="314"/>
      <c r="CH3" s="314"/>
      <c r="CI3" s="314"/>
      <c r="CJ3" s="314"/>
      <c r="CK3" s="314"/>
      <c r="CL3" s="314"/>
      <c r="CM3" s="314"/>
      <c r="CN3" s="314"/>
      <c r="CO3" s="314"/>
      <c r="CP3" s="314"/>
      <c r="CQ3" s="314"/>
      <c r="CR3" s="314"/>
      <c r="CS3" s="314"/>
      <c r="CT3" s="314"/>
      <c r="CU3" s="314"/>
      <c r="CV3" s="314"/>
      <c r="CW3" s="314"/>
      <c r="CX3" s="314"/>
      <c r="CY3" s="314"/>
      <c r="CZ3" s="314"/>
      <c r="DA3" s="314"/>
      <c r="DB3" s="314"/>
      <c r="DC3" s="314"/>
      <c r="DD3" s="314"/>
      <c r="DE3" s="314"/>
      <c r="DF3" s="314"/>
      <c r="DG3" s="314"/>
      <c r="DH3" s="314"/>
      <c r="DI3" s="314"/>
      <c r="DJ3" s="314"/>
      <c r="DK3" s="314"/>
      <c r="DL3" s="314"/>
      <c r="DM3" s="314"/>
      <c r="DN3" s="314"/>
      <c r="DO3" s="314"/>
      <c r="DP3" s="314"/>
      <c r="DQ3" s="314"/>
      <c r="DR3" s="314"/>
      <c r="DS3" s="314"/>
      <c r="DT3" s="314"/>
      <c r="DU3" s="314"/>
      <c r="DV3" s="314"/>
      <c r="DW3" s="314"/>
      <c r="DX3" s="314"/>
      <c r="DY3" s="314"/>
      <c r="DZ3" s="314"/>
      <c r="EA3" s="314"/>
      <c r="EB3" s="314"/>
      <c r="EC3" s="314"/>
      <c r="ED3" s="314"/>
      <c r="EE3" s="314"/>
      <c r="EF3" s="314"/>
      <c r="EG3" s="314"/>
      <c r="EH3" s="314"/>
      <c r="EI3" s="314"/>
      <c r="EJ3" s="314"/>
      <c r="EK3" s="314"/>
      <c r="EL3" s="314"/>
      <c r="EM3" s="314"/>
      <c r="EN3" s="314"/>
      <c r="EO3" s="314"/>
      <c r="EP3" s="314"/>
      <c r="EQ3" s="314"/>
      <c r="ER3" s="314"/>
      <c r="ES3" s="314"/>
      <c r="ET3" s="314"/>
      <c r="EU3" s="314"/>
      <c r="EV3" s="314"/>
      <c r="EW3" s="314"/>
      <c r="EX3" s="314"/>
      <c r="EY3" s="314"/>
      <c r="EZ3" s="314"/>
      <c r="FA3" s="314"/>
      <c r="FB3" s="314"/>
      <c r="FC3" s="314"/>
      <c r="FD3" s="314"/>
      <c r="FE3" s="314"/>
      <c r="FF3" s="314"/>
      <c r="FG3" s="314"/>
      <c r="FH3" s="314"/>
      <c r="FI3" s="314"/>
      <c r="FJ3" s="314"/>
      <c r="FK3" s="314"/>
      <c r="FL3" s="314"/>
      <c r="FM3" s="314"/>
      <c r="FN3" s="314"/>
      <c r="FO3" s="314"/>
      <c r="FP3" s="314"/>
      <c r="FQ3" s="314"/>
      <c r="FR3" s="314"/>
      <c r="FS3" s="314"/>
      <c r="FT3" s="314"/>
      <c r="FU3" s="314"/>
      <c r="FV3" s="314"/>
      <c r="FW3" s="314"/>
      <c r="FX3" s="314"/>
      <c r="FY3" s="314"/>
      <c r="FZ3" s="314"/>
      <c r="GA3" s="314"/>
      <c r="GB3" s="314"/>
      <c r="GC3" s="314"/>
      <c r="GD3" s="314"/>
      <c r="GE3" s="314"/>
      <c r="GF3" s="314"/>
      <c r="GG3" s="314"/>
      <c r="GH3" s="314"/>
      <c r="GI3" s="314"/>
      <c r="GJ3" s="314"/>
      <c r="GK3" s="314"/>
      <c r="GL3" s="314"/>
      <c r="GM3" s="314"/>
      <c r="GN3" s="314"/>
      <c r="GO3" s="314"/>
      <c r="GP3" s="314"/>
      <c r="GQ3" s="314"/>
      <c r="GR3" s="314"/>
      <c r="GS3" s="314"/>
      <c r="GT3" s="314"/>
      <c r="GU3" s="314"/>
      <c r="GV3" s="314"/>
      <c r="GW3" s="314"/>
      <c r="GX3" s="314"/>
      <c r="GY3" s="314"/>
      <c r="GZ3" s="314"/>
      <c r="HA3" s="314"/>
      <c r="HB3" s="314"/>
      <c r="HC3" s="314"/>
      <c r="HD3" s="314"/>
      <c r="HE3" s="314"/>
      <c r="HF3" s="314"/>
      <c r="HG3" s="314"/>
      <c r="HH3" s="314"/>
      <c r="HI3" s="314"/>
      <c r="HJ3" s="314"/>
      <c r="HK3" s="314"/>
      <c r="HL3" s="314"/>
      <c r="HM3" s="314"/>
      <c r="HN3" s="314"/>
      <c r="HO3" s="314"/>
      <c r="HP3" s="314"/>
      <c r="HQ3" s="314"/>
      <c r="HR3" s="314"/>
      <c r="HS3" s="314"/>
      <c r="HT3" s="314"/>
      <c r="HU3" s="314"/>
      <c r="HV3" s="314"/>
      <c r="HW3" s="314"/>
      <c r="HX3" s="314"/>
      <c r="HY3" s="314"/>
      <c r="HZ3" s="314"/>
      <c r="IA3" s="314"/>
      <c r="IB3" s="314"/>
      <c r="IC3" s="314"/>
      <c r="ID3" s="314"/>
      <c r="IE3" s="314"/>
      <c r="IF3" s="314"/>
      <c r="IG3" s="314"/>
      <c r="IH3" s="314"/>
      <c r="II3" s="314"/>
      <c r="IJ3" s="314"/>
      <c r="IK3" s="314"/>
      <c r="IL3" s="314"/>
      <c r="IM3" s="314"/>
      <c r="IN3" s="314"/>
      <c r="IO3" s="314"/>
      <c r="IP3" s="314"/>
      <c r="IQ3" s="314"/>
      <c r="IR3" s="314"/>
      <c r="IS3" s="314"/>
      <c r="IT3" s="314"/>
      <c r="IU3" s="314"/>
    </row>
    <row r="4" spans="1:255" thickBot="1" x14ac:dyDescent="0.45">
      <c r="A4" s="909" t="s">
        <v>3</v>
      </c>
      <c r="B4" s="909" t="s">
        <v>4</v>
      </c>
      <c r="C4" s="898" t="s">
        <v>5</v>
      </c>
      <c r="D4" s="898"/>
      <c r="E4" s="899"/>
      <c r="F4" s="899"/>
      <c r="G4" s="898"/>
      <c r="H4" s="899"/>
      <c r="I4" s="898"/>
      <c r="J4" s="899"/>
      <c r="K4" s="899" t="s">
        <v>6</v>
      </c>
      <c r="L4" s="899"/>
      <c r="M4" s="899"/>
      <c r="N4" s="899"/>
      <c r="O4" s="899"/>
      <c r="P4" s="899"/>
      <c r="Q4" s="899"/>
      <c r="R4" s="899"/>
      <c r="S4" s="899"/>
      <c r="T4" s="898" t="s">
        <v>7</v>
      </c>
      <c r="U4" s="899"/>
      <c r="V4" s="913"/>
      <c r="W4" s="899" t="s">
        <v>8</v>
      </c>
      <c r="X4" s="903"/>
      <c r="Y4" s="910" t="s">
        <v>693</v>
      </c>
      <c r="Z4" s="897" t="s">
        <v>845</v>
      </c>
    </row>
    <row r="5" spans="1:255" ht="105.75" thickBot="1" x14ac:dyDescent="0.45">
      <c r="A5" s="909"/>
      <c r="B5" s="909"/>
      <c r="C5" s="898"/>
      <c r="D5" s="898"/>
      <c r="E5" s="899"/>
      <c r="F5" s="899"/>
      <c r="G5" s="898"/>
      <c r="H5" s="899"/>
      <c r="I5" s="898"/>
      <c r="J5" s="899"/>
      <c r="K5" s="899"/>
      <c r="L5" s="899"/>
      <c r="M5" s="899"/>
      <c r="N5" s="899"/>
      <c r="O5" s="899"/>
      <c r="P5" s="899"/>
      <c r="Q5" s="899"/>
      <c r="R5" s="899"/>
      <c r="S5" s="899"/>
      <c r="T5" s="347" t="s">
        <v>9</v>
      </c>
      <c r="U5" s="348"/>
      <c r="V5" s="357" t="s">
        <v>10</v>
      </c>
      <c r="W5" s="347" t="s">
        <v>9</v>
      </c>
      <c r="X5" s="495" t="s">
        <v>10</v>
      </c>
      <c r="Y5" s="911"/>
      <c r="Z5" s="897"/>
      <c r="AA5" s="317" t="s">
        <v>675</v>
      </c>
    </row>
    <row r="6" spans="1:255" ht="53.25" thickBot="1" x14ac:dyDescent="0.45">
      <c r="A6" s="909"/>
      <c r="B6" s="909"/>
      <c r="C6" s="347" t="s">
        <v>262</v>
      </c>
      <c r="D6" s="347" t="s">
        <v>12</v>
      </c>
      <c r="E6" s="494" t="s">
        <v>13</v>
      </c>
      <c r="F6" s="348" t="s">
        <v>14</v>
      </c>
      <c r="G6" s="898" t="s">
        <v>15</v>
      </c>
      <c r="H6" s="899"/>
      <c r="I6" s="898"/>
      <c r="J6" s="899"/>
      <c r="K6" s="348" t="s">
        <v>11</v>
      </c>
      <c r="L6" s="348" t="s">
        <v>12</v>
      </c>
      <c r="M6" s="348"/>
      <c r="N6" s="348" t="s">
        <v>13</v>
      </c>
      <c r="O6" s="348" t="s">
        <v>14</v>
      </c>
      <c r="P6" s="899" t="s">
        <v>15</v>
      </c>
      <c r="Q6" s="899"/>
      <c r="R6" s="899"/>
      <c r="S6" s="899"/>
      <c r="T6" s="347"/>
      <c r="U6" s="348"/>
      <c r="V6" s="356" t="s">
        <v>642</v>
      </c>
      <c r="W6" s="347"/>
      <c r="X6" s="495" t="s">
        <v>16</v>
      </c>
      <c r="Y6" s="912"/>
      <c r="Z6" s="897"/>
    </row>
    <row r="7" spans="1:255" s="453" customFormat="1" ht="52.5" thickBot="1" x14ac:dyDescent="0.45">
      <c r="A7" s="840">
        <v>4</v>
      </c>
      <c r="B7" s="841" t="s">
        <v>883</v>
      </c>
      <c r="C7" s="842"/>
      <c r="D7" s="842"/>
      <c r="E7" s="843"/>
      <c r="F7" s="844"/>
      <c r="G7" s="842"/>
      <c r="H7" s="845"/>
      <c r="I7" s="842"/>
      <c r="J7" s="845"/>
      <c r="K7" s="845"/>
      <c r="L7" s="845"/>
      <c r="M7" s="845"/>
      <c r="N7" s="845"/>
      <c r="O7" s="845"/>
      <c r="P7" s="845"/>
      <c r="Q7" s="845"/>
      <c r="R7" s="845"/>
      <c r="S7" s="845"/>
      <c r="T7" s="842"/>
      <c r="U7" s="845"/>
      <c r="V7" s="846"/>
      <c r="W7" s="845"/>
      <c r="X7" s="845"/>
      <c r="Y7" s="847"/>
      <c r="Z7" s="452"/>
      <c r="AA7" s="848"/>
    </row>
    <row r="8" spans="1:255" s="728" customFormat="1" ht="77.25" outlineLevel="1" thickBot="1" x14ac:dyDescent="0.45">
      <c r="A8" s="636" t="s">
        <v>943</v>
      </c>
      <c r="B8" s="811" t="s">
        <v>983</v>
      </c>
      <c r="C8" s="720"/>
      <c r="D8" s="807">
        <f t="shared" ref="D8:D13" si="0">C8*5</f>
        <v>0</v>
      </c>
      <c r="E8" s="805">
        <f t="shared" ref="E8:E13" si="1">D8*0.5</f>
        <v>0</v>
      </c>
      <c r="F8" s="806">
        <f t="shared" ref="F8:F13" si="2">E8*0.76*1.034/20</f>
        <v>0</v>
      </c>
      <c r="G8" s="807">
        <f t="shared" ref="G8:G16" si="3">INT(M8)</f>
        <v>0</v>
      </c>
      <c r="H8" s="806" t="s">
        <v>18</v>
      </c>
      <c r="I8" s="807">
        <f t="shared" ref="I8:I16" si="4">(M8-G8)*64</f>
        <v>0</v>
      </c>
      <c r="J8" s="806" t="s">
        <v>19</v>
      </c>
      <c r="K8" s="806"/>
      <c r="L8" s="806"/>
      <c r="M8" s="806">
        <f t="shared" ref="M8:M22" si="5">F8*1008/8064</f>
        <v>0</v>
      </c>
      <c r="N8" s="806"/>
      <c r="O8" s="806"/>
      <c r="P8" s="806"/>
      <c r="Q8" s="806" t="s">
        <v>18</v>
      </c>
      <c r="R8" s="806"/>
      <c r="S8" s="806" t="s">
        <v>19</v>
      </c>
      <c r="T8" s="720">
        <v>5</v>
      </c>
      <c r="U8" s="722">
        <f t="shared" ref="U8:U13" si="6">E8/272*60</f>
        <v>0</v>
      </c>
      <c r="V8" s="724"/>
      <c r="W8" s="720"/>
      <c r="X8" s="725"/>
      <c r="Y8" s="736"/>
      <c r="Z8" s="727">
        <f t="shared" ref="Z8:Z13" si="7">E8/1.215</f>
        <v>0</v>
      </c>
      <c r="AA8" s="815">
        <f>SUM(Z8/207)</f>
        <v>0</v>
      </c>
    </row>
    <row r="9" spans="1:255" s="728" customFormat="1" ht="77.25" outlineLevel="1" thickBot="1" x14ac:dyDescent="0.45">
      <c r="A9" s="636" t="s">
        <v>944</v>
      </c>
      <c r="B9" s="811" t="s">
        <v>984</v>
      </c>
      <c r="C9" s="720"/>
      <c r="D9" s="807">
        <f t="shared" si="0"/>
        <v>0</v>
      </c>
      <c r="E9" s="805">
        <f t="shared" si="1"/>
        <v>0</v>
      </c>
      <c r="F9" s="806">
        <f t="shared" si="2"/>
        <v>0</v>
      </c>
      <c r="G9" s="807">
        <f t="shared" si="3"/>
        <v>0</v>
      </c>
      <c r="H9" s="806" t="s">
        <v>18</v>
      </c>
      <c r="I9" s="807">
        <f t="shared" si="4"/>
        <v>0</v>
      </c>
      <c r="J9" s="806" t="s">
        <v>19</v>
      </c>
      <c r="K9" s="806"/>
      <c r="L9" s="806"/>
      <c r="M9" s="806">
        <f t="shared" si="5"/>
        <v>0</v>
      </c>
      <c r="N9" s="806"/>
      <c r="O9" s="806"/>
      <c r="P9" s="806"/>
      <c r="Q9" s="806" t="s">
        <v>18</v>
      </c>
      <c r="R9" s="806"/>
      <c r="S9" s="806" t="s">
        <v>19</v>
      </c>
      <c r="T9" s="720">
        <v>5</v>
      </c>
      <c r="U9" s="722">
        <f t="shared" si="6"/>
        <v>0</v>
      </c>
      <c r="V9" s="724"/>
      <c r="W9" s="720"/>
      <c r="X9" s="725"/>
      <c r="Y9" s="736"/>
      <c r="Z9" s="727">
        <f t="shared" si="7"/>
        <v>0</v>
      </c>
      <c r="AA9" s="815">
        <f>SUM(Z9/207)</f>
        <v>0</v>
      </c>
    </row>
    <row r="10" spans="1:255" s="728" customFormat="1" ht="77.25" outlineLevel="1" thickBot="1" x14ac:dyDescent="0.45">
      <c r="A10" s="636" t="s">
        <v>945</v>
      </c>
      <c r="B10" s="811" t="s">
        <v>985</v>
      </c>
      <c r="C10" s="720"/>
      <c r="D10" s="807">
        <f t="shared" si="0"/>
        <v>0</v>
      </c>
      <c r="E10" s="805">
        <f t="shared" si="1"/>
        <v>0</v>
      </c>
      <c r="F10" s="806">
        <f t="shared" si="2"/>
        <v>0</v>
      </c>
      <c r="G10" s="807">
        <f t="shared" si="3"/>
        <v>0</v>
      </c>
      <c r="H10" s="806" t="s">
        <v>18</v>
      </c>
      <c r="I10" s="807">
        <f t="shared" si="4"/>
        <v>0</v>
      </c>
      <c r="J10" s="806" t="s">
        <v>19</v>
      </c>
      <c r="K10" s="806"/>
      <c r="L10" s="806"/>
      <c r="M10" s="806">
        <f t="shared" si="5"/>
        <v>0</v>
      </c>
      <c r="N10" s="806"/>
      <c r="O10" s="806"/>
      <c r="P10" s="806"/>
      <c r="Q10" s="806" t="s">
        <v>18</v>
      </c>
      <c r="R10" s="806"/>
      <c r="S10" s="806" t="s">
        <v>19</v>
      </c>
      <c r="T10" s="720">
        <v>5</v>
      </c>
      <c r="U10" s="722">
        <f t="shared" si="6"/>
        <v>0</v>
      </c>
      <c r="V10" s="724"/>
      <c r="W10" s="720"/>
      <c r="X10" s="725"/>
      <c r="Y10" s="736"/>
      <c r="Z10" s="727">
        <f t="shared" si="7"/>
        <v>0</v>
      </c>
      <c r="AA10" s="815">
        <f>SUM(Z10/207)</f>
        <v>0</v>
      </c>
    </row>
    <row r="11" spans="1:255" ht="102.75" thickBot="1" x14ac:dyDescent="0.45">
      <c r="A11" s="319" t="s">
        <v>943</v>
      </c>
      <c r="B11" s="462" t="s">
        <v>1018</v>
      </c>
      <c r="C11" s="525"/>
      <c r="D11" s="526">
        <f t="shared" si="0"/>
        <v>0</v>
      </c>
      <c r="E11" s="527">
        <f t="shared" si="1"/>
        <v>0</v>
      </c>
      <c r="F11" s="463">
        <f t="shared" si="2"/>
        <v>0</v>
      </c>
      <c r="G11" s="526">
        <f>INT(M11)</f>
        <v>0</v>
      </c>
      <c r="H11" s="463" t="s">
        <v>18</v>
      </c>
      <c r="I11" s="526">
        <f>(M11-G11)*64</f>
        <v>0</v>
      </c>
      <c r="J11" s="463" t="s">
        <v>19</v>
      </c>
      <c r="K11" s="463"/>
      <c r="L11" s="463"/>
      <c r="M11" s="463">
        <f>F11*1008/8064</f>
        <v>0</v>
      </c>
      <c r="N11" s="463"/>
      <c r="O11" s="463"/>
      <c r="P11" s="463"/>
      <c r="Q11" s="321" t="s">
        <v>18</v>
      </c>
      <c r="R11" s="321"/>
      <c r="S11" s="321" t="s">
        <v>19</v>
      </c>
      <c r="T11" s="528">
        <v>5</v>
      </c>
      <c r="U11" s="324">
        <f t="shared" si="6"/>
        <v>0</v>
      </c>
      <c r="V11" s="676"/>
      <c r="W11" s="528"/>
      <c r="X11" s="529"/>
      <c r="Y11" s="323"/>
      <c r="Z11" s="312">
        <f t="shared" si="7"/>
        <v>0</v>
      </c>
      <c r="AA11" s="316">
        <f>SUM(AB11/207)</f>
        <v>0</v>
      </c>
      <c r="AB11" s="310">
        <f>E11/1.21</f>
        <v>0</v>
      </c>
    </row>
    <row r="12" spans="1:255" ht="102.75" thickBot="1" x14ac:dyDescent="0.45">
      <c r="A12" s="319" t="s">
        <v>944</v>
      </c>
      <c r="B12" s="462" t="s">
        <v>1019</v>
      </c>
      <c r="C12" s="525"/>
      <c r="D12" s="526">
        <f t="shared" si="0"/>
        <v>0</v>
      </c>
      <c r="E12" s="527">
        <f t="shared" si="1"/>
        <v>0</v>
      </c>
      <c r="F12" s="463">
        <f t="shared" si="2"/>
        <v>0</v>
      </c>
      <c r="G12" s="526">
        <f>INT(M12)</f>
        <v>0</v>
      </c>
      <c r="H12" s="463" t="s">
        <v>18</v>
      </c>
      <c r="I12" s="526">
        <f>(M12-G12)*64</f>
        <v>0</v>
      </c>
      <c r="J12" s="463" t="s">
        <v>19</v>
      </c>
      <c r="K12" s="463"/>
      <c r="L12" s="463"/>
      <c r="M12" s="463">
        <f>F12*1008/8064</f>
        <v>0</v>
      </c>
      <c r="N12" s="463"/>
      <c r="O12" s="463"/>
      <c r="P12" s="463"/>
      <c r="Q12" s="321" t="s">
        <v>18</v>
      </c>
      <c r="R12" s="321"/>
      <c r="S12" s="321" t="s">
        <v>19</v>
      </c>
      <c r="T12" s="528">
        <v>5</v>
      </c>
      <c r="U12" s="324">
        <f t="shared" si="6"/>
        <v>0</v>
      </c>
      <c r="V12" s="676"/>
      <c r="W12" s="528"/>
      <c r="X12" s="529"/>
      <c r="Y12" s="323"/>
      <c r="Z12" s="312">
        <f t="shared" si="7"/>
        <v>0</v>
      </c>
      <c r="AA12" s="316">
        <f>SUM(AB12/207)</f>
        <v>0</v>
      </c>
      <c r="AB12" s="310">
        <f>E12/1.21</f>
        <v>0</v>
      </c>
    </row>
    <row r="13" spans="1:255" ht="102.75" thickBot="1" x14ac:dyDescent="0.45">
      <c r="A13" s="319" t="s">
        <v>945</v>
      </c>
      <c r="B13" s="462" t="s">
        <v>1020</v>
      </c>
      <c r="C13" s="525"/>
      <c r="D13" s="526">
        <f t="shared" si="0"/>
        <v>0</v>
      </c>
      <c r="E13" s="527">
        <f t="shared" si="1"/>
        <v>0</v>
      </c>
      <c r="F13" s="463">
        <f t="shared" si="2"/>
        <v>0</v>
      </c>
      <c r="G13" s="526">
        <f>INT(M13)</f>
        <v>0</v>
      </c>
      <c r="H13" s="463" t="s">
        <v>18</v>
      </c>
      <c r="I13" s="526">
        <f>(M13-G13)*64</f>
        <v>0</v>
      </c>
      <c r="J13" s="463" t="s">
        <v>19</v>
      </c>
      <c r="K13" s="463"/>
      <c r="L13" s="463"/>
      <c r="M13" s="463">
        <f>F13*1008/8064</f>
        <v>0</v>
      </c>
      <c r="N13" s="463"/>
      <c r="O13" s="463"/>
      <c r="P13" s="463"/>
      <c r="Q13" s="321" t="s">
        <v>18</v>
      </c>
      <c r="R13" s="321"/>
      <c r="S13" s="321" t="s">
        <v>19</v>
      </c>
      <c r="T13" s="528">
        <v>5</v>
      </c>
      <c r="U13" s="324">
        <f t="shared" si="6"/>
        <v>0</v>
      </c>
      <c r="V13" s="676"/>
      <c r="W13" s="528"/>
      <c r="X13" s="529"/>
      <c r="Y13" s="323"/>
      <c r="Z13" s="312">
        <f t="shared" si="7"/>
        <v>0</v>
      </c>
      <c r="AA13" s="316">
        <f>SUM(AB13/207)</f>
        <v>0</v>
      </c>
      <c r="AB13" s="310">
        <f>E13/1.21</f>
        <v>0</v>
      </c>
    </row>
    <row r="14" spans="1:255" ht="102.75" thickBot="1" x14ac:dyDescent="0.45">
      <c r="A14" s="319" t="s">
        <v>14</v>
      </c>
      <c r="B14" s="320" t="s">
        <v>843</v>
      </c>
      <c r="C14" s="528">
        <f>C143+C369+C597</f>
        <v>0</v>
      </c>
      <c r="D14" s="530"/>
      <c r="E14" s="472">
        <f>C14*2</f>
        <v>0</v>
      </c>
      <c r="F14" s="472">
        <f>E14*1.03*0.87/19.3</f>
        <v>0</v>
      </c>
      <c r="G14" s="531">
        <f t="shared" si="3"/>
        <v>0</v>
      </c>
      <c r="H14" s="472" t="s">
        <v>18</v>
      </c>
      <c r="I14" s="531">
        <f t="shared" si="4"/>
        <v>0</v>
      </c>
      <c r="J14" s="472" t="s">
        <v>19</v>
      </c>
      <c r="K14" s="472"/>
      <c r="L14" s="472"/>
      <c r="M14" s="472">
        <f>(F14*877/2880)</f>
        <v>0</v>
      </c>
      <c r="N14" s="472"/>
      <c r="O14" s="461"/>
      <c r="P14" s="461"/>
      <c r="Q14" s="461" t="s">
        <v>18</v>
      </c>
      <c r="R14" s="461"/>
      <c r="S14" s="461" t="s">
        <v>19</v>
      </c>
      <c r="T14" s="528">
        <v>6</v>
      </c>
      <c r="U14" s="324">
        <f>E14/259*60</f>
        <v>0</v>
      </c>
      <c r="V14" s="676"/>
      <c r="W14" s="528"/>
      <c r="X14" s="529"/>
      <c r="Y14" s="323"/>
      <c r="Z14" s="312">
        <f>E14/1.134</f>
        <v>0</v>
      </c>
      <c r="AA14" s="316">
        <f>SUM(Z14/134.6)</f>
        <v>0</v>
      </c>
      <c r="AB14" s="352" t="s">
        <v>852</v>
      </c>
    </row>
    <row r="15" spans="1:255" ht="77.25" thickBot="1" x14ac:dyDescent="0.45">
      <c r="A15" s="319" t="s">
        <v>14</v>
      </c>
      <c r="B15" s="320" t="s">
        <v>1005</v>
      </c>
      <c r="C15" s="528">
        <f>C144+C368+C596</f>
        <v>0</v>
      </c>
      <c r="D15" s="530">
        <f>C15*1</f>
        <v>0</v>
      </c>
      <c r="E15" s="472">
        <f>D15*0.65</f>
        <v>0</v>
      </c>
      <c r="F15" s="472">
        <f>E15*1.03*0.87/19.3</f>
        <v>0</v>
      </c>
      <c r="G15" s="531">
        <f t="shared" si="3"/>
        <v>0</v>
      </c>
      <c r="H15" s="472" t="s">
        <v>18</v>
      </c>
      <c r="I15" s="531">
        <f t="shared" si="4"/>
        <v>0</v>
      </c>
      <c r="J15" s="472" t="s">
        <v>19</v>
      </c>
      <c r="K15" s="472"/>
      <c r="L15" s="472"/>
      <c r="M15" s="472">
        <f>(F15*877/2880)</f>
        <v>0</v>
      </c>
      <c r="N15" s="472"/>
      <c r="O15" s="461"/>
      <c r="P15" s="461"/>
      <c r="Q15" s="461" t="s">
        <v>18</v>
      </c>
      <c r="R15" s="461"/>
      <c r="S15" s="461" t="s">
        <v>19</v>
      </c>
      <c r="T15" s="528">
        <v>6</v>
      </c>
      <c r="U15" s="324">
        <f>E15/259*60</f>
        <v>0</v>
      </c>
      <c r="V15" s="676"/>
      <c r="W15" s="528"/>
      <c r="X15" s="529"/>
      <c r="Y15" s="323"/>
      <c r="Z15" s="312">
        <f>E15/1.134</f>
        <v>0</v>
      </c>
      <c r="AA15" s="316">
        <f>SUM(Z15/134.6)</f>
        <v>0</v>
      </c>
      <c r="AB15" s="352" t="s">
        <v>852</v>
      </c>
    </row>
    <row r="16" spans="1:255" ht="77.25" thickBot="1" x14ac:dyDescent="0.45">
      <c r="A16" s="319" t="s">
        <v>14</v>
      </c>
      <c r="B16" s="320" t="s">
        <v>894</v>
      </c>
      <c r="C16" s="528">
        <f>C145+C367+C595</f>
        <v>0</v>
      </c>
      <c r="D16" s="532">
        <f>C16*12</f>
        <v>0</v>
      </c>
      <c r="E16" s="472">
        <f>D16*0.27</f>
        <v>0</v>
      </c>
      <c r="F16" s="472">
        <f>E16*1.03*0.87/19.3</f>
        <v>0</v>
      </c>
      <c r="G16" s="531">
        <f t="shared" si="3"/>
        <v>0</v>
      </c>
      <c r="H16" s="472" t="s">
        <v>18</v>
      </c>
      <c r="I16" s="531">
        <f t="shared" si="4"/>
        <v>0</v>
      </c>
      <c r="J16" s="472" t="s">
        <v>19</v>
      </c>
      <c r="K16" s="472"/>
      <c r="L16" s="472"/>
      <c r="M16" s="472">
        <f>(F16*877/2880)</f>
        <v>0</v>
      </c>
      <c r="N16" s="472"/>
      <c r="O16" s="461"/>
      <c r="P16" s="461"/>
      <c r="Q16" s="461" t="s">
        <v>18</v>
      </c>
      <c r="R16" s="461"/>
      <c r="S16" s="461" t="s">
        <v>19</v>
      </c>
      <c r="T16" s="528">
        <v>6</v>
      </c>
      <c r="U16" s="324">
        <f>E16/259*60</f>
        <v>0</v>
      </c>
      <c r="V16" s="676"/>
      <c r="W16" s="528"/>
      <c r="X16" s="529"/>
      <c r="Y16" s="323"/>
      <c r="Z16" s="312">
        <f>E16/1.134</f>
        <v>0</v>
      </c>
      <c r="AA16" s="316">
        <f>SUM(Z16/134.6)</f>
        <v>0</v>
      </c>
      <c r="AB16" s="352" t="s">
        <v>852</v>
      </c>
    </row>
    <row r="17" spans="1:27" ht="77.25" thickBot="1" x14ac:dyDescent="0.45">
      <c r="A17" s="319" t="s">
        <v>944</v>
      </c>
      <c r="B17" s="320" t="s">
        <v>609</v>
      </c>
      <c r="C17" s="528"/>
      <c r="D17" s="533"/>
      <c r="E17" s="534">
        <f t="shared" ref="E17:E23" si="8">C17*2</f>
        <v>0</v>
      </c>
      <c r="F17" s="321">
        <f t="shared" ref="F17:F23" si="9">E17*0.76*1.034/20</f>
        <v>0</v>
      </c>
      <c r="G17" s="533">
        <f t="shared" ref="G17:G31" si="10">INT(M17)</f>
        <v>0</v>
      </c>
      <c r="H17" s="321" t="s">
        <v>18</v>
      </c>
      <c r="I17" s="533">
        <f t="shared" ref="I17:I31" si="11">(M17-G17)*64</f>
        <v>0</v>
      </c>
      <c r="J17" s="321" t="s">
        <v>19</v>
      </c>
      <c r="K17" s="321"/>
      <c r="L17" s="321"/>
      <c r="M17" s="321">
        <f t="shared" si="5"/>
        <v>0</v>
      </c>
      <c r="N17" s="321"/>
      <c r="O17" s="321"/>
      <c r="P17" s="321"/>
      <c r="Q17" s="321" t="s">
        <v>18</v>
      </c>
      <c r="R17" s="321"/>
      <c r="S17" s="321" t="s">
        <v>19</v>
      </c>
      <c r="T17" s="528">
        <v>5</v>
      </c>
      <c r="U17" s="324">
        <f t="shared" ref="U17:U25" si="12">E17/272*60</f>
        <v>0</v>
      </c>
      <c r="V17" s="676"/>
      <c r="W17" s="528"/>
      <c r="X17" s="529"/>
      <c r="Y17" s="323"/>
      <c r="Z17" s="312">
        <f t="shared" ref="Z17:Z31" si="13">E17/1.215</f>
        <v>0</v>
      </c>
      <c r="AA17" s="316">
        <f t="shared" ref="AA17:AA31" si="14">SUM(Z17/207)</f>
        <v>0</v>
      </c>
    </row>
    <row r="18" spans="1:27" ht="77.25" thickBot="1" x14ac:dyDescent="0.45">
      <c r="A18" s="319" t="s">
        <v>943</v>
      </c>
      <c r="B18" s="320" t="s">
        <v>610</v>
      </c>
      <c r="C18" s="528"/>
      <c r="D18" s="533"/>
      <c r="E18" s="534">
        <f t="shared" si="8"/>
        <v>0</v>
      </c>
      <c r="F18" s="321">
        <f t="shared" si="9"/>
        <v>0</v>
      </c>
      <c r="G18" s="533">
        <f t="shared" si="10"/>
        <v>0</v>
      </c>
      <c r="H18" s="321" t="s">
        <v>18</v>
      </c>
      <c r="I18" s="533">
        <f t="shared" si="11"/>
        <v>0</v>
      </c>
      <c r="J18" s="321" t="s">
        <v>19</v>
      </c>
      <c r="K18" s="321"/>
      <c r="L18" s="321"/>
      <c r="M18" s="321">
        <f t="shared" si="5"/>
        <v>0</v>
      </c>
      <c r="N18" s="321"/>
      <c r="O18" s="321"/>
      <c r="P18" s="321"/>
      <c r="Q18" s="321" t="s">
        <v>18</v>
      </c>
      <c r="R18" s="321"/>
      <c r="S18" s="321" t="s">
        <v>19</v>
      </c>
      <c r="T18" s="528">
        <v>5</v>
      </c>
      <c r="U18" s="324">
        <f t="shared" si="12"/>
        <v>0</v>
      </c>
      <c r="V18" s="676"/>
      <c r="W18" s="528"/>
      <c r="X18" s="529"/>
      <c r="Y18" s="323"/>
      <c r="Z18" s="312">
        <f t="shared" si="13"/>
        <v>0</v>
      </c>
      <c r="AA18" s="316">
        <f t="shared" si="14"/>
        <v>0</v>
      </c>
    </row>
    <row r="19" spans="1:27" ht="52.5" thickBot="1" x14ac:dyDescent="0.45">
      <c r="A19" s="319" t="s">
        <v>945</v>
      </c>
      <c r="B19" s="320" t="s">
        <v>742</v>
      </c>
      <c r="C19" s="528"/>
      <c r="D19" s="533"/>
      <c r="E19" s="534">
        <f t="shared" si="8"/>
        <v>0</v>
      </c>
      <c r="F19" s="321">
        <f t="shared" si="9"/>
        <v>0</v>
      </c>
      <c r="G19" s="533">
        <f t="shared" si="10"/>
        <v>0</v>
      </c>
      <c r="H19" s="321" t="s">
        <v>18</v>
      </c>
      <c r="I19" s="533">
        <f t="shared" si="11"/>
        <v>0</v>
      </c>
      <c r="J19" s="321" t="s">
        <v>19</v>
      </c>
      <c r="K19" s="321"/>
      <c r="L19" s="321"/>
      <c r="M19" s="321">
        <f t="shared" si="5"/>
        <v>0</v>
      </c>
      <c r="N19" s="321"/>
      <c r="O19" s="321"/>
      <c r="P19" s="321"/>
      <c r="Q19" s="321" t="s">
        <v>18</v>
      </c>
      <c r="R19" s="321"/>
      <c r="S19" s="321" t="s">
        <v>19</v>
      </c>
      <c r="T19" s="528">
        <v>5</v>
      </c>
      <c r="U19" s="324">
        <f t="shared" si="12"/>
        <v>0</v>
      </c>
      <c r="V19" s="676"/>
      <c r="W19" s="528"/>
      <c r="X19" s="529"/>
      <c r="Y19" s="323"/>
      <c r="Z19" s="312">
        <f t="shared" si="13"/>
        <v>0</v>
      </c>
      <c r="AA19" s="316">
        <f t="shared" si="14"/>
        <v>0</v>
      </c>
    </row>
    <row r="20" spans="1:27" ht="77.25" thickBot="1" x14ac:dyDescent="0.45">
      <c r="A20" s="319" t="s">
        <v>945</v>
      </c>
      <c r="B20" s="320" t="s">
        <v>1080</v>
      </c>
      <c r="C20" s="528"/>
      <c r="D20" s="533"/>
      <c r="E20" s="534">
        <f>C20*2</f>
        <v>0</v>
      </c>
      <c r="F20" s="321">
        <f>E20*0.76*1.034/20</f>
        <v>0</v>
      </c>
      <c r="G20" s="533">
        <f>INT(M20)</f>
        <v>0</v>
      </c>
      <c r="H20" s="321" t="s">
        <v>18</v>
      </c>
      <c r="I20" s="533">
        <f>(M20-G20)*64</f>
        <v>0</v>
      </c>
      <c r="J20" s="321" t="s">
        <v>19</v>
      </c>
      <c r="K20" s="321"/>
      <c r="L20" s="321"/>
      <c r="M20" s="321">
        <f>F20*1008/8064</f>
        <v>0</v>
      </c>
      <c r="N20" s="321"/>
      <c r="O20" s="321"/>
      <c r="P20" s="321"/>
      <c r="Q20" s="321" t="s">
        <v>18</v>
      </c>
      <c r="R20" s="321"/>
      <c r="S20" s="321" t="s">
        <v>19</v>
      </c>
      <c r="T20" s="528">
        <v>5</v>
      </c>
      <c r="U20" s="324">
        <f t="shared" si="12"/>
        <v>0</v>
      </c>
      <c r="V20" s="676"/>
      <c r="W20" s="528"/>
      <c r="X20" s="529"/>
      <c r="Y20" s="323"/>
      <c r="Z20" s="312">
        <f>E20/1.215</f>
        <v>0</v>
      </c>
      <c r="AA20" s="316">
        <f>SUM(Z20/207)</f>
        <v>0</v>
      </c>
    </row>
    <row r="21" spans="1:27" ht="77.25" thickBot="1" x14ac:dyDescent="0.45">
      <c r="A21" s="319" t="s">
        <v>945</v>
      </c>
      <c r="B21" s="320" t="s">
        <v>842</v>
      </c>
      <c r="C21" s="528"/>
      <c r="D21" s="533"/>
      <c r="E21" s="534">
        <f>C21*2</f>
        <v>0</v>
      </c>
      <c r="F21" s="321">
        <f>E21*0.76*1.034/20</f>
        <v>0</v>
      </c>
      <c r="G21" s="533">
        <f>INT(M21)</f>
        <v>0</v>
      </c>
      <c r="H21" s="321" t="s">
        <v>18</v>
      </c>
      <c r="I21" s="533">
        <f>(M21-G21)*64</f>
        <v>0</v>
      </c>
      <c r="J21" s="321" t="s">
        <v>19</v>
      </c>
      <c r="K21" s="321"/>
      <c r="L21" s="321"/>
      <c r="M21" s="321">
        <f t="shared" si="5"/>
        <v>0</v>
      </c>
      <c r="N21" s="321"/>
      <c r="O21" s="321"/>
      <c r="P21" s="321"/>
      <c r="Q21" s="321" t="s">
        <v>18</v>
      </c>
      <c r="R21" s="321"/>
      <c r="S21" s="321" t="s">
        <v>19</v>
      </c>
      <c r="T21" s="528">
        <v>5</v>
      </c>
      <c r="U21" s="324">
        <f t="shared" si="12"/>
        <v>0</v>
      </c>
      <c r="V21" s="676"/>
      <c r="W21" s="528"/>
      <c r="X21" s="529"/>
      <c r="Y21" s="323"/>
      <c r="Z21" s="312">
        <f t="shared" si="13"/>
        <v>0</v>
      </c>
      <c r="AA21" s="316">
        <f>SUM(Z21/207)</f>
        <v>0</v>
      </c>
    </row>
    <row r="22" spans="1:27" ht="52.5" thickBot="1" x14ac:dyDescent="0.45">
      <c r="A22" s="319" t="s">
        <v>945</v>
      </c>
      <c r="B22" s="320" t="s">
        <v>611</v>
      </c>
      <c r="C22" s="528"/>
      <c r="D22" s="533"/>
      <c r="E22" s="534">
        <f t="shared" si="8"/>
        <v>0</v>
      </c>
      <c r="F22" s="321">
        <f t="shared" si="9"/>
        <v>0</v>
      </c>
      <c r="G22" s="533">
        <f t="shared" si="10"/>
        <v>0</v>
      </c>
      <c r="H22" s="321" t="s">
        <v>18</v>
      </c>
      <c r="I22" s="533">
        <f t="shared" si="11"/>
        <v>0</v>
      </c>
      <c r="J22" s="321" t="s">
        <v>19</v>
      </c>
      <c r="K22" s="321"/>
      <c r="L22" s="321"/>
      <c r="M22" s="321">
        <f t="shared" si="5"/>
        <v>0</v>
      </c>
      <c r="N22" s="321"/>
      <c r="O22" s="321"/>
      <c r="P22" s="321"/>
      <c r="Q22" s="321" t="s">
        <v>18</v>
      </c>
      <c r="R22" s="321"/>
      <c r="S22" s="321" t="s">
        <v>19</v>
      </c>
      <c r="T22" s="528">
        <v>5</v>
      </c>
      <c r="U22" s="324">
        <f t="shared" si="12"/>
        <v>0</v>
      </c>
      <c r="V22" s="676"/>
      <c r="W22" s="528"/>
      <c r="X22" s="529"/>
      <c r="Y22" s="323"/>
      <c r="Z22" s="312">
        <f t="shared" si="13"/>
        <v>0</v>
      </c>
      <c r="AA22" s="316">
        <f t="shared" si="14"/>
        <v>0</v>
      </c>
    </row>
    <row r="23" spans="1:27" ht="52.5" thickBot="1" x14ac:dyDescent="0.45">
      <c r="A23" s="319" t="s">
        <v>945</v>
      </c>
      <c r="B23" s="320" t="s">
        <v>612</v>
      </c>
      <c r="C23" s="528"/>
      <c r="D23" s="528"/>
      <c r="E23" s="460">
        <f t="shared" si="8"/>
        <v>0</v>
      </c>
      <c r="F23" s="324">
        <f t="shared" si="9"/>
        <v>0</v>
      </c>
      <c r="G23" s="528">
        <f t="shared" si="10"/>
        <v>0</v>
      </c>
      <c r="H23" s="324" t="s">
        <v>18</v>
      </c>
      <c r="I23" s="528">
        <f t="shared" si="11"/>
        <v>0</v>
      </c>
      <c r="J23" s="324" t="s">
        <v>19</v>
      </c>
      <c r="K23" s="324"/>
      <c r="L23" s="324"/>
      <c r="M23" s="324">
        <f>F23*2016/16128</f>
        <v>0</v>
      </c>
      <c r="N23" s="324"/>
      <c r="O23" s="324"/>
      <c r="P23" s="324"/>
      <c r="Q23" s="324" t="s">
        <v>18</v>
      </c>
      <c r="R23" s="324"/>
      <c r="S23" s="324" t="s">
        <v>19</v>
      </c>
      <c r="T23" s="528">
        <v>5</v>
      </c>
      <c r="U23" s="324">
        <f t="shared" si="12"/>
        <v>0</v>
      </c>
      <c r="V23" s="676"/>
      <c r="W23" s="528"/>
      <c r="X23" s="529"/>
      <c r="Y23" s="323"/>
      <c r="Z23" s="312">
        <f t="shared" si="13"/>
        <v>0</v>
      </c>
      <c r="AA23" s="316">
        <f t="shared" si="14"/>
        <v>0</v>
      </c>
    </row>
    <row r="24" spans="1:27" s="327" customFormat="1" ht="53.25" thickBot="1" x14ac:dyDescent="0.45">
      <c r="A24" s="319" t="s">
        <v>945</v>
      </c>
      <c r="B24" s="325" t="s">
        <v>816</v>
      </c>
      <c r="C24" s="533"/>
      <c r="D24" s="535">
        <f>C24*10</f>
        <v>0</v>
      </c>
      <c r="E24" s="534">
        <f>D24*0.35</f>
        <v>0</v>
      </c>
      <c r="F24" s="321">
        <f>E24*0.8*1/20</f>
        <v>0</v>
      </c>
      <c r="G24" s="533">
        <f t="shared" si="10"/>
        <v>0</v>
      </c>
      <c r="H24" s="321" t="s">
        <v>18</v>
      </c>
      <c r="I24" s="533">
        <f t="shared" si="11"/>
        <v>0</v>
      </c>
      <c r="J24" s="321" t="s">
        <v>19</v>
      </c>
      <c r="K24" s="321"/>
      <c r="L24" s="321"/>
      <c r="M24" s="321">
        <f>F24*2016/16128</f>
        <v>0</v>
      </c>
      <c r="N24" s="321"/>
      <c r="O24" s="321"/>
      <c r="P24" s="321"/>
      <c r="Q24" s="321" t="s">
        <v>18</v>
      </c>
      <c r="R24" s="321"/>
      <c r="S24" s="321" t="s">
        <v>19</v>
      </c>
      <c r="T24" s="533">
        <v>5</v>
      </c>
      <c r="U24" s="321">
        <f t="shared" si="12"/>
        <v>0</v>
      </c>
      <c r="V24" s="676"/>
      <c r="W24" s="533"/>
      <c r="X24" s="321"/>
      <c r="Y24" s="326"/>
      <c r="Z24" s="312">
        <f t="shared" si="13"/>
        <v>0</v>
      </c>
      <c r="AA24" s="316">
        <f t="shared" si="14"/>
        <v>0</v>
      </c>
    </row>
    <row r="25" spans="1:27" ht="77.25" thickBot="1" x14ac:dyDescent="0.45">
      <c r="A25" s="319" t="s">
        <v>945</v>
      </c>
      <c r="B25" s="320" t="s">
        <v>1039</v>
      </c>
      <c r="C25" s="528"/>
      <c r="D25" s="533">
        <f>C25*16</f>
        <v>0</v>
      </c>
      <c r="E25" s="534">
        <f>D25*0.25</f>
        <v>0</v>
      </c>
      <c r="F25" s="321">
        <f>E25*0.8*1/20</f>
        <v>0</v>
      </c>
      <c r="G25" s="533">
        <f t="shared" si="10"/>
        <v>0</v>
      </c>
      <c r="H25" s="321" t="s">
        <v>18</v>
      </c>
      <c r="I25" s="533">
        <f t="shared" si="11"/>
        <v>0</v>
      </c>
      <c r="J25" s="321" t="s">
        <v>19</v>
      </c>
      <c r="K25" s="321"/>
      <c r="L25" s="321"/>
      <c r="M25" s="321">
        <f>F25*2016/16128</f>
        <v>0</v>
      </c>
      <c r="N25" s="321"/>
      <c r="O25" s="321"/>
      <c r="P25" s="321"/>
      <c r="Q25" s="321" t="s">
        <v>18</v>
      </c>
      <c r="R25" s="321"/>
      <c r="S25" s="321" t="s">
        <v>19</v>
      </c>
      <c r="T25" s="528">
        <v>5</v>
      </c>
      <c r="U25" s="324">
        <f t="shared" si="12"/>
        <v>0</v>
      </c>
      <c r="V25" s="676"/>
      <c r="W25" s="528"/>
      <c r="X25" s="529"/>
      <c r="Y25" s="323"/>
      <c r="Z25" s="312">
        <f t="shared" si="13"/>
        <v>0</v>
      </c>
      <c r="AA25" s="316">
        <f t="shared" si="14"/>
        <v>0</v>
      </c>
    </row>
    <row r="26" spans="1:27" ht="77.25" thickBot="1" x14ac:dyDescent="0.45">
      <c r="A26" s="319" t="s">
        <v>945</v>
      </c>
      <c r="B26" s="320" t="s">
        <v>986</v>
      </c>
      <c r="C26" s="528"/>
      <c r="D26" s="533">
        <f>C26*12</f>
        <v>0</v>
      </c>
      <c r="E26" s="534">
        <f>D26*0.25</f>
        <v>0</v>
      </c>
      <c r="F26" s="321">
        <f>E26*0.8*1/20</f>
        <v>0</v>
      </c>
      <c r="G26" s="533">
        <f>INT(M26)</f>
        <v>0</v>
      </c>
      <c r="H26" s="321" t="s">
        <v>18</v>
      </c>
      <c r="I26" s="533">
        <f>(M26-G26)*64</f>
        <v>0</v>
      </c>
      <c r="J26" s="321" t="s">
        <v>19</v>
      </c>
      <c r="K26" s="321"/>
      <c r="L26" s="321"/>
      <c r="M26" s="321">
        <f>F26*2016/16128</f>
        <v>0</v>
      </c>
      <c r="N26" s="321"/>
      <c r="O26" s="321"/>
      <c r="P26" s="321"/>
      <c r="Q26" s="321" t="s">
        <v>18</v>
      </c>
      <c r="R26" s="321"/>
      <c r="S26" s="321" t="s">
        <v>19</v>
      </c>
      <c r="T26" s="528">
        <v>5</v>
      </c>
      <c r="U26" s="324"/>
      <c r="V26" s="676"/>
      <c r="W26" s="528"/>
      <c r="X26" s="529"/>
      <c r="Y26" s="323"/>
      <c r="Z26" s="312">
        <f>E26/1.215</f>
        <v>0</v>
      </c>
      <c r="AA26" s="316">
        <f>SUM(Z26/207)</f>
        <v>0</v>
      </c>
    </row>
    <row r="27" spans="1:27" ht="77.25" thickBot="1" x14ac:dyDescent="0.45">
      <c r="A27" s="319" t="s">
        <v>988</v>
      </c>
      <c r="B27" s="320" t="s">
        <v>987</v>
      </c>
      <c r="C27" s="528"/>
      <c r="D27" s="533">
        <f>C27*12</f>
        <v>0</v>
      </c>
      <c r="E27" s="534">
        <f>D27*0.25</f>
        <v>0</v>
      </c>
      <c r="F27" s="321">
        <f>E27*0.8*1/20</f>
        <v>0</v>
      </c>
      <c r="G27" s="533">
        <f>INT(M27)</f>
        <v>0</v>
      </c>
      <c r="H27" s="321" t="s">
        <v>18</v>
      </c>
      <c r="I27" s="533">
        <f>(M27-G27)*64</f>
        <v>0</v>
      </c>
      <c r="J27" s="321" t="s">
        <v>19</v>
      </c>
      <c r="K27" s="321"/>
      <c r="L27" s="321"/>
      <c r="M27" s="321">
        <f>F27*2016/16128</f>
        <v>0</v>
      </c>
      <c r="N27" s="321"/>
      <c r="O27" s="321"/>
      <c r="P27" s="321"/>
      <c r="Q27" s="321" t="s">
        <v>18</v>
      </c>
      <c r="R27" s="321"/>
      <c r="S27" s="321" t="s">
        <v>19</v>
      </c>
      <c r="T27" s="528">
        <v>5</v>
      </c>
      <c r="U27" s="324"/>
      <c r="V27" s="676"/>
      <c r="W27" s="528"/>
      <c r="X27" s="529"/>
      <c r="Y27" s="323"/>
      <c r="Z27" s="312">
        <f>E27/1.215</f>
        <v>0</v>
      </c>
      <c r="AA27" s="316">
        <f>SUM(Z27/207)</f>
        <v>0</v>
      </c>
    </row>
    <row r="28" spans="1:27" ht="77.25" thickBot="1" x14ac:dyDescent="0.45">
      <c r="A28" s="319" t="s">
        <v>945</v>
      </c>
      <c r="B28" s="708" t="s">
        <v>1079</v>
      </c>
      <c r="C28" s="586"/>
      <c r="D28" s="533">
        <f>C28*7</f>
        <v>0</v>
      </c>
      <c r="E28" s="321">
        <f>D28*0.2</f>
        <v>0</v>
      </c>
      <c r="F28" s="321">
        <f>E28*10/225</f>
        <v>0</v>
      </c>
      <c r="G28" s="533">
        <f>INT(M28)</f>
        <v>0</v>
      </c>
      <c r="H28" s="321" t="s">
        <v>18</v>
      </c>
      <c r="I28" s="533">
        <f>(M28-G28)*64</f>
        <v>0</v>
      </c>
      <c r="J28" s="321" t="s">
        <v>19</v>
      </c>
      <c r="K28" s="324"/>
      <c r="L28" s="324"/>
      <c r="M28" s="321">
        <f>F28*1008/8064</f>
        <v>0</v>
      </c>
      <c r="N28" s="324"/>
      <c r="O28" s="324"/>
      <c r="P28" s="324"/>
      <c r="Q28" s="324" t="s">
        <v>18</v>
      </c>
      <c r="R28" s="324"/>
      <c r="S28" s="324" t="s">
        <v>19</v>
      </c>
      <c r="T28" s="528">
        <v>5</v>
      </c>
      <c r="U28" s="324">
        <f>E28/166*60</f>
        <v>0</v>
      </c>
      <c r="V28" s="676"/>
      <c r="W28" s="528"/>
      <c r="X28" s="529"/>
      <c r="Y28" s="323"/>
      <c r="Z28" s="312">
        <f t="shared" si="13"/>
        <v>0</v>
      </c>
      <c r="AA28" s="316">
        <f t="shared" si="14"/>
        <v>0</v>
      </c>
    </row>
    <row r="29" spans="1:27" ht="77.25" thickBot="1" x14ac:dyDescent="0.45">
      <c r="A29" s="319" t="s">
        <v>945</v>
      </c>
      <c r="B29" s="320" t="s">
        <v>613</v>
      </c>
      <c r="C29" s="528"/>
      <c r="D29" s="528">
        <f>C29*20</f>
        <v>0</v>
      </c>
      <c r="E29" s="460">
        <f>D29*0.2</f>
        <v>0</v>
      </c>
      <c r="F29" s="324">
        <f>E29*0.8*1.01/20</f>
        <v>0</v>
      </c>
      <c r="G29" s="528">
        <f t="shared" si="10"/>
        <v>0</v>
      </c>
      <c r="H29" s="324" t="s">
        <v>18</v>
      </c>
      <c r="I29" s="528">
        <f t="shared" si="11"/>
        <v>0</v>
      </c>
      <c r="J29" s="324" t="s">
        <v>19</v>
      </c>
      <c r="K29" s="324"/>
      <c r="L29" s="324"/>
      <c r="M29" s="324">
        <f>F29*1008/8064</f>
        <v>0</v>
      </c>
      <c r="N29" s="324"/>
      <c r="O29" s="324"/>
      <c r="P29" s="324"/>
      <c r="Q29" s="324" t="s">
        <v>18</v>
      </c>
      <c r="R29" s="324"/>
      <c r="S29" s="324" t="s">
        <v>19</v>
      </c>
      <c r="T29" s="528">
        <v>5</v>
      </c>
      <c r="U29" s="324">
        <f>E29/272*60</f>
        <v>0</v>
      </c>
      <c r="V29" s="676"/>
      <c r="W29" s="528"/>
      <c r="X29" s="529"/>
      <c r="Y29" s="323"/>
      <c r="Z29" s="312">
        <f t="shared" si="13"/>
        <v>0</v>
      </c>
      <c r="AA29" s="316">
        <f t="shared" si="14"/>
        <v>0</v>
      </c>
    </row>
    <row r="30" spans="1:27" ht="52.5" thickBot="1" x14ac:dyDescent="0.45">
      <c r="A30" s="319" t="s">
        <v>945</v>
      </c>
      <c r="B30" s="320" t="s">
        <v>614</v>
      </c>
      <c r="C30" s="528"/>
      <c r="D30" s="533">
        <f>C30*12</f>
        <v>0</v>
      </c>
      <c r="E30" s="534">
        <f>D30*0.2</f>
        <v>0</v>
      </c>
      <c r="F30" s="321">
        <f>D30*22*0.0086/24.7</f>
        <v>0</v>
      </c>
      <c r="G30" s="533">
        <f t="shared" si="10"/>
        <v>0</v>
      </c>
      <c r="H30" s="321" t="s">
        <v>18</v>
      </c>
      <c r="I30" s="533">
        <f t="shared" si="11"/>
        <v>0</v>
      </c>
      <c r="J30" s="321" t="s">
        <v>19</v>
      </c>
      <c r="K30" s="321"/>
      <c r="L30" s="321"/>
      <c r="M30" s="321">
        <f>F30*3024/16128</f>
        <v>0</v>
      </c>
      <c r="N30" s="321"/>
      <c r="O30" s="321"/>
      <c r="P30" s="321"/>
      <c r="Q30" s="321" t="s">
        <v>18</v>
      </c>
      <c r="R30" s="321"/>
      <c r="S30" s="321" t="s">
        <v>19</v>
      </c>
      <c r="T30" s="528">
        <v>5</v>
      </c>
      <c r="U30" s="324">
        <f>E30/207*60</f>
        <v>0</v>
      </c>
      <c r="V30" s="676"/>
      <c r="W30" s="528"/>
      <c r="X30" s="529"/>
      <c r="Y30" s="323"/>
      <c r="Z30" s="312">
        <f t="shared" si="13"/>
        <v>0</v>
      </c>
      <c r="AA30" s="316">
        <f t="shared" si="14"/>
        <v>0</v>
      </c>
    </row>
    <row r="31" spans="1:27" ht="52.5" thickBot="1" x14ac:dyDescent="0.45">
      <c r="A31" s="319" t="s">
        <v>945</v>
      </c>
      <c r="B31" s="328" t="s">
        <v>615</v>
      </c>
      <c r="C31" s="528"/>
      <c r="D31" s="533">
        <f>C31*12</f>
        <v>0</v>
      </c>
      <c r="E31" s="534">
        <f>D31*0.2</f>
        <v>0</v>
      </c>
      <c r="F31" s="321">
        <f>D31*22*0.0086/24.7</f>
        <v>0</v>
      </c>
      <c r="G31" s="533">
        <f t="shared" si="10"/>
        <v>0</v>
      </c>
      <c r="H31" s="321" t="s">
        <v>18</v>
      </c>
      <c r="I31" s="533">
        <f t="shared" si="11"/>
        <v>0</v>
      </c>
      <c r="J31" s="321" t="s">
        <v>19</v>
      </c>
      <c r="K31" s="321"/>
      <c r="L31" s="321"/>
      <c r="M31" s="321">
        <f>F31*3024/16128</f>
        <v>0</v>
      </c>
      <c r="N31" s="321"/>
      <c r="O31" s="321"/>
      <c r="P31" s="321"/>
      <c r="Q31" s="321" t="s">
        <v>18</v>
      </c>
      <c r="R31" s="321"/>
      <c r="S31" s="321" t="s">
        <v>19</v>
      </c>
      <c r="T31" s="528">
        <v>5</v>
      </c>
      <c r="U31" s="324">
        <f>E31/207*60</f>
        <v>0</v>
      </c>
      <c r="V31" s="676"/>
      <c r="W31" s="528"/>
      <c r="X31" s="529"/>
      <c r="Y31" s="323"/>
      <c r="Z31" s="312">
        <f t="shared" si="13"/>
        <v>0</v>
      </c>
      <c r="AA31" s="316">
        <f t="shared" si="14"/>
        <v>0</v>
      </c>
    </row>
    <row r="32" spans="1:27" thickBot="1" x14ac:dyDescent="0.45">
      <c r="A32" s="329"/>
      <c r="B32" s="330"/>
      <c r="C32" s="536"/>
      <c r="D32" s="528"/>
      <c r="E32" s="460"/>
      <c r="F32" s="324"/>
      <c r="G32" s="528"/>
      <c r="H32" s="324"/>
      <c r="I32" s="528"/>
      <c r="J32" s="324"/>
      <c r="K32" s="324"/>
      <c r="L32" s="324"/>
      <c r="M32" s="324"/>
      <c r="N32" s="324"/>
      <c r="O32" s="324"/>
      <c r="P32" s="324"/>
      <c r="Q32" s="324"/>
      <c r="R32" s="324"/>
      <c r="S32" s="324"/>
      <c r="T32" s="528"/>
      <c r="U32" s="324"/>
      <c r="V32" s="676"/>
      <c r="W32" s="528"/>
      <c r="X32" s="529"/>
      <c r="Y32" s="323"/>
    </row>
    <row r="33" spans="1:27" thickBot="1" x14ac:dyDescent="0.45">
      <c r="A33" s="319"/>
      <c r="B33" s="331"/>
      <c r="C33" s="528"/>
      <c r="D33" s="528"/>
      <c r="E33" s="460"/>
      <c r="F33" s="324"/>
      <c r="G33" s="528"/>
      <c r="H33" s="324"/>
      <c r="I33" s="528"/>
      <c r="J33" s="324"/>
      <c r="K33" s="324"/>
      <c r="L33" s="324"/>
      <c r="M33" s="324"/>
      <c r="N33" s="324"/>
      <c r="O33" s="324"/>
      <c r="P33" s="324"/>
      <c r="Q33" s="324"/>
      <c r="R33" s="324"/>
      <c r="S33" s="324"/>
      <c r="T33" s="528"/>
      <c r="U33" s="324"/>
      <c r="V33" s="676"/>
      <c r="W33" s="528"/>
      <c r="X33" s="529"/>
      <c r="Y33" s="323"/>
    </row>
    <row r="34" spans="1:27" thickBot="1" x14ac:dyDescent="0.45">
      <c r="A34" s="829"/>
      <c r="B34" s="304" t="s">
        <v>36</v>
      </c>
      <c r="C34" s="537"/>
      <c r="D34" s="537"/>
      <c r="E34" s="503">
        <f>SUM((E8+E17+E18+E19+E22+E23+E25+E28+E29+E30+E31)*4.276%)</f>
        <v>0</v>
      </c>
      <c r="F34" s="538"/>
      <c r="G34" s="537"/>
      <c r="H34" s="324"/>
      <c r="I34" s="528"/>
      <c r="J34" s="324"/>
      <c r="K34" s="324"/>
      <c r="L34" s="324"/>
      <c r="M34" s="324"/>
      <c r="N34" s="324"/>
      <c r="O34" s="324"/>
      <c r="P34" s="324"/>
      <c r="Q34" s="324"/>
      <c r="R34" s="324"/>
      <c r="S34" s="324"/>
      <c r="T34" s="528"/>
      <c r="U34" s="324"/>
      <c r="V34" s="676"/>
      <c r="W34" s="528"/>
      <c r="X34" s="529"/>
      <c r="Y34" s="323"/>
    </row>
    <row r="35" spans="1:27" thickBot="1" x14ac:dyDescent="0.45">
      <c r="A35" s="829"/>
      <c r="B35" s="332" t="s">
        <v>37</v>
      </c>
      <c r="C35" s="537"/>
      <c r="D35" s="537"/>
      <c r="E35" s="496">
        <f>SUM(E8:E31)</f>
        <v>0</v>
      </c>
      <c r="F35" s="354">
        <f>SUM(F8:F31)</f>
        <v>0</v>
      </c>
      <c r="G35" s="537"/>
      <c r="H35" s="324"/>
      <c r="I35" s="528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528"/>
      <c r="U35" s="324"/>
      <c r="V35" s="676"/>
      <c r="W35" s="528"/>
      <c r="X35" s="529"/>
      <c r="Y35" s="323"/>
    </row>
    <row r="36" spans="1:27" thickBot="1" x14ac:dyDescent="0.45">
      <c r="A36" s="830"/>
      <c r="B36" s="329"/>
      <c r="C36" s="539"/>
      <c r="D36" s="539"/>
      <c r="E36" s="502"/>
      <c r="F36" s="333"/>
      <c r="G36" s="539"/>
      <c r="H36" s="333"/>
      <c r="I36" s="539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539"/>
      <c r="U36" s="333"/>
      <c r="V36" s="681"/>
      <c r="W36" s="539"/>
      <c r="X36" s="333"/>
      <c r="Y36" s="323"/>
    </row>
    <row r="37" spans="1:27" thickBot="1" x14ac:dyDescent="0.45">
      <c r="A37" s="830"/>
      <c r="B37" s="329"/>
      <c r="C37" s="539"/>
      <c r="D37" s="539"/>
      <c r="E37" s="502"/>
      <c r="F37" s="333"/>
      <c r="G37" s="539"/>
      <c r="H37" s="333"/>
      <c r="I37" s="539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539"/>
      <c r="U37" s="333"/>
      <c r="V37" s="681"/>
      <c r="W37" s="539"/>
      <c r="X37" s="333"/>
      <c r="Y37" s="323"/>
    </row>
    <row r="38" spans="1:27" ht="51.75" outlineLevel="1" thickBot="1" x14ac:dyDescent="0.45">
      <c r="A38" s="318">
        <v>3</v>
      </c>
      <c r="B38" s="302" t="s">
        <v>884</v>
      </c>
      <c r="C38" s="334"/>
      <c r="D38" s="334"/>
      <c r="E38" s="489"/>
      <c r="F38" s="335"/>
      <c r="G38" s="334"/>
      <c r="H38" s="335"/>
      <c r="I38" s="334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4"/>
      <c r="U38" s="335"/>
      <c r="V38" s="382"/>
      <c r="W38" s="335"/>
      <c r="X38" s="490"/>
      <c r="Y38" s="336"/>
    </row>
    <row r="39" spans="1:27" ht="52.5" outlineLevel="1" thickBot="1" x14ac:dyDescent="0.45">
      <c r="A39" s="319" t="s">
        <v>943</v>
      </c>
      <c r="B39" s="337" t="s">
        <v>616</v>
      </c>
      <c r="C39" s="528"/>
      <c r="D39" s="528"/>
      <c r="E39" s="460">
        <f>C39*4</f>
        <v>0</v>
      </c>
      <c r="F39" s="324">
        <f>E39*0.91*1.03/21</f>
        <v>0</v>
      </c>
      <c r="G39" s="528">
        <f>INT(M39)</f>
        <v>0</v>
      </c>
      <c r="H39" s="324" t="s">
        <v>18</v>
      </c>
      <c r="I39" s="528">
        <f>(M39-G39)*64</f>
        <v>0</v>
      </c>
      <c r="J39" s="324" t="s">
        <v>19</v>
      </c>
      <c r="K39" s="324"/>
      <c r="L39" s="324"/>
      <c r="M39" s="324">
        <f>F39*1890/16128</f>
        <v>0</v>
      </c>
      <c r="N39" s="324"/>
      <c r="O39" s="324"/>
      <c r="P39" s="324"/>
      <c r="Q39" s="324" t="s">
        <v>18</v>
      </c>
      <c r="R39" s="324"/>
      <c r="S39" s="324" t="s">
        <v>19</v>
      </c>
      <c r="T39" s="528">
        <v>5</v>
      </c>
      <c r="U39" s="324">
        <f>E39/272*60</f>
        <v>0</v>
      </c>
      <c r="V39" s="676"/>
      <c r="W39" s="528"/>
      <c r="X39" s="529"/>
      <c r="Y39" s="323"/>
      <c r="Z39" s="312">
        <f>E39/1.05</f>
        <v>0</v>
      </c>
      <c r="AA39" s="316">
        <f>SUM(Z39/16.6)</f>
        <v>0</v>
      </c>
    </row>
    <row r="40" spans="1:27" ht="52.5" outlineLevel="1" thickBot="1" x14ac:dyDescent="0.45">
      <c r="A40" s="319" t="s">
        <v>945</v>
      </c>
      <c r="B40" s="338" t="s">
        <v>617</v>
      </c>
      <c r="C40" s="528"/>
      <c r="D40" s="528"/>
      <c r="E40" s="460">
        <f>C40*4</f>
        <v>0</v>
      </c>
      <c r="F40" s="324">
        <f>E40*0.91*1.03/21</f>
        <v>0</v>
      </c>
      <c r="G40" s="528">
        <f>INT(M40)</f>
        <v>0</v>
      </c>
      <c r="H40" s="324" t="s">
        <v>18</v>
      </c>
      <c r="I40" s="528">
        <f>(M40-G40)*64</f>
        <v>0</v>
      </c>
      <c r="J40" s="324" t="s">
        <v>19</v>
      </c>
      <c r="K40" s="324"/>
      <c r="L40" s="324"/>
      <c r="M40" s="324">
        <f>F40*1890/16128</f>
        <v>0</v>
      </c>
      <c r="N40" s="324"/>
      <c r="O40" s="324"/>
      <c r="P40" s="324"/>
      <c r="Q40" s="324" t="s">
        <v>18</v>
      </c>
      <c r="R40" s="324"/>
      <c r="S40" s="324" t="s">
        <v>19</v>
      </c>
      <c r="T40" s="528">
        <v>5</v>
      </c>
      <c r="U40" s="324">
        <f>E40/272*60</f>
        <v>0</v>
      </c>
      <c r="V40" s="676"/>
      <c r="W40" s="528"/>
      <c r="X40" s="529"/>
      <c r="Y40" s="323"/>
      <c r="Z40" s="312">
        <f>E40/1.05</f>
        <v>0</v>
      </c>
      <c r="AA40" s="316">
        <f>SUM(E40/16.6)</f>
        <v>0</v>
      </c>
    </row>
    <row r="41" spans="1:27" outlineLevel="1" thickBot="1" x14ac:dyDescent="0.45">
      <c r="A41" s="329"/>
      <c r="B41" s="339"/>
      <c r="C41" s="536"/>
      <c r="D41" s="528"/>
      <c r="E41" s="460"/>
      <c r="F41" s="324"/>
      <c r="G41" s="528"/>
      <c r="H41" s="324"/>
      <c r="I41" s="528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528"/>
      <c r="U41" s="324"/>
      <c r="V41" s="676"/>
      <c r="W41" s="528"/>
      <c r="X41" s="529"/>
      <c r="Y41" s="323"/>
    </row>
    <row r="42" spans="1:27" outlineLevel="1" thickBot="1" x14ac:dyDescent="0.45">
      <c r="A42" s="319"/>
      <c r="B42" s="331"/>
      <c r="C42" s="528"/>
      <c r="D42" s="528"/>
      <c r="E42" s="460"/>
      <c r="F42" s="324"/>
      <c r="G42" s="528"/>
      <c r="H42" s="324"/>
      <c r="I42" s="528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528"/>
      <c r="U42" s="324"/>
      <c r="V42" s="676"/>
      <c r="W42" s="528"/>
      <c r="X42" s="529"/>
      <c r="Y42" s="323"/>
    </row>
    <row r="43" spans="1:27" ht="51.75" outlineLevel="1" thickBot="1" x14ac:dyDescent="0.45">
      <c r="A43" s="829"/>
      <c r="B43" s="304" t="s">
        <v>704</v>
      </c>
      <c r="C43" s="537"/>
      <c r="D43" s="537"/>
      <c r="E43" s="503">
        <f>SUM((E39+E40)*5%)</f>
        <v>0</v>
      </c>
      <c r="F43" s="538"/>
      <c r="G43" s="528"/>
      <c r="H43" s="324"/>
      <c r="I43" s="528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528"/>
      <c r="U43" s="324"/>
      <c r="V43" s="676"/>
      <c r="W43" s="528"/>
      <c r="X43" s="529"/>
      <c r="Y43" s="323"/>
    </row>
    <row r="44" spans="1:27" outlineLevel="1" thickBot="1" x14ac:dyDescent="0.45">
      <c r="A44" s="829"/>
      <c r="B44" s="332" t="s">
        <v>53</v>
      </c>
      <c r="C44" s="537"/>
      <c r="D44" s="537"/>
      <c r="E44" s="496">
        <f>SUM(E39:E40)</f>
        <v>0</v>
      </c>
      <c r="F44" s="354">
        <f>SUM(F39:F40)</f>
        <v>0</v>
      </c>
      <c r="G44" s="528"/>
      <c r="H44" s="324"/>
      <c r="I44" s="528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528"/>
      <c r="U44" s="324"/>
      <c r="V44" s="676"/>
      <c r="W44" s="528"/>
      <c r="X44" s="529"/>
      <c r="Y44" s="323"/>
    </row>
    <row r="45" spans="1:27" outlineLevel="1" thickBot="1" x14ac:dyDescent="0.45">
      <c r="A45" s="829"/>
      <c r="B45" s="319"/>
      <c r="C45" s="528"/>
      <c r="D45" s="528"/>
      <c r="E45" s="460"/>
      <c r="F45" s="324"/>
      <c r="G45" s="528"/>
      <c r="H45" s="324"/>
      <c r="I45" s="528"/>
      <c r="J45" s="324"/>
      <c r="K45" s="324"/>
      <c r="L45" s="324"/>
      <c r="M45" s="324"/>
      <c r="N45" s="324"/>
      <c r="O45" s="324"/>
      <c r="P45" s="324"/>
      <c r="Q45" s="324"/>
      <c r="R45" s="324"/>
      <c r="S45" s="324"/>
      <c r="T45" s="528"/>
      <c r="U45" s="324"/>
      <c r="V45" s="676"/>
      <c r="W45" s="528"/>
      <c r="X45" s="529"/>
      <c r="Y45" s="323"/>
    </row>
    <row r="46" spans="1:27" thickBot="1" x14ac:dyDescent="0.45">
      <c r="A46" s="829"/>
      <c r="B46" s="303" t="s">
        <v>946</v>
      </c>
      <c r="C46" s="537"/>
      <c r="D46" s="537"/>
      <c r="E46" s="496"/>
      <c r="F46" s="354"/>
      <c r="G46" s="537"/>
      <c r="H46" s="354"/>
      <c r="I46" s="537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537"/>
      <c r="U46" s="354"/>
      <c r="V46" s="682"/>
      <c r="W46" s="354"/>
      <c r="X46" s="540"/>
      <c r="Y46" s="301"/>
    </row>
    <row r="47" spans="1:27" thickBot="1" x14ac:dyDescent="0.45">
      <c r="A47" s="830"/>
      <c r="B47" s="340" t="s">
        <v>54</v>
      </c>
      <c r="C47" s="341"/>
      <c r="D47" s="341"/>
      <c r="E47" s="491"/>
      <c r="F47" s="342"/>
      <c r="G47" s="341"/>
      <c r="H47" s="342"/>
      <c r="I47" s="341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1"/>
      <c r="U47" s="342"/>
      <c r="V47" s="329"/>
      <c r="W47" s="342"/>
      <c r="X47" s="342"/>
      <c r="Y47" s="323"/>
    </row>
    <row r="48" spans="1:27" s="728" customFormat="1" ht="77.25" outlineLevel="1" thickBot="1" x14ac:dyDescent="0.45">
      <c r="A48" s="636" t="s">
        <v>722</v>
      </c>
      <c r="B48" s="811" t="s">
        <v>983</v>
      </c>
      <c r="C48" s="720">
        <f t="shared" ref="C48:C53" si="15">C8</f>
        <v>0</v>
      </c>
      <c r="D48" s="807">
        <f t="shared" ref="D48:D53" si="16">C48*5</f>
        <v>0</v>
      </c>
      <c r="E48" s="805">
        <f t="shared" ref="E48:E53" si="17">D48*0.5</f>
        <v>0</v>
      </c>
      <c r="F48" s="806">
        <f t="shared" ref="F48:F53" si="18">E48*0.76*1.034/20</f>
        <v>0</v>
      </c>
      <c r="G48" s="807">
        <f t="shared" ref="G48:G53" si="19">INT(M48)</f>
        <v>0</v>
      </c>
      <c r="H48" s="806" t="s">
        <v>18</v>
      </c>
      <c r="I48" s="807">
        <f t="shared" ref="I48:I53" si="20">(M48-G48)*64</f>
        <v>0</v>
      </c>
      <c r="J48" s="806" t="s">
        <v>19</v>
      </c>
      <c r="K48" s="806"/>
      <c r="L48" s="806"/>
      <c r="M48" s="806">
        <f t="shared" ref="M48:M59" si="21">F48*1008/8064</f>
        <v>0</v>
      </c>
      <c r="N48" s="806"/>
      <c r="O48" s="806"/>
      <c r="P48" s="806"/>
      <c r="Q48" s="722" t="s">
        <v>18</v>
      </c>
      <c r="R48" s="722"/>
      <c r="S48" s="722" t="s">
        <v>19</v>
      </c>
      <c r="T48" s="720">
        <v>2</v>
      </c>
      <c r="U48" s="722">
        <f t="shared" ref="U48:U63" si="22">E48/272*60</f>
        <v>0</v>
      </c>
      <c r="V48" s="724"/>
      <c r="W48" s="720"/>
      <c r="X48" s="725"/>
      <c r="Y48" s="736"/>
      <c r="Z48" s="727">
        <f t="shared" ref="Z48:Z68" si="23">E48/1.215</f>
        <v>0</v>
      </c>
      <c r="AA48" s="815">
        <f t="shared" ref="AA48:AA66" si="24">SUM(Z48/160)</f>
        <v>0</v>
      </c>
    </row>
    <row r="49" spans="1:27" s="728" customFormat="1" ht="77.25" outlineLevel="1" thickBot="1" x14ac:dyDescent="0.45">
      <c r="A49" s="636" t="s">
        <v>722</v>
      </c>
      <c r="B49" s="811" t="s">
        <v>984</v>
      </c>
      <c r="C49" s="720">
        <f t="shared" si="15"/>
        <v>0</v>
      </c>
      <c r="D49" s="807">
        <f t="shared" si="16"/>
        <v>0</v>
      </c>
      <c r="E49" s="805">
        <f t="shared" si="17"/>
        <v>0</v>
      </c>
      <c r="F49" s="806">
        <f t="shared" si="18"/>
        <v>0</v>
      </c>
      <c r="G49" s="807">
        <f t="shared" si="19"/>
        <v>0</v>
      </c>
      <c r="H49" s="806" t="s">
        <v>18</v>
      </c>
      <c r="I49" s="807">
        <f t="shared" si="20"/>
        <v>0</v>
      </c>
      <c r="J49" s="806" t="s">
        <v>19</v>
      </c>
      <c r="K49" s="806"/>
      <c r="L49" s="806"/>
      <c r="M49" s="806">
        <f t="shared" si="21"/>
        <v>0</v>
      </c>
      <c r="N49" s="806"/>
      <c r="O49" s="806"/>
      <c r="P49" s="806"/>
      <c r="Q49" s="722"/>
      <c r="R49" s="722"/>
      <c r="S49" s="722"/>
      <c r="T49" s="720">
        <v>2</v>
      </c>
      <c r="U49" s="722"/>
      <c r="V49" s="724"/>
      <c r="W49" s="720"/>
      <c r="X49" s="725"/>
      <c r="Y49" s="736"/>
      <c r="Z49" s="727">
        <f>E49/1.215</f>
        <v>0</v>
      </c>
      <c r="AA49" s="815">
        <f t="shared" si="24"/>
        <v>0</v>
      </c>
    </row>
    <row r="50" spans="1:27" s="728" customFormat="1" ht="77.25" outlineLevel="1" thickBot="1" x14ac:dyDescent="0.45">
      <c r="A50" s="636" t="s">
        <v>722</v>
      </c>
      <c r="B50" s="811" t="s">
        <v>985</v>
      </c>
      <c r="C50" s="720">
        <f t="shared" si="15"/>
        <v>0</v>
      </c>
      <c r="D50" s="807">
        <f t="shared" si="16"/>
        <v>0</v>
      </c>
      <c r="E50" s="805">
        <f t="shared" si="17"/>
        <v>0</v>
      </c>
      <c r="F50" s="806">
        <f t="shared" si="18"/>
        <v>0</v>
      </c>
      <c r="G50" s="807">
        <f t="shared" si="19"/>
        <v>0</v>
      </c>
      <c r="H50" s="806" t="s">
        <v>18</v>
      </c>
      <c r="I50" s="807">
        <f t="shared" si="20"/>
        <v>0</v>
      </c>
      <c r="J50" s="806" t="s">
        <v>19</v>
      </c>
      <c r="K50" s="806"/>
      <c r="L50" s="806"/>
      <c r="M50" s="806">
        <f t="shared" si="21"/>
        <v>0</v>
      </c>
      <c r="N50" s="806"/>
      <c r="O50" s="806"/>
      <c r="P50" s="806"/>
      <c r="Q50" s="722"/>
      <c r="R50" s="722"/>
      <c r="S50" s="722"/>
      <c r="T50" s="720">
        <v>2</v>
      </c>
      <c r="U50" s="722"/>
      <c r="V50" s="724"/>
      <c r="W50" s="720"/>
      <c r="X50" s="725"/>
      <c r="Y50" s="736"/>
      <c r="Z50" s="727">
        <f>E50/1.215</f>
        <v>0</v>
      </c>
      <c r="AA50" s="815">
        <f t="shared" si="24"/>
        <v>0</v>
      </c>
    </row>
    <row r="51" spans="1:27" ht="102.75" thickBot="1" x14ac:dyDescent="0.45">
      <c r="A51" s="319" t="s">
        <v>722</v>
      </c>
      <c r="B51" s="462" t="s">
        <v>1018</v>
      </c>
      <c r="C51" s="525">
        <f t="shared" si="15"/>
        <v>0</v>
      </c>
      <c r="D51" s="526">
        <f t="shared" si="16"/>
        <v>0</v>
      </c>
      <c r="E51" s="527">
        <f t="shared" si="17"/>
        <v>0</v>
      </c>
      <c r="F51" s="463">
        <f t="shared" si="18"/>
        <v>0</v>
      </c>
      <c r="G51" s="526">
        <f t="shared" si="19"/>
        <v>0</v>
      </c>
      <c r="H51" s="463" t="s">
        <v>18</v>
      </c>
      <c r="I51" s="526">
        <f t="shared" si="20"/>
        <v>0</v>
      </c>
      <c r="J51" s="463" t="s">
        <v>19</v>
      </c>
      <c r="K51" s="463"/>
      <c r="L51" s="463"/>
      <c r="M51" s="463">
        <f t="shared" si="21"/>
        <v>0</v>
      </c>
      <c r="N51" s="463"/>
      <c r="O51" s="463"/>
      <c r="P51" s="463"/>
      <c r="Q51" s="321" t="s">
        <v>18</v>
      </c>
      <c r="R51" s="321"/>
      <c r="S51" s="321" t="s">
        <v>19</v>
      </c>
      <c r="T51" s="528">
        <v>2</v>
      </c>
      <c r="U51" s="324">
        <f>E51/272*60</f>
        <v>0</v>
      </c>
      <c r="V51" s="676"/>
      <c r="W51" s="528"/>
      <c r="X51" s="529"/>
      <c r="Y51" s="323"/>
      <c r="Z51" s="312">
        <f>E51</f>
        <v>0</v>
      </c>
      <c r="AA51" s="416">
        <f t="shared" si="24"/>
        <v>0</v>
      </c>
    </row>
    <row r="52" spans="1:27" ht="102.75" thickBot="1" x14ac:dyDescent="0.45">
      <c r="A52" s="319" t="s">
        <v>722</v>
      </c>
      <c r="B52" s="462" t="s">
        <v>1019</v>
      </c>
      <c r="C52" s="525">
        <f t="shared" si="15"/>
        <v>0</v>
      </c>
      <c r="D52" s="526">
        <f t="shared" si="16"/>
        <v>0</v>
      </c>
      <c r="E52" s="527">
        <f t="shared" si="17"/>
        <v>0</v>
      </c>
      <c r="F52" s="463">
        <f t="shared" si="18"/>
        <v>0</v>
      </c>
      <c r="G52" s="526">
        <f t="shared" si="19"/>
        <v>0</v>
      </c>
      <c r="H52" s="463" t="s">
        <v>18</v>
      </c>
      <c r="I52" s="526">
        <f t="shared" si="20"/>
        <v>0</v>
      </c>
      <c r="J52" s="463" t="s">
        <v>19</v>
      </c>
      <c r="K52" s="463"/>
      <c r="L52" s="463"/>
      <c r="M52" s="463">
        <f t="shared" si="21"/>
        <v>0</v>
      </c>
      <c r="N52" s="463"/>
      <c r="O52" s="463"/>
      <c r="P52" s="463"/>
      <c r="Q52" s="321" t="s">
        <v>18</v>
      </c>
      <c r="R52" s="321"/>
      <c r="S52" s="321" t="s">
        <v>19</v>
      </c>
      <c r="T52" s="528">
        <v>2</v>
      </c>
      <c r="U52" s="324">
        <f>E52/272*60</f>
        <v>0</v>
      </c>
      <c r="V52" s="676"/>
      <c r="W52" s="528"/>
      <c r="X52" s="529"/>
      <c r="Y52" s="323"/>
      <c r="Z52" s="312">
        <f>E52/1.215</f>
        <v>0</v>
      </c>
      <c r="AA52" s="416">
        <f t="shared" si="24"/>
        <v>0</v>
      </c>
    </row>
    <row r="53" spans="1:27" ht="102.75" thickBot="1" x14ac:dyDescent="0.45">
      <c r="A53" s="319" t="s">
        <v>722</v>
      </c>
      <c r="B53" s="462" t="s">
        <v>1020</v>
      </c>
      <c r="C53" s="525">
        <f t="shared" si="15"/>
        <v>0</v>
      </c>
      <c r="D53" s="526">
        <f t="shared" si="16"/>
        <v>0</v>
      </c>
      <c r="E53" s="527">
        <f t="shared" si="17"/>
        <v>0</v>
      </c>
      <c r="F53" s="463">
        <f t="shared" si="18"/>
        <v>0</v>
      </c>
      <c r="G53" s="526">
        <f t="shared" si="19"/>
        <v>0</v>
      </c>
      <c r="H53" s="463" t="s">
        <v>18</v>
      </c>
      <c r="I53" s="526">
        <f t="shared" si="20"/>
        <v>0</v>
      </c>
      <c r="J53" s="463" t="s">
        <v>19</v>
      </c>
      <c r="K53" s="463"/>
      <c r="L53" s="463"/>
      <c r="M53" s="463">
        <f t="shared" si="21"/>
        <v>0</v>
      </c>
      <c r="N53" s="463"/>
      <c r="O53" s="463"/>
      <c r="P53" s="463"/>
      <c r="Q53" s="321" t="s">
        <v>18</v>
      </c>
      <c r="R53" s="321"/>
      <c r="S53" s="321" t="s">
        <v>19</v>
      </c>
      <c r="T53" s="528">
        <v>2</v>
      </c>
      <c r="U53" s="324">
        <f>E53/272*60</f>
        <v>0</v>
      </c>
      <c r="V53" s="676"/>
      <c r="W53" s="528"/>
      <c r="X53" s="529"/>
      <c r="Y53" s="323"/>
      <c r="Z53" s="312">
        <f>E53</f>
        <v>0</v>
      </c>
      <c r="AA53" s="416">
        <f t="shared" si="24"/>
        <v>0</v>
      </c>
    </row>
    <row r="54" spans="1:27" ht="77.25" thickBot="1" x14ac:dyDescent="0.45">
      <c r="A54" s="319" t="s">
        <v>722</v>
      </c>
      <c r="B54" s="320" t="s">
        <v>609</v>
      </c>
      <c r="C54" s="528">
        <f t="shared" ref="C54:C68" si="25">C17</f>
        <v>0</v>
      </c>
      <c r="D54" s="533"/>
      <c r="E54" s="534">
        <f t="shared" ref="E54:E60" si="26">C54*2</f>
        <v>0</v>
      </c>
      <c r="F54" s="321">
        <f t="shared" ref="F54:F60" si="27">E54*0.76*1.034/20</f>
        <v>0</v>
      </c>
      <c r="G54" s="533">
        <f t="shared" ref="G54:G68" si="28">INT(M54)</f>
        <v>0</v>
      </c>
      <c r="H54" s="321" t="s">
        <v>18</v>
      </c>
      <c r="I54" s="533">
        <f t="shared" ref="I54:I68" si="29">(M54-G54)*64</f>
        <v>0</v>
      </c>
      <c r="J54" s="321" t="s">
        <v>19</v>
      </c>
      <c r="K54" s="324"/>
      <c r="L54" s="324"/>
      <c r="M54" s="321">
        <f t="shared" si="21"/>
        <v>0</v>
      </c>
      <c r="N54" s="324"/>
      <c r="O54" s="324"/>
      <c r="P54" s="324"/>
      <c r="Q54" s="324" t="s">
        <v>18</v>
      </c>
      <c r="R54" s="324"/>
      <c r="S54" s="324" t="s">
        <v>19</v>
      </c>
      <c r="T54" s="528">
        <v>2</v>
      </c>
      <c r="U54" s="324">
        <f t="shared" si="22"/>
        <v>0</v>
      </c>
      <c r="V54" s="676"/>
      <c r="W54" s="528"/>
      <c r="X54" s="529"/>
      <c r="Y54" s="323"/>
      <c r="Z54" s="312">
        <f t="shared" si="23"/>
        <v>0</v>
      </c>
      <c r="AA54" s="316">
        <f t="shared" si="24"/>
        <v>0</v>
      </c>
    </row>
    <row r="55" spans="1:27" ht="77.25" thickBot="1" x14ac:dyDescent="0.45">
      <c r="A55" s="319" t="s">
        <v>722</v>
      </c>
      <c r="B55" s="320" t="s">
        <v>610</v>
      </c>
      <c r="C55" s="528">
        <f t="shared" si="25"/>
        <v>0</v>
      </c>
      <c r="D55" s="533"/>
      <c r="E55" s="534">
        <f t="shared" si="26"/>
        <v>0</v>
      </c>
      <c r="F55" s="321">
        <f t="shared" si="27"/>
        <v>0</v>
      </c>
      <c r="G55" s="533">
        <f t="shared" si="28"/>
        <v>0</v>
      </c>
      <c r="H55" s="321" t="s">
        <v>18</v>
      </c>
      <c r="I55" s="533">
        <f t="shared" si="29"/>
        <v>0</v>
      </c>
      <c r="J55" s="321" t="s">
        <v>19</v>
      </c>
      <c r="K55" s="324"/>
      <c r="L55" s="324"/>
      <c r="M55" s="321">
        <f t="shared" si="21"/>
        <v>0</v>
      </c>
      <c r="N55" s="324"/>
      <c r="O55" s="324"/>
      <c r="P55" s="324"/>
      <c r="Q55" s="324" t="s">
        <v>18</v>
      </c>
      <c r="R55" s="324"/>
      <c r="S55" s="324" t="s">
        <v>19</v>
      </c>
      <c r="T55" s="528">
        <v>2</v>
      </c>
      <c r="U55" s="324">
        <f t="shared" si="22"/>
        <v>0</v>
      </c>
      <c r="V55" s="676"/>
      <c r="W55" s="528"/>
      <c r="X55" s="529"/>
      <c r="Y55" s="323"/>
      <c r="Z55" s="312">
        <f t="shared" si="23"/>
        <v>0</v>
      </c>
      <c r="AA55" s="316">
        <f t="shared" si="24"/>
        <v>0</v>
      </c>
    </row>
    <row r="56" spans="1:27" thickBot="1" x14ac:dyDescent="0.45">
      <c r="A56" s="319" t="s">
        <v>722</v>
      </c>
      <c r="B56" s="320" t="s">
        <v>742</v>
      </c>
      <c r="C56" s="528">
        <f t="shared" si="25"/>
        <v>0</v>
      </c>
      <c r="D56" s="533"/>
      <c r="E56" s="534">
        <f t="shared" si="26"/>
        <v>0</v>
      </c>
      <c r="F56" s="321">
        <f t="shared" si="27"/>
        <v>0</v>
      </c>
      <c r="G56" s="533">
        <f t="shared" si="28"/>
        <v>0</v>
      </c>
      <c r="H56" s="321" t="s">
        <v>18</v>
      </c>
      <c r="I56" s="533">
        <f t="shared" si="29"/>
        <v>0</v>
      </c>
      <c r="J56" s="321" t="s">
        <v>19</v>
      </c>
      <c r="K56" s="324"/>
      <c r="L56" s="324"/>
      <c r="M56" s="321">
        <f t="shared" si="21"/>
        <v>0</v>
      </c>
      <c r="N56" s="324"/>
      <c r="O56" s="324"/>
      <c r="P56" s="324"/>
      <c r="Q56" s="324" t="s">
        <v>18</v>
      </c>
      <c r="R56" s="324"/>
      <c r="S56" s="324" t="s">
        <v>19</v>
      </c>
      <c r="T56" s="528">
        <v>2</v>
      </c>
      <c r="U56" s="324">
        <f t="shared" si="22"/>
        <v>0</v>
      </c>
      <c r="V56" s="676"/>
      <c r="W56" s="528"/>
      <c r="X56" s="529"/>
      <c r="Y56" s="323"/>
      <c r="Z56" s="312">
        <f t="shared" si="23"/>
        <v>0</v>
      </c>
      <c r="AA56" s="316">
        <f t="shared" si="24"/>
        <v>0</v>
      </c>
    </row>
    <row r="57" spans="1:27" ht="77.25" thickBot="1" x14ac:dyDescent="0.45">
      <c r="A57" s="319" t="s">
        <v>722</v>
      </c>
      <c r="B57" s="320" t="s">
        <v>1080</v>
      </c>
      <c r="C57" s="528">
        <f t="shared" si="25"/>
        <v>0</v>
      </c>
      <c r="D57" s="533"/>
      <c r="E57" s="534">
        <f>C57*2</f>
        <v>0</v>
      </c>
      <c r="F57" s="321">
        <f>E57*0.76*1.034/20</f>
        <v>0</v>
      </c>
      <c r="G57" s="533">
        <f>INT(M57)</f>
        <v>0</v>
      </c>
      <c r="H57" s="321" t="s">
        <v>18</v>
      </c>
      <c r="I57" s="533">
        <f>(M57-G57)*64</f>
        <v>0</v>
      </c>
      <c r="J57" s="321" t="s">
        <v>19</v>
      </c>
      <c r="K57" s="324"/>
      <c r="L57" s="324"/>
      <c r="M57" s="321">
        <f>F57*1008/8064</f>
        <v>0</v>
      </c>
      <c r="N57" s="324"/>
      <c r="O57" s="324"/>
      <c r="P57" s="324"/>
      <c r="Q57" s="324" t="s">
        <v>18</v>
      </c>
      <c r="R57" s="324"/>
      <c r="S57" s="324" t="s">
        <v>19</v>
      </c>
      <c r="T57" s="528">
        <v>2</v>
      </c>
      <c r="U57" s="324">
        <f>E57/272*60</f>
        <v>0</v>
      </c>
      <c r="V57" s="676"/>
      <c r="W57" s="528"/>
      <c r="X57" s="529"/>
      <c r="Y57" s="323"/>
      <c r="Z57" s="312">
        <f>E57/1.215</f>
        <v>0</v>
      </c>
      <c r="AA57" s="316">
        <f t="shared" si="24"/>
        <v>0</v>
      </c>
    </row>
    <row r="58" spans="1:27" ht="77.25" thickBot="1" x14ac:dyDescent="0.45">
      <c r="A58" s="319" t="s">
        <v>722</v>
      </c>
      <c r="B58" s="320" t="s">
        <v>842</v>
      </c>
      <c r="C58" s="528">
        <f t="shared" si="25"/>
        <v>0</v>
      </c>
      <c r="D58" s="533"/>
      <c r="E58" s="534">
        <f>C58*2</f>
        <v>0</v>
      </c>
      <c r="F58" s="321">
        <f>E58*0.76*1.034/20</f>
        <v>0</v>
      </c>
      <c r="G58" s="533">
        <f>INT(M58)</f>
        <v>0</v>
      </c>
      <c r="H58" s="321" t="s">
        <v>18</v>
      </c>
      <c r="I58" s="533">
        <f>(M58-G58)*64</f>
        <v>0</v>
      </c>
      <c r="J58" s="321" t="s">
        <v>19</v>
      </c>
      <c r="K58" s="324"/>
      <c r="L58" s="324"/>
      <c r="M58" s="321">
        <f t="shared" si="21"/>
        <v>0</v>
      </c>
      <c r="N58" s="324"/>
      <c r="O58" s="324"/>
      <c r="P58" s="324"/>
      <c r="Q58" s="324" t="s">
        <v>18</v>
      </c>
      <c r="R58" s="324"/>
      <c r="S58" s="324" t="s">
        <v>19</v>
      </c>
      <c r="T58" s="528">
        <v>2</v>
      </c>
      <c r="U58" s="324">
        <f>E58/272*60</f>
        <v>0</v>
      </c>
      <c r="V58" s="676"/>
      <c r="W58" s="528"/>
      <c r="X58" s="529"/>
      <c r="Y58" s="323"/>
      <c r="Z58" s="312">
        <f t="shared" si="23"/>
        <v>0</v>
      </c>
      <c r="AA58" s="316">
        <f t="shared" si="24"/>
        <v>0</v>
      </c>
    </row>
    <row r="59" spans="1:27" ht="51.75" thickBot="1" x14ac:dyDescent="0.45">
      <c r="A59" s="319" t="s">
        <v>722</v>
      </c>
      <c r="B59" s="320" t="s">
        <v>611</v>
      </c>
      <c r="C59" s="528">
        <f t="shared" si="25"/>
        <v>0</v>
      </c>
      <c r="D59" s="533"/>
      <c r="E59" s="534">
        <f t="shared" si="26"/>
        <v>0</v>
      </c>
      <c r="F59" s="321">
        <f t="shared" si="27"/>
        <v>0</v>
      </c>
      <c r="G59" s="533">
        <f t="shared" si="28"/>
        <v>0</v>
      </c>
      <c r="H59" s="321" t="s">
        <v>18</v>
      </c>
      <c r="I59" s="533">
        <f t="shared" si="29"/>
        <v>0</v>
      </c>
      <c r="J59" s="321" t="s">
        <v>19</v>
      </c>
      <c r="K59" s="324"/>
      <c r="L59" s="324"/>
      <c r="M59" s="321">
        <f t="shared" si="21"/>
        <v>0</v>
      </c>
      <c r="N59" s="324"/>
      <c r="O59" s="324"/>
      <c r="P59" s="324"/>
      <c r="Q59" s="324" t="s">
        <v>18</v>
      </c>
      <c r="R59" s="324"/>
      <c r="S59" s="324" t="s">
        <v>19</v>
      </c>
      <c r="T59" s="528">
        <v>2</v>
      </c>
      <c r="U59" s="324">
        <f t="shared" si="22"/>
        <v>0</v>
      </c>
      <c r="V59" s="676"/>
      <c r="W59" s="528"/>
      <c r="X59" s="529"/>
      <c r="Y59" s="323"/>
      <c r="Z59" s="312">
        <f t="shared" si="23"/>
        <v>0</v>
      </c>
      <c r="AA59" s="316">
        <f t="shared" si="24"/>
        <v>0</v>
      </c>
    </row>
    <row r="60" spans="1:27" ht="51.75" thickBot="1" x14ac:dyDescent="0.45">
      <c r="A60" s="319" t="s">
        <v>722</v>
      </c>
      <c r="B60" s="320" t="s">
        <v>612</v>
      </c>
      <c r="C60" s="528">
        <f t="shared" si="25"/>
        <v>0</v>
      </c>
      <c r="D60" s="528"/>
      <c r="E60" s="460">
        <f t="shared" si="26"/>
        <v>0</v>
      </c>
      <c r="F60" s="324">
        <f t="shared" si="27"/>
        <v>0</v>
      </c>
      <c r="G60" s="528">
        <f t="shared" si="28"/>
        <v>0</v>
      </c>
      <c r="H60" s="324" t="s">
        <v>18</v>
      </c>
      <c r="I60" s="528">
        <f t="shared" si="29"/>
        <v>0</v>
      </c>
      <c r="J60" s="324" t="s">
        <v>19</v>
      </c>
      <c r="K60" s="324"/>
      <c r="L60" s="324"/>
      <c r="M60" s="324">
        <f>F60*2016/16128</f>
        <v>0</v>
      </c>
      <c r="N60" s="324"/>
      <c r="O60" s="324"/>
      <c r="P60" s="324"/>
      <c r="Q60" s="324" t="s">
        <v>18</v>
      </c>
      <c r="R60" s="324"/>
      <c r="S60" s="324" t="s">
        <v>19</v>
      </c>
      <c r="T60" s="528">
        <v>2</v>
      </c>
      <c r="U60" s="324">
        <f t="shared" si="22"/>
        <v>0</v>
      </c>
      <c r="V60" s="676"/>
      <c r="W60" s="528"/>
      <c r="X60" s="529"/>
      <c r="Y60" s="323"/>
      <c r="Z60" s="312">
        <f t="shared" si="23"/>
        <v>0</v>
      </c>
      <c r="AA60" s="316">
        <f t="shared" si="24"/>
        <v>0</v>
      </c>
    </row>
    <row r="61" spans="1:27" s="327" customFormat="1" ht="53.25" thickBot="1" x14ac:dyDescent="0.45">
      <c r="A61" s="319" t="s">
        <v>722</v>
      </c>
      <c r="B61" s="325" t="s">
        <v>816</v>
      </c>
      <c r="C61" s="533">
        <f t="shared" si="25"/>
        <v>0</v>
      </c>
      <c r="D61" s="535">
        <f>C61*10</f>
        <v>0</v>
      </c>
      <c r="E61" s="534">
        <f>D61*0.35</f>
        <v>0</v>
      </c>
      <c r="F61" s="321">
        <f>E61*0.8*1/20</f>
        <v>0</v>
      </c>
      <c r="G61" s="533">
        <f>INT(M61)</f>
        <v>0</v>
      </c>
      <c r="H61" s="321" t="s">
        <v>18</v>
      </c>
      <c r="I61" s="533">
        <f>(M61-G61)*64</f>
        <v>0</v>
      </c>
      <c r="J61" s="321" t="s">
        <v>19</v>
      </c>
      <c r="K61" s="321"/>
      <c r="L61" s="321"/>
      <c r="M61" s="321">
        <f>F61*2016/16128</f>
        <v>0</v>
      </c>
      <c r="N61" s="321"/>
      <c r="O61" s="321"/>
      <c r="P61" s="321"/>
      <c r="Q61" s="321" t="s">
        <v>18</v>
      </c>
      <c r="R61" s="321"/>
      <c r="S61" s="321" t="s">
        <v>19</v>
      </c>
      <c r="T61" s="533">
        <v>2</v>
      </c>
      <c r="U61" s="321">
        <f>E61/272*60</f>
        <v>0</v>
      </c>
      <c r="V61" s="683"/>
      <c r="W61" s="533"/>
      <c r="X61" s="321"/>
      <c r="Y61" s="326"/>
      <c r="Z61" s="312">
        <f t="shared" si="23"/>
        <v>0</v>
      </c>
      <c r="AA61" s="316">
        <f t="shared" si="24"/>
        <v>0</v>
      </c>
    </row>
    <row r="62" spans="1:27" ht="77.25" thickBot="1" x14ac:dyDescent="0.45">
      <c r="A62" s="319" t="s">
        <v>722</v>
      </c>
      <c r="B62" s="320" t="s">
        <v>1039</v>
      </c>
      <c r="C62" s="528">
        <f t="shared" si="25"/>
        <v>0</v>
      </c>
      <c r="D62" s="533">
        <f>C62*16</f>
        <v>0</v>
      </c>
      <c r="E62" s="534">
        <f>D62*0.25</f>
        <v>0</v>
      </c>
      <c r="F62" s="321">
        <f>E62*0.8*1/20</f>
        <v>0</v>
      </c>
      <c r="G62" s="533">
        <f t="shared" si="28"/>
        <v>0</v>
      </c>
      <c r="H62" s="321" t="s">
        <v>18</v>
      </c>
      <c r="I62" s="533">
        <f t="shared" si="29"/>
        <v>0</v>
      </c>
      <c r="J62" s="321" t="s">
        <v>19</v>
      </c>
      <c r="K62" s="324"/>
      <c r="L62" s="324"/>
      <c r="M62" s="321">
        <f>F62*2016/16128</f>
        <v>0</v>
      </c>
      <c r="N62" s="324"/>
      <c r="O62" s="324"/>
      <c r="P62" s="324"/>
      <c r="Q62" s="324" t="s">
        <v>18</v>
      </c>
      <c r="R62" s="324"/>
      <c r="S62" s="324" t="s">
        <v>19</v>
      </c>
      <c r="T62" s="528">
        <v>2</v>
      </c>
      <c r="U62" s="324">
        <f t="shared" si="22"/>
        <v>0</v>
      </c>
      <c r="V62" s="676"/>
      <c r="W62" s="528"/>
      <c r="X62" s="529"/>
      <c r="Y62" s="323"/>
      <c r="Z62" s="312">
        <f t="shared" si="23"/>
        <v>0</v>
      </c>
      <c r="AA62" s="316">
        <f t="shared" si="24"/>
        <v>0</v>
      </c>
    </row>
    <row r="63" spans="1:27" ht="77.25" thickBot="1" x14ac:dyDescent="0.45">
      <c r="A63" s="319" t="s">
        <v>722</v>
      </c>
      <c r="B63" s="320" t="s">
        <v>986</v>
      </c>
      <c r="C63" s="528">
        <f t="shared" si="25"/>
        <v>0</v>
      </c>
      <c r="D63" s="533">
        <f>C63*12</f>
        <v>0</v>
      </c>
      <c r="E63" s="534">
        <f>D63*0.25</f>
        <v>0</v>
      </c>
      <c r="F63" s="321">
        <f>E63*0.8*1/20</f>
        <v>0</v>
      </c>
      <c r="G63" s="533">
        <f t="shared" si="28"/>
        <v>0</v>
      </c>
      <c r="H63" s="321" t="s">
        <v>18</v>
      </c>
      <c r="I63" s="533">
        <f t="shared" si="29"/>
        <v>0</v>
      </c>
      <c r="J63" s="321" t="s">
        <v>19</v>
      </c>
      <c r="K63" s="324"/>
      <c r="L63" s="324"/>
      <c r="M63" s="321">
        <f>F63*2016/16128</f>
        <v>0</v>
      </c>
      <c r="N63" s="324"/>
      <c r="O63" s="324"/>
      <c r="P63" s="324"/>
      <c r="Q63" s="324" t="s">
        <v>18</v>
      </c>
      <c r="R63" s="324"/>
      <c r="S63" s="324" t="s">
        <v>19</v>
      </c>
      <c r="T63" s="528">
        <v>2</v>
      </c>
      <c r="U63" s="324">
        <f t="shared" si="22"/>
        <v>0</v>
      </c>
      <c r="V63" s="676"/>
      <c r="W63" s="528"/>
      <c r="X63" s="529"/>
      <c r="Y63" s="323"/>
      <c r="Z63" s="312">
        <f t="shared" si="23"/>
        <v>0</v>
      </c>
      <c r="AA63" s="316">
        <f t="shared" si="24"/>
        <v>0</v>
      </c>
    </row>
    <row r="64" spans="1:27" ht="77.25" thickBot="1" x14ac:dyDescent="0.45">
      <c r="A64" s="319" t="s">
        <v>722</v>
      </c>
      <c r="B64" s="320" t="s">
        <v>987</v>
      </c>
      <c r="C64" s="528">
        <f t="shared" si="25"/>
        <v>0</v>
      </c>
      <c r="D64" s="533">
        <f>C64*12</f>
        <v>0</v>
      </c>
      <c r="E64" s="534">
        <f>D64*0.25</f>
        <v>0</v>
      </c>
      <c r="F64" s="321">
        <f>E64*0.8*1/20</f>
        <v>0</v>
      </c>
      <c r="G64" s="533">
        <f>INT(M64)</f>
        <v>0</v>
      </c>
      <c r="H64" s="321" t="s">
        <v>18</v>
      </c>
      <c r="I64" s="533">
        <f>(M64-G64)*64</f>
        <v>0</v>
      </c>
      <c r="J64" s="321" t="s">
        <v>19</v>
      </c>
      <c r="K64" s="324"/>
      <c r="L64" s="324"/>
      <c r="M64" s="321">
        <f>F64*2016/16128</f>
        <v>0</v>
      </c>
      <c r="N64" s="324"/>
      <c r="O64" s="324"/>
      <c r="P64" s="324"/>
      <c r="Q64" s="324" t="s">
        <v>18</v>
      </c>
      <c r="R64" s="324"/>
      <c r="S64" s="324" t="s">
        <v>19</v>
      </c>
      <c r="T64" s="528">
        <v>2</v>
      </c>
      <c r="U64" s="324">
        <f>E64/272*60</f>
        <v>0</v>
      </c>
      <c r="V64" s="676"/>
      <c r="W64" s="528"/>
      <c r="X64" s="529"/>
      <c r="Y64" s="323"/>
      <c r="Z64" s="312">
        <f>E64/1.215</f>
        <v>0</v>
      </c>
      <c r="AA64" s="316">
        <f t="shared" si="24"/>
        <v>0</v>
      </c>
    </row>
    <row r="65" spans="1:27" ht="77.25" thickBot="1" x14ac:dyDescent="0.45">
      <c r="A65" s="319" t="s">
        <v>722</v>
      </c>
      <c r="B65" s="708" t="s">
        <v>1079</v>
      </c>
      <c r="C65" s="586">
        <f t="shared" si="25"/>
        <v>0</v>
      </c>
      <c r="D65" s="533">
        <f>C65*7</f>
        <v>0</v>
      </c>
      <c r="E65" s="321">
        <f>D65*0.2</f>
        <v>0</v>
      </c>
      <c r="F65" s="321">
        <f>E65*10/225</f>
        <v>0</v>
      </c>
      <c r="G65" s="533">
        <f>INT(M65)</f>
        <v>0</v>
      </c>
      <c r="H65" s="321" t="s">
        <v>18</v>
      </c>
      <c r="I65" s="533">
        <f>(M65-G65)*64</f>
        <v>0</v>
      </c>
      <c r="J65" s="321" t="s">
        <v>19</v>
      </c>
      <c r="K65" s="324"/>
      <c r="L65" s="324"/>
      <c r="M65" s="321">
        <f>F65*1008/8064</f>
        <v>0</v>
      </c>
      <c r="N65" s="324"/>
      <c r="O65" s="324"/>
      <c r="P65" s="324"/>
      <c r="Q65" s="324" t="s">
        <v>18</v>
      </c>
      <c r="R65" s="324"/>
      <c r="S65" s="324" t="s">
        <v>19</v>
      </c>
      <c r="T65" s="528">
        <v>2</v>
      </c>
      <c r="U65" s="324">
        <f>E65/166*60</f>
        <v>0</v>
      </c>
      <c r="V65" s="676"/>
      <c r="W65" s="528"/>
      <c r="X65" s="529"/>
      <c r="Y65" s="323"/>
      <c r="Z65" s="312">
        <f t="shared" si="23"/>
        <v>0</v>
      </c>
      <c r="AA65" s="316">
        <f t="shared" si="24"/>
        <v>0</v>
      </c>
    </row>
    <row r="66" spans="1:27" ht="77.25" thickBot="1" x14ac:dyDescent="0.45">
      <c r="A66" s="319" t="s">
        <v>722</v>
      </c>
      <c r="B66" s="320" t="s">
        <v>613</v>
      </c>
      <c r="C66" s="528">
        <f t="shared" si="25"/>
        <v>0</v>
      </c>
      <c r="D66" s="528">
        <f>C66*20</f>
        <v>0</v>
      </c>
      <c r="E66" s="460">
        <f>D66*0.2</f>
        <v>0</v>
      </c>
      <c r="F66" s="324">
        <f>E66*0.8*1.01/20</f>
        <v>0</v>
      </c>
      <c r="G66" s="528">
        <f t="shared" si="28"/>
        <v>0</v>
      </c>
      <c r="H66" s="324" t="s">
        <v>18</v>
      </c>
      <c r="I66" s="528">
        <f t="shared" si="29"/>
        <v>0</v>
      </c>
      <c r="J66" s="324" t="s">
        <v>19</v>
      </c>
      <c r="K66" s="324"/>
      <c r="L66" s="324"/>
      <c r="M66" s="324">
        <f>F66*1008/8064</f>
        <v>0</v>
      </c>
      <c r="N66" s="324"/>
      <c r="O66" s="324"/>
      <c r="P66" s="324"/>
      <c r="Q66" s="324" t="s">
        <v>18</v>
      </c>
      <c r="R66" s="324"/>
      <c r="S66" s="324" t="s">
        <v>19</v>
      </c>
      <c r="T66" s="528">
        <v>2</v>
      </c>
      <c r="U66" s="324">
        <f>E66/272*60</f>
        <v>0</v>
      </c>
      <c r="V66" s="676"/>
      <c r="W66" s="528"/>
      <c r="X66" s="529"/>
      <c r="Y66" s="323"/>
      <c r="Z66" s="312">
        <f t="shared" si="23"/>
        <v>0</v>
      </c>
      <c r="AA66" s="316">
        <f t="shared" si="24"/>
        <v>0</v>
      </c>
    </row>
    <row r="67" spans="1:27" ht="51.75" thickBot="1" x14ac:dyDescent="0.45">
      <c r="A67" s="319" t="s">
        <v>722</v>
      </c>
      <c r="B67" s="320" t="s">
        <v>614</v>
      </c>
      <c r="C67" s="528">
        <f t="shared" si="25"/>
        <v>0</v>
      </c>
      <c r="D67" s="533">
        <f>C67*12</f>
        <v>0</v>
      </c>
      <c r="E67" s="534">
        <f>D67*0.2</f>
        <v>0</v>
      </c>
      <c r="F67" s="321">
        <f>D67*22*0.0086/24.7</f>
        <v>0</v>
      </c>
      <c r="G67" s="533">
        <f t="shared" si="28"/>
        <v>0</v>
      </c>
      <c r="H67" s="321" t="s">
        <v>18</v>
      </c>
      <c r="I67" s="533">
        <f t="shared" si="29"/>
        <v>0</v>
      </c>
      <c r="J67" s="321" t="s">
        <v>19</v>
      </c>
      <c r="K67" s="324"/>
      <c r="L67" s="324"/>
      <c r="M67" s="321">
        <f>F67*3024/16128</f>
        <v>0</v>
      </c>
      <c r="N67" s="324"/>
      <c r="O67" s="324"/>
      <c r="P67" s="324"/>
      <c r="Q67" s="324" t="s">
        <v>18</v>
      </c>
      <c r="R67" s="324"/>
      <c r="S67" s="324" t="s">
        <v>19</v>
      </c>
      <c r="T67" s="528">
        <v>2</v>
      </c>
      <c r="U67" s="324">
        <f>E67/207*60</f>
        <v>0</v>
      </c>
      <c r="V67" s="676"/>
      <c r="W67" s="528"/>
      <c r="X67" s="529"/>
      <c r="Y67" s="323"/>
      <c r="Z67" s="312">
        <f t="shared" si="23"/>
        <v>0</v>
      </c>
      <c r="AA67" s="316">
        <f>SUM(Z67/150)</f>
        <v>0</v>
      </c>
    </row>
    <row r="68" spans="1:27" ht="51.75" thickBot="1" x14ac:dyDescent="0.45">
      <c r="A68" s="319" t="s">
        <v>722</v>
      </c>
      <c r="B68" s="328" t="s">
        <v>615</v>
      </c>
      <c r="C68" s="528">
        <f t="shared" si="25"/>
        <v>0</v>
      </c>
      <c r="D68" s="533">
        <f>C68*12</f>
        <v>0</v>
      </c>
      <c r="E68" s="534">
        <f>D68*0.2</f>
        <v>0</v>
      </c>
      <c r="F68" s="321">
        <f>D68*22*0.0086/24.7</f>
        <v>0</v>
      </c>
      <c r="G68" s="533">
        <f t="shared" si="28"/>
        <v>0</v>
      </c>
      <c r="H68" s="321" t="s">
        <v>18</v>
      </c>
      <c r="I68" s="533">
        <f t="shared" si="29"/>
        <v>0</v>
      </c>
      <c r="J68" s="321" t="s">
        <v>19</v>
      </c>
      <c r="K68" s="324"/>
      <c r="L68" s="324"/>
      <c r="M68" s="321">
        <f>F68*3024/16128</f>
        <v>0</v>
      </c>
      <c r="N68" s="324"/>
      <c r="O68" s="324"/>
      <c r="P68" s="324"/>
      <c r="Q68" s="324" t="s">
        <v>18</v>
      </c>
      <c r="R68" s="324"/>
      <c r="S68" s="324" t="s">
        <v>19</v>
      </c>
      <c r="T68" s="528">
        <v>2</v>
      </c>
      <c r="U68" s="324">
        <f>E68/207*60</f>
        <v>0</v>
      </c>
      <c r="V68" s="676"/>
      <c r="W68" s="528"/>
      <c r="X68" s="529"/>
      <c r="Y68" s="323"/>
      <c r="Z68" s="312">
        <f t="shared" si="23"/>
        <v>0</v>
      </c>
      <c r="AA68" s="316">
        <f>SUM(Z68/150)</f>
        <v>0</v>
      </c>
    </row>
    <row r="69" spans="1:27" thickBot="1" x14ac:dyDescent="0.45">
      <c r="A69" s="329"/>
      <c r="B69" s="344"/>
      <c r="C69" s="536"/>
      <c r="D69" s="533"/>
      <c r="E69" s="534"/>
      <c r="F69" s="321"/>
      <c r="G69" s="533"/>
      <c r="H69" s="321"/>
      <c r="I69" s="533"/>
      <c r="J69" s="321"/>
      <c r="K69" s="324"/>
      <c r="L69" s="324"/>
      <c r="M69" s="321"/>
      <c r="N69" s="324"/>
      <c r="O69" s="324"/>
      <c r="P69" s="324"/>
      <c r="Q69" s="324"/>
      <c r="R69" s="324"/>
      <c r="S69" s="324"/>
      <c r="T69" s="528"/>
      <c r="U69" s="324"/>
      <c r="V69" s="676"/>
      <c r="W69" s="528"/>
      <c r="X69" s="529"/>
      <c r="Y69" s="323"/>
    </row>
    <row r="70" spans="1:27" thickBot="1" x14ac:dyDescent="0.45">
      <c r="A70" s="329"/>
      <c r="B70" s="344"/>
      <c r="C70" s="536"/>
      <c r="D70" s="533"/>
      <c r="E70" s="534"/>
      <c r="F70" s="321"/>
      <c r="G70" s="533"/>
      <c r="H70" s="321"/>
      <c r="I70" s="533"/>
      <c r="J70" s="321"/>
      <c r="K70" s="324"/>
      <c r="L70" s="324"/>
      <c r="M70" s="321"/>
      <c r="N70" s="324"/>
      <c r="O70" s="324"/>
      <c r="P70" s="324"/>
      <c r="Q70" s="324"/>
      <c r="R70" s="324"/>
      <c r="S70" s="324"/>
      <c r="T70" s="528"/>
      <c r="U70" s="324"/>
      <c r="V70" s="676"/>
      <c r="W70" s="528"/>
      <c r="X70" s="529"/>
      <c r="Y70" s="323"/>
    </row>
    <row r="71" spans="1:27" s="453" customFormat="1" thickBot="1" x14ac:dyDescent="0.45">
      <c r="A71" s="329"/>
      <c r="B71" s="904" t="s">
        <v>972</v>
      </c>
      <c r="C71" s="906" t="s">
        <v>973</v>
      </c>
      <c r="D71" s="906" t="s">
        <v>974</v>
      </c>
      <c r="E71" s="907"/>
      <c r="F71" s="450"/>
      <c r="G71" s="541"/>
      <c r="H71" s="450"/>
      <c r="I71" s="541"/>
      <c r="J71" s="450"/>
      <c r="K71" s="450"/>
      <c r="L71" s="450"/>
      <c r="M71" s="450"/>
      <c r="N71" s="450"/>
      <c r="O71" s="450"/>
      <c r="P71" s="450"/>
      <c r="Q71" s="450"/>
      <c r="R71" s="450"/>
      <c r="S71" s="450"/>
      <c r="T71" s="541"/>
      <c r="U71" s="450"/>
      <c r="V71" s="684"/>
      <c r="W71" s="541"/>
      <c r="X71" s="450"/>
      <c r="Y71" s="451"/>
      <c r="Z71" s="452"/>
      <c r="AA71" s="316"/>
    </row>
    <row r="72" spans="1:27" s="453" customFormat="1" ht="51.75" thickBot="1" x14ac:dyDescent="0.45">
      <c r="A72" s="329"/>
      <c r="B72" s="905"/>
      <c r="C72" s="907"/>
      <c r="D72" s="488" t="s">
        <v>975</v>
      </c>
      <c r="E72" s="455" t="s">
        <v>976</v>
      </c>
      <c r="F72" s="450"/>
      <c r="G72" s="541"/>
      <c r="H72" s="450"/>
      <c r="I72" s="541"/>
      <c r="J72" s="450"/>
      <c r="K72" s="450"/>
      <c r="L72" s="450"/>
      <c r="M72" s="450"/>
      <c r="N72" s="450"/>
      <c r="O72" s="450"/>
      <c r="P72" s="450"/>
      <c r="Q72" s="450"/>
      <c r="R72" s="450"/>
      <c r="S72" s="450"/>
      <c r="T72" s="541"/>
      <c r="U72" s="450"/>
      <c r="V72" s="684"/>
      <c r="W72" s="541"/>
      <c r="X72" s="450"/>
      <c r="Y72" s="451"/>
      <c r="Z72" s="452"/>
      <c r="AA72" s="316"/>
    </row>
    <row r="73" spans="1:27" s="453" customFormat="1" ht="79.5" thickBot="1" x14ac:dyDescent="0.45">
      <c r="A73" s="329"/>
      <c r="B73" s="475" t="str">
        <f t="shared" ref="B73:B78" si="30">B8</f>
        <v>Конфеты глазированные суфле с ароматом пломбира в молочном шоколаде "Машуля" 500гр 5шт</v>
      </c>
      <c r="C73" s="476">
        <f t="shared" ref="C73:C78" si="31">M8</f>
        <v>0</v>
      </c>
      <c r="D73" s="474">
        <f>C73*13</f>
        <v>0</v>
      </c>
      <c r="E73" s="455"/>
      <c r="F73" s="450"/>
      <c r="G73" s="541"/>
      <c r="H73" s="450"/>
      <c r="I73" s="541"/>
      <c r="J73" s="450"/>
      <c r="K73" s="450"/>
      <c r="L73" s="450"/>
      <c r="M73" s="450"/>
      <c r="N73" s="450"/>
      <c r="O73" s="450"/>
      <c r="P73" s="450"/>
      <c r="Q73" s="450"/>
      <c r="R73" s="450"/>
      <c r="S73" s="450"/>
      <c r="T73" s="541"/>
      <c r="U73" s="450"/>
      <c r="V73" s="684"/>
      <c r="W73" s="541"/>
      <c r="X73" s="450"/>
      <c r="Y73" s="451"/>
      <c r="Z73" s="452"/>
      <c r="AA73" s="316"/>
    </row>
    <row r="74" spans="1:27" s="453" customFormat="1" ht="79.5" thickBot="1" x14ac:dyDescent="0.45">
      <c r="A74" s="329"/>
      <c r="B74" s="475" t="str">
        <f t="shared" si="30"/>
        <v>Конфеты глазированные суфле с ароматом банана в молочном шоколаде "Машуля" 500гр 5шт</v>
      </c>
      <c r="C74" s="476">
        <f t="shared" si="31"/>
        <v>0</v>
      </c>
      <c r="D74" s="474">
        <f t="shared" ref="D74:D93" si="32">C74*13</f>
        <v>0</v>
      </c>
      <c r="E74" s="455"/>
      <c r="F74" s="450"/>
      <c r="G74" s="541"/>
      <c r="H74" s="450"/>
      <c r="I74" s="541"/>
      <c r="J74" s="450"/>
      <c r="K74" s="450"/>
      <c r="L74" s="450"/>
      <c r="M74" s="450"/>
      <c r="N74" s="450"/>
      <c r="O74" s="450"/>
      <c r="P74" s="450"/>
      <c r="Q74" s="450"/>
      <c r="R74" s="450"/>
      <c r="S74" s="450"/>
      <c r="T74" s="541"/>
      <c r="U74" s="450"/>
      <c r="V74" s="684"/>
      <c r="W74" s="541"/>
      <c r="X74" s="450"/>
      <c r="Y74" s="451"/>
      <c r="Z74" s="452"/>
      <c r="AA74" s="316"/>
    </row>
    <row r="75" spans="1:27" s="453" customFormat="1" ht="79.5" thickBot="1" x14ac:dyDescent="0.45">
      <c r="A75" s="329"/>
      <c r="B75" s="475" t="str">
        <f t="shared" si="30"/>
        <v>Конфеты глазированные суфле с ароматом ванили в молочном шоколаде "Машуля" 500гр 5шт</v>
      </c>
      <c r="C75" s="476">
        <f t="shared" si="31"/>
        <v>0</v>
      </c>
      <c r="D75" s="474">
        <f t="shared" si="32"/>
        <v>0</v>
      </c>
      <c r="E75" s="455"/>
      <c r="F75" s="450"/>
      <c r="G75" s="541"/>
      <c r="H75" s="450"/>
      <c r="I75" s="541"/>
      <c r="J75" s="450"/>
      <c r="K75" s="450"/>
      <c r="L75" s="450"/>
      <c r="M75" s="450"/>
      <c r="N75" s="450"/>
      <c r="O75" s="450"/>
      <c r="P75" s="450"/>
      <c r="Q75" s="450"/>
      <c r="R75" s="450"/>
      <c r="S75" s="450"/>
      <c r="T75" s="541"/>
      <c r="U75" s="450"/>
      <c r="V75" s="684"/>
      <c r="W75" s="541"/>
      <c r="X75" s="450"/>
      <c r="Y75" s="451"/>
      <c r="Z75" s="452"/>
      <c r="AA75" s="316"/>
    </row>
    <row r="76" spans="1:27" s="453" customFormat="1" ht="105.75" thickBot="1" x14ac:dyDescent="0.45">
      <c r="A76" s="329"/>
      <c r="B76" s="475" t="str">
        <f t="shared" si="30"/>
        <v>Конфеты глазированные суфле с ароматом пломбира в молочном шоколаде "Машуля" 500гр 5шт (со сгущенным молоком)</v>
      </c>
      <c r="C76" s="476">
        <f t="shared" si="31"/>
        <v>0</v>
      </c>
      <c r="D76" s="474">
        <f>C76*13</f>
        <v>0</v>
      </c>
      <c r="E76" s="455"/>
      <c r="F76" s="450"/>
      <c r="G76" s="541"/>
      <c r="H76" s="450"/>
      <c r="I76" s="541"/>
      <c r="J76" s="450"/>
      <c r="K76" s="450"/>
      <c r="L76" s="450"/>
      <c r="M76" s="450"/>
      <c r="N76" s="450"/>
      <c r="O76" s="450"/>
      <c r="P76" s="450"/>
      <c r="Q76" s="450"/>
      <c r="R76" s="450"/>
      <c r="S76" s="450"/>
      <c r="T76" s="541"/>
      <c r="U76" s="450"/>
      <c r="V76" s="684"/>
      <c r="W76" s="541"/>
      <c r="X76" s="450"/>
      <c r="Y76" s="451"/>
      <c r="Z76" s="452"/>
      <c r="AA76" s="316"/>
    </row>
    <row r="77" spans="1:27" s="453" customFormat="1" ht="105.75" thickBot="1" x14ac:dyDescent="0.45">
      <c r="A77" s="329"/>
      <c r="B77" s="475" t="str">
        <f t="shared" si="30"/>
        <v>Конфеты глазированные суфле с ароматом банана в молочном шоколаде "Машуля" 500гр 5шт (со сгущенным молоком)</v>
      </c>
      <c r="C77" s="476">
        <f t="shared" si="31"/>
        <v>0</v>
      </c>
      <c r="D77" s="474">
        <f>C77*13</f>
        <v>0</v>
      </c>
      <c r="E77" s="455"/>
      <c r="F77" s="450"/>
      <c r="G77" s="541"/>
      <c r="H77" s="450"/>
      <c r="I77" s="541"/>
      <c r="J77" s="450"/>
      <c r="K77" s="450"/>
      <c r="L77" s="450"/>
      <c r="M77" s="450"/>
      <c r="N77" s="450"/>
      <c r="O77" s="450"/>
      <c r="P77" s="450"/>
      <c r="Q77" s="450"/>
      <c r="R77" s="450"/>
      <c r="S77" s="450"/>
      <c r="T77" s="541"/>
      <c r="U77" s="450"/>
      <c r="V77" s="684"/>
      <c r="W77" s="541"/>
      <c r="X77" s="450"/>
      <c r="Y77" s="451"/>
      <c r="Z77" s="452"/>
      <c r="AA77" s="316"/>
    </row>
    <row r="78" spans="1:27" s="453" customFormat="1" ht="105.75" thickBot="1" x14ac:dyDescent="0.45">
      <c r="A78" s="329"/>
      <c r="B78" s="475" t="str">
        <f t="shared" si="30"/>
        <v>Конфеты глазированные суфле с ароматом ванили в молочном шоколаде "Машуля" 500гр 5шт (со сгущенным молоком)</v>
      </c>
      <c r="C78" s="476">
        <f t="shared" si="31"/>
        <v>0</v>
      </c>
      <c r="D78" s="474">
        <f>C78*13</f>
        <v>0</v>
      </c>
      <c r="E78" s="455"/>
      <c r="F78" s="450"/>
      <c r="G78" s="541"/>
      <c r="H78" s="450"/>
      <c r="I78" s="541"/>
      <c r="J78" s="450"/>
      <c r="K78" s="450"/>
      <c r="L78" s="450"/>
      <c r="M78" s="450"/>
      <c r="N78" s="450"/>
      <c r="O78" s="450"/>
      <c r="P78" s="450"/>
      <c r="Q78" s="450"/>
      <c r="R78" s="450"/>
      <c r="S78" s="450"/>
      <c r="T78" s="541"/>
      <c r="U78" s="450"/>
      <c r="V78" s="684"/>
      <c r="W78" s="541"/>
      <c r="X78" s="450"/>
      <c r="Y78" s="451"/>
      <c r="Z78" s="452"/>
      <c r="AA78" s="316"/>
    </row>
    <row r="79" spans="1:27" s="453" customFormat="1" ht="79.5" thickBot="1" x14ac:dyDescent="0.45">
      <c r="A79" s="329"/>
      <c r="B79" s="475" t="str">
        <f t="shared" ref="B79:B93" si="33">B17</f>
        <v>Конфеты глазированные суфле "Жизель"  с ароматом крем-брюле 2кг, кг</v>
      </c>
      <c r="C79" s="476">
        <f t="shared" ref="C79:C93" si="34">M17</f>
        <v>0</v>
      </c>
      <c r="D79" s="474">
        <f t="shared" si="32"/>
        <v>0</v>
      </c>
      <c r="E79" s="455"/>
      <c r="F79" s="450"/>
      <c r="G79" s="541"/>
      <c r="H79" s="450"/>
      <c r="I79" s="541"/>
      <c r="J79" s="450"/>
      <c r="K79" s="450"/>
      <c r="L79" s="450"/>
      <c r="M79" s="450"/>
      <c r="N79" s="450"/>
      <c r="O79" s="450"/>
      <c r="P79" s="450"/>
      <c r="Q79" s="450"/>
      <c r="R79" s="450"/>
      <c r="S79" s="450"/>
      <c r="T79" s="541"/>
      <c r="U79" s="450"/>
      <c r="V79" s="684"/>
      <c r="W79" s="541"/>
      <c r="X79" s="450"/>
      <c r="Y79" s="451"/>
      <c r="Z79" s="452"/>
      <c r="AA79" s="316"/>
    </row>
    <row r="80" spans="1:27" s="453" customFormat="1" ht="79.5" thickBot="1" x14ac:dyDescent="0.45">
      <c r="A80" s="329"/>
      <c r="B80" s="475" t="str">
        <f t="shared" si="33"/>
        <v>Конфеты глазированные суфле "Жизель"  с ароматом пломбира 2кг, кг</v>
      </c>
      <c r="C80" s="476">
        <f t="shared" si="34"/>
        <v>0</v>
      </c>
      <c r="D80" s="474">
        <f t="shared" si="32"/>
        <v>0</v>
      </c>
      <c r="E80" s="455"/>
      <c r="F80" s="450"/>
      <c r="G80" s="541"/>
      <c r="H80" s="450"/>
      <c r="I80" s="541"/>
      <c r="J80" s="450"/>
      <c r="K80" s="450"/>
      <c r="L80" s="450"/>
      <c r="M80" s="450"/>
      <c r="N80" s="450"/>
      <c r="O80" s="450"/>
      <c r="P80" s="450"/>
      <c r="Q80" s="450"/>
      <c r="R80" s="450"/>
      <c r="S80" s="450"/>
      <c r="T80" s="541"/>
      <c r="U80" s="450"/>
      <c r="V80" s="684"/>
      <c r="W80" s="541"/>
      <c r="X80" s="450"/>
      <c r="Y80" s="451"/>
      <c r="Z80" s="452"/>
      <c r="AA80" s="316"/>
    </row>
    <row r="81" spans="1:27" s="453" customFormat="1" thickBot="1" x14ac:dyDescent="0.45">
      <c r="A81" s="329"/>
      <c r="B81" s="475" t="str">
        <f t="shared" si="33"/>
        <v>Суфле "Жизель" ваниль 2кг, кг</v>
      </c>
      <c r="C81" s="476">
        <f t="shared" si="34"/>
        <v>0</v>
      </c>
      <c r="D81" s="474">
        <f t="shared" si="32"/>
        <v>0</v>
      </c>
      <c r="E81" s="455"/>
      <c r="F81" s="450"/>
      <c r="G81" s="541"/>
      <c r="H81" s="450"/>
      <c r="I81" s="541"/>
      <c r="J81" s="450"/>
      <c r="K81" s="450"/>
      <c r="L81" s="450"/>
      <c r="M81" s="450"/>
      <c r="N81" s="450"/>
      <c r="O81" s="450"/>
      <c r="P81" s="450"/>
      <c r="Q81" s="450"/>
      <c r="R81" s="450"/>
      <c r="S81" s="450"/>
      <c r="T81" s="541"/>
      <c r="U81" s="450"/>
      <c r="V81" s="684"/>
      <c r="W81" s="541"/>
      <c r="X81" s="450"/>
      <c r="Y81" s="451"/>
      <c r="Z81" s="452"/>
      <c r="AA81" s="316"/>
    </row>
    <row r="82" spans="1:27" s="453" customFormat="1" ht="104.25" customHeight="1" thickBot="1" x14ac:dyDescent="0.45">
      <c r="A82" s="329"/>
      <c r="B82" s="475" t="str">
        <f t="shared" si="33"/>
        <v>Конфеты «Sweet Queen» глазированные суфле с ароматом ванили в молочном шоколаде 2кг</v>
      </c>
      <c r="C82" s="476">
        <f t="shared" si="34"/>
        <v>0</v>
      </c>
      <c r="D82" s="474">
        <f>C82*13</f>
        <v>0</v>
      </c>
      <c r="E82" s="455"/>
      <c r="F82" s="450"/>
      <c r="G82" s="541"/>
      <c r="H82" s="450"/>
      <c r="I82" s="541"/>
      <c r="J82" s="450"/>
      <c r="K82" s="450"/>
      <c r="L82" s="450"/>
      <c r="M82" s="450"/>
      <c r="N82" s="450"/>
      <c r="O82" s="450"/>
      <c r="P82" s="450"/>
      <c r="Q82" s="450"/>
      <c r="R82" s="450"/>
      <c r="S82" s="450"/>
      <c r="T82" s="541"/>
      <c r="U82" s="450"/>
      <c r="V82" s="684"/>
      <c r="W82" s="541"/>
      <c r="X82" s="450"/>
      <c r="Y82" s="451"/>
      <c r="Z82" s="452"/>
      <c r="AA82" s="316"/>
    </row>
    <row r="83" spans="1:27" s="453" customFormat="1" ht="79.5" thickBot="1" x14ac:dyDescent="0.45">
      <c r="A83" s="329"/>
      <c r="B83" s="475" t="str">
        <f t="shared" si="33"/>
        <v>Конфеты глазированные суфле (незавернутые) "Жизель" с ароматом ванили 2 кг</v>
      </c>
      <c r="C83" s="476">
        <f t="shared" si="34"/>
        <v>0</v>
      </c>
      <c r="D83" s="474">
        <f t="shared" si="32"/>
        <v>0</v>
      </c>
      <c r="E83" s="492"/>
      <c r="F83" s="450"/>
      <c r="G83" s="541"/>
      <c r="H83" s="450"/>
      <c r="I83" s="541"/>
      <c r="J83" s="450"/>
      <c r="K83" s="450"/>
      <c r="L83" s="450"/>
      <c r="M83" s="450"/>
      <c r="N83" s="450"/>
      <c r="O83" s="450"/>
      <c r="P83" s="450"/>
      <c r="Q83" s="450"/>
      <c r="R83" s="450"/>
      <c r="S83" s="450"/>
      <c r="T83" s="541"/>
      <c r="U83" s="450"/>
      <c r="V83" s="684"/>
      <c r="W83" s="541"/>
      <c r="X83" s="450"/>
      <c r="Y83" s="451"/>
      <c r="Z83" s="452"/>
      <c r="AA83" s="316"/>
    </row>
    <row r="84" spans="1:27" s="453" customFormat="1" ht="53.25" thickBot="1" x14ac:dyDescent="0.45">
      <c r="A84" s="329"/>
      <c r="B84" s="475" t="str">
        <f t="shared" si="33"/>
        <v>Суфле "Жизель" 2кг (для подарков), кг</v>
      </c>
      <c r="C84" s="476">
        <f t="shared" si="34"/>
        <v>0</v>
      </c>
      <c r="D84" s="474">
        <f t="shared" si="32"/>
        <v>0</v>
      </c>
      <c r="E84" s="492"/>
      <c r="F84" s="450"/>
      <c r="G84" s="541"/>
      <c r="H84" s="450"/>
      <c r="I84" s="541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541"/>
      <c r="U84" s="450"/>
      <c r="V84" s="684"/>
      <c r="W84" s="541"/>
      <c r="X84" s="450"/>
      <c r="Y84" s="451"/>
      <c r="Z84" s="452"/>
      <c r="AA84" s="316"/>
    </row>
    <row r="85" spans="1:27" s="453" customFormat="1" ht="53.25" thickBot="1" x14ac:dyDescent="0.45">
      <c r="A85" s="329"/>
      <c r="B85" s="475" t="str">
        <f t="shared" si="33"/>
        <v>Суфле с ароматом ванили завернутые 2кг ( для подарков), кг</v>
      </c>
      <c r="C85" s="476">
        <f t="shared" si="34"/>
        <v>0</v>
      </c>
      <c r="D85" s="474">
        <f t="shared" si="32"/>
        <v>0</v>
      </c>
      <c r="E85" s="492"/>
      <c r="F85" s="450"/>
      <c r="G85" s="541"/>
      <c r="H85" s="450"/>
      <c r="I85" s="541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541"/>
      <c r="U85" s="450"/>
      <c r="V85" s="684"/>
      <c r="W85" s="541"/>
      <c r="X85" s="450"/>
      <c r="Y85" s="451"/>
      <c r="Z85" s="452"/>
      <c r="AA85" s="316"/>
    </row>
    <row r="86" spans="1:27" s="453" customFormat="1" ht="53.25" thickBot="1" x14ac:dyDescent="0.45">
      <c r="A86" s="329"/>
      <c r="B86" s="475" t="str">
        <f t="shared" si="33"/>
        <v>Конфеты суфле "ARO" глазир. ваниль 350г (пакет) (Метро)</v>
      </c>
      <c r="C86" s="476">
        <f t="shared" si="34"/>
        <v>0</v>
      </c>
      <c r="D86" s="474">
        <f t="shared" si="32"/>
        <v>0</v>
      </c>
      <c r="E86" s="492"/>
      <c r="F86" s="450"/>
      <c r="G86" s="541"/>
      <c r="H86" s="450"/>
      <c r="I86" s="541"/>
      <c r="J86" s="450"/>
      <c r="K86" s="450"/>
      <c r="L86" s="450"/>
      <c r="M86" s="450"/>
      <c r="N86" s="450"/>
      <c r="O86" s="450"/>
      <c r="P86" s="450"/>
      <c r="Q86" s="450"/>
      <c r="R86" s="450"/>
      <c r="S86" s="450"/>
      <c r="T86" s="541"/>
      <c r="U86" s="450"/>
      <c r="V86" s="684"/>
      <c r="W86" s="541"/>
      <c r="X86" s="450"/>
      <c r="Y86" s="451"/>
      <c r="Z86" s="452"/>
      <c r="AA86" s="316"/>
    </row>
    <row r="87" spans="1:27" s="453" customFormat="1" ht="79.5" thickBot="1" x14ac:dyDescent="0.45">
      <c r="A87" s="329"/>
      <c r="B87" s="475" t="str">
        <f t="shared" si="33"/>
        <v>Конфеты глазированные суфле "365 ДНЕЙ"  с ароматом ванили 250г 16шт, кг</v>
      </c>
      <c r="C87" s="476">
        <f t="shared" si="34"/>
        <v>0</v>
      </c>
      <c r="D87" s="474">
        <f t="shared" si="32"/>
        <v>0</v>
      </c>
      <c r="E87" s="492"/>
      <c r="F87" s="450"/>
      <c r="G87" s="541"/>
      <c r="H87" s="450"/>
      <c r="I87" s="541"/>
      <c r="J87" s="450"/>
      <c r="K87" s="450"/>
      <c r="L87" s="450"/>
      <c r="M87" s="450"/>
      <c r="N87" s="450"/>
      <c r="O87" s="450"/>
      <c r="P87" s="450"/>
      <c r="Q87" s="450"/>
      <c r="R87" s="450"/>
      <c r="S87" s="450"/>
      <c r="T87" s="541"/>
      <c r="U87" s="450"/>
      <c r="V87" s="684"/>
      <c r="W87" s="541"/>
      <c r="X87" s="450"/>
      <c r="Y87" s="451"/>
      <c r="Z87" s="452"/>
      <c r="AA87" s="316"/>
    </row>
    <row r="88" spans="1:27" s="453" customFormat="1" ht="105.75" thickBot="1" x14ac:dyDescent="0.45">
      <c r="A88" s="329"/>
      <c r="B88" s="475" t="str">
        <f t="shared" si="33"/>
        <v>Конфеты глазированные в шоколадной глазури суфле с ароматом ванили (БИЛЛА), 250г 12шт.</v>
      </c>
      <c r="C88" s="476">
        <f t="shared" si="34"/>
        <v>0</v>
      </c>
      <c r="D88" s="474">
        <f t="shared" si="32"/>
        <v>0</v>
      </c>
      <c r="E88" s="492"/>
      <c r="F88" s="450"/>
      <c r="G88" s="541"/>
      <c r="H88" s="450"/>
      <c r="I88" s="541"/>
      <c r="J88" s="450"/>
      <c r="K88" s="450"/>
      <c r="L88" s="450"/>
      <c r="M88" s="450"/>
      <c r="N88" s="450"/>
      <c r="O88" s="450"/>
      <c r="P88" s="450"/>
      <c r="Q88" s="450"/>
      <c r="R88" s="450"/>
      <c r="S88" s="450"/>
      <c r="T88" s="541"/>
      <c r="U88" s="450"/>
      <c r="V88" s="684"/>
      <c r="W88" s="541"/>
      <c r="X88" s="450"/>
      <c r="Y88" s="451"/>
      <c r="Z88" s="452"/>
      <c r="AA88" s="316"/>
    </row>
    <row r="89" spans="1:27" s="453" customFormat="1" ht="105.75" thickBot="1" x14ac:dyDescent="0.45">
      <c r="A89" s="329"/>
      <c r="B89" s="475" t="str">
        <f t="shared" si="33"/>
        <v>Конфеты глазированные в шоколадной глазури суфле со вкусом шоколада (БИЛЛА), 250 г   12 шт.</v>
      </c>
      <c r="C89" s="476">
        <f t="shared" si="34"/>
        <v>0</v>
      </c>
      <c r="D89" s="474">
        <f t="shared" si="32"/>
        <v>0</v>
      </c>
      <c r="E89" s="492"/>
      <c r="F89" s="450"/>
      <c r="G89" s="541"/>
      <c r="H89" s="450"/>
      <c r="I89" s="541"/>
      <c r="J89" s="450"/>
      <c r="K89" s="450"/>
      <c r="L89" s="450"/>
      <c r="M89" s="450"/>
      <c r="N89" s="450"/>
      <c r="O89" s="450"/>
      <c r="P89" s="450"/>
      <c r="Q89" s="450"/>
      <c r="R89" s="450"/>
      <c r="S89" s="450"/>
      <c r="T89" s="541"/>
      <c r="U89" s="450"/>
      <c r="V89" s="684"/>
      <c r="W89" s="541"/>
      <c r="X89" s="450"/>
      <c r="Y89" s="451"/>
      <c r="Z89" s="452"/>
      <c r="AA89" s="316"/>
    </row>
    <row r="90" spans="1:27" s="453" customFormat="1" ht="79.5" thickBot="1" x14ac:dyDescent="0.45">
      <c r="A90" s="329"/>
      <c r="B90" s="475" t="str">
        <f t="shared" si="33"/>
        <v>Конфеты глазированные суфле "Sweet Queen" с ароматом ванили 200гр 7шт, кг</v>
      </c>
      <c r="C90" s="476">
        <f t="shared" si="34"/>
        <v>0</v>
      </c>
      <c r="D90" s="474">
        <f t="shared" si="32"/>
        <v>0</v>
      </c>
      <c r="E90" s="492"/>
      <c r="F90" s="450"/>
      <c r="G90" s="541"/>
      <c r="H90" s="450"/>
      <c r="I90" s="541"/>
      <c r="J90" s="450"/>
      <c r="K90" s="450"/>
      <c r="L90" s="450"/>
      <c r="M90" s="450"/>
      <c r="N90" s="450"/>
      <c r="O90" s="450"/>
      <c r="P90" s="450"/>
      <c r="Q90" s="450"/>
      <c r="R90" s="450"/>
      <c r="S90" s="450"/>
      <c r="T90" s="541"/>
      <c r="U90" s="450"/>
      <c r="V90" s="684"/>
      <c r="W90" s="541"/>
      <c r="X90" s="450"/>
      <c r="Y90" s="451"/>
      <c r="Z90" s="452"/>
      <c r="AA90" s="316"/>
    </row>
    <row r="91" spans="1:27" s="453" customFormat="1" ht="79.5" thickBot="1" x14ac:dyDescent="0.45">
      <c r="A91" s="329"/>
      <c r="B91" s="475" t="str">
        <f t="shared" si="33"/>
        <v>Конфеты суфле "Жизель" глазированные с ароматом ванили 200гр 20 шт, кг</v>
      </c>
      <c r="C91" s="476">
        <f t="shared" si="34"/>
        <v>0</v>
      </c>
      <c r="D91" s="474">
        <f t="shared" si="32"/>
        <v>0</v>
      </c>
      <c r="E91" s="492"/>
      <c r="F91" s="450"/>
      <c r="G91" s="541"/>
      <c r="H91" s="450"/>
      <c r="I91" s="541"/>
      <c r="J91" s="450"/>
      <c r="K91" s="450"/>
      <c r="L91" s="450"/>
      <c r="M91" s="450"/>
      <c r="N91" s="450"/>
      <c r="O91" s="450"/>
      <c r="P91" s="450"/>
      <c r="Q91" s="450"/>
      <c r="R91" s="450"/>
      <c r="S91" s="450"/>
      <c r="T91" s="541"/>
      <c r="U91" s="450"/>
      <c r="V91" s="684"/>
      <c r="W91" s="541"/>
      <c r="X91" s="450"/>
      <c r="Y91" s="451"/>
      <c r="Z91" s="452"/>
      <c r="AA91" s="316"/>
    </row>
    <row r="92" spans="1:27" s="453" customFormat="1" ht="53.25" thickBot="1" x14ac:dyDescent="0.45">
      <c r="A92" s="329"/>
      <c r="B92" s="475" t="str">
        <f t="shared" si="33"/>
        <v>Суфле "Жизель" (дизайн Новогодний) ваниль 200 гр (12), кг</v>
      </c>
      <c r="C92" s="476">
        <f t="shared" si="34"/>
        <v>0</v>
      </c>
      <c r="D92" s="474">
        <f t="shared" si="32"/>
        <v>0</v>
      </c>
      <c r="E92" s="492"/>
      <c r="F92" s="450"/>
      <c r="G92" s="541"/>
      <c r="H92" s="450"/>
      <c r="I92" s="541"/>
      <c r="J92" s="450"/>
      <c r="K92" s="450"/>
      <c r="L92" s="450"/>
      <c r="M92" s="450"/>
      <c r="N92" s="450"/>
      <c r="O92" s="450"/>
      <c r="P92" s="450"/>
      <c r="Q92" s="450"/>
      <c r="R92" s="450"/>
      <c r="S92" s="450"/>
      <c r="T92" s="541"/>
      <c r="U92" s="450"/>
      <c r="V92" s="684"/>
      <c r="W92" s="541"/>
      <c r="X92" s="450"/>
      <c r="Y92" s="451"/>
      <c r="Z92" s="452"/>
      <c r="AA92" s="316"/>
    </row>
    <row r="93" spans="1:27" s="453" customFormat="1" ht="53.25" thickBot="1" x14ac:dyDescent="0.45">
      <c r="A93" s="329"/>
      <c r="B93" s="475" t="str">
        <f t="shared" si="33"/>
        <v>Суфле "Жизель" (дизайн 8 марта) ваниль 200 гр (12)</v>
      </c>
      <c r="C93" s="476">
        <f t="shared" si="34"/>
        <v>0</v>
      </c>
      <c r="D93" s="474">
        <f t="shared" si="32"/>
        <v>0</v>
      </c>
      <c r="E93" s="492"/>
      <c r="F93" s="450"/>
      <c r="G93" s="541"/>
      <c r="H93" s="450"/>
      <c r="I93" s="541"/>
      <c r="J93" s="450"/>
      <c r="K93" s="450"/>
      <c r="L93" s="450"/>
      <c r="M93" s="450"/>
      <c r="N93" s="450"/>
      <c r="O93" s="450"/>
      <c r="P93" s="450"/>
      <c r="Q93" s="450"/>
      <c r="R93" s="450"/>
      <c r="S93" s="450"/>
      <c r="T93" s="541"/>
      <c r="U93" s="450"/>
      <c r="V93" s="684"/>
      <c r="W93" s="541"/>
      <c r="X93" s="450"/>
      <c r="Y93" s="451"/>
      <c r="Z93" s="452"/>
      <c r="AA93" s="316"/>
    </row>
    <row r="94" spans="1:27" s="453" customFormat="1" ht="36" thickBot="1" x14ac:dyDescent="0.45">
      <c r="A94" s="356"/>
      <c r="B94" s="454" t="s">
        <v>977</v>
      </c>
      <c r="C94" s="542"/>
      <c r="D94" s="543">
        <f>SUM(D73:D93)</f>
        <v>0</v>
      </c>
      <c r="E94" s="493"/>
      <c r="F94" s="450"/>
      <c r="G94" s="541"/>
      <c r="H94" s="450"/>
      <c r="I94" s="541"/>
      <c r="J94" s="450"/>
      <c r="K94" s="450"/>
      <c r="L94" s="450"/>
      <c r="M94" s="450"/>
      <c r="N94" s="450"/>
      <c r="O94" s="450"/>
      <c r="P94" s="450"/>
      <c r="Q94" s="450"/>
      <c r="R94" s="450"/>
      <c r="S94" s="450"/>
      <c r="T94" s="541"/>
      <c r="U94" s="450"/>
      <c r="V94" s="684"/>
      <c r="W94" s="541"/>
      <c r="X94" s="450"/>
      <c r="Y94" s="451"/>
      <c r="Z94" s="452"/>
      <c r="AA94" s="316"/>
    </row>
    <row r="95" spans="1:27" thickBot="1" x14ac:dyDescent="0.45">
      <c r="A95" s="329"/>
      <c r="B95" s="344"/>
      <c r="C95" s="536"/>
      <c r="D95" s="533"/>
      <c r="E95" s="534"/>
      <c r="F95" s="321"/>
      <c r="G95" s="533"/>
      <c r="H95" s="321"/>
      <c r="I95" s="533"/>
      <c r="J95" s="321"/>
      <c r="K95" s="324"/>
      <c r="L95" s="324"/>
      <c r="M95" s="321"/>
      <c r="N95" s="324"/>
      <c r="O95" s="324"/>
      <c r="P95" s="324"/>
      <c r="Q95" s="324"/>
      <c r="R95" s="324"/>
      <c r="S95" s="324"/>
      <c r="T95" s="528"/>
      <c r="U95" s="324"/>
      <c r="V95" s="676"/>
      <c r="W95" s="528"/>
      <c r="X95" s="529"/>
      <c r="Y95" s="323"/>
    </row>
    <row r="96" spans="1:27" thickBot="1" x14ac:dyDescent="0.45">
      <c r="A96" s="329"/>
      <c r="B96" s="345"/>
      <c r="C96" s="536"/>
      <c r="D96" s="528"/>
      <c r="E96" s="460"/>
      <c r="F96" s="324"/>
      <c r="G96" s="528"/>
      <c r="H96" s="324"/>
      <c r="I96" s="528"/>
      <c r="J96" s="324"/>
      <c r="K96" s="324"/>
      <c r="L96" s="324"/>
      <c r="M96" s="324"/>
      <c r="N96" s="324"/>
      <c r="O96" s="324"/>
      <c r="P96" s="324"/>
      <c r="Q96" s="324"/>
      <c r="R96" s="324"/>
      <c r="S96" s="324"/>
      <c r="T96" s="528"/>
      <c r="U96" s="324"/>
      <c r="V96" s="676"/>
      <c r="W96" s="528"/>
      <c r="X96" s="529"/>
      <c r="Y96" s="323"/>
    </row>
    <row r="97" spans="1:27" thickBot="1" x14ac:dyDescent="0.45">
      <c r="A97" s="829"/>
      <c r="B97" s="332" t="s">
        <v>37</v>
      </c>
      <c r="C97" s="537"/>
      <c r="D97" s="537"/>
      <c r="E97" s="496">
        <f>SUM(E48:E68)</f>
        <v>0</v>
      </c>
      <c r="F97" s="354">
        <f>SUM(F48:F68)</f>
        <v>0</v>
      </c>
      <c r="G97" s="528"/>
      <c r="H97" s="324"/>
      <c r="I97" s="528"/>
      <c r="J97" s="324"/>
      <c r="K97" s="324"/>
      <c r="L97" s="324"/>
      <c r="M97" s="324"/>
      <c r="N97" s="324"/>
      <c r="O97" s="324"/>
      <c r="P97" s="324"/>
      <c r="Q97" s="324"/>
      <c r="R97" s="324"/>
      <c r="S97" s="324"/>
      <c r="T97" s="528"/>
      <c r="U97" s="324"/>
      <c r="V97" s="676"/>
      <c r="W97" s="528"/>
      <c r="X97" s="529"/>
      <c r="Y97" s="323"/>
    </row>
    <row r="98" spans="1:27" thickBot="1" x14ac:dyDescent="0.45">
      <c r="A98" s="830"/>
      <c r="B98" s="329"/>
      <c r="C98" s="539"/>
      <c r="D98" s="539"/>
      <c r="E98" s="502"/>
      <c r="F98" s="333"/>
      <c r="G98" s="539"/>
      <c r="H98" s="333"/>
      <c r="I98" s="539"/>
      <c r="J98" s="333"/>
      <c r="K98" s="333"/>
      <c r="L98" s="333"/>
      <c r="M98" s="333"/>
      <c r="N98" s="333"/>
      <c r="O98" s="333"/>
      <c r="P98" s="333"/>
      <c r="Q98" s="333"/>
      <c r="R98" s="333"/>
      <c r="S98" s="333"/>
      <c r="T98" s="539"/>
      <c r="U98" s="333"/>
      <c r="V98" s="681"/>
      <c r="W98" s="539"/>
      <c r="X98" s="333"/>
      <c r="Y98" s="323"/>
    </row>
    <row r="99" spans="1:27" thickBot="1" x14ac:dyDescent="0.45">
      <c r="A99" s="830"/>
      <c r="B99" s="329"/>
      <c r="C99" s="539"/>
      <c r="D99" s="539"/>
      <c r="E99" s="502"/>
      <c r="F99" s="333"/>
      <c r="G99" s="539"/>
      <c r="H99" s="333"/>
      <c r="I99" s="539"/>
      <c r="J99" s="333"/>
      <c r="K99" s="333"/>
      <c r="L99" s="333"/>
      <c r="M99" s="333"/>
      <c r="N99" s="333"/>
      <c r="O99" s="333"/>
      <c r="P99" s="333"/>
      <c r="Q99" s="333"/>
      <c r="R99" s="333"/>
      <c r="S99" s="333"/>
      <c r="T99" s="539"/>
      <c r="U99" s="333"/>
      <c r="V99" s="681"/>
      <c r="W99" s="539"/>
      <c r="X99" s="333"/>
      <c r="Y99" s="323"/>
    </row>
    <row r="100" spans="1:27" outlineLevel="1" thickBot="1" x14ac:dyDescent="0.45">
      <c r="A100" s="829"/>
      <c r="B100" s="302" t="s">
        <v>947</v>
      </c>
      <c r="C100" s="347"/>
      <c r="D100" s="347"/>
      <c r="E100" s="494"/>
      <c r="F100" s="348"/>
      <c r="G100" s="347"/>
      <c r="H100" s="348"/>
      <c r="I100" s="347"/>
      <c r="J100" s="348"/>
      <c r="K100" s="348"/>
      <c r="L100" s="348"/>
      <c r="M100" s="348"/>
      <c r="N100" s="348"/>
      <c r="O100" s="348"/>
      <c r="P100" s="348"/>
      <c r="Q100" s="348"/>
      <c r="R100" s="348"/>
      <c r="S100" s="348"/>
      <c r="T100" s="347"/>
      <c r="U100" s="348"/>
      <c r="V100" s="356"/>
      <c r="W100" s="348"/>
      <c r="X100" s="495"/>
      <c r="Y100" s="349"/>
    </row>
    <row r="101" spans="1:27" outlineLevel="1" thickBot="1" x14ac:dyDescent="0.45">
      <c r="A101" s="319" t="s">
        <v>722</v>
      </c>
      <c r="B101" s="337" t="s">
        <v>616</v>
      </c>
      <c r="C101" s="528">
        <f>C39</f>
        <v>0</v>
      </c>
      <c r="D101" s="528"/>
      <c r="E101" s="460">
        <f>C101*4</f>
        <v>0</v>
      </c>
      <c r="F101" s="324">
        <f>E101*0.91*1.03/21</f>
        <v>0</v>
      </c>
      <c r="G101" s="528">
        <f>INT(M101)</f>
        <v>0</v>
      </c>
      <c r="H101" s="324" t="s">
        <v>18</v>
      </c>
      <c r="I101" s="528">
        <f>(M101-G101)*64</f>
        <v>0</v>
      </c>
      <c r="J101" s="324" t="s">
        <v>19</v>
      </c>
      <c r="K101" s="324"/>
      <c r="L101" s="324"/>
      <c r="M101" s="324">
        <f>F101*1890/16128</f>
        <v>0</v>
      </c>
      <c r="N101" s="324"/>
      <c r="O101" s="324"/>
      <c r="P101" s="324"/>
      <c r="Q101" s="324" t="s">
        <v>18</v>
      </c>
      <c r="R101" s="324"/>
      <c r="S101" s="324" t="s">
        <v>19</v>
      </c>
      <c r="T101" s="528">
        <v>2</v>
      </c>
      <c r="U101" s="324">
        <f>E101/272*60</f>
        <v>0</v>
      </c>
      <c r="V101" s="676"/>
      <c r="W101" s="528"/>
      <c r="X101" s="529"/>
      <c r="Y101" s="323"/>
      <c r="Z101" s="312">
        <f>E101/1.05</f>
        <v>0</v>
      </c>
      <c r="AA101" s="316">
        <f>SUM(Z101/268)</f>
        <v>0</v>
      </c>
    </row>
    <row r="102" spans="1:27" outlineLevel="1" thickBot="1" x14ac:dyDescent="0.45">
      <c r="A102" s="319" t="s">
        <v>722</v>
      </c>
      <c r="B102" s="338" t="s">
        <v>617</v>
      </c>
      <c r="C102" s="528">
        <f>C40</f>
        <v>0</v>
      </c>
      <c r="D102" s="528"/>
      <c r="E102" s="460">
        <f>C102*4</f>
        <v>0</v>
      </c>
      <c r="F102" s="324">
        <f>E102*0.91*1.03/21</f>
        <v>0</v>
      </c>
      <c r="G102" s="528">
        <f>INT(M102)</f>
        <v>0</v>
      </c>
      <c r="H102" s="324" t="s">
        <v>18</v>
      </c>
      <c r="I102" s="528">
        <f>(M102-G102)*64</f>
        <v>0</v>
      </c>
      <c r="J102" s="324" t="s">
        <v>19</v>
      </c>
      <c r="K102" s="324"/>
      <c r="L102" s="324"/>
      <c r="M102" s="324">
        <f>F102*1890/16128</f>
        <v>0</v>
      </c>
      <c r="N102" s="324"/>
      <c r="O102" s="324"/>
      <c r="P102" s="324"/>
      <c r="Q102" s="324" t="s">
        <v>18</v>
      </c>
      <c r="R102" s="324"/>
      <c r="S102" s="324" t="s">
        <v>19</v>
      </c>
      <c r="T102" s="528">
        <v>2</v>
      </c>
      <c r="U102" s="324">
        <f>E102/272*60</f>
        <v>0</v>
      </c>
      <c r="V102" s="676"/>
      <c r="W102" s="528"/>
      <c r="X102" s="529"/>
      <c r="Y102" s="323"/>
      <c r="Z102" s="312">
        <f>E102/1.05</f>
        <v>0</v>
      </c>
      <c r="AA102" s="316">
        <f>SUM(Z102/268)</f>
        <v>0</v>
      </c>
    </row>
    <row r="103" spans="1:27" outlineLevel="1" thickBot="1" x14ac:dyDescent="0.45">
      <c r="A103" s="329"/>
      <c r="B103" s="339"/>
      <c r="C103" s="536"/>
      <c r="D103" s="528"/>
      <c r="E103" s="460"/>
      <c r="F103" s="324"/>
      <c r="G103" s="528"/>
      <c r="H103" s="324"/>
      <c r="I103" s="528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528"/>
      <c r="U103" s="324"/>
      <c r="V103" s="676"/>
      <c r="W103" s="528"/>
      <c r="X103" s="529"/>
      <c r="Y103" s="323"/>
    </row>
    <row r="104" spans="1:27" outlineLevel="1" thickBot="1" x14ac:dyDescent="0.45">
      <c r="A104" s="329"/>
      <c r="B104" s="339"/>
      <c r="C104" s="536"/>
      <c r="D104" s="528"/>
      <c r="E104" s="460"/>
      <c r="F104" s="324"/>
      <c r="G104" s="528"/>
      <c r="H104" s="324"/>
      <c r="I104" s="528"/>
      <c r="J104" s="324"/>
      <c r="K104" s="324"/>
      <c r="L104" s="324"/>
      <c r="M104" s="324"/>
      <c r="N104" s="324"/>
      <c r="O104" s="324"/>
      <c r="P104" s="324"/>
      <c r="Q104" s="324"/>
      <c r="R104" s="324"/>
      <c r="S104" s="324"/>
      <c r="T104" s="528"/>
      <c r="U104" s="324"/>
      <c r="V104" s="676"/>
      <c r="W104" s="528"/>
      <c r="X104" s="529"/>
      <c r="Y104" s="323"/>
    </row>
    <row r="105" spans="1:27" ht="51.75" outlineLevel="1" thickBot="1" x14ac:dyDescent="0.45">
      <c r="A105" s="829"/>
      <c r="B105" s="304" t="s">
        <v>704</v>
      </c>
      <c r="C105" s="537"/>
      <c r="D105" s="537"/>
      <c r="E105" s="503">
        <f>SUM((E101+E102)*0.04619)</f>
        <v>0</v>
      </c>
      <c r="F105" s="544"/>
      <c r="G105" s="528"/>
      <c r="H105" s="324"/>
      <c r="I105" s="528"/>
      <c r="J105" s="324"/>
      <c r="K105" s="324"/>
      <c r="L105" s="324"/>
      <c r="M105" s="324"/>
      <c r="N105" s="324"/>
      <c r="O105" s="324"/>
      <c r="P105" s="324"/>
      <c r="Q105" s="324"/>
      <c r="R105" s="324"/>
      <c r="S105" s="324"/>
      <c r="T105" s="528"/>
      <c r="U105" s="324"/>
      <c r="V105" s="676"/>
      <c r="W105" s="528"/>
      <c r="X105" s="529"/>
      <c r="Y105" s="323"/>
    </row>
    <row r="106" spans="1:27" outlineLevel="1" thickBot="1" x14ac:dyDescent="0.45">
      <c r="A106" s="829"/>
      <c r="B106" s="332" t="s">
        <v>53</v>
      </c>
      <c r="C106" s="537"/>
      <c r="D106" s="537"/>
      <c r="E106" s="496">
        <f>SUM(E101:E102)</f>
        <v>0</v>
      </c>
      <c r="F106" s="354">
        <f>SUM(F101:F102)</f>
        <v>0</v>
      </c>
      <c r="G106" s="528"/>
      <c r="H106" s="324"/>
      <c r="I106" s="528"/>
      <c r="J106" s="324"/>
      <c r="K106" s="324"/>
      <c r="L106" s="324"/>
      <c r="M106" s="324"/>
      <c r="N106" s="324"/>
      <c r="O106" s="324"/>
      <c r="P106" s="324"/>
      <c r="Q106" s="324"/>
      <c r="R106" s="324"/>
      <c r="S106" s="324"/>
      <c r="T106" s="528"/>
      <c r="U106" s="324"/>
      <c r="V106" s="676"/>
      <c r="W106" s="528"/>
      <c r="X106" s="529"/>
      <c r="Y106" s="323"/>
    </row>
    <row r="107" spans="1:27" outlineLevel="1" thickBot="1" x14ac:dyDescent="0.45">
      <c r="A107" s="829"/>
      <c r="B107" s="319"/>
      <c r="C107" s="528"/>
      <c r="D107" s="528"/>
      <c r="E107" s="460"/>
      <c r="F107" s="324"/>
      <c r="G107" s="528"/>
      <c r="H107" s="324"/>
      <c r="I107" s="528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528"/>
      <c r="U107" s="324"/>
      <c r="V107" s="676"/>
      <c r="W107" s="528"/>
      <c r="X107" s="529"/>
      <c r="Y107" s="323"/>
    </row>
    <row r="108" spans="1:27" outlineLevel="1" thickBot="1" x14ac:dyDescent="0.45">
      <c r="A108" s="829"/>
      <c r="B108" s="319"/>
      <c r="C108" s="528"/>
      <c r="D108" s="528"/>
      <c r="E108" s="460"/>
      <c r="F108" s="324"/>
      <c r="G108" s="528"/>
      <c r="H108" s="324"/>
      <c r="I108" s="528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528"/>
      <c r="U108" s="324"/>
      <c r="V108" s="676"/>
      <c r="W108" s="528"/>
      <c r="X108" s="529"/>
      <c r="Y108" s="323"/>
    </row>
    <row r="109" spans="1:27" thickBot="1" x14ac:dyDescent="0.45">
      <c r="A109" s="829"/>
      <c r="B109" s="304" t="s">
        <v>878</v>
      </c>
      <c r="C109" s="528"/>
      <c r="D109" s="528"/>
      <c r="E109" s="460"/>
      <c r="F109" s="324"/>
      <c r="G109" s="528"/>
      <c r="H109" s="324"/>
      <c r="I109" s="528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528"/>
      <c r="U109" s="324"/>
      <c r="V109" s="676"/>
      <c r="W109" s="528"/>
      <c r="X109" s="529"/>
      <c r="Y109" s="323"/>
    </row>
    <row r="110" spans="1:27" thickBot="1" x14ac:dyDescent="0.45">
      <c r="A110" s="829"/>
      <c r="B110" s="642" t="s">
        <v>1092</v>
      </c>
      <c r="C110" s="539"/>
      <c r="D110" s="539"/>
      <c r="E110" s="502"/>
      <c r="F110" s="333"/>
      <c r="G110" s="539"/>
      <c r="H110" s="333"/>
      <c r="I110" s="539"/>
      <c r="J110" s="333"/>
      <c r="K110" s="333"/>
      <c r="L110" s="333"/>
      <c r="M110" s="333"/>
      <c r="N110" s="333"/>
      <c r="O110" s="333"/>
      <c r="P110" s="333"/>
      <c r="Q110" s="333"/>
      <c r="R110" s="333"/>
      <c r="S110" s="333"/>
      <c r="T110" s="539"/>
      <c r="U110" s="333"/>
      <c r="V110" s="681"/>
      <c r="W110" s="539"/>
      <c r="X110" s="333"/>
      <c r="Y110" s="323"/>
    </row>
    <row r="111" spans="1:27" ht="51.75" thickBot="1" x14ac:dyDescent="0.45">
      <c r="A111" s="829"/>
      <c r="B111" s="796" t="s">
        <v>1171</v>
      </c>
      <c r="C111" s="539"/>
      <c r="D111" s="539"/>
      <c r="E111" s="502"/>
      <c r="F111" s="333"/>
      <c r="G111" s="539"/>
      <c r="H111" s="333"/>
      <c r="I111" s="539"/>
      <c r="J111" s="333"/>
      <c r="K111" s="333"/>
      <c r="L111" s="333"/>
      <c r="M111" s="333"/>
      <c r="N111" s="333"/>
      <c r="O111" s="333"/>
      <c r="P111" s="333"/>
      <c r="Q111" s="333"/>
      <c r="R111" s="333"/>
      <c r="S111" s="333"/>
      <c r="T111" s="539"/>
      <c r="U111" s="333"/>
      <c r="V111" s="681"/>
      <c r="W111" s="539"/>
      <c r="X111" s="333"/>
      <c r="Y111" s="323"/>
    </row>
    <row r="112" spans="1:27" s="453" customFormat="1" ht="51.75" thickBot="1" x14ac:dyDescent="0.45">
      <c r="A112" s="795"/>
      <c r="B112" s="798" t="s">
        <v>1180</v>
      </c>
      <c r="C112" s="794"/>
      <c r="D112" s="626">
        <f>C112*36</f>
        <v>0</v>
      </c>
      <c r="E112" s="358">
        <f>C112*4.68</f>
        <v>0</v>
      </c>
      <c r="F112" s="627">
        <f>E112/143.57</f>
        <v>0</v>
      </c>
      <c r="G112" s="782"/>
      <c r="H112" s="358"/>
      <c r="I112" s="782"/>
      <c r="J112" s="630"/>
      <c r="K112" s="630"/>
      <c r="L112" s="630"/>
      <c r="M112" s="627"/>
      <c r="N112" s="631"/>
      <c r="O112" s="631"/>
      <c r="P112" s="631"/>
      <c r="Q112" s="783"/>
      <c r="R112" s="631"/>
      <c r="S112" s="631"/>
      <c r="T112" s="784">
        <v>5</v>
      </c>
      <c r="U112" s="631"/>
      <c r="V112" s="631"/>
      <c r="W112" s="784"/>
      <c r="X112" s="785"/>
      <c r="Y112" s="786"/>
      <c r="Z112" s="452"/>
      <c r="AA112" s="787">
        <f t="shared" ref="AA112:AA119" si="35">D112/(22*60)</f>
        <v>0</v>
      </c>
    </row>
    <row r="113" spans="1:27" s="453" customFormat="1" ht="77.25" thickBot="1" x14ac:dyDescent="0.45">
      <c r="A113" s="795"/>
      <c r="B113" s="798" t="s">
        <v>1198</v>
      </c>
      <c r="C113" s="794"/>
      <c r="D113" s="626">
        <f>C113*24</f>
        <v>0</v>
      </c>
      <c r="E113" s="358">
        <f>D113*0.11</f>
        <v>0</v>
      </c>
      <c r="F113" s="627">
        <f t="shared" ref="F113:F119" si="36">E113*0.63636/146.75</f>
        <v>0</v>
      </c>
      <c r="G113" s="782"/>
      <c r="H113" s="358"/>
      <c r="I113" s="782"/>
      <c r="J113" s="630"/>
      <c r="K113" s="630"/>
      <c r="L113" s="630"/>
      <c r="M113" s="627"/>
      <c r="N113" s="631"/>
      <c r="O113" s="631"/>
      <c r="P113" s="631"/>
      <c r="Q113" s="783"/>
      <c r="R113" s="631"/>
      <c r="S113" s="631"/>
      <c r="T113" s="784">
        <v>5</v>
      </c>
      <c r="U113" s="631"/>
      <c r="V113" s="631"/>
      <c r="W113" s="784"/>
      <c r="X113" s="785"/>
      <c r="Y113" s="786"/>
      <c r="Z113" s="452"/>
      <c r="AA113" s="787">
        <f t="shared" si="35"/>
        <v>0</v>
      </c>
    </row>
    <row r="114" spans="1:27" s="453" customFormat="1" ht="77.25" thickBot="1" x14ac:dyDescent="0.45">
      <c r="A114" s="795"/>
      <c r="B114" s="798" t="s">
        <v>1199</v>
      </c>
      <c r="C114" s="794"/>
      <c r="D114" s="626">
        <f>C114*24</f>
        <v>0</v>
      </c>
      <c r="E114" s="358">
        <f>D114*0.11</f>
        <v>0</v>
      </c>
      <c r="F114" s="627">
        <f t="shared" si="36"/>
        <v>0</v>
      </c>
      <c r="G114" s="782"/>
      <c r="H114" s="358"/>
      <c r="I114" s="782"/>
      <c r="J114" s="630"/>
      <c r="K114" s="630"/>
      <c r="L114" s="630"/>
      <c r="M114" s="627"/>
      <c r="N114" s="631"/>
      <c r="O114" s="631"/>
      <c r="P114" s="631"/>
      <c r="Q114" s="783"/>
      <c r="R114" s="631"/>
      <c r="S114" s="631"/>
      <c r="T114" s="784">
        <v>5</v>
      </c>
      <c r="U114" s="631"/>
      <c r="V114" s="631"/>
      <c r="W114" s="784"/>
      <c r="X114" s="785"/>
      <c r="Y114" s="786"/>
      <c r="Z114" s="452"/>
      <c r="AA114" s="787">
        <f t="shared" si="35"/>
        <v>0</v>
      </c>
    </row>
    <row r="115" spans="1:27" s="453" customFormat="1" ht="77.25" thickBot="1" x14ac:dyDescent="0.45">
      <c r="A115" s="795"/>
      <c r="B115" s="798" t="s">
        <v>1200</v>
      </c>
      <c r="C115" s="794"/>
      <c r="D115" s="626">
        <f>C115*24</f>
        <v>0</v>
      </c>
      <c r="E115" s="358">
        <f>D115*0.11</f>
        <v>0</v>
      </c>
      <c r="F115" s="627">
        <f t="shared" si="36"/>
        <v>0</v>
      </c>
      <c r="G115" s="782"/>
      <c r="H115" s="358"/>
      <c r="I115" s="782"/>
      <c r="J115" s="630"/>
      <c r="K115" s="630"/>
      <c r="L115" s="630"/>
      <c r="M115" s="627"/>
      <c r="N115" s="631"/>
      <c r="O115" s="631"/>
      <c r="P115" s="631"/>
      <c r="Q115" s="783"/>
      <c r="R115" s="631"/>
      <c r="S115" s="631"/>
      <c r="T115" s="784">
        <v>5</v>
      </c>
      <c r="U115" s="631"/>
      <c r="V115" s="631"/>
      <c r="W115" s="784"/>
      <c r="X115" s="785"/>
      <c r="Y115" s="786"/>
      <c r="Z115" s="452"/>
      <c r="AA115" s="787">
        <f t="shared" si="35"/>
        <v>0</v>
      </c>
    </row>
    <row r="116" spans="1:27" s="453" customFormat="1" ht="51.75" thickBot="1" x14ac:dyDescent="0.45">
      <c r="A116" s="795"/>
      <c r="B116" s="878" t="s">
        <v>1210</v>
      </c>
      <c r="C116" s="794"/>
      <c r="D116" s="626">
        <f>C116*36</f>
        <v>0</v>
      </c>
      <c r="E116" s="358">
        <f>D116*0.11</f>
        <v>0</v>
      </c>
      <c r="F116" s="627">
        <f>E116*0.63636/146.75</f>
        <v>0</v>
      </c>
      <c r="G116" s="782"/>
      <c r="H116" s="358"/>
      <c r="I116" s="782"/>
      <c r="J116" s="630"/>
      <c r="K116" s="630"/>
      <c r="L116" s="630"/>
      <c r="M116" s="627"/>
      <c r="N116" s="631"/>
      <c r="O116" s="631"/>
      <c r="P116" s="631"/>
      <c r="Q116" s="783"/>
      <c r="R116" s="631"/>
      <c r="S116" s="631"/>
      <c r="T116" s="784">
        <v>5</v>
      </c>
      <c r="U116" s="631"/>
      <c r="V116" s="631"/>
      <c r="W116" s="784"/>
      <c r="X116" s="785"/>
      <c r="Y116" s="786"/>
      <c r="Z116" s="452"/>
      <c r="AA116" s="787">
        <f t="shared" si="35"/>
        <v>0</v>
      </c>
    </row>
    <row r="117" spans="1:27" s="453" customFormat="1" ht="77.25" thickBot="1" x14ac:dyDescent="0.45">
      <c r="A117" s="795"/>
      <c r="B117" s="798" t="s">
        <v>1172</v>
      </c>
      <c r="C117" s="794"/>
      <c r="D117" s="626">
        <f>C117*10</f>
        <v>0</v>
      </c>
      <c r="E117" s="358">
        <f>C117*1.1</f>
        <v>0</v>
      </c>
      <c r="F117" s="627">
        <f t="shared" si="36"/>
        <v>0</v>
      </c>
      <c r="G117" s="782"/>
      <c r="H117" s="358"/>
      <c r="I117" s="782"/>
      <c r="J117" s="630"/>
      <c r="K117" s="630"/>
      <c r="L117" s="630"/>
      <c r="M117" s="627"/>
      <c r="N117" s="631"/>
      <c r="O117" s="631"/>
      <c r="P117" s="631"/>
      <c r="Q117" s="783"/>
      <c r="R117" s="631"/>
      <c r="S117" s="631"/>
      <c r="T117" s="784">
        <v>5</v>
      </c>
      <c r="U117" s="631"/>
      <c r="V117" s="631"/>
      <c r="W117" s="784"/>
      <c r="X117" s="785"/>
      <c r="Y117" s="786"/>
      <c r="Z117" s="452"/>
      <c r="AA117" s="787">
        <f t="shared" si="35"/>
        <v>0</v>
      </c>
    </row>
    <row r="118" spans="1:27" s="453" customFormat="1" ht="83.25" customHeight="1" thickBot="1" x14ac:dyDescent="0.45">
      <c r="A118" s="795"/>
      <c r="B118" s="798" t="s">
        <v>1173</v>
      </c>
      <c r="C118" s="794"/>
      <c r="D118" s="626">
        <f>C118*10</f>
        <v>0</v>
      </c>
      <c r="E118" s="358">
        <f>C118*1.1</f>
        <v>0</v>
      </c>
      <c r="F118" s="627">
        <f t="shared" si="36"/>
        <v>0</v>
      </c>
      <c r="G118" s="782"/>
      <c r="H118" s="358"/>
      <c r="I118" s="782"/>
      <c r="J118" s="630"/>
      <c r="K118" s="630"/>
      <c r="L118" s="630"/>
      <c r="M118" s="627"/>
      <c r="N118" s="631"/>
      <c r="O118" s="631"/>
      <c r="P118" s="631"/>
      <c r="Q118" s="783"/>
      <c r="R118" s="631"/>
      <c r="S118" s="631"/>
      <c r="T118" s="784">
        <v>5</v>
      </c>
      <c r="U118" s="631"/>
      <c r="V118" s="631"/>
      <c r="W118" s="784"/>
      <c r="X118" s="785"/>
      <c r="Y118" s="786"/>
      <c r="Z118" s="452"/>
      <c r="AA118" s="787">
        <f t="shared" si="35"/>
        <v>0</v>
      </c>
    </row>
    <row r="119" spans="1:27" s="453" customFormat="1" ht="79.900000000000006" customHeight="1" thickBot="1" x14ac:dyDescent="0.45">
      <c r="A119" s="795"/>
      <c r="B119" s="798" t="s">
        <v>1174</v>
      </c>
      <c r="C119" s="794"/>
      <c r="D119" s="626">
        <f>C119*10</f>
        <v>0</v>
      </c>
      <c r="E119" s="358">
        <f>C119*1.1</f>
        <v>0</v>
      </c>
      <c r="F119" s="627">
        <f t="shared" si="36"/>
        <v>0</v>
      </c>
      <c r="G119" s="782"/>
      <c r="H119" s="358"/>
      <c r="I119" s="782"/>
      <c r="J119" s="630"/>
      <c r="K119" s="630"/>
      <c r="L119" s="630"/>
      <c r="M119" s="627"/>
      <c r="N119" s="631"/>
      <c r="O119" s="631"/>
      <c r="P119" s="631"/>
      <c r="Q119" s="783"/>
      <c r="R119" s="631"/>
      <c r="S119" s="631"/>
      <c r="T119" s="784">
        <v>5</v>
      </c>
      <c r="U119" s="631"/>
      <c r="V119" s="631"/>
      <c r="W119" s="784"/>
      <c r="X119" s="785"/>
      <c r="Y119" s="786"/>
      <c r="Z119" s="452"/>
      <c r="AA119" s="787">
        <f t="shared" si="35"/>
        <v>0</v>
      </c>
    </row>
    <row r="120" spans="1:27" thickBot="1" x14ac:dyDescent="0.45">
      <c r="A120" s="829"/>
      <c r="B120" s="797"/>
      <c r="C120" s="539"/>
      <c r="D120" s="539"/>
      <c r="E120" s="502"/>
      <c r="F120" s="333"/>
      <c r="G120" s="539"/>
      <c r="H120" s="333"/>
      <c r="I120" s="539"/>
      <c r="J120" s="333"/>
      <c r="K120" s="333"/>
      <c r="L120" s="333"/>
      <c r="M120" s="333"/>
      <c r="N120" s="333"/>
      <c r="O120" s="333"/>
      <c r="P120" s="333"/>
      <c r="Q120" s="333"/>
      <c r="R120" s="333"/>
      <c r="S120" s="333"/>
      <c r="T120" s="539"/>
      <c r="U120" s="333"/>
      <c r="V120" s="681"/>
      <c r="W120" s="539"/>
      <c r="X120" s="333"/>
      <c r="Y120" s="323"/>
    </row>
    <row r="121" spans="1:27" thickBot="1" x14ac:dyDescent="0.45">
      <c r="A121" s="829"/>
      <c r="B121" s="781"/>
      <c r="C121" s="539"/>
      <c r="D121" s="539"/>
      <c r="E121" s="502"/>
      <c r="F121" s="333"/>
      <c r="G121" s="539"/>
      <c r="H121" s="333"/>
      <c r="I121" s="539"/>
      <c r="J121" s="333"/>
      <c r="K121" s="333"/>
      <c r="L121" s="333"/>
      <c r="M121" s="333"/>
      <c r="N121" s="333"/>
      <c r="O121" s="333"/>
      <c r="P121" s="333"/>
      <c r="Q121" s="333"/>
      <c r="R121" s="333"/>
      <c r="S121" s="333"/>
      <c r="T121" s="539"/>
      <c r="U121" s="333"/>
      <c r="V121" s="681"/>
      <c r="W121" s="539"/>
      <c r="X121" s="333"/>
      <c r="Y121" s="323"/>
    </row>
    <row r="122" spans="1:27" thickBot="1" x14ac:dyDescent="0.45">
      <c r="A122" s="829"/>
      <c r="B122" s="781" t="s">
        <v>820</v>
      </c>
      <c r="C122" s="539"/>
      <c r="D122" s="539"/>
      <c r="E122" s="510">
        <f>SUM(E112:E119)</f>
        <v>0</v>
      </c>
      <c r="F122" s="510">
        <f>SUM(F112:F119)</f>
        <v>0</v>
      </c>
      <c r="G122" s="539"/>
      <c r="H122" s="333"/>
      <c r="I122" s="539"/>
      <c r="J122" s="333"/>
      <c r="K122" s="333"/>
      <c r="L122" s="333"/>
      <c r="M122" s="333"/>
      <c r="N122" s="333"/>
      <c r="O122" s="333"/>
      <c r="P122" s="333"/>
      <c r="Q122" s="333"/>
      <c r="R122" s="333"/>
      <c r="S122" s="333"/>
      <c r="T122" s="539"/>
      <c r="U122" s="333"/>
      <c r="V122" s="681"/>
      <c r="W122" s="539"/>
      <c r="X122" s="333"/>
      <c r="Y122" s="323"/>
    </row>
    <row r="123" spans="1:27" thickBot="1" x14ac:dyDescent="0.45">
      <c r="A123" s="829"/>
      <c r="B123" s="781"/>
      <c r="C123" s="539"/>
      <c r="D123" s="539"/>
      <c r="E123" s="502"/>
      <c r="F123" s="333"/>
      <c r="G123" s="539"/>
      <c r="H123" s="333"/>
      <c r="I123" s="539"/>
      <c r="J123" s="333"/>
      <c r="K123" s="333"/>
      <c r="L123" s="333"/>
      <c r="M123" s="333"/>
      <c r="N123" s="333"/>
      <c r="O123" s="333"/>
      <c r="P123" s="333"/>
      <c r="Q123" s="333"/>
      <c r="R123" s="333"/>
      <c r="S123" s="333"/>
      <c r="T123" s="539"/>
      <c r="U123" s="333"/>
      <c r="V123" s="681"/>
      <c r="W123" s="539"/>
      <c r="X123" s="333"/>
      <c r="Y123" s="323"/>
    </row>
    <row r="124" spans="1:27" thickBot="1" x14ac:dyDescent="0.45">
      <c r="A124" s="829"/>
      <c r="B124" s="781"/>
      <c r="C124" s="539"/>
      <c r="D124" s="539"/>
      <c r="E124" s="502"/>
      <c r="F124" s="333"/>
      <c r="G124" s="539"/>
      <c r="H124" s="333"/>
      <c r="I124" s="539"/>
      <c r="J124" s="333"/>
      <c r="K124" s="333"/>
      <c r="L124" s="333"/>
      <c r="M124" s="333"/>
      <c r="N124" s="333"/>
      <c r="O124" s="333"/>
      <c r="P124" s="333"/>
      <c r="Q124" s="333"/>
      <c r="R124" s="333"/>
      <c r="S124" s="333"/>
      <c r="T124" s="539"/>
      <c r="U124" s="333"/>
      <c r="V124" s="681"/>
      <c r="W124" s="539"/>
      <c r="X124" s="333"/>
      <c r="Y124" s="323"/>
    </row>
    <row r="125" spans="1:27" thickBot="1" x14ac:dyDescent="0.45">
      <c r="A125" s="829"/>
      <c r="B125" s="304" t="s">
        <v>877</v>
      </c>
      <c r="C125" s="528"/>
      <c r="D125" s="528"/>
      <c r="E125" s="460"/>
      <c r="F125" s="324"/>
      <c r="G125" s="528"/>
      <c r="H125" s="324"/>
      <c r="I125" s="528"/>
      <c r="J125" s="324"/>
      <c r="K125" s="324"/>
      <c r="L125" s="324"/>
      <c r="M125" s="324"/>
      <c r="N125" s="324"/>
      <c r="O125" s="324"/>
      <c r="P125" s="324"/>
      <c r="Q125" s="324"/>
      <c r="R125" s="324"/>
      <c r="S125" s="324"/>
      <c r="T125" s="528"/>
      <c r="U125" s="324"/>
      <c r="V125" s="676"/>
      <c r="W125" s="528"/>
      <c r="X125" s="529"/>
      <c r="Y125" s="323"/>
    </row>
    <row r="126" spans="1:27" thickBot="1" x14ac:dyDescent="0.45">
      <c r="A126" s="829"/>
      <c r="B126" s="303" t="s">
        <v>936</v>
      </c>
      <c r="C126" s="528"/>
      <c r="D126" s="528"/>
      <c r="E126" s="460"/>
      <c r="F126" s="324"/>
      <c r="G126" s="528"/>
      <c r="H126" s="324"/>
      <c r="I126" s="528"/>
      <c r="J126" s="324"/>
      <c r="K126" s="324"/>
      <c r="L126" s="324"/>
      <c r="M126" s="324"/>
      <c r="N126" s="324"/>
      <c r="O126" s="324"/>
      <c r="P126" s="324"/>
      <c r="Q126" s="324"/>
      <c r="R126" s="324"/>
      <c r="S126" s="324"/>
      <c r="T126" s="528"/>
      <c r="U126" s="324"/>
      <c r="V126" s="676"/>
      <c r="W126" s="324"/>
      <c r="X126" s="529"/>
      <c r="Y126" s="350"/>
    </row>
    <row r="127" spans="1:27" thickBot="1" x14ac:dyDescent="0.45">
      <c r="A127" s="829"/>
      <c r="B127" s="642" t="s">
        <v>1165</v>
      </c>
      <c r="C127" s="539"/>
      <c r="D127" s="539"/>
      <c r="E127" s="502"/>
      <c r="F127" s="333"/>
      <c r="G127" s="539"/>
      <c r="H127" s="333"/>
      <c r="I127" s="539"/>
      <c r="J127" s="333"/>
      <c r="K127" s="333"/>
      <c r="L127" s="333"/>
      <c r="M127" s="333"/>
      <c r="N127" s="333"/>
      <c r="O127" s="333"/>
      <c r="P127" s="333"/>
      <c r="Q127" s="333"/>
      <c r="R127" s="333"/>
      <c r="S127" s="333"/>
      <c r="T127" s="539"/>
      <c r="U127" s="333"/>
      <c r="V127" s="681"/>
      <c r="W127" s="539"/>
      <c r="X127" s="333"/>
      <c r="Y127" s="323"/>
    </row>
    <row r="128" spans="1:27" thickBot="1" x14ac:dyDescent="0.45">
      <c r="A128" s="829"/>
      <c r="B128" s="304" t="s">
        <v>878</v>
      </c>
      <c r="C128" s="528"/>
      <c r="D128" s="528"/>
      <c r="E128" s="460"/>
      <c r="F128" s="324"/>
      <c r="G128" s="528"/>
      <c r="H128" s="324"/>
      <c r="I128" s="528"/>
      <c r="J128" s="324"/>
      <c r="K128" s="324"/>
      <c r="L128" s="324"/>
      <c r="M128" s="324"/>
      <c r="N128" s="324"/>
      <c r="O128" s="324"/>
      <c r="P128" s="324"/>
      <c r="Q128" s="324"/>
      <c r="R128" s="324"/>
      <c r="S128" s="324"/>
      <c r="T128" s="528"/>
      <c r="U128" s="324"/>
      <c r="V128" s="676"/>
      <c r="W128" s="528"/>
      <c r="X128" s="529"/>
      <c r="Y128" s="323"/>
    </row>
    <row r="129" spans="1:28" thickBot="1" x14ac:dyDescent="0.45">
      <c r="A129" s="829"/>
      <c r="B129" s="642" t="s">
        <v>1091</v>
      </c>
      <c r="C129" s="539"/>
      <c r="D129" s="539"/>
      <c r="E129" s="502"/>
      <c r="F129" s="333"/>
      <c r="G129" s="539"/>
      <c r="H129" s="333"/>
      <c r="I129" s="539"/>
      <c r="J129" s="333"/>
      <c r="K129" s="333"/>
      <c r="L129" s="333"/>
      <c r="M129" s="333"/>
      <c r="N129" s="333"/>
      <c r="O129" s="333"/>
      <c r="P129" s="333"/>
      <c r="Q129" s="333"/>
      <c r="R129" s="333"/>
      <c r="S129" s="333"/>
      <c r="T129" s="539"/>
      <c r="U129" s="333"/>
      <c r="V129" s="681"/>
      <c r="W129" s="539"/>
      <c r="X129" s="333"/>
      <c r="Y129" s="323"/>
    </row>
    <row r="130" spans="1:28" thickBot="1" x14ac:dyDescent="0.45">
      <c r="A130" s="829"/>
      <c r="B130" s="642" t="s">
        <v>1092</v>
      </c>
      <c r="C130" s="539"/>
      <c r="D130" s="539"/>
      <c r="E130" s="502"/>
      <c r="F130" s="333"/>
      <c r="G130" s="539"/>
      <c r="H130" s="333"/>
      <c r="I130" s="539"/>
      <c r="J130" s="333"/>
      <c r="K130" s="333"/>
      <c r="L130" s="333"/>
      <c r="M130" s="333"/>
      <c r="N130" s="333"/>
      <c r="O130" s="333"/>
      <c r="P130" s="333"/>
      <c r="Q130" s="333"/>
      <c r="R130" s="333"/>
      <c r="S130" s="333"/>
      <c r="T130" s="539"/>
      <c r="U130" s="333"/>
      <c r="V130" s="681"/>
      <c r="W130" s="539"/>
      <c r="X130" s="333"/>
      <c r="Y130" s="323"/>
    </row>
    <row r="131" spans="1:28" thickBot="1" x14ac:dyDescent="0.45">
      <c r="A131" s="831">
        <v>1</v>
      </c>
      <c r="B131" s="305" t="s">
        <v>948</v>
      </c>
      <c r="C131" s="539"/>
      <c r="D131" s="539"/>
      <c r="E131" s="502"/>
      <c r="F131" s="333"/>
      <c r="G131" s="539"/>
      <c r="H131" s="333"/>
      <c r="I131" s="539"/>
      <c r="J131" s="333"/>
      <c r="K131" s="333"/>
      <c r="L131" s="333"/>
      <c r="M131" s="333"/>
      <c r="N131" s="333"/>
      <c r="O131" s="333"/>
      <c r="P131" s="333"/>
      <c r="Q131" s="333"/>
      <c r="R131" s="333"/>
      <c r="S131" s="333"/>
      <c r="T131" s="539"/>
      <c r="U131" s="333"/>
      <c r="V131" s="681"/>
      <c r="W131" s="333"/>
      <c r="X131" s="333"/>
      <c r="Y131" s="323"/>
    </row>
    <row r="132" spans="1:28" ht="105.75" thickBot="1" x14ac:dyDescent="0.45">
      <c r="A132" s="319" t="s">
        <v>14</v>
      </c>
      <c r="B132" s="320" t="s">
        <v>618</v>
      </c>
      <c r="C132" s="528"/>
      <c r="D132" s="525">
        <f>C132*10</f>
        <v>0</v>
      </c>
      <c r="E132" s="545">
        <f>D132*0.25</f>
        <v>0</v>
      </c>
      <c r="F132" s="461">
        <f>E132*1.15*0.82/173</f>
        <v>0</v>
      </c>
      <c r="G132" s="525">
        <f t="shared" ref="G132:G138" si="37">INT(M132)</f>
        <v>0</v>
      </c>
      <c r="H132" s="461" t="s">
        <v>18</v>
      </c>
      <c r="I132" s="525">
        <f t="shared" ref="I132:I138" si="38">(M132-G132)*64</f>
        <v>0</v>
      </c>
      <c r="J132" s="461" t="s">
        <v>19</v>
      </c>
      <c r="K132" s="461"/>
      <c r="L132" s="461"/>
      <c r="M132" s="461">
        <f>(F132*7863)/3456</f>
        <v>0</v>
      </c>
      <c r="N132" s="461"/>
      <c r="O132" s="461"/>
      <c r="P132" s="461"/>
      <c r="Q132" s="324" t="s">
        <v>18</v>
      </c>
      <c r="R132" s="324"/>
      <c r="S132" s="324" t="s">
        <v>19</v>
      </c>
      <c r="T132" s="528">
        <v>9</v>
      </c>
      <c r="U132" s="324">
        <f>E132/272*60</f>
        <v>0</v>
      </c>
      <c r="V132" s="676"/>
      <c r="W132" s="528"/>
      <c r="X132" s="529"/>
      <c r="Y132" s="351" t="s">
        <v>922</v>
      </c>
      <c r="Z132" s="312">
        <f>E132/1.23</f>
        <v>0</v>
      </c>
      <c r="AA132" s="316">
        <f>SUM(Z132/260.8)</f>
        <v>0</v>
      </c>
    </row>
    <row r="133" spans="1:28" ht="105.75" thickBot="1" x14ac:dyDescent="0.45">
      <c r="A133" s="319" t="s">
        <v>14</v>
      </c>
      <c r="B133" s="320" t="s">
        <v>619</v>
      </c>
      <c r="C133" s="528"/>
      <c r="D133" s="525">
        <f>C133*10</f>
        <v>0</v>
      </c>
      <c r="E133" s="545">
        <f>D133*0.25</f>
        <v>0</v>
      </c>
      <c r="F133" s="461">
        <f>E133*1.15*0.82/173</f>
        <v>0</v>
      </c>
      <c r="G133" s="525">
        <f t="shared" si="37"/>
        <v>0</v>
      </c>
      <c r="H133" s="461" t="s">
        <v>18</v>
      </c>
      <c r="I133" s="525">
        <f t="shared" si="38"/>
        <v>0</v>
      </c>
      <c r="J133" s="461" t="s">
        <v>19</v>
      </c>
      <c r="K133" s="461"/>
      <c r="L133" s="461"/>
      <c r="M133" s="461">
        <f>(F133*7863)/3456</f>
        <v>0</v>
      </c>
      <c r="N133" s="461"/>
      <c r="O133" s="461"/>
      <c r="P133" s="461"/>
      <c r="Q133" s="324" t="s">
        <v>18</v>
      </c>
      <c r="R133" s="324"/>
      <c r="S133" s="324" t="s">
        <v>19</v>
      </c>
      <c r="T133" s="528">
        <v>9</v>
      </c>
      <c r="U133" s="324">
        <f>E133/272*60</f>
        <v>0</v>
      </c>
      <c r="V133" s="676"/>
      <c r="W133" s="528"/>
      <c r="X133" s="529"/>
      <c r="Y133" s="351" t="s">
        <v>922</v>
      </c>
      <c r="Z133" s="312">
        <f>E133/1.21</f>
        <v>0</v>
      </c>
      <c r="AA133" s="316">
        <f>SUM(Z133/260.8)</f>
        <v>0</v>
      </c>
    </row>
    <row r="134" spans="1:28" ht="105.75" thickBot="1" x14ac:dyDescent="0.45">
      <c r="A134" s="319" t="s">
        <v>14</v>
      </c>
      <c r="B134" s="320" t="s">
        <v>813</v>
      </c>
      <c r="C134" s="528"/>
      <c r="D134" s="525">
        <f>C134*10</f>
        <v>0</v>
      </c>
      <c r="E134" s="545">
        <f>D134*0.2</f>
        <v>0</v>
      </c>
      <c r="F134" s="461">
        <f>E134*1.15*0.82/173</f>
        <v>0</v>
      </c>
      <c r="G134" s="525">
        <f t="shared" si="37"/>
        <v>0</v>
      </c>
      <c r="H134" s="461" t="s">
        <v>18</v>
      </c>
      <c r="I134" s="525">
        <f t="shared" si="38"/>
        <v>0</v>
      </c>
      <c r="J134" s="461" t="s">
        <v>19</v>
      </c>
      <c r="K134" s="461"/>
      <c r="L134" s="461"/>
      <c r="M134" s="461">
        <f>(F134*9600)/3456</f>
        <v>0</v>
      </c>
      <c r="N134" s="461"/>
      <c r="O134" s="461"/>
      <c r="P134" s="461"/>
      <c r="Q134" s="324" t="s">
        <v>18</v>
      </c>
      <c r="R134" s="324"/>
      <c r="S134" s="324" t="s">
        <v>19</v>
      </c>
      <c r="T134" s="528">
        <v>9</v>
      </c>
      <c r="U134" s="324">
        <f>E134/207*60</f>
        <v>0</v>
      </c>
      <c r="V134" s="676"/>
      <c r="W134" s="528"/>
      <c r="X134" s="529"/>
      <c r="Y134" s="351" t="s">
        <v>922</v>
      </c>
      <c r="Z134" s="312">
        <f>E134/1.21</f>
        <v>0</v>
      </c>
      <c r="AA134" s="316">
        <f>SUM(Z134/223.6)</f>
        <v>0</v>
      </c>
    </row>
    <row r="135" spans="1:28" ht="105.75" thickBot="1" x14ac:dyDescent="0.45">
      <c r="A135" s="319" t="s">
        <v>14</v>
      </c>
      <c r="B135" s="320" t="s">
        <v>911</v>
      </c>
      <c r="C135" s="528"/>
      <c r="D135" s="525">
        <f>C135*10</f>
        <v>0</v>
      </c>
      <c r="E135" s="545">
        <f>D135*0.2</f>
        <v>0</v>
      </c>
      <c r="F135" s="461">
        <f>E135*1.15*0.82/173</f>
        <v>0</v>
      </c>
      <c r="G135" s="525">
        <f t="shared" si="37"/>
        <v>0</v>
      </c>
      <c r="H135" s="461" t="s">
        <v>18</v>
      </c>
      <c r="I135" s="525">
        <f t="shared" si="38"/>
        <v>0</v>
      </c>
      <c r="J135" s="461" t="s">
        <v>19</v>
      </c>
      <c r="K135" s="461"/>
      <c r="L135" s="461"/>
      <c r="M135" s="461">
        <f>(F135*9600)/3456</f>
        <v>0</v>
      </c>
      <c r="N135" s="461"/>
      <c r="O135" s="461"/>
      <c r="P135" s="461"/>
      <c r="Q135" s="324" t="s">
        <v>18</v>
      </c>
      <c r="R135" s="324"/>
      <c r="S135" s="324" t="s">
        <v>19</v>
      </c>
      <c r="T135" s="528">
        <v>9</v>
      </c>
      <c r="U135" s="324">
        <f>E135/207*60</f>
        <v>0</v>
      </c>
      <c r="V135" s="676"/>
      <c r="W135" s="528"/>
      <c r="X135" s="529"/>
      <c r="Y135" s="351" t="s">
        <v>922</v>
      </c>
      <c r="Z135" s="312">
        <f>E135/1.21</f>
        <v>0</v>
      </c>
      <c r="AA135" s="316">
        <f>SUM(Z135/223.6)</f>
        <v>0</v>
      </c>
    </row>
    <row r="136" spans="1:28" ht="105.75" thickBot="1" x14ac:dyDescent="0.45">
      <c r="A136" s="319" t="s">
        <v>14</v>
      </c>
      <c r="B136" s="320" t="s">
        <v>620</v>
      </c>
      <c r="C136" s="528"/>
      <c r="D136" s="528">
        <f>C136*12</f>
        <v>0</v>
      </c>
      <c r="E136" s="460">
        <f>D136*0.255</f>
        <v>0</v>
      </c>
      <c r="F136" s="324">
        <f>E136*1.03*1.05/173</f>
        <v>0</v>
      </c>
      <c r="G136" s="528">
        <f t="shared" si="37"/>
        <v>0</v>
      </c>
      <c r="H136" s="324" t="s">
        <v>18</v>
      </c>
      <c r="I136" s="528">
        <f t="shared" si="38"/>
        <v>0</v>
      </c>
      <c r="J136" s="324" t="s">
        <v>19</v>
      </c>
      <c r="K136" s="324"/>
      <c r="L136" s="324"/>
      <c r="M136" s="324">
        <f>(F136*7673)/2880</f>
        <v>0</v>
      </c>
      <c r="N136" s="324"/>
      <c r="O136" s="546"/>
      <c r="P136" s="546"/>
      <c r="Q136" s="324" t="s">
        <v>18</v>
      </c>
      <c r="R136" s="324"/>
      <c r="S136" s="324" t="s">
        <v>19</v>
      </c>
      <c r="T136" s="528">
        <v>9</v>
      </c>
      <c r="U136" s="324">
        <f>E136/272*60</f>
        <v>0</v>
      </c>
      <c r="V136" s="676"/>
      <c r="W136" s="528"/>
      <c r="X136" s="529"/>
      <c r="Y136" s="351" t="s">
        <v>922</v>
      </c>
      <c r="Z136" s="312">
        <f>E136/1.05</f>
        <v>0</v>
      </c>
      <c r="AA136" s="316">
        <f>SUM(Z136/298)</f>
        <v>0</v>
      </c>
    </row>
    <row r="137" spans="1:28" ht="105.75" thickBot="1" x14ac:dyDescent="0.45">
      <c r="A137" s="319" t="s">
        <v>14</v>
      </c>
      <c r="B137" s="320" t="s">
        <v>621</v>
      </c>
      <c r="C137" s="528"/>
      <c r="D137" s="528">
        <f>C137*12</f>
        <v>0</v>
      </c>
      <c r="E137" s="460">
        <f>D137*0.255</f>
        <v>0</v>
      </c>
      <c r="F137" s="324">
        <f>E137*1.03*1.05/173</f>
        <v>0</v>
      </c>
      <c r="G137" s="528">
        <f t="shared" si="37"/>
        <v>0</v>
      </c>
      <c r="H137" s="324" t="s">
        <v>18</v>
      </c>
      <c r="I137" s="528">
        <f t="shared" si="38"/>
        <v>0</v>
      </c>
      <c r="J137" s="324" t="s">
        <v>19</v>
      </c>
      <c r="K137" s="324"/>
      <c r="L137" s="324"/>
      <c r="M137" s="324">
        <f>(F137*7673)/2880</f>
        <v>0</v>
      </c>
      <c r="N137" s="324"/>
      <c r="O137" s="546"/>
      <c r="P137" s="546"/>
      <c r="Q137" s="324" t="s">
        <v>18</v>
      </c>
      <c r="R137" s="324"/>
      <c r="S137" s="324" t="s">
        <v>19</v>
      </c>
      <c r="T137" s="528">
        <v>9</v>
      </c>
      <c r="U137" s="324">
        <f>E137/272*60</f>
        <v>0</v>
      </c>
      <c r="V137" s="676"/>
      <c r="W137" s="528"/>
      <c r="X137" s="529"/>
      <c r="Y137" s="351" t="s">
        <v>922</v>
      </c>
      <c r="Z137" s="312">
        <f>E137/1.05</f>
        <v>0</v>
      </c>
      <c r="AA137" s="316">
        <f>SUM(Z137/298)</f>
        <v>0</v>
      </c>
    </row>
    <row r="138" spans="1:28" ht="105.75" thickBot="1" x14ac:dyDescent="0.45">
      <c r="A138" s="319" t="s">
        <v>14</v>
      </c>
      <c r="B138" s="320" t="s">
        <v>622</v>
      </c>
      <c r="C138" s="528"/>
      <c r="D138" s="528">
        <f>C138*12</f>
        <v>0</v>
      </c>
      <c r="E138" s="460">
        <f>D138*0.255</f>
        <v>0</v>
      </c>
      <c r="F138" s="324">
        <f>E138*1.03*1.05/173</f>
        <v>0</v>
      </c>
      <c r="G138" s="528">
        <f t="shared" si="37"/>
        <v>0</v>
      </c>
      <c r="H138" s="324" t="s">
        <v>18</v>
      </c>
      <c r="I138" s="528">
        <f t="shared" si="38"/>
        <v>0</v>
      </c>
      <c r="J138" s="324" t="s">
        <v>19</v>
      </c>
      <c r="K138" s="324"/>
      <c r="L138" s="324"/>
      <c r="M138" s="324">
        <f>(F138*7673)/2880</f>
        <v>0</v>
      </c>
      <c r="N138" s="324"/>
      <c r="O138" s="546"/>
      <c r="P138" s="546"/>
      <c r="Q138" s="324" t="s">
        <v>18</v>
      </c>
      <c r="R138" s="324"/>
      <c r="S138" s="324" t="s">
        <v>19</v>
      </c>
      <c r="T138" s="528">
        <v>9</v>
      </c>
      <c r="U138" s="324">
        <f>E138/272*60</f>
        <v>0</v>
      </c>
      <c r="V138" s="676"/>
      <c r="W138" s="528"/>
      <c r="X138" s="529"/>
      <c r="Y138" s="351" t="s">
        <v>922</v>
      </c>
      <c r="Z138" s="312">
        <f>E138/1.05</f>
        <v>0</v>
      </c>
      <c r="AA138" s="316">
        <f>SUM(Z138/298)</f>
        <v>0</v>
      </c>
    </row>
    <row r="139" spans="1:28" thickBot="1" x14ac:dyDescent="0.45">
      <c r="A139" s="318">
        <v>2</v>
      </c>
      <c r="B139" s="305" t="s">
        <v>949</v>
      </c>
      <c r="C139" s="539"/>
      <c r="D139" s="539"/>
      <c r="E139" s="502"/>
      <c r="F139" s="333"/>
      <c r="G139" s="539"/>
      <c r="H139" s="333"/>
      <c r="I139" s="539"/>
      <c r="J139" s="333"/>
      <c r="K139" s="333"/>
      <c r="L139" s="333"/>
      <c r="M139" s="333"/>
      <c r="N139" s="333"/>
      <c r="O139" s="333"/>
      <c r="P139" s="333"/>
      <c r="Q139" s="333"/>
      <c r="R139" s="333"/>
      <c r="S139" s="333"/>
      <c r="T139" s="539"/>
      <c r="U139" s="333"/>
      <c r="V139" s="681"/>
      <c r="W139" s="333"/>
      <c r="X139" s="333"/>
      <c r="Y139" s="323"/>
    </row>
    <row r="140" spans="1:28" ht="77.25" outlineLevel="1" thickBot="1" x14ac:dyDescent="0.45">
      <c r="A140" s="319" t="s">
        <v>14</v>
      </c>
      <c r="B140" s="320" t="s">
        <v>624</v>
      </c>
      <c r="C140" s="528"/>
      <c r="D140" s="530">
        <f>C140*10</f>
        <v>0</v>
      </c>
      <c r="E140" s="460">
        <f>D140*0.2</f>
        <v>0</v>
      </c>
      <c r="F140" s="324">
        <f>E140*0.97*0.8/19.6</f>
        <v>0</v>
      </c>
      <c r="G140" s="528">
        <f t="shared" ref="G140:G145" si="39">INT(M140)</f>
        <v>0</v>
      </c>
      <c r="H140" s="324" t="s">
        <v>18</v>
      </c>
      <c r="I140" s="528">
        <f t="shared" ref="I140:I145" si="40">(M140-G140)*64</f>
        <v>0</v>
      </c>
      <c r="J140" s="324" t="s">
        <v>19</v>
      </c>
      <c r="K140" s="324"/>
      <c r="L140" s="324"/>
      <c r="M140" s="324">
        <f>(F140*1087/3456)</f>
        <v>0</v>
      </c>
      <c r="N140" s="324"/>
      <c r="O140" s="324"/>
      <c r="P140" s="324"/>
      <c r="Q140" s="324" t="s">
        <v>18</v>
      </c>
      <c r="R140" s="324"/>
      <c r="S140" s="324" t="s">
        <v>19</v>
      </c>
      <c r="T140" s="528">
        <v>6</v>
      </c>
      <c r="U140" s="324">
        <f t="shared" ref="U140:U145" si="41">E140/259*60</f>
        <v>0</v>
      </c>
      <c r="V140" s="676"/>
      <c r="W140" s="528"/>
      <c r="X140" s="529"/>
      <c r="Y140" s="323"/>
      <c r="Z140" s="312">
        <f>E140/1.21/1.143</f>
        <v>0</v>
      </c>
      <c r="AA140" s="316">
        <f>SUM(AB140/215.5)</f>
        <v>0</v>
      </c>
      <c r="AB140" s="310">
        <f>E140/1.21</f>
        <v>0</v>
      </c>
    </row>
    <row r="141" spans="1:28" ht="77.25" outlineLevel="1" thickBot="1" x14ac:dyDescent="0.45">
      <c r="A141" s="319" t="s">
        <v>14</v>
      </c>
      <c r="B141" s="320" t="s">
        <v>625</v>
      </c>
      <c r="C141" s="528"/>
      <c r="D141" s="530">
        <f>C141*10</f>
        <v>0</v>
      </c>
      <c r="E141" s="460">
        <f>D141*0.2</f>
        <v>0</v>
      </c>
      <c r="F141" s="324">
        <f>E141*0.97*0.8/19.6</f>
        <v>0</v>
      </c>
      <c r="G141" s="528">
        <f t="shared" si="39"/>
        <v>0</v>
      </c>
      <c r="H141" s="324" t="s">
        <v>18</v>
      </c>
      <c r="I141" s="528">
        <f t="shared" si="40"/>
        <v>0</v>
      </c>
      <c r="J141" s="324" t="s">
        <v>19</v>
      </c>
      <c r="K141" s="324"/>
      <c r="L141" s="324"/>
      <c r="M141" s="324">
        <f>(F141*1087/3456)</f>
        <v>0</v>
      </c>
      <c r="N141" s="324"/>
      <c r="O141" s="324"/>
      <c r="P141" s="324"/>
      <c r="Q141" s="324" t="s">
        <v>18</v>
      </c>
      <c r="R141" s="324"/>
      <c r="S141" s="324" t="s">
        <v>19</v>
      </c>
      <c r="T141" s="528">
        <v>6</v>
      </c>
      <c r="U141" s="324">
        <f t="shared" si="41"/>
        <v>0</v>
      </c>
      <c r="V141" s="676"/>
      <c r="W141" s="528"/>
      <c r="X141" s="529"/>
      <c r="Y141" s="323"/>
      <c r="Z141" s="312">
        <f>E141/1.21/1.143</f>
        <v>0</v>
      </c>
      <c r="AA141" s="316">
        <f>SUM(AB141/215.5)</f>
        <v>0</v>
      </c>
      <c r="AB141" s="310">
        <f>E141/1.21</f>
        <v>0</v>
      </c>
    </row>
    <row r="142" spans="1:28" ht="77.25" outlineLevel="1" thickBot="1" x14ac:dyDescent="0.45">
      <c r="A142" s="319" t="s">
        <v>14</v>
      </c>
      <c r="B142" s="343" t="s">
        <v>626</v>
      </c>
      <c r="C142" s="528"/>
      <c r="D142" s="530">
        <f>C142*10</f>
        <v>0</v>
      </c>
      <c r="E142" s="460">
        <f>D142*0.2</f>
        <v>0</v>
      </c>
      <c r="F142" s="324">
        <f>E142*0.97*0.8/19.6</f>
        <v>0</v>
      </c>
      <c r="G142" s="528">
        <f t="shared" si="39"/>
        <v>0</v>
      </c>
      <c r="H142" s="324" t="s">
        <v>18</v>
      </c>
      <c r="I142" s="528">
        <f t="shared" si="40"/>
        <v>0</v>
      </c>
      <c r="J142" s="324" t="s">
        <v>19</v>
      </c>
      <c r="K142" s="324"/>
      <c r="L142" s="324"/>
      <c r="M142" s="324">
        <f>(F142*1087/3456)</f>
        <v>0</v>
      </c>
      <c r="N142" s="324"/>
      <c r="O142" s="324"/>
      <c r="P142" s="324"/>
      <c r="Q142" s="324" t="s">
        <v>18</v>
      </c>
      <c r="R142" s="324"/>
      <c r="S142" s="324" t="s">
        <v>19</v>
      </c>
      <c r="T142" s="528">
        <v>6</v>
      </c>
      <c r="U142" s="324">
        <f t="shared" si="41"/>
        <v>0</v>
      </c>
      <c r="V142" s="676"/>
      <c r="W142" s="528"/>
      <c r="X142" s="529"/>
      <c r="Y142" s="323"/>
      <c r="Z142" s="312">
        <f>E142/1.21/1.143</f>
        <v>0</v>
      </c>
      <c r="AA142" s="316">
        <f>SUM(AB142/215.5)</f>
        <v>0</v>
      </c>
      <c r="AB142" s="310">
        <f>E142/1.21</f>
        <v>0</v>
      </c>
    </row>
    <row r="143" spans="1:28" ht="102.75" thickBot="1" x14ac:dyDescent="0.45">
      <c r="A143" s="319" t="s">
        <v>14</v>
      </c>
      <c r="B143" s="320" t="s">
        <v>843</v>
      </c>
      <c r="C143" s="528"/>
      <c r="D143" s="530"/>
      <c r="E143" s="472">
        <f>C143*2</f>
        <v>0</v>
      </c>
      <c r="F143" s="472">
        <f>E143*1.03*0.87/19.3</f>
        <v>0</v>
      </c>
      <c r="G143" s="531">
        <f t="shared" si="39"/>
        <v>0</v>
      </c>
      <c r="H143" s="472" t="s">
        <v>18</v>
      </c>
      <c r="I143" s="531">
        <f t="shared" si="40"/>
        <v>0</v>
      </c>
      <c r="J143" s="472" t="s">
        <v>19</v>
      </c>
      <c r="K143" s="472"/>
      <c r="L143" s="472"/>
      <c r="M143" s="472">
        <f>(F143*877/2880)</f>
        <v>0</v>
      </c>
      <c r="N143" s="472"/>
      <c r="O143" s="461"/>
      <c r="P143" s="461"/>
      <c r="Q143" s="461" t="s">
        <v>18</v>
      </c>
      <c r="R143" s="461"/>
      <c r="S143" s="461" t="s">
        <v>19</v>
      </c>
      <c r="T143" s="528">
        <v>6</v>
      </c>
      <c r="U143" s="324">
        <f t="shared" si="41"/>
        <v>0</v>
      </c>
      <c r="V143" s="676"/>
      <c r="W143" s="528"/>
      <c r="X143" s="529"/>
      <c r="Y143" s="323"/>
      <c r="Z143" s="312">
        <f>E143/1.134</f>
        <v>0</v>
      </c>
      <c r="AA143" s="316">
        <f>SUM(Z143/134.6)</f>
        <v>0</v>
      </c>
      <c r="AB143" s="352" t="s">
        <v>852</v>
      </c>
    </row>
    <row r="144" spans="1:28" ht="77.25" thickBot="1" x14ac:dyDescent="0.45">
      <c r="A144" s="319" t="s">
        <v>14</v>
      </c>
      <c r="B144" s="320" t="s">
        <v>1005</v>
      </c>
      <c r="C144" s="528"/>
      <c r="D144" s="530">
        <f>C144*1</f>
        <v>0</v>
      </c>
      <c r="E144" s="546">
        <f>D144*0.65</f>
        <v>0</v>
      </c>
      <c r="F144" s="546">
        <f>E144*1.03*0.87/19.3</f>
        <v>0</v>
      </c>
      <c r="G144" s="639">
        <f t="shared" si="39"/>
        <v>0</v>
      </c>
      <c r="H144" s="546" t="s">
        <v>18</v>
      </c>
      <c r="I144" s="639">
        <f t="shared" si="40"/>
        <v>0</v>
      </c>
      <c r="J144" s="546" t="s">
        <v>19</v>
      </c>
      <c r="K144" s="546"/>
      <c r="L144" s="546"/>
      <c r="M144" s="546">
        <f>(F144*877/2880)</f>
        <v>0</v>
      </c>
      <c r="N144" s="546"/>
      <c r="O144" s="324"/>
      <c r="P144" s="324"/>
      <c r="Q144" s="324" t="s">
        <v>18</v>
      </c>
      <c r="R144" s="324"/>
      <c r="S144" s="324" t="s">
        <v>19</v>
      </c>
      <c r="T144" s="528">
        <v>6</v>
      </c>
      <c r="U144" s="324">
        <f t="shared" si="41"/>
        <v>0</v>
      </c>
      <c r="V144" s="676"/>
      <c r="W144" s="528"/>
      <c r="X144" s="529"/>
      <c r="Y144" s="323"/>
      <c r="Z144" s="312">
        <f>E144/1.134</f>
        <v>0</v>
      </c>
      <c r="AA144" s="316">
        <f>SUM(Z144/134.6)</f>
        <v>0</v>
      </c>
      <c r="AB144" s="352" t="s">
        <v>852</v>
      </c>
    </row>
    <row r="145" spans="1:29" ht="77.25" thickBot="1" x14ac:dyDescent="0.45">
      <c r="A145" s="319" t="s">
        <v>14</v>
      </c>
      <c r="B145" s="320" t="s">
        <v>894</v>
      </c>
      <c r="C145" s="528"/>
      <c r="D145" s="532">
        <f>C145*12</f>
        <v>0</v>
      </c>
      <c r="E145" s="472">
        <f>D145*0.27</f>
        <v>0</v>
      </c>
      <c r="F145" s="472">
        <f>E145*1.03*0.87/19.3</f>
        <v>0</v>
      </c>
      <c r="G145" s="531">
        <f t="shared" si="39"/>
        <v>0</v>
      </c>
      <c r="H145" s="472" t="s">
        <v>18</v>
      </c>
      <c r="I145" s="531">
        <f t="shared" si="40"/>
        <v>0</v>
      </c>
      <c r="J145" s="472" t="s">
        <v>19</v>
      </c>
      <c r="K145" s="472"/>
      <c r="L145" s="472"/>
      <c r="M145" s="472">
        <f>(F145*877/2880)</f>
        <v>0</v>
      </c>
      <c r="N145" s="472"/>
      <c r="O145" s="461"/>
      <c r="P145" s="461"/>
      <c r="Q145" s="461" t="s">
        <v>18</v>
      </c>
      <c r="R145" s="461"/>
      <c r="S145" s="461" t="s">
        <v>19</v>
      </c>
      <c r="T145" s="528">
        <v>6</v>
      </c>
      <c r="U145" s="324">
        <f t="shared" si="41"/>
        <v>0</v>
      </c>
      <c r="V145" s="676"/>
      <c r="W145" s="528"/>
      <c r="X145" s="529"/>
      <c r="Y145" s="323"/>
      <c r="Z145" s="312">
        <f>E145/1.134</f>
        <v>0</v>
      </c>
      <c r="AA145" s="316">
        <f>SUM(Z145/134.6)</f>
        <v>0</v>
      </c>
      <c r="AB145" s="352" t="s">
        <v>852</v>
      </c>
    </row>
    <row r="146" spans="1:29" thickBot="1" x14ac:dyDescent="0.45">
      <c r="A146" s="329"/>
      <c r="B146" s="353"/>
      <c r="C146" s="547"/>
      <c r="D146" s="537"/>
      <c r="E146" s="496"/>
      <c r="F146" s="354"/>
      <c r="G146" s="537"/>
      <c r="H146" s="354"/>
      <c r="I146" s="537"/>
      <c r="J146" s="354"/>
      <c r="K146" s="354"/>
      <c r="L146" s="354"/>
      <c r="M146" s="354"/>
      <c r="N146" s="354"/>
      <c r="O146" s="354"/>
      <c r="P146" s="354"/>
      <c r="Q146" s="354"/>
      <c r="R146" s="354"/>
      <c r="S146" s="354"/>
      <c r="T146" s="528"/>
      <c r="U146" s="354"/>
      <c r="V146" s="676"/>
      <c r="W146" s="528"/>
      <c r="X146" s="529"/>
      <c r="Y146" s="323"/>
    </row>
    <row r="147" spans="1:29" thickBot="1" x14ac:dyDescent="0.45">
      <c r="A147" s="319"/>
      <c r="B147" s="346"/>
      <c r="C147" s="537"/>
      <c r="D147" s="537"/>
      <c r="E147" s="496"/>
      <c r="F147" s="354"/>
      <c r="G147" s="537"/>
      <c r="H147" s="354"/>
      <c r="I147" s="537"/>
      <c r="J147" s="354"/>
      <c r="K147" s="354"/>
      <c r="L147" s="354"/>
      <c r="M147" s="354"/>
      <c r="N147" s="354"/>
      <c r="O147" s="354"/>
      <c r="P147" s="354"/>
      <c r="Q147" s="354"/>
      <c r="R147" s="354"/>
      <c r="S147" s="354"/>
      <c r="T147" s="528"/>
      <c r="U147" s="354"/>
      <c r="V147" s="676"/>
      <c r="W147" s="528"/>
      <c r="X147" s="529"/>
      <c r="Y147" s="323"/>
    </row>
    <row r="148" spans="1:29" ht="213.75" customHeight="1" thickBot="1" x14ac:dyDescent="0.45">
      <c r="A148" s="829"/>
      <c r="B148" s="304" t="s">
        <v>639</v>
      </c>
      <c r="C148" s="537"/>
      <c r="D148" s="537"/>
      <c r="E148" s="500">
        <v>65</v>
      </c>
      <c r="F148" s="538"/>
      <c r="G148" s="528"/>
      <c r="H148" s="324"/>
      <c r="I148" s="528"/>
      <c r="J148" s="324"/>
      <c r="K148" s="324"/>
      <c r="L148" s="324"/>
      <c r="M148" s="324"/>
      <c r="N148" s="324"/>
      <c r="O148" s="324"/>
      <c r="P148" s="324"/>
      <c r="Q148" s="324"/>
      <c r="R148" s="324"/>
      <c r="S148" s="324"/>
      <c r="T148" s="528"/>
      <c r="U148" s="324"/>
      <c r="V148" s="676"/>
      <c r="W148" s="528"/>
      <c r="X148" s="529"/>
      <c r="Y148" s="323" t="s">
        <v>1047</v>
      </c>
      <c r="Z148" s="901" t="s">
        <v>1048</v>
      </c>
      <c r="AA148" s="902"/>
      <c r="AB148" s="902"/>
    </row>
    <row r="149" spans="1:29" thickBot="1" x14ac:dyDescent="0.45">
      <c r="A149" s="829"/>
      <c r="B149" s="304" t="s">
        <v>640</v>
      </c>
      <c r="C149" s="537"/>
      <c r="D149" s="537"/>
      <c r="E149" s="503">
        <v>43</v>
      </c>
      <c r="F149" s="538"/>
      <c r="G149" s="528"/>
      <c r="H149" s="324"/>
      <c r="I149" s="528"/>
      <c r="J149" s="324"/>
      <c r="K149" s="324"/>
      <c r="L149" s="324"/>
      <c r="M149" s="324"/>
      <c r="N149" s="324"/>
      <c r="O149" s="324"/>
      <c r="P149" s="324"/>
      <c r="Q149" s="324"/>
      <c r="R149" s="324"/>
      <c r="S149" s="324"/>
      <c r="T149" s="528"/>
      <c r="U149" s="324"/>
      <c r="V149" s="676"/>
      <c r="W149" s="528"/>
      <c r="X149" s="529"/>
      <c r="Y149" s="323"/>
    </row>
    <row r="150" spans="1:29" thickBot="1" x14ac:dyDescent="0.45">
      <c r="A150" s="829"/>
      <c r="B150" s="332" t="s">
        <v>638</v>
      </c>
      <c r="C150" s="537"/>
      <c r="D150" s="537"/>
      <c r="E150" s="496">
        <f>SUM(E132:E138)</f>
        <v>0</v>
      </c>
      <c r="F150" s="354">
        <f>SUM(F132:F138)</f>
        <v>0</v>
      </c>
      <c r="G150" s="528"/>
      <c r="H150" s="324"/>
      <c r="I150" s="528"/>
      <c r="J150" s="324"/>
      <c r="K150" s="324"/>
      <c r="L150" s="324"/>
      <c r="M150" s="324"/>
      <c r="N150" s="324"/>
      <c r="O150" s="324"/>
      <c r="P150" s="324"/>
      <c r="Q150" s="324"/>
      <c r="R150" s="324"/>
      <c r="S150" s="324"/>
      <c r="T150" s="528"/>
      <c r="U150" s="324"/>
      <c r="V150" s="676"/>
      <c r="W150" s="528"/>
      <c r="X150" s="529"/>
      <c r="Y150" s="323"/>
    </row>
    <row r="151" spans="1:29" thickBot="1" x14ac:dyDescent="0.45">
      <c r="A151" s="829"/>
      <c r="B151" s="332" t="s">
        <v>641</v>
      </c>
      <c r="C151" s="537"/>
      <c r="D151" s="537"/>
      <c r="E151" s="496">
        <f>SUM(E140:E145)</f>
        <v>0</v>
      </c>
      <c r="F151" s="354">
        <f>SUM(F140:F145)</f>
        <v>0</v>
      </c>
      <c r="G151" s="528"/>
      <c r="H151" s="324"/>
      <c r="I151" s="528"/>
      <c r="J151" s="324"/>
      <c r="K151" s="324"/>
      <c r="L151" s="324"/>
      <c r="M151" s="324"/>
      <c r="N151" s="324"/>
      <c r="O151" s="324"/>
      <c r="P151" s="324"/>
      <c r="Q151" s="324"/>
      <c r="R151" s="324"/>
      <c r="S151" s="324"/>
      <c r="T151" s="528"/>
      <c r="U151" s="324"/>
      <c r="V151" s="676"/>
      <c r="W151" s="528"/>
      <c r="X151" s="529"/>
      <c r="Y151" s="323"/>
    </row>
    <row r="152" spans="1:29" thickBot="1" x14ac:dyDescent="0.45">
      <c r="A152" s="829"/>
      <c r="B152" s="332" t="s">
        <v>121</v>
      </c>
      <c r="C152" s="537"/>
      <c r="D152" s="537"/>
      <c r="E152" s="496">
        <f>E150+E151</f>
        <v>0</v>
      </c>
      <c r="F152" s="354">
        <f>F150+F151</f>
        <v>0</v>
      </c>
      <c r="G152" s="528"/>
      <c r="H152" s="324"/>
      <c r="I152" s="528"/>
      <c r="J152" s="324"/>
      <c r="K152" s="324"/>
      <c r="L152" s="324"/>
      <c r="M152" s="324"/>
      <c r="N152" s="324"/>
      <c r="O152" s="324"/>
      <c r="P152" s="324"/>
      <c r="Q152" s="324"/>
      <c r="R152" s="324"/>
      <c r="S152" s="324"/>
      <c r="T152" s="528"/>
      <c r="U152" s="324"/>
      <c r="V152" s="676"/>
      <c r="W152" s="528"/>
      <c r="X152" s="529"/>
      <c r="Y152" s="323"/>
    </row>
    <row r="153" spans="1:29" thickBot="1" x14ac:dyDescent="0.45">
      <c r="A153" s="829"/>
      <c r="B153" s="319"/>
      <c r="C153" s="528"/>
      <c r="D153" s="528"/>
      <c r="E153" s="460"/>
      <c r="F153" s="324"/>
      <c r="G153" s="528"/>
      <c r="H153" s="324"/>
      <c r="I153" s="528"/>
      <c r="J153" s="324"/>
      <c r="K153" s="324"/>
      <c r="L153" s="324"/>
      <c r="M153" s="324"/>
      <c r="N153" s="324"/>
      <c r="O153" s="324"/>
      <c r="P153" s="324"/>
      <c r="Q153" s="324"/>
      <c r="R153" s="324"/>
      <c r="S153" s="324"/>
      <c r="T153" s="528"/>
      <c r="U153" s="324"/>
      <c r="V153" s="676"/>
      <c r="W153" s="528"/>
      <c r="X153" s="529"/>
      <c r="Y153" s="323"/>
    </row>
    <row r="154" spans="1:29" thickBot="1" x14ac:dyDescent="0.45">
      <c r="A154" s="829"/>
      <c r="B154" s="319"/>
      <c r="C154" s="528"/>
      <c r="D154" s="528"/>
      <c r="E154" s="460"/>
      <c r="F154" s="324"/>
      <c r="G154" s="528"/>
      <c r="H154" s="324"/>
      <c r="I154" s="528"/>
      <c r="J154" s="324"/>
      <c r="K154" s="324"/>
      <c r="L154" s="324"/>
      <c r="M154" s="324"/>
      <c r="N154" s="324"/>
      <c r="O154" s="324"/>
      <c r="P154" s="324"/>
      <c r="Q154" s="324"/>
      <c r="R154" s="324"/>
      <c r="S154" s="324"/>
      <c r="T154" s="528"/>
      <c r="U154" s="324"/>
      <c r="V154" s="676"/>
      <c r="W154" s="528"/>
      <c r="X154" s="529"/>
      <c r="Y154" s="323"/>
    </row>
    <row r="155" spans="1:29" thickBot="1" x14ac:dyDescent="0.45">
      <c r="A155" s="829"/>
      <c r="B155" s="302" t="s">
        <v>289</v>
      </c>
      <c r="C155" s="347"/>
      <c r="D155" s="347"/>
      <c r="E155" s="494"/>
      <c r="F155" s="348"/>
      <c r="G155" s="347"/>
      <c r="H155" s="348"/>
      <c r="I155" s="347"/>
      <c r="J155" s="348"/>
      <c r="K155" s="348"/>
      <c r="L155" s="348"/>
      <c r="M155" s="348"/>
      <c r="N155" s="348"/>
      <c r="O155" s="348"/>
      <c r="P155" s="348"/>
      <c r="Q155" s="348"/>
      <c r="R155" s="348"/>
      <c r="S155" s="348"/>
      <c r="T155" s="347"/>
      <c r="U155" s="348"/>
      <c r="V155" s="356"/>
      <c r="W155" s="348"/>
      <c r="X155" s="495"/>
      <c r="Y155" s="349"/>
    </row>
    <row r="156" spans="1:29" thickBot="1" x14ac:dyDescent="0.45">
      <c r="A156" s="830"/>
      <c r="B156" s="332" t="s">
        <v>285</v>
      </c>
      <c r="C156" s="347"/>
      <c r="D156" s="347"/>
      <c r="E156" s="494"/>
      <c r="F156" s="348"/>
      <c r="G156" s="347"/>
      <c r="H156" s="348"/>
      <c r="I156" s="347"/>
      <c r="J156" s="348"/>
      <c r="K156" s="348"/>
      <c r="L156" s="348"/>
      <c r="M156" s="348"/>
      <c r="N156" s="348"/>
      <c r="O156" s="348"/>
      <c r="P156" s="348"/>
      <c r="Q156" s="348"/>
      <c r="R156" s="348"/>
      <c r="S156" s="348"/>
      <c r="T156" s="347"/>
      <c r="U156" s="348"/>
      <c r="V156" s="356"/>
      <c r="W156" s="348"/>
      <c r="X156" s="495"/>
      <c r="Y156" s="357"/>
    </row>
    <row r="157" spans="1:29" thickBot="1" x14ac:dyDescent="0.45">
      <c r="A157" s="830"/>
      <c r="B157" s="332" t="s">
        <v>299</v>
      </c>
      <c r="C157" s="347"/>
      <c r="D157" s="347"/>
      <c r="E157" s="494"/>
      <c r="F157" s="348"/>
      <c r="G157" s="347"/>
      <c r="H157" s="348"/>
      <c r="I157" s="347"/>
      <c r="J157" s="348"/>
      <c r="K157" s="348"/>
      <c r="L157" s="348"/>
      <c r="M157" s="348"/>
      <c r="N157" s="348"/>
      <c r="O157" s="348"/>
      <c r="P157" s="348"/>
      <c r="Q157" s="348"/>
      <c r="R157" s="348"/>
      <c r="S157" s="348"/>
      <c r="T157" s="347"/>
      <c r="U157" s="348"/>
      <c r="V157" s="356"/>
      <c r="W157" s="348"/>
      <c r="X157" s="495"/>
      <c r="Y157" s="357"/>
    </row>
    <row r="158" spans="1:29" s="453" customFormat="1" ht="210.75" thickBot="1" x14ac:dyDescent="0.45">
      <c r="A158" s="319" t="s">
        <v>14</v>
      </c>
      <c r="B158" s="487" t="s">
        <v>1045</v>
      </c>
      <c r="C158" s="525"/>
      <c r="D158" s="626"/>
      <c r="E158" s="358">
        <f>C158*2</f>
        <v>0</v>
      </c>
      <c r="F158" s="627">
        <f>E158*1.03*0.85/147</f>
        <v>0</v>
      </c>
      <c r="G158" s="628">
        <f t="shared" ref="G158:G163" si="42">INT(M158)</f>
        <v>0</v>
      </c>
      <c r="H158" s="359"/>
      <c r="I158" s="628">
        <f t="shared" ref="I158:I163" si="43">(M158-G158)*64</f>
        <v>0</v>
      </c>
      <c r="J158" s="629"/>
      <c r="K158" s="630"/>
      <c r="L158" s="630"/>
      <c r="M158" s="627">
        <f>F158*147/0.57/64</f>
        <v>0</v>
      </c>
      <c r="N158" s="631"/>
      <c r="O158" s="631"/>
      <c r="P158" s="631"/>
      <c r="Q158" s="324" t="s">
        <v>18</v>
      </c>
      <c r="R158" s="324"/>
      <c r="S158" s="324" t="s">
        <v>19</v>
      </c>
      <c r="T158" s="528">
        <v>9</v>
      </c>
      <c r="U158" s="461"/>
      <c r="V158" s="688"/>
      <c r="W158" s="525"/>
      <c r="X158" s="560"/>
      <c r="Y158" s="451" t="s">
        <v>1087</v>
      </c>
      <c r="Z158" s="312">
        <f>E158/1.03564/1.16291/1.10009</f>
        <v>0</v>
      </c>
      <c r="AA158" s="316">
        <f>SUM(AB158/132)</f>
        <v>0</v>
      </c>
      <c r="AB158" s="310">
        <f>E158/1.03564/1.16291</f>
        <v>0</v>
      </c>
      <c r="AC158" s="453" t="s">
        <v>1057</v>
      </c>
    </row>
    <row r="159" spans="1:29" s="453" customFormat="1" ht="210.75" thickBot="1" x14ac:dyDescent="0.45">
      <c r="A159" s="319" t="s">
        <v>14</v>
      </c>
      <c r="B159" s="487" t="s">
        <v>1044</v>
      </c>
      <c r="C159" s="525"/>
      <c r="D159" s="626"/>
      <c r="E159" s="358">
        <f>C159*2</f>
        <v>0</v>
      </c>
      <c r="F159" s="627">
        <f>E159*1.03*0.82/147</f>
        <v>0</v>
      </c>
      <c r="G159" s="628">
        <f t="shared" si="42"/>
        <v>0</v>
      </c>
      <c r="H159" s="359"/>
      <c r="I159" s="628">
        <f t="shared" si="43"/>
        <v>0</v>
      </c>
      <c r="J159" s="629" t="s">
        <v>19</v>
      </c>
      <c r="K159" s="630"/>
      <c r="L159" s="630"/>
      <c r="M159" s="627">
        <f>F159*147/0.46/64</f>
        <v>0</v>
      </c>
      <c r="N159" s="631"/>
      <c r="O159" s="631"/>
      <c r="P159" s="631"/>
      <c r="Q159" s="324" t="s">
        <v>18</v>
      </c>
      <c r="R159" s="324"/>
      <c r="S159" s="324" t="s">
        <v>19</v>
      </c>
      <c r="T159" s="528">
        <v>9</v>
      </c>
      <c r="U159" s="461"/>
      <c r="V159" s="688"/>
      <c r="W159" s="525"/>
      <c r="X159" s="560"/>
      <c r="Y159" s="451" t="s">
        <v>1087</v>
      </c>
      <c r="Z159" s="312">
        <f>E159/1.23221</f>
        <v>0</v>
      </c>
      <c r="AA159" s="316">
        <f>SUM(Z159/132)</f>
        <v>0</v>
      </c>
      <c r="AB159" s="310"/>
      <c r="AC159" s="453" t="s">
        <v>1058</v>
      </c>
    </row>
    <row r="160" spans="1:29" s="453" customFormat="1" ht="210.75" thickBot="1" x14ac:dyDescent="0.45">
      <c r="A160" s="319" t="s">
        <v>14</v>
      </c>
      <c r="B160" s="487" t="s">
        <v>1083</v>
      </c>
      <c r="C160" s="525"/>
      <c r="D160" s="626"/>
      <c r="E160" s="358">
        <f>C160*0.4</f>
        <v>0</v>
      </c>
      <c r="F160" s="627">
        <f>E160*1.03*0.85/147</f>
        <v>0</v>
      </c>
      <c r="G160" s="628">
        <f t="shared" si="42"/>
        <v>0</v>
      </c>
      <c r="H160" s="359"/>
      <c r="I160" s="628">
        <f t="shared" si="43"/>
        <v>0</v>
      </c>
      <c r="J160" s="629"/>
      <c r="K160" s="630"/>
      <c r="L160" s="630"/>
      <c r="M160" s="627">
        <f>F160*147/0.57/64</f>
        <v>0</v>
      </c>
      <c r="N160" s="631"/>
      <c r="O160" s="631"/>
      <c r="P160" s="631"/>
      <c r="Q160" s="324" t="s">
        <v>18</v>
      </c>
      <c r="R160" s="324"/>
      <c r="S160" s="324" t="s">
        <v>19</v>
      </c>
      <c r="T160" s="528">
        <v>9</v>
      </c>
      <c r="U160" s="461"/>
      <c r="V160" s="688"/>
      <c r="W160" s="525"/>
      <c r="X160" s="560"/>
      <c r="Y160" s="451" t="s">
        <v>1087</v>
      </c>
      <c r="Z160" s="312">
        <f>E160/1.03564/1.16291/1.10009</f>
        <v>0</v>
      </c>
      <c r="AA160" s="316">
        <f>SUM(AB160/132)</f>
        <v>0</v>
      </c>
      <c r="AB160" s="310">
        <f>E160/1.03564/1.16291</f>
        <v>0</v>
      </c>
      <c r="AC160" s="453" t="s">
        <v>1057</v>
      </c>
    </row>
    <row r="161" spans="1:29" s="453" customFormat="1" ht="210.75" thickBot="1" x14ac:dyDescent="0.45">
      <c r="A161" s="319" t="s">
        <v>14</v>
      </c>
      <c r="B161" s="487" t="s">
        <v>1084</v>
      </c>
      <c r="C161" s="525"/>
      <c r="D161" s="626"/>
      <c r="E161" s="358">
        <f>C161*0.4</f>
        <v>0</v>
      </c>
      <c r="F161" s="627">
        <f>E161*1.03*0.82/147</f>
        <v>0</v>
      </c>
      <c r="G161" s="628">
        <f t="shared" si="42"/>
        <v>0</v>
      </c>
      <c r="H161" s="359"/>
      <c r="I161" s="628">
        <f t="shared" si="43"/>
        <v>0</v>
      </c>
      <c r="J161" s="629" t="s">
        <v>19</v>
      </c>
      <c r="K161" s="630"/>
      <c r="L161" s="630"/>
      <c r="M161" s="627">
        <f>F161*147/0.46/64</f>
        <v>0</v>
      </c>
      <c r="N161" s="631"/>
      <c r="O161" s="631"/>
      <c r="P161" s="631"/>
      <c r="Q161" s="324" t="s">
        <v>18</v>
      </c>
      <c r="R161" s="324"/>
      <c r="S161" s="324" t="s">
        <v>19</v>
      </c>
      <c r="T161" s="528">
        <v>9</v>
      </c>
      <c r="U161" s="461"/>
      <c r="V161" s="688"/>
      <c r="W161" s="525"/>
      <c r="X161" s="560"/>
      <c r="Y161" s="451" t="s">
        <v>1087</v>
      </c>
      <c r="Z161" s="312">
        <f>E161/1.23221</f>
        <v>0</v>
      </c>
      <c r="AA161" s="316">
        <f>SUM(Z161/132)</f>
        <v>0</v>
      </c>
      <c r="AB161" s="310"/>
      <c r="AC161" s="453" t="s">
        <v>1058</v>
      </c>
    </row>
    <row r="162" spans="1:29" ht="77.25" thickBot="1" x14ac:dyDescent="0.45">
      <c r="A162" s="319" t="s">
        <v>14</v>
      </c>
      <c r="B162" s="320" t="s">
        <v>746</v>
      </c>
      <c r="C162" s="528">
        <v>1000</v>
      </c>
      <c r="D162" s="528"/>
      <c r="E162" s="456">
        <f>C162*4</f>
        <v>4000</v>
      </c>
      <c r="F162" s="358">
        <f>E162*1.01*0.72/147</f>
        <v>19.787755102040816</v>
      </c>
      <c r="G162" s="548">
        <f t="shared" si="42"/>
        <v>34</v>
      </c>
      <c r="H162" s="358" t="s">
        <v>18</v>
      </c>
      <c r="I162" s="548">
        <f t="shared" si="43"/>
        <v>35.464852607709417</v>
      </c>
      <c r="J162" s="358" t="s">
        <v>19</v>
      </c>
      <c r="K162" s="358"/>
      <c r="L162" s="358"/>
      <c r="M162" s="358">
        <f>(F162*6035/3456)</f>
        <v>34.55413832199546</v>
      </c>
      <c r="N162" s="324"/>
      <c r="O162" s="324"/>
      <c r="P162" s="324"/>
      <c r="Q162" s="324" t="s">
        <v>18</v>
      </c>
      <c r="R162" s="324"/>
      <c r="S162" s="324" t="s">
        <v>19</v>
      </c>
      <c r="T162" s="528">
        <v>9</v>
      </c>
      <c r="U162" s="324">
        <f>E162/324*60</f>
        <v>740.74074074074076</v>
      </c>
      <c r="V162" s="676"/>
      <c r="W162" s="528"/>
      <c r="X162" s="529"/>
      <c r="Y162" s="323"/>
      <c r="Z162" s="312">
        <f>E162/1.21/1.143</f>
        <v>2892.2004584137726</v>
      </c>
      <c r="AA162" s="316">
        <f>SUM(AB162/287.3)</f>
        <v>11.506387483351695</v>
      </c>
      <c r="AB162" s="310">
        <f>E162/1.21</f>
        <v>3305.7851239669421</v>
      </c>
    </row>
    <row r="163" spans="1:29" ht="77.25" thickBot="1" x14ac:dyDescent="0.45">
      <c r="A163" s="319" t="s">
        <v>14</v>
      </c>
      <c r="B163" s="320" t="s">
        <v>747</v>
      </c>
      <c r="C163" s="528"/>
      <c r="D163" s="528"/>
      <c r="E163" s="456">
        <f>C163*2.5</f>
        <v>0</v>
      </c>
      <c r="F163" s="358">
        <f>E163*1.01*0.72/147</f>
        <v>0</v>
      </c>
      <c r="G163" s="548">
        <f t="shared" si="42"/>
        <v>0</v>
      </c>
      <c r="H163" s="358" t="s">
        <v>18</v>
      </c>
      <c r="I163" s="548">
        <f t="shared" si="43"/>
        <v>0</v>
      </c>
      <c r="J163" s="358" t="s">
        <v>19</v>
      </c>
      <c r="K163" s="358"/>
      <c r="L163" s="358"/>
      <c r="M163" s="358">
        <f>(F163*6035/3456)</f>
        <v>0</v>
      </c>
      <c r="N163" s="324"/>
      <c r="O163" s="324"/>
      <c r="P163" s="324"/>
      <c r="Q163" s="324" t="s">
        <v>18</v>
      </c>
      <c r="R163" s="324"/>
      <c r="S163" s="324" t="s">
        <v>19</v>
      </c>
      <c r="T163" s="528">
        <v>9</v>
      </c>
      <c r="U163" s="324">
        <f>E163/324*60</f>
        <v>0</v>
      </c>
      <c r="V163" s="676"/>
      <c r="W163" s="528"/>
      <c r="X163" s="529"/>
      <c r="Y163" s="323"/>
      <c r="Z163" s="312">
        <f>E163/1.21/1.143</f>
        <v>0</v>
      </c>
      <c r="AA163" s="316">
        <f>SUM(AB163/287.3)</f>
        <v>0</v>
      </c>
      <c r="AB163" s="310">
        <f>E163/1.21</f>
        <v>0</v>
      </c>
    </row>
    <row r="164" spans="1:29" ht="51.75" thickBot="1" x14ac:dyDescent="0.45">
      <c r="A164" s="319" t="s">
        <v>14</v>
      </c>
      <c r="B164" s="320" t="s">
        <v>748</v>
      </c>
      <c r="C164" s="528"/>
      <c r="D164" s="528"/>
      <c r="E164" s="456">
        <f>C164*2.5</f>
        <v>0</v>
      </c>
      <c r="F164" s="358">
        <f>E164*1.03*0.82/147</f>
        <v>0</v>
      </c>
      <c r="G164" s="549">
        <f t="shared" ref="G164:G170" si="44">INT(M164)</f>
        <v>0</v>
      </c>
      <c r="H164" s="359" t="s">
        <v>18</v>
      </c>
      <c r="I164" s="549">
        <f t="shared" ref="I164:I170" si="45">(M164-G164)*64</f>
        <v>0</v>
      </c>
      <c r="J164" s="359" t="s">
        <v>19</v>
      </c>
      <c r="K164" s="358"/>
      <c r="L164" s="358"/>
      <c r="M164" s="358">
        <f>(F164*5547/3456)</f>
        <v>0</v>
      </c>
      <c r="N164" s="324"/>
      <c r="O164" s="324"/>
      <c r="P164" s="324"/>
      <c r="Q164" s="324" t="s">
        <v>18</v>
      </c>
      <c r="R164" s="324"/>
      <c r="S164" s="324" t="s">
        <v>19</v>
      </c>
      <c r="T164" s="528">
        <v>9</v>
      </c>
      <c r="U164" s="324">
        <f>E164/324*60</f>
        <v>0</v>
      </c>
      <c r="V164" s="676"/>
      <c r="W164" s="528"/>
      <c r="X164" s="529"/>
      <c r="Y164" s="323"/>
      <c r="Z164" s="312">
        <f>E164/1.21</f>
        <v>0</v>
      </c>
      <c r="AA164" s="316">
        <f>SUM(Z164/347.8)</f>
        <v>0</v>
      </c>
    </row>
    <row r="165" spans="1:29" ht="77.25" thickBot="1" x14ac:dyDescent="0.45">
      <c r="A165" s="319" t="s">
        <v>14</v>
      </c>
      <c r="B165" s="320" t="s">
        <v>749</v>
      </c>
      <c r="C165" s="528"/>
      <c r="D165" s="528"/>
      <c r="E165" s="456">
        <f>C165*4</f>
        <v>0</v>
      </c>
      <c r="F165" s="358">
        <f>E165*1.03*0.82/147</f>
        <v>0</v>
      </c>
      <c r="G165" s="548">
        <f t="shared" si="44"/>
        <v>0</v>
      </c>
      <c r="H165" s="358" t="s">
        <v>18</v>
      </c>
      <c r="I165" s="548">
        <f t="shared" si="45"/>
        <v>0</v>
      </c>
      <c r="J165" s="358" t="s">
        <v>19</v>
      </c>
      <c r="K165" s="358"/>
      <c r="L165" s="358"/>
      <c r="M165" s="358">
        <f>(F165*5547/3456)</f>
        <v>0</v>
      </c>
      <c r="N165" s="324"/>
      <c r="O165" s="324"/>
      <c r="P165" s="324"/>
      <c r="Q165" s="324" t="s">
        <v>18</v>
      </c>
      <c r="R165" s="324"/>
      <c r="S165" s="324" t="s">
        <v>19</v>
      </c>
      <c r="T165" s="528">
        <v>9</v>
      </c>
      <c r="U165" s="324">
        <f>E165/324*60</f>
        <v>0</v>
      </c>
      <c r="V165" s="685"/>
      <c r="W165" s="528"/>
      <c r="X165" s="529"/>
      <c r="Y165" s="323"/>
      <c r="Z165" s="312">
        <f>E165/1.21</f>
        <v>0</v>
      </c>
      <c r="AA165" s="316">
        <f>SUM(Z165/347.8)</f>
        <v>0</v>
      </c>
    </row>
    <row r="166" spans="1:29" s="728" customFormat="1" ht="79.5" outlineLevel="1" thickBot="1" x14ac:dyDescent="0.45">
      <c r="A166" s="636" t="s">
        <v>14</v>
      </c>
      <c r="B166" s="634" t="s">
        <v>750</v>
      </c>
      <c r="C166" s="720"/>
      <c r="D166" s="720">
        <f>C166*144</f>
        <v>0</v>
      </c>
      <c r="E166" s="721">
        <f>D166*0.025</f>
        <v>0</v>
      </c>
      <c r="F166" s="722">
        <f>E166*1.008*0.72/147</f>
        <v>0</v>
      </c>
      <c r="G166" s="720">
        <f t="shared" si="44"/>
        <v>0</v>
      </c>
      <c r="H166" s="722" t="s">
        <v>18</v>
      </c>
      <c r="I166" s="720">
        <f t="shared" si="45"/>
        <v>0</v>
      </c>
      <c r="J166" s="722" t="s">
        <v>19</v>
      </c>
      <c r="K166" s="722"/>
      <c r="L166" s="722"/>
      <c r="M166" s="722">
        <f>(F166*8166/3456)</f>
        <v>0</v>
      </c>
      <c r="N166" s="722"/>
      <c r="O166" s="722"/>
      <c r="P166" s="722"/>
      <c r="Q166" s="722" t="s">
        <v>18</v>
      </c>
      <c r="R166" s="722"/>
      <c r="S166" s="722" t="s">
        <v>19</v>
      </c>
      <c r="T166" s="720">
        <v>9</v>
      </c>
      <c r="U166" s="722">
        <f>E166/259*60</f>
        <v>0</v>
      </c>
      <c r="V166" s="724"/>
      <c r="W166" s="720"/>
      <c r="X166" s="725"/>
      <c r="Y166" s="737" t="s">
        <v>921</v>
      </c>
      <c r="Z166" s="727">
        <f>E166/1.21/1.143</f>
        <v>0</v>
      </c>
      <c r="AA166" s="815">
        <f>SUM(AB166/215.5)</f>
        <v>0</v>
      </c>
      <c r="AB166" s="728">
        <f>E166/1.21</f>
        <v>0</v>
      </c>
    </row>
    <row r="167" spans="1:29" ht="77.25" outlineLevel="1" collapsed="1" thickBot="1" x14ac:dyDescent="0.45">
      <c r="A167" s="319" t="s">
        <v>14</v>
      </c>
      <c r="B167" s="799" t="s">
        <v>1209</v>
      </c>
      <c r="C167" s="528"/>
      <c r="D167" s="528"/>
      <c r="E167" s="456">
        <f>C167*4</f>
        <v>0</v>
      </c>
      <c r="F167" s="358">
        <f>E167*1.03*0.82/147</f>
        <v>0</v>
      </c>
      <c r="G167" s="548">
        <f t="shared" si="44"/>
        <v>0</v>
      </c>
      <c r="H167" s="358" t="s">
        <v>18</v>
      </c>
      <c r="I167" s="548">
        <f t="shared" si="45"/>
        <v>0</v>
      </c>
      <c r="J167" s="358" t="s">
        <v>19</v>
      </c>
      <c r="K167" s="358"/>
      <c r="L167" s="358"/>
      <c r="M167" s="358">
        <f>(F167*5547/3456)</f>
        <v>0</v>
      </c>
      <c r="N167" s="324"/>
      <c r="O167" s="324"/>
      <c r="P167" s="324"/>
      <c r="Q167" s="324" t="s">
        <v>18</v>
      </c>
      <c r="R167" s="324"/>
      <c r="S167" s="324" t="s">
        <v>19</v>
      </c>
      <c r="T167" s="528">
        <v>9</v>
      </c>
      <c r="U167" s="324">
        <f>E167/324*60</f>
        <v>0</v>
      </c>
      <c r="V167" s="676"/>
      <c r="W167" s="528"/>
      <c r="X167" s="529"/>
      <c r="Y167" s="323"/>
      <c r="Z167" s="312">
        <f t="shared" ref="Z167:Z173" si="46">E167/1.21</f>
        <v>0</v>
      </c>
      <c r="AA167" s="316">
        <f t="shared" ref="AA167:AA173" si="47">SUM(Z167/347.8)</f>
        <v>0</v>
      </c>
    </row>
    <row r="168" spans="1:29" ht="77.25" thickBot="1" x14ac:dyDescent="0.45">
      <c r="A168" s="319" t="s">
        <v>14</v>
      </c>
      <c r="B168" s="320" t="s">
        <v>1149</v>
      </c>
      <c r="C168" s="528"/>
      <c r="D168" s="528"/>
      <c r="E168" s="456">
        <f>C168*4</f>
        <v>0</v>
      </c>
      <c r="F168" s="358">
        <f>E168*1.03*0.82/147</f>
        <v>0</v>
      </c>
      <c r="G168" s="548">
        <f t="shared" si="44"/>
        <v>0</v>
      </c>
      <c r="H168" s="358" t="s">
        <v>18</v>
      </c>
      <c r="I168" s="548">
        <f t="shared" si="45"/>
        <v>0</v>
      </c>
      <c r="J168" s="358" t="s">
        <v>19</v>
      </c>
      <c r="K168" s="358"/>
      <c r="L168" s="358"/>
      <c r="M168" s="358">
        <f>(F168*5547/3456)</f>
        <v>0</v>
      </c>
      <c r="N168" s="324"/>
      <c r="O168" s="324"/>
      <c r="P168" s="324"/>
      <c r="Q168" s="324" t="s">
        <v>18</v>
      </c>
      <c r="R168" s="324"/>
      <c r="S168" s="324" t="s">
        <v>19</v>
      </c>
      <c r="T168" s="528">
        <v>9</v>
      </c>
      <c r="U168" s="324">
        <f t="shared" ref="U168:U173" si="48">E168/324*60</f>
        <v>0</v>
      </c>
      <c r="V168" s="676"/>
      <c r="W168" s="528"/>
      <c r="X168" s="529"/>
      <c r="Y168" s="323"/>
      <c r="Z168" s="312">
        <f t="shared" si="46"/>
        <v>0</v>
      </c>
      <c r="AA168" s="316">
        <f t="shared" si="47"/>
        <v>0</v>
      </c>
    </row>
    <row r="169" spans="1:29" s="728" customFormat="1" ht="102.75" outlineLevel="1" thickBot="1" x14ac:dyDescent="0.45">
      <c r="A169" s="636" t="s">
        <v>14</v>
      </c>
      <c r="B169" s="634" t="s">
        <v>751</v>
      </c>
      <c r="C169" s="720"/>
      <c r="D169" s="720"/>
      <c r="E169" s="721">
        <f>C169*4</f>
        <v>0</v>
      </c>
      <c r="F169" s="722">
        <f>E169*1.01*0.72/147</f>
        <v>0</v>
      </c>
      <c r="G169" s="720">
        <f t="shared" si="44"/>
        <v>0</v>
      </c>
      <c r="H169" s="722" t="s">
        <v>18</v>
      </c>
      <c r="I169" s="720">
        <f t="shared" si="45"/>
        <v>0</v>
      </c>
      <c r="J169" s="722" t="s">
        <v>19</v>
      </c>
      <c r="K169" s="722"/>
      <c r="L169" s="722"/>
      <c r="M169" s="722">
        <f>(F169*6035/3456)</f>
        <v>0</v>
      </c>
      <c r="N169" s="722"/>
      <c r="O169" s="722"/>
      <c r="P169" s="722"/>
      <c r="Q169" s="722" t="s">
        <v>18</v>
      </c>
      <c r="R169" s="722"/>
      <c r="S169" s="722" t="s">
        <v>19</v>
      </c>
      <c r="T169" s="720">
        <v>9</v>
      </c>
      <c r="U169" s="722">
        <f t="shared" si="48"/>
        <v>0</v>
      </c>
      <c r="V169" s="724"/>
      <c r="W169" s="720"/>
      <c r="X169" s="725"/>
      <c r="Y169" s="736"/>
      <c r="Z169" s="727">
        <f>E169/1.21/1.143</f>
        <v>0</v>
      </c>
      <c r="AA169" s="815">
        <f>SUM(AB169/287.3)</f>
        <v>0</v>
      </c>
      <c r="AB169" s="728">
        <f>E169/1.21</f>
        <v>0</v>
      </c>
    </row>
    <row r="170" spans="1:29" ht="77.25" thickBot="1" x14ac:dyDescent="0.45">
      <c r="A170" s="319" t="s">
        <v>14</v>
      </c>
      <c r="B170" s="343" t="s">
        <v>752</v>
      </c>
      <c r="C170" s="528"/>
      <c r="D170" s="528"/>
      <c r="E170" s="457">
        <f>C170*3</f>
        <v>0</v>
      </c>
      <c r="F170" s="358">
        <f>E170*1.03*0.82/147</f>
        <v>0</v>
      </c>
      <c r="G170" s="549">
        <f t="shared" si="44"/>
        <v>0</v>
      </c>
      <c r="H170" s="359" t="s">
        <v>18</v>
      </c>
      <c r="I170" s="549">
        <f t="shared" si="45"/>
        <v>0</v>
      </c>
      <c r="J170" s="359" t="s">
        <v>19</v>
      </c>
      <c r="K170" s="358"/>
      <c r="L170" s="358"/>
      <c r="M170" s="358">
        <f>(F170*5547/3456)</f>
        <v>0</v>
      </c>
      <c r="N170" s="324"/>
      <c r="O170" s="324"/>
      <c r="P170" s="324"/>
      <c r="Q170" s="324" t="s">
        <v>18</v>
      </c>
      <c r="R170" s="324"/>
      <c r="S170" s="324" t="s">
        <v>19</v>
      </c>
      <c r="T170" s="528">
        <v>9</v>
      </c>
      <c r="U170" s="324">
        <f t="shared" si="48"/>
        <v>0</v>
      </c>
      <c r="V170" s="676"/>
      <c r="W170" s="528"/>
      <c r="X170" s="529"/>
      <c r="Y170" s="323"/>
      <c r="Z170" s="312">
        <f t="shared" si="46"/>
        <v>0</v>
      </c>
      <c r="AA170" s="316">
        <f>SUM(Z170/341.6)</f>
        <v>0</v>
      </c>
    </row>
    <row r="171" spans="1:29" ht="77.25" thickBot="1" x14ac:dyDescent="0.45">
      <c r="A171" s="319" t="s">
        <v>14</v>
      </c>
      <c r="B171" s="344" t="s">
        <v>879</v>
      </c>
      <c r="C171" s="528"/>
      <c r="D171" s="528"/>
      <c r="E171" s="457">
        <f>C171*3</f>
        <v>0</v>
      </c>
      <c r="F171" s="358">
        <f>E171*1.03*0.82/147</f>
        <v>0</v>
      </c>
      <c r="G171" s="549">
        <f t="shared" ref="G171:G181" si="49">INT(M171)</f>
        <v>0</v>
      </c>
      <c r="H171" s="359" t="s">
        <v>18</v>
      </c>
      <c r="I171" s="549">
        <f t="shared" ref="I171:I181" si="50">(M171-G171)*64</f>
        <v>0</v>
      </c>
      <c r="J171" s="359" t="s">
        <v>19</v>
      </c>
      <c r="K171" s="358"/>
      <c r="L171" s="358"/>
      <c r="M171" s="358">
        <f>(F171*5547/3456)</f>
        <v>0</v>
      </c>
      <c r="N171" s="324"/>
      <c r="O171" s="324"/>
      <c r="P171" s="324"/>
      <c r="Q171" s="324" t="s">
        <v>18</v>
      </c>
      <c r="R171" s="324"/>
      <c r="S171" s="324" t="s">
        <v>19</v>
      </c>
      <c r="T171" s="528">
        <v>9</v>
      </c>
      <c r="U171" s="324">
        <f t="shared" si="48"/>
        <v>0</v>
      </c>
      <c r="V171" s="676"/>
      <c r="W171" s="528"/>
      <c r="X171" s="529"/>
      <c r="Y171" s="323"/>
      <c r="Z171" s="312">
        <f t="shared" si="46"/>
        <v>0</v>
      </c>
      <c r="AA171" s="316">
        <f t="shared" si="47"/>
        <v>0</v>
      </c>
    </row>
    <row r="172" spans="1:29" ht="51.75" thickBot="1" x14ac:dyDescent="0.45">
      <c r="A172" s="319" t="s">
        <v>14</v>
      </c>
      <c r="B172" s="320" t="s">
        <v>753</v>
      </c>
      <c r="C172" s="528"/>
      <c r="D172" s="528"/>
      <c r="E172" s="456">
        <f>C172*2.5</f>
        <v>0</v>
      </c>
      <c r="F172" s="358">
        <f>E172*1.03*0.84/147</f>
        <v>0</v>
      </c>
      <c r="G172" s="548">
        <f t="shared" si="49"/>
        <v>0</v>
      </c>
      <c r="H172" s="358" t="s">
        <v>18</v>
      </c>
      <c r="I172" s="548">
        <f t="shared" si="50"/>
        <v>0</v>
      </c>
      <c r="J172" s="358" t="s">
        <v>19</v>
      </c>
      <c r="K172" s="358"/>
      <c r="L172" s="358"/>
      <c r="M172" s="358">
        <f>(F172*5547/3456)</f>
        <v>0</v>
      </c>
      <c r="N172" s="324"/>
      <c r="O172" s="324"/>
      <c r="P172" s="324"/>
      <c r="Q172" s="324" t="s">
        <v>18</v>
      </c>
      <c r="R172" s="324"/>
      <c r="S172" s="324" t="s">
        <v>19</v>
      </c>
      <c r="T172" s="528">
        <v>9</v>
      </c>
      <c r="U172" s="324">
        <f t="shared" si="48"/>
        <v>0</v>
      </c>
      <c r="V172" s="676"/>
      <c r="W172" s="528"/>
      <c r="X172" s="529"/>
      <c r="Y172" s="323"/>
      <c r="Z172" s="312">
        <f t="shared" si="46"/>
        <v>0</v>
      </c>
      <c r="AA172" s="316">
        <f t="shared" si="47"/>
        <v>0</v>
      </c>
    </row>
    <row r="173" spans="1:29" ht="77.25" thickBot="1" x14ac:dyDescent="0.45">
      <c r="A173" s="319" t="s">
        <v>14</v>
      </c>
      <c r="B173" s="320" t="s">
        <v>754</v>
      </c>
      <c r="C173" s="528"/>
      <c r="D173" s="528"/>
      <c r="E173" s="456">
        <f>C173*4</f>
        <v>0</v>
      </c>
      <c r="F173" s="358">
        <f>E173*1.03*0.84/147</f>
        <v>0</v>
      </c>
      <c r="G173" s="548">
        <f t="shared" si="49"/>
        <v>0</v>
      </c>
      <c r="H173" s="358" t="s">
        <v>18</v>
      </c>
      <c r="I173" s="548">
        <f t="shared" si="50"/>
        <v>0</v>
      </c>
      <c r="J173" s="358" t="s">
        <v>19</v>
      </c>
      <c r="K173" s="358"/>
      <c r="L173" s="358"/>
      <c r="M173" s="358">
        <f>(F173*5547/3456)</f>
        <v>0</v>
      </c>
      <c r="N173" s="324"/>
      <c r="O173" s="324"/>
      <c r="P173" s="324"/>
      <c r="Q173" s="324" t="s">
        <v>18</v>
      </c>
      <c r="R173" s="324"/>
      <c r="S173" s="324" t="s">
        <v>19</v>
      </c>
      <c r="T173" s="528">
        <v>9</v>
      </c>
      <c r="U173" s="324">
        <f t="shared" si="48"/>
        <v>0</v>
      </c>
      <c r="V173" s="676"/>
      <c r="W173" s="528"/>
      <c r="X173" s="529"/>
      <c r="Y173" s="323"/>
      <c r="Z173" s="312">
        <f t="shared" si="46"/>
        <v>0</v>
      </c>
      <c r="AA173" s="316">
        <f t="shared" si="47"/>
        <v>0</v>
      </c>
    </row>
    <row r="174" spans="1:29" ht="77.25" thickBot="1" x14ac:dyDescent="0.45">
      <c r="A174" s="319" t="s">
        <v>14</v>
      </c>
      <c r="B174" s="361" t="s">
        <v>755</v>
      </c>
      <c r="C174" s="528"/>
      <c r="D174" s="528"/>
      <c r="E174" s="456">
        <f>C174*4</f>
        <v>0</v>
      </c>
      <c r="F174" s="358">
        <f>E174*1.01*0.756/147</f>
        <v>0</v>
      </c>
      <c r="G174" s="548">
        <f t="shared" si="49"/>
        <v>0</v>
      </c>
      <c r="H174" s="358" t="s">
        <v>18</v>
      </c>
      <c r="I174" s="548">
        <f t="shared" si="50"/>
        <v>0</v>
      </c>
      <c r="J174" s="358" t="s">
        <v>19</v>
      </c>
      <c r="K174" s="358"/>
      <c r="L174" s="358"/>
      <c r="M174" s="358">
        <f>(F174*6035/3456)</f>
        <v>0</v>
      </c>
      <c r="N174" s="324"/>
      <c r="O174" s="324"/>
      <c r="P174" s="324"/>
      <c r="Q174" s="324" t="s">
        <v>18</v>
      </c>
      <c r="R174" s="324"/>
      <c r="S174" s="324" t="s">
        <v>19</v>
      </c>
      <c r="T174" s="528">
        <v>9</v>
      </c>
      <c r="U174" s="324">
        <f t="shared" ref="U174:U181" si="51">E174/324*60</f>
        <v>0</v>
      </c>
      <c r="V174" s="676"/>
      <c r="W174" s="528"/>
      <c r="X174" s="529"/>
      <c r="Y174" s="323"/>
      <c r="Z174" s="312">
        <f>E174/1.21/1.143</f>
        <v>0</v>
      </c>
      <c r="AA174" s="316">
        <f>SUM(AB174/287.3)</f>
        <v>0</v>
      </c>
      <c r="AB174" s="310">
        <f>E174/1.21</f>
        <v>0</v>
      </c>
    </row>
    <row r="175" spans="1:29" ht="77.25" thickBot="1" x14ac:dyDescent="0.45">
      <c r="A175" s="319" t="s">
        <v>14</v>
      </c>
      <c r="B175" s="320" t="s">
        <v>756</v>
      </c>
      <c r="C175" s="528"/>
      <c r="D175" s="528"/>
      <c r="E175" s="456">
        <f>C175*2.5</f>
        <v>0</v>
      </c>
      <c r="F175" s="358">
        <f>E175*1.01*0.756/147</f>
        <v>0</v>
      </c>
      <c r="G175" s="548">
        <f t="shared" si="49"/>
        <v>0</v>
      </c>
      <c r="H175" s="358" t="s">
        <v>18</v>
      </c>
      <c r="I175" s="548">
        <f t="shared" si="50"/>
        <v>0</v>
      </c>
      <c r="J175" s="358" t="s">
        <v>19</v>
      </c>
      <c r="K175" s="358"/>
      <c r="L175" s="358"/>
      <c r="M175" s="358">
        <f>(F175*6035/3456)</f>
        <v>0</v>
      </c>
      <c r="N175" s="324"/>
      <c r="O175" s="324"/>
      <c r="P175" s="324"/>
      <c r="Q175" s="324" t="s">
        <v>18</v>
      </c>
      <c r="R175" s="324"/>
      <c r="S175" s="324" t="s">
        <v>19</v>
      </c>
      <c r="T175" s="528">
        <v>9</v>
      </c>
      <c r="U175" s="324">
        <f t="shared" si="51"/>
        <v>0</v>
      </c>
      <c r="V175" s="676"/>
      <c r="W175" s="528"/>
      <c r="X175" s="529"/>
      <c r="Y175" s="323"/>
      <c r="Z175" s="312">
        <f>E175/1.21/1.143</f>
        <v>0</v>
      </c>
      <c r="AA175" s="316">
        <f>SUM(AB175/287.3)</f>
        <v>0</v>
      </c>
      <c r="AB175" s="310">
        <f>E175/1.21</f>
        <v>0</v>
      </c>
    </row>
    <row r="176" spans="1:29" ht="77.25" thickBot="1" x14ac:dyDescent="0.45">
      <c r="A176" s="319" t="s">
        <v>14</v>
      </c>
      <c r="B176" s="320" t="s">
        <v>757</v>
      </c>
      <c r="C176" s="528"/>
      <c r="D176" s="528"/>
      <c r="E176" s="456">
        <f>C176*2.5</f>
        <v>0</v>
      </c>
      <c r="F176" s="358">
        <f>E176*1.01*0.756/147</f>
        <v>0</v>
      </c>
      <c r="G176" s="548">
        <f t="shared" si="49"/>
        <v>0</v>
      </c>
      <c r="H176" s="358" t="s">
        <v>18</v>
      </c>
      <c r="I176" s="548">
        <f t="shared" si="50"/>
        <v>0</v>
      </c>
      <c r="J176" s="358" t="s">
        <v>19</v>
      </c>
      <c r="K176" s="358"/>
      <c r="L176" s="358"/>
      <c r="M176" s="358">
        <f>(F176*6035/3456)</f>
        <v>0</v>
      </c>
      <c r="N176" s="324"/>
      <c r="O176" s="324"/>
      <c r="P176" s="324"/>
      <c r="Q176" s="324" t="s">
        <v>18</v>
      </c>
      <c r="R176" s="324"/>
      <c r="S176" s="324" t="s">
        <v>19</v>
      </c>
      <c r="T176" s="528">
        <v>9</v>
      </c>
      <c r="U176" s="324">
        <f t="shared" si="51"/>
        <v>0</v>
      </c>
      <c r="V176" s="676"/>
      <c r="W176" s="528"/>
      <c r="X176" s="529"/>
      <c r="Y176" s="323"/>
      <c r="Z176" s="312">
        <f>E176/1.21/1.143</f>
        <v>0</v>
      </c>
      <c r="AA176" s="316">
        <f>SUM(AB176/287.3)</f>
        <v>0</v>
      </c>
      <c r="AB176" s="310">
        <f>E176/1.21</f>
        <v>0</v>
      </c>
    </row>
    <row r="177" spans="1:29" ht="77.25" thickBot="1" x14ac:dyDescent="0.45">
      <c r="A177" s="319" t="s">
        <v>14</v>
      </c>
      <c r="B177" s="320" t="s">
        <v>758</v>
      </c>
      <c r="C177" s="528"/>
      <c r="D177" s="528"/>
      <c r="E177" s="456">
        <f>C177*4</f>
        <v>0</v>
      </c>
      <c r="F177" s="358">
        <f>E177*1.03*0.84/147</f>
        <v>0</v>
      </c>
      <c r="G177" s="548">
        <f t="shared" si="49"/>
        <v>0</v>
      </c>
      <c r="H177" s="358" t="s">
        <v>18</v>
      </c>
      <c r="I177" s="548">
        <f t="shared" si="50"/>
        <v>0</v>
      </c>
      <c r="J177" s="358" t="s">
        <v>19</v>
      </c>
      <c r="K177" s="358"/>
      <c r="L177" s="358"/>
      <c r="M177" s="358">
        <f>(F177*5068/3456)</f>
        <v>0</v>
      </c>
      <c r="N177" s="324"/>
      <c r="O177" s="324"/>
      <c r="P177" s="324"/>
      <c r="Q177" s="324" t="s">
        <v>18</v>
      </c>
      <c r="R177" s="324"/>
      <c r="S177" s="324" t="s">
        <v>19</v>
      </c>
      <c r="T177" s="528">
        <v>9</v>
      </c>
      <c r="U177" s="324">
        <f t="shared" si="51"/>
        <v>0</v>
      </c>
      <c r="V177" s="676"/>
      <c r="W177" s="528"/>
      <c r="X177" s="529"/>
      <c r="Y177" s="323"/>
      <c r="Z177" s="312">
        <f>E177/1.21</f>
        <v>0</v>
      </c>
      <c r="AA177" s="316">
        <f>SUM(Z177/347.8)</f>
        <v>0</v>
      </c>
    </row>
    <row r="178" spans="1:29" ht="77.25" thickBot="1" x14ac:dyDescent="0.45">
      <c r="A178" s="319" t="s">
        <v>14</v>
      </c>
      <c r="B178" s="799" t="s">
        <v>1186</v>
      </c>
      <c r="C178" s="528"/>
      <c r="D178" s="528"/>
      <c r="E178" s="456">
        <f>C178*1.7</f>
        <v>0</v>
      </c>
      <c r="F178" s="324">
        <f>E178*1.03*0.84/147</f>
        <v>0</v>
      </c>
      <c r="G178" s="548">
        <f t="shared" si="49"/>
        <v>0</v>
      </c>
      <c r="H178" s="358" t="s">
        <v>18</v>
      </c>
      <c r="I178" s="548">
        <f t="shared" si="50"/>
        <v>0</v>
      </c>
      <c r="J178" s="358" t="s">
        <v>19</v>
      </c>
      <c r="K178" s="358"/>
      <c r="L178" s="358"/>
      <c r="M178" s="358">
        <f>(F178*5068/3456)</f>
        <v>0</v>
      </c>
      <c r="N178" s="324"/>
      <c r="O178" s="324"/>
      <c r="P178" s="324"/>
      <c r="Q178" s="324" t="s">
        <v>18</v>
      </c>
      <c r="R178" s="324"/>
      <c r="S178" s="324" t="s">
        <v>19</v>
      </c>
      <c r="T178" s="528">
        <v>9</v>
      </c>
      <c r="U178" s="324">
        <f t="shared" si="51"/>
        <v>0</v>
      </c>
      <c r="V178" s="676"/>
      <c r="W178" s="528"/>
      <c r="X178" s="529"/>
      <c r="Y178" s="323"/>
      <c r="Z178" s="312">
        <f>E178/1.21</f>
        <v>0</v>
      </c>
      <c r="AA178" s="316">
        <f>SUM(Z178/347.8)</f>
        <v>0</v>
      </c>
    </row>
    <row r="179" spans="1:29" ht="51.75" thickBot="1" x14ac:dyDescent="0.45">
      <c r="A179" s="319" t="s">
        <v>14</v>
      </c>
      <c r="B179" s="320" t="s">
        <v>898</v>
      </c>
      <c r="C179" s="528"/>
      <c r="D179" s="525"/>
      <c r="E179" s="456">
        <f>C179*1</f>
        <v>0</v>
      </c>
      <c r="F179" s="358">
        <f>E179*1.03*0.84/147</f>
        <v>0</v>
      </c>
      <c r="G179" s="549">
        <f t="shared" si="49"/>
        <v>0</v>
      </c>
      <c r="H179" s="359" t="s">
        <v>18</v>
      </c>
      <c r="I179" s="549">
        <f t="shared" si="50"/>
        <v>0</v>
      </c>
      <c r="J179" s="359" t="s">
        <v>19</v>
      </c>
      <c r="K179" s="358"/>
      <c r="L179" s="358"/>
      <c r="M179" s="358">
        <f>(F179*6391/2880)</f>
        <v>0</v>
      </c>
      <c r="N179" s="461"/>
      <c r="O179" s="461"/>
      <c r="P179" s="324"/>
      <c r="Q179" s="324" t="s">
        <v>18</v>
      </c>
      <c r="R179" s="324"/>
      <c r="S179" s="324" t="s">
        <v>19</v>
      </c>
      <c r="T179" s="528">
        <v>9</v>
      </c>
      <c r="U179" s="324">
        <f t="shared" si="51"/>
        <v>0</v>
      </c>
      <c r="V179" s="676"/>
      <c r="W179" s="528"/>
      <c r="X179" s="529"/>
      <c r="Y179" s="323"/>
      <c r="Z179" s="312">
        <f>E179/1.21</f>
        <v>0</v>
      </c>
      <c r="AA179" s="316">
        <f>SUM(Z179/285.7)</f>
        <v>0</v>
      </c>
    </row>
    <row r="180" spans="1:29" ht="77.25" thickBot="1" x14ac:dyDescent="0.45">
      <c r="A180" s="319" t="s">
        <v>14</v>
      </c>
      <c r="B180" s="802" t="s">
        <v>1185</v>
      </c>
      <c r="C180" s="528"/>
      <c r="D180" s="528"/>
      <c r="E180" s="456">
        <f>C180*1</f>
        <v>0</v>
      </c>
      <c r="F180" s="358">
        <f>E180*1.03*0.84/147</f>
        <v>0</v>
      </c>
      <c r="G180" s="549">
        <f t="shared" si="49"/>
        <v>0</v>
      </c>
      <c r="H180" s="359" t="s">
        <v>18</v>
      </c>
      <c r="I180" s="549">
        <f t="shared" si="50"/>
        <v>0</v>
      </c>
      <c r="J180" s="359" t="s">
        <v>19</v>
      </c>
      <c r="K180" s="358"/>
      <c r="L180" s="358"/>
      <c r="M180" s="358">
        <f>(F180*5068/3456)</f>
        <v>0</v>
      </c>
      <c r="N180" s="324"/>
      <c r="O180" s="324"/>
      <c r="P180" s="324"/>
      <c r="Q180" s="324" t="s">
        <v>18</v>
      </c>
      <c r="R180" s="324"/>
      <c r="S180" s="324" t="s">
        <v>19</v>
      </c>
      <c r="T180" s="528">
        <v>9</v>
      </c>
      <c r="U180" s="324">
        <f t="shared" si="51"/>
        <v>0</v>
      </c>
      <c r="V180" s="676"/>
      <c r="W180" s="528"/>
      <c r="X180" s="529"/>
      <c r="Y180" s="323"/>
      <c r="Z180" s="312">
        <f>E180/1.21</f>
        <v>0</v>
      </c>
      <c r="AA180" s="316">
        <f>SUM(Z180/285.7)</f>
        <v>0</v>
      </c>
    </row>
    <row r="181" spans="1:29" ht="77.25" thickBot="1" x14ac:dyDescent="0.45">
      <c r="A181" s="319" t="s">
        <v>14</v>
      </c>
      <c r="B181" s="802" t="s">
        <v>1187</v>
      </c>
      <c r="C181" s="528"/>
      <c r="D181" s="528"/>
      <c r="E181" s="456">
        <f>C181*1.7</f>
        <v>0</v>
      </c>
      <c r="F181" s="358">
        <f>E181*1.03*0.84/147</f>
        <v>0</v>
      </c>
      <c r="G181" s="549">
        <f t="shared" si="49"/>
        <v>0</v>
      </c>
      <c r="H181" s="359" t="s">
        <v>18</v>
      </c>
      <c r="I181" s="549">
        <f t="shared" si="50"/>
        <v>0</v>
      </c>
      <c r="J181" s="359" t="s">
        <v>19</v>
      </c>
      <c r="K181" s="358"/>
      <c r="L181" s="358"/>
      <c r="M181" s="358">
        <f>(F181*5068/3456)</f>
        <v>0</v>
      </c>
      <c r="N181" s="324"/>
      <c r="O181" s="324"/>
      <c r="P181" s="324"/>
      <c r="Q181" s="324" t="s">
        <v>18</v>
      </c>
      <c r="R181" s="324"/>
      <c r="S181" s="324" t="s">
        <v>19</v>
      </c>
      <c r="T181" s="528">
        <v>9</v>
      </c>
      <c r="U181" s="324">
        <f t="shared" si="51"/>
        <v>0</v>
      </c>
      <c r="V181" s="676"/>
      <c r="W181" s="528"/>
      <c r="X181" s="529"/>
      <c r="Y181" s="323"/>
      <c r="Z181" s="312">
        <f>E181/1.21/1.143</f>
        <v>0</v>
      </c>
      <c r="AA181" s="316">
        <f>SUM(AB181/287.3)</f>
        <v>0</v>
      </c>
      <c r="AB181" s="310">
        <f>E181/1.21</f>
        <v>0</v>
      </c>
    </row>
    <row r="182" spans="1:29" ht="77.25" thickBot="1" x14ac:dyDescent="0.45">
      <c r="A182" s="319" t="s">
        <v>14</v>
      </c>
      <c r="B182" s="802" t="s">
        <v>896</v>
      </c>
      <c r="C182" s="528"/>
      <c r="D182" s="528"/>
      <c r="E182" s="456">
        <f>C182*1.2</f>
        <v>0</v>
      </c>
      <c r="F182" s="358">
        <f>E182*1.01*0.72/147</f>
        <v>0</v>
      </c>
      <c r="G182" s="548">
        <f t="shared" ref="G182:G189" si="52">INT(M182)</f>
        <v>0</v>
      </c>
      <c r="H182" s="358" t="s">
        <v>18</v>
      </c>
      <c r="I182" s="548">
        <f t="shared" ref="I182:I189" si="53">(M182-G182)*64</f>
        <v>0</v>
      </c>
      <c r="J182" s="358" t="s">
        <v>19</v>
      </c>
      <c r="K182" s="358"/>
      <c r="L182" s="358"/>
      <c r="M182" s="358">
        <f>(F182*6035/3456)</f>
        <v>0</v>
      </c>
      <c r="N182" s="358"/>
      <c r="O182" s="358"/>
      <c r="P182" s="358"/>
      <c r="Q182" s="358" t="s">
        <v>18</v>
      </c>
      <c r="R182" s="358"/>
      <c r="S182" s="358" t="s">
        <v>19</v>
      </c>
      <c r="T182" s="528">
        <v>9</v>
      </c>
      <c r="U182" s="324">
        <f t="shared" ref="U182:U189" si="54">E182/324*60</f>
        <v>0</v>
      </c>
      <c r="V182" s="685"/>
      <c r="W182" s="528"/>
      <c r="X182" s="529"/>
      <c r="Y182" s="323"/>
      <c r="Z182" s="312">
        <f>E182/1.21/1.143</f>
        <v>0</v>
      </c>
      <c r="AA182" s="316">
        <f>SUM(AB182/271.89)</f>
        <v>0</v>
      </c>
      <c r="AB182" s="310">
        <f>E182/1.21</f>
        <v>0</v>
      </c>
      <c r="AC182" s="643"/>
    </row>
    <row r="183" spans="1:29" ht="77.25" thickBot="1" x14ac:dyDescent="0.45">
      <c r="A183" s="319" t="s">
        <v>14</v>
      </c>
      <c r="B183" s="802" t="s">
        <v>1082</v>
      </c>
      <c r="C183" s="528"/>
      <c r="D183" s="528"/>
      <c r="E183" s="460">
        <f>C183*1.2</f>
        <v>0</v>
      </c>
      <c r="F183" s="324">
        <f>E183*1.01*0.72/147</f>
        <v>0</v>
      </c>
      <c r="G183" s="528">
        <f t="shared" si="52"/>
        <v>0</v>
      </c>
      <c r="H183" s="324" t="s">
        <v>18</v>
      </c>
      <c r="I183" s="528">
        <f t="shared" si="53"/>
        <v>0</v>
      </c>
      <c r="J183" s="324" t="s">
        <v>19</v>
      </c>
      <c r="K183" s="324"/>
      <c r="L183" s="324"/>
      <c r="M183" s="324">
        <f>(F183*6035/3456)</f>
        <v>0</v>
      </c>
      <c r="N183" s="324"/>
      <c r="O183" s="324"/>
      <c r="P183" s="324"/>
      <c r="Q183" s="324" t="s">
        <v>18</v>
      </c>
      <c r="R183" s="324"/>
      <c r="S183" s="324" t="s">
        <v>19</v>
      </c>
      <c r="T183" s="528">
        <v>9</v>
      </c>
      <c r="U183" s="324">
        <f t="shared" si="54"/>
        <v>0</v>
      </c>
      <c r="V183" s="685"/>
      <c r="W183" s="528"/>
      <c r="X183" s="529"/>
      <c r="Y183" s="323"/>
      <c r="Z183" s="312">
        <f>E183/1.21/1.143</f>
        <v>0</v>
      </c>
      <c r="AA183" s="316">
        <f>SUM(AB183/271.89)</f>
        <v>0</v>
      </c>
      <c r="AB183" s="310">
        <f>E183/1.21</f>
        <v>0</v>
      </c>
      <c r="AC183" s="643"/>
    </row>
    <row r="184" spans="1:29" ht="51.75" thickBot="1" x14ac:dyDescent="0.45">
      <c r="A184" s="319" t="s">
        <v>14</v>
      </c>
      <c r="B184" s="802" t="s">
        <v>897</v>
      </c>
      <c r="C184" s="528"/>
      <c r="D184" s="528"/>
      <c r="E184" s="456">
        <f>C184*1.2</f>
        <v>0</v>
      </c>
      <c r="F184" s="358">
        <f>E184*1.03*0.82/147</f>
        <v>0</v>
      </c>
      <c r="G184" s="549">
        <f t="shared" si="52"/>
        <v>0</v>
      </c>
      <c r="H184" s="359" t="s">
        <v>18</v>
      </c>
      <c r="I184" s="549">
        <f t="shared" si="53"/>
        <v>0</v>
      </c>
      <c r="J184" s="359" t="s">
        <v>19</v>
      </c>
      <c r="K184" s="358"/>
      <c r="L184" s="358"/>
      <c r="M184" s="358">
        <f>(F184*5547/3456)</f>
        <v>0</v>
      </c>
      <c r="N184" s="358"/>
      <c r="O184" s="358"/>
      <c r="P184" s="358"/>
      <c r="Q184" s="358" t="s">
        <v>18</v>
      </c>
      <c r="R184" s="358"/>
      <c r="S184" s="358" t="s">
        <v>19</v>
      </c>
      <c r="T184" s="528">
        <v>9</v>
      </c>
      <c r="U184" s="324">
        <f t="shared" si="54"/>
        <v>0</v>
      </c>
      <c r="V184" s="685"/>
      <c r="W184" s="528"/>
      <c r="X184" s="529"/>
      <c r="Y184" s="323"/>
      <c r="Z184" s="312">
        <f>E184/1.21</f>
        <v>0</v>
      </c>
      <c r="AA184" s="316">
        <f>SUM(Z184/300.5)</f>
        <v>0</v>
      </c>
    </row>
    <row r="185" spans="1:29" ht="77.25" thickBot="1" x14ac:dyDescent="0.45">
      <c r="A185" s="319" t="s">
        <v>14</v>
      </c>
      <c r="B185" s="802" t="s">
        <v>1203</v>
      </c>
      <c r="C185" s="528"/>
      <c r="D185" s="528"/>
      <c r="E185" s="456">
        <f>C185*1.2</f>
        <v>0</v>
      </c>
      <c r="F185" s="358">
        <f>E185*1.03*0.82/147</f>
        <v>0</v>
      </c>
      <c r="G185" s="549">
        <f>INT(M185)</f>
        <v>0</v>
      </c>
      <c r="H185" s="359" t="s">
        <v>18</v>
      </c>
      <c r="I185" s="549">
        <f>(M185-G185)*64</f>
        <v>0</v>
      </c>
      <c r="J185" s="359" t="s">
        <v>19</v>
      </c>
      <c r="K185" s="358"/>
      <c r="L185" s="358"/>
      <c r="M185" s="358">
        <f>(F185*5547/3456)</f>
        <v>0</v>
      </c>
      <c r="N185" s="358"/>
      <c r="O185" s="358"/>
      <c r="P185" s="358"/>
      <c r="Q185" s="358" t="s">
        <v>18</v>
      </c>
      <c r="R185" s="358"/>
      <c r="S185" s="358" t="s">
        <v>19</v>
      </c>
      <c r="T185" s="528">
        <v>9</v>
      </c>
      <c r="U185" s="324">
        <f>E185/324*60</f>
        <v>0</v>
      </c>
      <c r="V185" s="685"/>
      <c r="W185" s="528"/>
      <c r="X185" s="529"/>
      <c r="Y185" s="323"/>
      <c r="Z185" s="312">
        <f>E185/1.21</f>
        <v>0</v>
      </c>
      <c r="AA185" s="316">
        <f>SUM(Z185/300.5)</f>
        <v>0</v>
      </c>
    </row>
    <row r="186" spans="1:29" ht="77.25" thickBot="1" x14ac:dyDescent="0.45">
      <c r="A186" s="319" t="s">
        <v>14</v>
      </c>
      <c r="B186" s="802" t="s">
        <v>1010</v>
      </c>
      <c r="C186" s="528"/>
      <c r="D186" s="528"/>
      <c r="E186" s="460">
        <f>C186*2</f>
        <v>0</v>
      </c>
      <c r="F186" s="324">
        <f>E186*1.01*0.72/147</f>
        <v>0</v>
      </c>
      <c r="G186" s="528">
        <f t="shared" si="52"/>
        <v>0</v>
      </c>
      <c r="H186" s="324" t="s">
        <v>18</v>
      </c>
      <c r="I186" s="528">
        <f t="shared" si="53"/>
        <v>0</v>
      </c>
      <c r="J186" s="324" t="s">
        <v>19</v>
      </c>
      <c r="K186" s="324"/>
      <c r="L186" s="324"/>
      <c r="M186" s="324">
        <f>(F186*6035/3456)</f>
        <v>0</v>
      </c>
      <c r="N186" s="324"/>
      <c r="O186" s="324"/>
      <c r="P186" s="324"/>
      <c r="Q186" s="324" t="s">
        <v>18</v>
      </c>
      <c r="R186" s="324"/>
      <c r="S186" s="324" t="s">
        <v>19</v>
      </c>
      <c r="T186" s="528">
        <v>9</v>
      </c>
      <c r="U186" s="324">
        <f t="shared" si="54"/>
        <v>0</v>
      </c>
      <c r="V186" s="685"/>
      <c r="W186" s="528"/>
      <c r="X186" s="529"/>
      <c r="Y186" s="323"/>
      <c r="Z186" s="312">
        <f>E186/1.21/1.143</f>
        <v>0</v>
      </c>
      <c r="AA186" s="316">
        <f>SUM(AB186/271.89)</f>
        <v>0</v>
      </c>
      <c r="AB186" s="310">
        <f>E186/1.21</f>
        <v>0</v>
      </c>
      <c r="AC186" s="643"/>
    </row>
    <row r="187" spans="1:29" ht="77.25" thickBot="1" x14ac:dyDescent="0.45">
      <c r="A187" s="319" t="s">
        <v>14</v>
      </c>
      <c r="B187" s="802" t="s">
        <v>1011</v>
      </c>
      <c r="C187" s="528"/>
      <c r="D187" s="528"/>
      <c r="E187" s="460">
        <f>C187*2</f>
        <v>0</v>
      </c>
      <c r="F187" s="324">
        <f>E187*1.01*0.72/147</f>
        <v>0</v>
      </c>
      <c r="G187" s="528">
        <f t="shared" si="52"/>
        <v>0</v>
      </c>
      <c r="H187" s="324" t="s">
        <v>18</v>
      </c>
      <c r="I187" s="528">
        <f t="shared" si="53"/>
        <v>0</v>
      </c>
      <c r="J187" s="324" t="s">
        <v>19</v>
      </c>
      <c r="K187" s="324"/>
      <c r="L187" s="324"/>
      <c r="M187" s="324">
        <f>(F187*6035/3456)</f>
        <v>0</v>
      </c>
      <c r="N187" s="324"/>
      <c r="O187" s="324"/>
      <c r="P187" s="324"/>
      <c r="Q187" s="324" t="s">
        <v>18</v>
      </c>
      <c r="R187" s="324"/>
      <c r="S187" s="324" t="s">
        <v>19</v>
      </c>
      <c r="T187" s="528">
        <v>9</v>
      </c>
      <c r="U187" s="324">
        <f t="shared" si="54"/>
        <v>0</v>
      </c>
      <c r="V187" s="685"/>
      <c r="W187" s="528"/>
      <c r="X187" s="529"/>
      <c r="Y187" s="323"/>
      <c r="Z187" s="312">
        <f>E187/1.21/1.143</f>
        <v>0</v>
      </c>
      <c r="AA187" s="316">
        <f>SUM(AB187/271.89)</f>
        <v>0</v>
      </c>
      <c r="AB187" s="310">
        <f>E187/1.21</f>
        <v>0</v>
      </c>
      <c r="AC187" s="643"/>
    </row>
    <row r="188" spans="1:29" ht="77.25" thickBot="1" x14ac:dyDescent="0.45">
      <c r="A188" s="319" t="s">
        <v>14</v>
      </c>
      <c r="B188" s="802" t="s">
        <v>1009</v>
      </c>
      <c r="C188" s="528"/>
      <c r="D188" s="528"/>
      <c r="E188" s="460">
        <f>C188*2</f>
        <v>0</v>
      </c>
      <c r="F188" s="324">
        <f>E188*1.03*0.82/147</f>
        <v>0</v>
      </c>
      <c r="G188" s="537">
        <f t="shared" si="52"/>
        <v>0</v>
      </c>
      <c r="H188" s="354" t="s">
        <v>18</v>
      </c>
      <c r="I188" s="537">
        <f t="shared" si="53"/>
        <v>0</v>
      </c>
      <c r="J188" s="354" t="s">
        <v>19</v>
      </c>
      <c r="K188" s="324"/>
      <c r="L188" s="324"/>
      <c r="M188" s="324">
        <f>(F188*5547/3456)</f>
        <v>0</v>
      </c>
      <c r="N188" s="324"/>
      <c r="O188" s="324"/>
      <c r="P188" s="324"/>
      <c r="Q188" s="324" t="s">
        <v>18</v>
      </c>
      <c r="R188" s="324"/>
      <c r="S188" s="324" t="s">
        <v>19</v>
      </c>
      <c r="T188" s="528">
        <v>9</v>
      </c>
      <c r="U188" s="324">
        <f t="shared" si="54"/>
        <v>0</v>
      </c>
      <c r="V188" s="685"/>
      <c r="W188" s="528"/>
      <c r="X188" s="529"/>
      <c r="Y188" s="323"/>
      <c r="Z188" s="312">
        <f>E188/1.21</f>
        <v>0</v>
      </c>
      <c r="AA188" s="316">
        <f>SUM(Z188/300.5)</f>
        <v>0</v>
      </c>
    </row>
    <row r="189" spans="1:29" ht="77.25" thickBot="1" x14ac:dyDescent="0.45">
      <c r="A189" s="319" t="s">
        <v>14</v>
      </c>
      <c r="B189" s="802" t="s">
        <v>1043</v>
      </c>
      <c r="C189" s="528"/>
      <c r="D189" s="528"/>
      <c r="E189" s="460">
        <f>C189*2</f>
        <v>0</v>
      </c>
      <c r="F189" s="324">
        <f>E189*1.03*0.82/147</f>
        <v>0</v>
      </c>
      <c r="G189" s="537">
        <f t="shared" si="52"/>
        <v>0</v>
      </c>
      <c r="H189" s="354" t="s">
        <v>18</v>
      </c>
      <c r="I189" s="537">
        <f t="shared" si="53"/>
        <v>0</v>
      </c>
      <c r="J189" s="354" t="s">
        <v>19</v>
      </c>
      <c r="K189" s="324"/>
      <c r="L189" s="324"/>
      <c r="M189" s="324">
        <f>(F189*5547/3456)</f>
        <v>0</v>
      </c>
      <c r="N189" s="324"/>
      <c r="O189" s="324"/>
      <c r="P189" s="324"/>
      <c r="Q189" s="324" t="s">
        <v>18</v>
      </c>
      <c r="R189" s="324"/>
      <c r="S189" s="324" t="s">
        <v>19</v>
      </c>
      <c r="T189" s="528">
        <v>9</v>
      </c>
      <c r="U189" s="324">
        <f t="shared" si="54"/>
        <v>0</v>
      </c>
      <c r="V189" s="685"/>
      <c r="W189" s="528"/>
      <c r="X189" s="529"/>
      <c r="Y189" s="323"/>
      <c r="Z189" s="312">
        <f>E189/1.21</f>
        <v>0</v>
      </c>
      <c r="AA189" s="316">
        <f>SUM(Z189/300.5)</f>
        <v>0</v>
      </c>
    </row>
    <row r="190" spans="1:29" ht="77.25" thickBot="1" x14ac:dyDescent="0.45">
      <c r="A190" s="319" t="s">
        <v>14</v>
      </c>
      <c r="B190" s="320" t="s">
        <v>1008</v>
      </c>
      <c r="C190" s="528"/>
      <c r="D190" s="528"/>
      <c r="E190" s="460">
        <f>C190*2</f>
        <v>0</v>
      </c>
      <c r="F190" s="324">
        <f>E190*1.03*0.84/147</f>
        <v>0</v>
      </c>
      <c r="G190" s="537">
        <f>INT(M190)</f>
        <v>0</v>
      </c>
      <c r="H190" s="354" t="s">
        <v>18</v>
      </c>
      <c r="I190" s="537">
        <f>(M190-G190)*64</f>
        <v>0</v>
      </c>
      <c r="J190" s="354" t="s">
        <v>19</v>
      </c>
      <c r="K190" s="324"/>
      <c r="L190" s="324"/>
      <c r="M190" s="324">
        <f>(F190*5068/3456)</f>
        <v>0</v>
      </c>
      <c r="N190" s="324"/>
      <c r="O190" s="324"/>
      <c r="P190" s="324"/>
      <c r="Q190" s="324" t="s">
        <v>18</v>
      </c>
      <c r="R190" s="324"/>
      <c r="S190" s="324" t="s">
        <v>19</v>
      </c>
      <c r="T190" s="528">
        <v>9</v>
      </c>
      <c r="U190" s="324">
        <f>E190/324*60</f>
        <v>0</v>
      </c>
      <c r="V190" s="676"/>
      <c r="W190" s="528"/>
      <c r="X190" s="529"/>
      <c r="Y190" s="323"/>
      <c r="Z190" s="312">
        <f>E190/1.21</f>
        <v>0</v>
      </c>
      <c r="AA190" s="316">
        <f>SUM(Z190/347.8)</f>
        <v>0</v>
      </c>
    </row>
    <row r="191" spans="1:29" ht="77.25" thickBot="1" x14ac:dyDescent="0.45">
      <c r="A191" s="319" t="s">
        <v>14</v>
      </c>
      <c r="B191" s="320" t="s">
        <v>899</v>
      </c>
      <c r="C191" s="528"/>
      <c r="D191" s="528"/>
      <c r="E191" s="456">
        <f>C191*1</f>
        <v>0</v>
      </c>
      <c r="F191" s="358">
        <f>E191*1.01*0.756/147</f>
        <v>0</v>
      </c>
      <c r="G191" s="548">
        <f>INT(M191)</f>
        <v>0</v>
      </c>
      <c r="H191" s="358" t="s">
        <v>18</v>
      </c>
      <c r="I191" s="548">
        <f>(M191-G191)*64</f>
        <v>0</v>
      </c>
      <c r="J191" s="358" t="s">
        <v>19</v>
      </c>
      <c r="K191" s="358"/>
      <c r="L191" s="358"/>
      <c r="M191" s="358">
        <f>(F191*6035/3456)</f>
        <v>0</v>
      </c>
      <c r="N191" s="324"/>
      <c r="O191" s="324"/>
      <c r="P191" s="324"/>
      <c r="Q191" s="324" t="s">
        <v>18</v>
      </c>
      <c r="R191" s="324"/>
      <c r="S191" s="324" t="s">
        <v>19</v>
      </c>
      <c r="T191" s="528">
        <v>9</v>
      </c>
      <c r="U191" s="324">
        <f>E191/324*60</f>
        <v>0</v>
      </c>
      <c r="V191" s="676"/>
      <c r="W191" s="528"/>
      <c r="X191" s="529"/>
      <c r="Y191" s="323"/>
      <c r="Z191" s="312">
        <f>E191/1.21/1.143</f>
        <v>0</v>
      </c>
      <c r="AA191" s="316">
        <f>SUM(AB191/236)</f>
        <v>0</v>
      </c>
      <c r="AB191" s="310">
        <f>E191/1.21</f>
        <v>0</v>
      </c>
    </row>
    <row r="192" spans="1:29" thickBot="1" x14ac:dyDescent="0.45">
      <c r="A192" s="830"/>
      <c r="B192" s="332" t="s">
        <v>286</v>
      </c>
      <c r="C192" s="347"/>
      <c r="D192" s="347"/>
      <c r="E192" s="494"/>
      <c r="F192" s="348"/>
      <c r="G192" s="347"/>
      <c r="H192" s="348"/>
      <c r="I192" s="347"/>
      <c r="J192" s="348"/>
      <c r="K192" s="348"/>
      <c r="L192" s="348"/>
      <c r="M192" s="348"/>
      <c r="N192" s="348"/>
      <c r="O192" s="348"/>
      <c r="P192" s="348"/>
      <c r="Q192" s="348"/>
      <c r="R192" s="348"/>
      <c r="S192" s="348"/>
      <c r="T192" s="347"/>
      <c r="U192" s="348"/>
      <c r="V192" s="356"/>
      <c r="W192" s="348"/>
      <c r="X192" s="495"/>
      <c r="Y192" s="357"/>
    </row>
    <row r="193" spans="1:28" ht="51.75" thickBot="1" x14ac:dyDescent="0.45">
      <c r="A193" s="319" t="s">
        <v>14</v>
      </c>
      <c r="B193" s="362" t="s">
        <v>1036</v>
      </c>
      <c r="C193" s="528"/>
      <c r="D193" s="550">
        <f>C193*22</f>
        <v>0</v>
      </c>
      <c r="E193" s="358">
        <f>D193*0.2</f>
        <v>0</v>
      </c>
      <c r="F193" s="358">
        <f>E193*1.03*0.82/147</f>
        <v>0</v>
      </c>
      <c r="G193" s="548">
        <f>INT(M193)</f>
        <v>0</v>
      </c>
      <c r="H193" s="358" t="s">
        <v>18</v>
      </c>
      <c r="I193" s="548">
        <f>(M193-G193)*64</f>
        <v>0</v>
      </c>
      <c r="J193" s="358" t="s">
        <v>19</v>
      </c>
      <c r="K193" s="358"/>
      <c r="L193" s="358"/>
      <c r="M193" s="358">
        <f>F193*5444/2880</f>
        <v>0</v>
      </c>
      <c r="N193" s="358"/>
      <c r="O193" s="358"/>
      <c r="P193" s="358"/>
      <c r="Q193" s="358" t="s">
        <v>18</v>
      </c>
      <c r="R193" s="358"/>
      <c r="S193" s="358" t="s">
        <v>19</v>
      </c>
      <c r="T193" s="528">
        <v>9</v>
      </c>
      <c r="U193" s="324">
        <f>E193/220*60</f>
        <v>0</v>
      </c>
      <c r="V193" s="676"/>
      <c r="W193" s="528"/>
      <c r="X193" s="529"/>
      <c r="Y193" s="323"/>
      <c r="Z193" s="312">
        <f>E193/1.21</f>
        <v>0</v>
      </c>
      <c r="AA193" s="316">
        <f>SUM(Z193/335.3)</f>
        <v>0</v>
      </c>
    </row>
    <row r="194" spans="1:28" ht="51.75" thickBot="1" x14ac:dyDescent="0.45">
      <c r="A194" s="319" t="s">
        <v>14</v>
      </c>
      <c r="B194" s="362" t="s">
        <v>1001</v>
      </c>
      <c r="C194" s="528"/>
      <c r="D194" s="551">
        <f>C194*22</f>
        <v>0</v>
      </c>
      <c r="E194" s="456">
        <f>D194*0.2</f>
        <v>0</v>
      </c>
      <c r="F194" s="358">
        <f>E194*1.03*0.82/147</f>
        <v>0</v>
      </c>
      <c r="G194" s="548">
        <f>INT(M194)</f>
        <v>0</v>
      </c>
      <c r="H194" s="358" t="s">
        <v>18</v>
      </c>
      <c r="I194" s="548">
        <f>(M194-G194)*64</f>
        <v>0</v>
      </c>
      <c r="J194" s="358" t="s">
        <v>19</v>
      </c>
      <c r="K194" s="358"/>
      <c r="L194" s="358"/>
      <c r="M194" s="358">
        <f>F194*5444/2880</f>
        <v>0</v>
      </c>
      <c r="N194" s="358"/>
      <c r="O194" s="358"/>
      <c r="P194" s="358"/>
      <c r="Q194" s="358" t="s">
        <v>18</v>
      </c>
      <c r="R194" s="358"/>
      <c r="S194" s="358" t="s">
        <v>19</v>
      </c>
      <c r="T194" s="528">
        <v>9</v>
      </c>
      <c r="U194" s="324">
        <f>E194/220*60</f>
        <v>0</v>
      </c>
      <c r="V194" s="676"/>
      <c r="W194" s="528"/>
      <c r="X194" s="529"/>
      <c r="Y194" s="323"/>
      <c r="Z194" s="312">
        <f>E194/1.21</f>
        <v>0</v>
      </c>
      <c r="AA194" s="316">
        <f>SUM(Z194/335.3)</f>
        <v>0</v>
      </c>
    </row>
    <row r="195" spans="1:28" ht="77.25" thickBot="1" x14ac:dyDescent="0.45">
      <c r="A195" s="319" t="s">
        <v>14</v>
      </c>
      <c r="B195" s="320" t="s">
        <v>796</v>
      </c>
      <c r="C195" s="528"/>
      <c r="D195" s="551">
        <f>C195*8</f>
        <v>0</v>
      </c>
      <c r="E195" s="456">
        <f>D195*0.25</f>
        <v>0</v>
      </c>
      <c r="F195" s="358">
        <f>E195*1.015*0.72/147</f>
        <v>0</v>
      </c>
      <c r="G195" s="548">
        <f t="shared" ref="G195:G201" si="55">INT(M195)</f>
        <v>0</v>
      </c>
      <c r="H195" s="358" t="s">
        <v>18</v>
      </c>
      <c r="I195" s="548">
        <f t="shared" ref="I195:I201" si="56">(M195-G195)*64</f>
        <v>0</v>
      </c>
      <c r="J195" s="358" t="s">
        <v>19</v>
      </c>
      <c r="K195" s="358"/>
      <c r="L195" s="358"/>
      <c r="M195" s="552">
        <f>(F195*6447/3456)</f>
        <v>0</v>
      </c>
      <c r="N195" s="324"/>
      <c r="O195" s="324"/>
      <c r="P195" s="324"/>
      <c r="Q195" s="324" t="s">
        <v>18</v>
      </c>
      <c r="R195" s="324"/>
      <c r="S195" s="324" t="s">
        <v>19</v>
      </c>
      <c r="T195" s="528">
        <v>9</v>
      </c>
      <c r="U195" s="324">
        <f>E195/259*60</f>
        <v>0</v>
      </c>
      <c r="V195" s="676"/>
      <c r="W195" s="528"/>
      <c r="X195" s="529"/>
      <c r="Y195" s="323"/>
      <c r="Z195" s="312">
        <f>E195/1.21/1.143</f>
        <v>0</v>
      </c>
      <c r="AA195" s="316">
        <f>SUM(AB195/266.8)</f>
        <v>0</v>
      </c>
      <c r="AB195" s="310">
        <f>E195/1.21</f>
        <v>0</v>
      </c>
    </row>
    <row r="196" spans="1:28" s="728" customFormat="1" ht="77.25" outlineLevel="1" thickBot="1" x14ac:dyDescent="0.45">
      <c r="A196" s="636" t="s">
        <v>14</v>
      </c>
      <c r="B196" s="634" t="s">
        <v>797</v>
      </c>
      <c r="C196" s="720"/>
      <c r="D196" s="741">
        <f>C196*8</f>
        <v>0</v>
      </c>
      <c r="E196" s="721">
        <f>D196*0.25</f>
        <v>0</v>
      </c>
      <c r="F196" s="722">
        <f>E196*1.015*0.72/147</f>
        <v>0</v>
      </c>
      <c r="G196" s="720">
        <f t="shared" si="55"/>
        <v>0</v>
      </c>
      <c r="H196" s="722" t="s">
        <v>18</v>
      </c>
      <c r="I196" s="720">
        <f t="shared" si="56"/>
        <v>0</v>
      </c>
      <c r="J196" s="722" t="s">
        <v>19</v>
      </c>
      <c r="K196" s="722"/>
      <c r="L196" s="722"/>
      <c r="M196" s="816">
        <f>(F196*6447/3456)</f>
        <v>0</v>
      </c>
      <c r="N196" s="722"/>
      <c r="O196" s="722"/>
      <c r="P196" s="722"/>
      <c r="Q196" s="722" t="s">
        <v>18</v>
      </c>
      <c r="R196" s="722"/>
      <c r="S196" s="722" t="s">
        <v>19</v>
      </c>
      <c r="T196" s="720">
        <v>9</v>
      </c>
      <c r="U196" s="722">
        <f>E196/259*60</f>
        <v>0</v>
      </c>
      <c r="V196" s="724"/>
      <c r="W196" s="720"/>
      <c r="X196" s="725"/>
      <c r="Y196" s="736"/>
      <c r="Z196" s="727">
        <f>E196/1.21/1.143</f>
        <v>0</v>
      </c>
      <c r="AA196" s="815">
        <f>SUM(AB196/266.8)</f>
        <v>0</v>
      </c>
      <c r="AB196" s="728">
        <f>E196/1.21</f>
        <v>0</v>
      </c>
    </row>
    <row r="197" spans="1:28" s="728" customFormat="1" ht="51.75" outlineLevel="1" thickBot="1" x14ac:dyDescent="0.45">
      <c r="A197" s="636" t="s">
        <v>14</v>
      </c>
      <c r="B197" s="814" t="s">
        <v>683</v>
      </c>
      <c r="C197" s="720"/>
      <c r="D197" s="720">
        <f>C197*10</f>
        <v>0</v>
      </c>
      <c r="E197" s="721">
        <f>D197*0.2</f>
        <v>0</v>
      </c>
      <c r="F197" s="722">
        <f>E197*1.03*0.82/147</f>
        <v>0</v>
      </c>
      <c r="G197" s="720">
        <f t="shared" si="55"/>
        <v>0</v>
      </c>
      <c r="H197" s="722" t="s">
        <v>18</v>
      </c>
      <c r="I197" s="720">
        <f t="shared" si="56"/>
        <v>0</v>
      </c>
      <c r="J197" s="722" t="s">
        <v>19</v>
      </c>
      <c r="K197" s="722"/>
      <c r="L197" s="722"/>
      <c r="M197" s="722">
        <f>(F197*8750/3456)</f>
        <v>0</v>
      </c>
      <c r="N197" s="722"/>
      <c r="O197" s="722"/>
      <c r="P197" s="722"/>
      <c r="Q197" s="722" t="s">
        <v>18</v>
      </c>
      <c r="R197" s="722"/>
      <c r="S197" s="722" t="s">
        <v>19</v>
      </c>
      <c r="T197" s="720">
        <v>9</v>
      </c>
      <c r="U197" s="722">
        <f>E197/220*60</f>
        <v>0</v>
      </c>
      <c r="V197" s="724"/>
      <c r="W197" s="720"/>
      <c r="X197" s="725"/>
      <c r="Y197" s="736"/>
      <c r="Z197" s="727">
        <f>E197/1.21</f>
        <v>0</v>
      </c>
      <c r="AA197" s="815">
        <f>SUM(Z197/211.1)</f>
        <v>0</v>
      </c>
    </row>
    <row r="198" spans="1:28" s="728" customFormat="1" ht="77.25" outlineLevel="1" thickBot="1" x14ac:dyDescent="0.45">
      <c r="A198" s="636" t="s">
        <v>14</v>
      </c>
      <c r="B198" s="634" t="s">
        <v>759</v>
      </c>
      <c r="C198" s="720"/>
      <c r="D198" s="720">
        <f>C198*10</f>
        <v>0</v>
      </c>
      <c r="E198" s="721">
        <f>D198*0.2</f>
        <v>0</v>
      </c>
      <c r="F198" s="722">
        <f>E198*1.015*0.72/147</f>
        <v>0</v>
      </c>
      <c r="G198" s="720">
        <f t="shared" si="55"/>
        <v>0</v>
      </c>
      <c r="H198" s="722" t="s">
        <v>18</v>
      </c>
      <c r="I198" s="720">
        <f t="shared" si="56"/>
        <v>0</v>
      </c>
      <c r="J198" s="722" t="s">
        <v>19</v>
      </c>
      <c r="K198" s="722"/>
      <c r="L198" s="722"/>
      <c r="M198" s="722">
        <f>(F198*8070/3456)</f>
        <v>0</v>
      </c>
      <c r="N198" s="722"/>
      <c r="O198" s="722"/>
      <c r="P198" s="722"/>
      <c r="Q198" s="722" t="s">
        <v>18</v>
      </c>
      <c r="R198" s="722"/>
      <c r="S198" s="722" t="s">
        <v>19</v>
      </c>
      <c r="T198" s="720">
        <v>9</v>
      </c>
      <c r="U198" s="722">
        <f>E198/259*60</f>
        <v>0</v>
      </c>
      <c r="V198" s="724"/>
      <c r="W198" s="720"/>
      <c r="X198" s="725"/>
      <c r="Y198" s="736"/>
      <c r="Z198" s="727">
        <f>E198/1.21/1.143</f>
        <v>0</v>
      </c>
      <c r="AA198" s="815">
        <f>SUM(AB198/215.5)</f>
        <v>0</v>
      </c>
      <c r="AB198" s="728">
        <f>E198/1.21</f>
        <v>0</v>
      </c>
    </row>
    <row r="199" spans="1:28" s="728" customFormat="1" ht="77.25" outlineLevel="1" thickBot="1" x14ac:dyDescent="0.45">
      <c r="A199" s="636" t="s">
        <v>14</v>
      </c>
      <c r="B199" s="634" t="s">
        <v>760</v>
      </c>
      <c r="C199" s="720"/>
      <c r="D199" s="720">
        <f>C199*10</f>
        <v>0</v>
      </c>
      <c r="E199" s="721">
        <f>D199*0.2</f>
        <v>0</v>
      </c>
      <c r="F199" s="722">
        <f>E199*1.015*0.72/147</f>
        <v>0</v>
      </c>
      <c r="G199" s="720">
        <f t="shared" si="55"/>
        <v>0</v>
      </c>
      <c r="H199" s="722" t="s">
        <v>18</v>
      </c>
      <c r="I199" s="720">
        <f t="shared" si="56"/>
        <v>0</v>
      </c>
      <c r="J199" s="722" t="s">
        <v>19</v>
      </c>
      <c r="K199" s="722"/>
      <c r="L199" s="722"/>
      <c r="M199" s="722">
        <f>(F199*8070/3456)</f>
        <v>0</v>
      </c>
      <c r="N199" s="722"/>
      <c r="O199" s="722"/>
      <c r="P199" s="722"/>
      <c r="Q199" s="722" t="s">
        <v>18</v>
      </c>
      <c r="R199" s="722"/>
      <c r="S199" s="722" t="s">
        <v>19</v>
      </c>
      <c r="T199" s="720">
        <v>9</v>
      </c>
      <c r="U199" s="722">
        <f>E199/259*60</f>
        <v>0</v>
      </c>
      <c r="V199" s="724"/>
      <c r="W199" s="720"/>
      <c r="X199" s="725"/>
      <c r="Y199" s="736"/>
      <c r="Z199" s="727">
        <f>E199/1.21/1.143</f>
        <v>0</v>
      </c>
      <c r="AA199" s="815">
        <f>SUM(AB199/215.5)</f>
        <v>0</v>
      </c>
      <c r="AB199" s="728">
        <f>E199/1.21</f>
        <v>0</v>
      </c>
    </row>
    <row r="200" spans="1:28" ht="79.5" thickBot="1" x14ac:dyDescent="0.45">
      <c r="A200" s="319" t="s">
        <v>14</v>
      </c>
      <c r="B200" s="320" t="s">
        <v>627</v>
      </c>
      <c r="C200" s="528"/>
      <c r="D200" s="548">
        <f>C200*18</f>
        <v>0</v>
      </c>
      <c r="E200" s="456">
        <f>D200*0.2</f>
        <v>0</v>
      </c>
      <c r="F200" s="358">
        <f>E200*1.05*0.8/140</f>
        <v>0</v>
      </c>
      <c r="G200" s="548">
        <f t="shared" si="55"/>
        <v>0</v>
      </c>
      <c r="H200" s="358" t="s">
        <v>18</v>
      </c>
      <c r="I200" s="548">
        <f t="shared" si="56"/>
        <v>0</v>
      </c>
      <c r="J200" s="358" t="s">
        <v>19</v>
      </c>
      <c r="K200" s="358"/>
      <c r="L200" s="358"/>
      <c r="M200" s="358">
        <f>F200*5111/3456</f>
        <v>0</v>
      </c>
      <c r="N200" s="324"/>
      <c r="O200" s="324"/>
      <c r="P200" s="324"/>
      <c r="Q200" s="324" t="s">
        <v>18</v>
      </c>
      <c r="R200" s="324"/>
      <c r="S200" s="324" t="s">
        <v>19</v>
      </c>
      <c r="T200" s="528">
        <v>9</v>
      </c>
      <c r="U200" s="324">
        <f t="shared" ref="U200:U205" si="57">E200/220*60</f>
        <v>0</v>
      </c>
      <c r="V200" s="676"/>
      <c r="W200" s="528"/>
      <c r="X200" s="529"/>
      <c r="Y200" s="360" t="s">
        <v>950</v>
      </c>
      <c r="Z200" s="312">
        <f>E200/1.21</f>
        <v>0</v>
      </c>
      <c r="AA200" s="316">
        <f>SUM(Z200/335.3)</f>
        <v>0</v>
      </c>
    </row>
    <row r="201" spans="1:28" ht="77.25" thickBot="1" x14ac:dyDescent="0.45">
      <c r="A201" s="319" t="s">
        <v>14</v>
      </c>
      <c r="B201" s="364" t="s">
        <v>694</v>
      </c>
      <c r="C201" s="528"/>
      <c r="D201" s="548">
        <f>C201*10</f>
        <v>0</v>
      </c>
      <c r="E201" s="456">
        <f>D201*0.25</f>
        <v>0</v>
      </c>
      <c r="F201" s="358">
        <f>E201*1.03*0.81/147</f>
        <v>0</v>
      </c>
      <c r="G201" s="548">
        <f t="shared" si="55"/>
        <v>0</v>
      </c>
      <c r="H201" s="358" t="s">
        <v>18</v>
      </c>
      <c r="I201" s="548">
        <f t="shared" si="56"/>
        <v>0</v>
      </c>
      <c r="J201" s="358" t="s">
        <v>19</v>
      </c>
      <c r="K201" s="358"/>
      <c r="L201" s="358"/>
      <c r="M201" s="358">
        <f>(F201*8820/3456)</f>
        <v>0</v>
      </c>
      <c r="N201" s="324"/>
      <c r="O201" s="324"/>
      <c r="P201" s="324"/>
      <c r="Q201" s="324" t="s">
        <v>18</v>
      </c>
      <c r="R201" s="324"/>
      <c r="S201" s="324" t="s">
        <v>19</v>
      </c>
      <c r="T201" s="528">
        <v>9</v>
      </c>
      <c r="U201" s="324">
        <f t="shared" si="57"/>
        <v>0</v>
      </c>
      <c r="V201" s="676"/>
      <c r="W201" s="528"/>
      <c r="X201" s="529"/>
      <c r="Y201" s="323"/>
      <c r="Z201" s="312">
        <f>E201/1.21</f>
        <v>0</v>
      </c>
      <c r="AA201" s="316">
        <f>SUM(Z201/260.8)</f>
        <v>0</v>
      </c>
    </row>
    <row r="202" spans="1:28" ht="77.25" thickBot="1" x14ac:dyDescent="0.45">
      <c r="A202" s="319" t="s">
        <v>14</v>
      </c>
      <c r="B202" s="364" t="s">
        <v>1068</v>
      </c>
      <c r="C202" s="528"/>
      <c r="D202" s="528">
        <f>C202*10</f>
        <v>0</v>
      </c>
      <c r="E202" s="460">
        <f>D202*0.25</f>
        <v>0</v>
      </c>
      <c r="F202" s="324">
        <f>E202*1.03*0.81/147</f>
        <v>0</v>
      </c>
      <c r="G202" s="528">
        <f>INT(M202)</f>
        <v>0</v>
      </c>
      <c r="H202" s="324" t="s">
        <v>18</v>
      </c>
      <c r="I202" s="528">
        <f>(M202-G202)*64</f>
        <v>0</v>
      </c>
      <c r="J202" s="324" t="s">
        <v>19</v>
      </c>
      <c r="K202" s="324"/>
      <c r="L202" s="324"/>
      <c r="M202" s="324">
        <f>(F202*8820/3456)</f>
        <v>0</v>
      </c>
      <c r="N202" s="324"/>
      <c r="O202" s="324"/>
      <c r="P202" s="324"/>
      <c r="Q202" s="324" t="s">
        <v>18</v>
      </c>
      <c r="R202" s="324"/>
      <c r="S202" s="324" t="s">
        <v>19</v>
      </c>
      <c r="T202" s="528">
        <v>9</v>
      </c>
      <c r="U202" s="324">
        <f t="shared" si="57"/>
        <v>0</v>
      </c>
      <c r="V202" s="676"/>
      <c r="W202" s="528"/>
      <c r="X202" s="529"/>
      <c r="Y202" s="323"/>
      <c r="Z202" s="312">
        <f>E202/1.21</f>
        <v>0</v>
      </c>
      <c r="AA202" s="316">
        <f>SUM(Z202/260.8)</f>
        <v>0</v>
      </c>
    </row>
    <row r="203" spans="1:28" ht="77.25" thickBot="1" x14ac:dyDescent="0.45">
      <c r="A203" s="319" t="s">
        <v>14</v>
      </c>
      <c r="B203" s="364" t="s">
        <v>1072</v>
      </c>
      <c r="C203" s="528"/>
      <c r="D203" s="528">
        <f>C203*10</f>
        <v>0</v>
      </c>
      <c r="E203" s="460">
        <f>D203*0.25</f>
        <v>0</v>
      </c>
      <c r="F203" s="324">
        <f>E203*1.03*0.81/147</f>
        <v>0</v>
      </c>
      <c r="G203" s="528">
        <f>INT(M203)</f>
        <v>0</v>
      </c>
      <c r="H203" s="324" t="s">
        <v>18</v>
      </c>
      <c r="I203" s="528">
        <f>(M203-G203)*64</f>
        <v>0</v>
      </c>
      <c r="J203" s="324" t="s">
        <v>19</v>
      </c>
      <c r="K203" s="324"/>
      <c r="L203" s="324"/>
      <c r="M203" s="324">
        <f>(F203*8820/3456)</f>
        <v>0</v>
      </c>
      <c r="N203" s="324"/>
      <c r="O203" s="324"/>
      <c r="P203" s="324"/>
      <c r="Q203" s="324" t="s">
        <v>18</v>
      </c>
      <c r="R203" s="324"/>
      <c r="S203" s="324" t="s">
        <v>19</v>
      </c>
      <c r="T203" s="528">
        <v>9</v>
      </c>
      <c r="U203" s="324">
        <f t="shared" si="57"/>
        <v>0</v>
      </c>
      <c r="V203" s="676"/>
      <c r="W203" s="528"/>
      <c r="X203" s="529"/>
      <c r="Y203" s="323"/>
      <c r="Z203" s="312">
        <f>E203/1.21</f>
        <v>0</v>
      </c>
      <c r="AA203" s="316">
        <f>SUM(Z203/223.6)</f>
        <v>0</v>
      </c>
    </row>
    <row r="204" spans="1:28" ht="52.5" thickBot="1" x14ac:dyDescent="0.45">
      <c r="A204" s="319" t="s">
        <v>14</v>
      </c>
      <c r="B204" s="320" t="s">
        <v>951</v>
      </c>
      <c r="C204" s="528"/>
      <c r="D204" s="551">
        <f>C204*18</f>
        <v>0</v>
      </c>
      <c r="E204" s="456">
        <f>D204*0.2</f>
        <v>0</v>
      </c>
      <c r="F204" s="358">
        <f>E204*1.03*0.82/147</f>
        <v>0</v>
      </c>
      <c r="G204" s="548">
        <f t="shared" ref="G204:G216" si="58">INT(M204)</f>
        <v>0</v>
      </c>
      <c r="H204" s="358" t="s">
        <v>18</v>
      </c>
      <c r="I204" s="548">
        <f t="shared" ref="I204:I216" si="59">(M204-G204)*64</f>
        <v>0</v>
      </c>
      <c r="J204" s="358" t="s">
        <v>19</v>
      </c>
      <c r="K204" s="358"/>
      <c r="L204" s="358"/>
      <c r="M204" s="358">
        <f>F204*5250/3456</f>
        <v>0</v>
      </c>
      <c r="N204" s="324"/>
      <c r="O204" s="324"/>
      <c r="P204" s="324"/>
      <c r="Q204" s="324" t="s">
        <v>18</v>
      </c>
      <c r="R204" s="324"/>
      <c r="S204" s="324" t="s">
        <v>19</v>
      </c>
      <c r="T204" s="528">
        <v>9</v>
      </c>
      <c r="U204" s="324">
        <f t="shared" si="57"/>
        <v>0</v>
      </c>
      <c r="V204" s="676"/>
      <c r="W204" s="528"/>
      <c r="X204" s="529"/>
      <c r="Y204" s="323"/>
      <c r="Z204" s="312">
        <f>E204/1.21</f>
        <v>0</v>
      </c>
      <c r="AA204" s="316">
        <f>SUM(Z204/335.3)</f>
        <v>0</v>
      </c>
    </row>
    <row r="205" spans="1:28" ht="78" thickBot="1" x14ac:dyDescent="0.45">
      <c r="A205" s="319" t="s">
        <v>14</v>
      </c>
      <c r="B205" s="320" t="s">
        <v>952</v>
      </c>
      <c r="C205" s="528"/>
      <c r="D205" s="551">
        <f>C205*18</f>
        <v>0</v>
      </c>
      <c r="E205" s="456">
        <f>D205*0.2</f>
        <v>0</v>
      </c>
      <c r="F205" s="358">
        <f>E205*1.03*0.729/147</f>
        <v>0</v>
      </c>
      <c r="G205" s="548">
        <f t="shared" si="58"/>
        <v>0</v>
      </c>
      <c r="H205" s="358" t="s">
        <v>18</v>
      </c>
      <c r="I205" s="548">
        <f t="shared" si="59"/>
        <v>0</v>
      </c>
      <c r="J205" s="358" t="s">
        <v>19</v>
      </c>
      <c r="K205" s="358"/>
      <c r="L205" s="358"/>
      <c r="M205" s="358">
        <f>F205*5880/3456</f>
        <v>0</v>
      </c>
      <c r="N205" s="324"/>
      <c r="O205" s="324"/>
      <c r="P205" s="324"/>
      <c r="Q205" s="324" t="s">
        <v>18</v>
      </c>
      <c r="R205" s="324"/>
      <c r="S205" s="324" t="s">
        <v>19</v>
      </c>
      <c r="T205" s="528">
        <v>9</v>
      </c>
      <c r="U205" s="324">
        <f t="shared" si="57"/>
        <v>0</v>
      </c>
      <c r="V205" s="676"/>
      <c r="W205" s="528"/>
      <c r="X205" s="529"/>
      <c r="Y205" s="323"/>
      <c r="Z205" s="312">
        <f>E205/1.21/1.143</f>
        <v>0</v>
      </c>
      <c r="AA205" s="316">
        <f>SUM(AB205/277)</f>
        <v>0</v>
      </c>
      <c r="AB205" s="310">
        <f>E205/1.21</f>
        <v>0</v>
      </c>
    </row>
    <row r="206" spans="1:28" s="728" customFormat="1" ht="158.25" outlineLevel="1" thickBot="1" x14ac:dyDescent="0.45">
      <c r="A206" s="636" t="s">
        <v>14</v>
      </c>
      <c r="B206" s="635" t="s">
        <v>1040</v>
      </c>
      <c r="C206" s="720"/>
      <c r="D206" s="720">
        <f>C206*12</f>
        <v>0</v>
      </c>
      <c r="E206" s="721">
        <f>D206*0.25</f>
        <v>0</v>
      </c>
      <c r="F206" s="722">
        <f>E206*1.03*0.729/147</f>
        <v>0</v>
      </c>
      <c r="G206" s="720">
        <f t="shared" si="58"/>
        <v>0</v>
      </c>
      <c r="H206" s="722" t="s">
        <v>18</v>
      </c>
      <c r="I206" s="720">
        <f t="shared" si="59"/>
        <v>0</v>
      </c>
      <c r="J206" s="722" t="s">
        <v>19</v>
      </c>
      <c r="K206" s="722"/>
      <c r="L206" s="722"/>
      <c r="M206" s="722">
        <f>(F206*7840/3456)</f>
        <v>0</v>
      </c>
      <c r="N206" s="722"/>
      <c r="O206" s="722"/>
      <c r="P206" s="722"/>
      <c r="Q206" s="722" t="s">
        <v>18</v>
      </c>
      <c r="R206" s="722"/>
      <c r="S206" s="722" t="s">
        <v>19</v>
      </c>
      <c r="T206" s="720">
        <v>9</v>
      </c>
      <c r="U206" s="722">
        <f>E206/390*60</f>
        <v>0</v>
      </c>
      <c r="V206" s="724"/>
      <c r="W206" s="720"/>
      <c r="X206" s="725"/>
      <c r="Y206" s="736" t="s">
        <v>920</v>
      </c>
      <c r="Z206" s="727">
        <f>E206/1.21/1.143</f>
        <v>0</v>
      </c>
      <c r="AA206" s="815">
        <f>SUM(AB206/205.2)</f>
        <v>0</v>
      </c>
      <c r="AB206" s="728">
        <f>E206/1.21</f>
        <v>0</v>
      </c>
    </row>
    <row r="207" spans="1:28" s="728" customFormat="1" ht="78" outlineLevel="1" thickBot="1" x14ac:dyDescent="0.45">
      <c r="A207" s="636" t="s">
        <v>14</v>
      </c>
      <c r="B207" s="634" t="s">
        <v>953</v>
      </c>
      <c r="C207" s="720"/>
      <c r="D207" s="741">
        <f>C207*18</f>
        <v>0</v>
      </c>
      <c r="E207" s="721">
        <f>D207*0.2</f>
        <v>0</v>
      </c>
      <c r="F207" s="722">
        <f>E207*1.03*0.729/147</f>
        <v>0</v>
      </c>
      <c r="G207" s="720">
        <f t="shared" si="58"/>
        <v>0</v>
      </c>
      <c r="H207" s="722" t="s">
        <v>18</v>
      </c>
      <c r="I207" s="720">
        <f t="shared" si="59"/>
        <v>0</v>
      </c>
      <c r="J207" s="722" t="s">
        <v>19</v>
      </c>
      <c r="K207" s="722"/>
      <c r="L207" s="722"/>
      <c r="M207" s="722">
        <f>F207*5880/3456</f>
        <v>0</v>
      </c>
      <c r="N207" s="722"/>
      <c r="O207" s="722"/>
      <c r="P207" s="722"/>
      <c r="Q207" s="722" t="s">
        <v>18</v>
      </c>
      <c r="R207" s="722"/>
      <c r="S207" s="722" t="s">
        <v>19</v>
      </c>
      <c r="T207" s="720">
        <v>9</v>
      </c>
      <c r="U207" s="722">
        <f t="shared" ref="U207:U215" si="60">E207/220*60</f>
        <v>0</v>
      </c>
      <c r="V207" s="724"/>
      <c r="W207" s="720"/>
      <c r="X207" s="725"/>
      <c r="Y207" s="736"/>
      <c r="Z207" s="727">
        <f>E207/1.21/1.143</f>
        <v>0</v>
      </c>
      <c r="AA207" s="815">
        <f>SUM(AB207/277)</f>
        <v>0</v>
      </c>
      <c r="AB207" s="728">
        <f>E207/1.21</f>
        <v>0</v>
      </c>
    </row>
    <row r="208" spans="1:28" s="728" customFormat="1" ht="51.75" outlineLevel="1" thickBot="1" x14ac:dyDescent="0.45">
      <c r="A208" s="636" t="s">
        <v>14</v>
      </c>
      <c r="B208" s="634" t="s">
        <v>858</v>
      </c>
      <c r="C208" s="720"/>
      <c r="D208" s="741">
        <f>C208*18</f>
        <v>0</v>
      </c>
      <c r="E208" s="721">
        <f>D208*0.18</f>
        <v>0</v>
      </c>
      <c r="F208" s="722">
        <f>E208*1.03*0.8/147</f>
        <v>0</v>
      </c>
      <c r="G208" s="720">
        <f t="shared" si="58"/>
        <v>0</v>
      </c>
      <c r="H208" s="722" t="s">
        <v>18</v>
      </c>
      <c r="I208" s="720">
        <f t="shared" si="59"/>
        <v>0</v>
      </c>
      <c r="J208" s="722" t="s">
        <v>19</v>
      </c>
      <c r="K208" s="722"/>
      <c r="L208" s="722"/>
      <c r="M208" s="722">
        <f>F208*5960/3456</f>
        <v>0</v>
      </c>
      <c r="N208" s="722"/>
      <c r="O208" s="722"/>
      <c r="P208" s="722"/>
      <c r="Q208" s="722" t="s">
        <v>18</v>
      </c>
      <c r="R208" s="722"/>
      <c r="S208" s="722" t="s">
        <v>19</v>
      </c>
      <c r="T208" s="720">
        <v>9</v>
      </c>
      <c r="U208" s="722">
        <f t="shared" si="60"/>
        <v>0</v>
      </c>
      <c r="V208" s="724"/>
      <c r="W208" s="720"/>
      <c r="X208" s="725"/>
      <c r="Y208" s="736"/>
      <c r="Z208" s="727">
        <f>E208/1.21</f>
        <v>0</v>
      </c>
      <c r="AA208" s="815">
        <f>SUM(Z208/298.1)</f>
        <v>0</v>
      </c>
    </row>
    <row r="209" spans="1:28" ht="51.75" thickBot="1" x14ac:dyDescent="0.45">
      <c r="A209" s="319" t="s">
        <v>14</v>
      </c>
      <c r="B209" s="320" t="s">
        <v>1031</v>
      </c>
      <c r="C209" s="528"/>
      <c r="D209" s="530">
        <f>C209*22</f>
        <v>0</v>
      </c>
      <c r="E209" s="460">
        <f>D209*0.18</f>
        <v>0</v>
      </c>
      <c r="F209" s="324">
        <f>E209*1.03*0.8/147</f>
        <v>0</v>
      </c>
      <c r="G209" s="528">
        <f>INT(M209)</f>
        <v>0</v>
      </c>
      <c r="H209" s="324" t="s">
        <v>18</v>
      </c>
      <c r="I209" s="528">
        <f>(M209-G209)*64</f>
        <v>0</v>
      </c>
      <c r="J209" s="324" t="s">
        <v>19</v>
      </c>
      <c r="K209" s="324"/>
      <c r="L209" s="324"/>
      <c r="M209" s="324">
        <f>F209*5960/3456</f>
        <v>0</v>
      </c>
      <c r="N209" s="324"/>
      <c r="O209" s="324"/>
      <c r="P209" s="324"/>
      <c r="Q209" s="324" t="s">
        <v>18</v>
      </c>
      <c r="R209" s="324"/>
      <c r="S209" s="324" t="s">
        <v>19</v>
      </c>
      <c r="T209" s="528">
        <v>9</v>
      </c>
      <c r="U209" s="324">
        <f t="shared" si="60"/>
        <v>0</v>
      </c>
      <c r="V209" s="676"/>
      <c r="W209" s="528"/>
      <c r="X209" s="529"/>
      <c r="Y209" s="323"/>
      <c r="Z209" s="312">
        <f>E209/1.21</f>
        <v>0</v>
      </c>
      <c r="AA209" s="316">
        <f>SUM(Z209/298.1)</f>
        <v>0</v>
      </c>
    </row>
    <row r="210" spans="1:28" ht="77.25" thickBot="1" x14ac:dyDescent="0.45">
      <c r="A210" s="319" t="s">
        <v>14</v>
      </c>
      <c r="B210" s="320" t="s">
        <v>893</v>
      </c>
      <c r="C210" s="528"/>
      <c r="D210" s="551">
        <f>C210*18</f>
        <v>0</v>
      </c>
      <c r="E210" s="456">
        <f>D210*0.18</f>
        <v>0</v>
      </c>
      <c r="F210" s="358">
        <f>E210*1.03*0.8/147</f>
        <v>0</v>
      </c>
      <c r="G210" s="548">
        <f t="shared" si="58"/>
        <v>0</v>
      </c>
      <c r="H210" s="358" t="s">
        <v>18</v>
      </c>
      <c r="I210" s="548">
        <f t="shared" si="59"/>
        <v>0</v>
      </c>
      <c r="J210" s="358" t="s">
        <v>19</v>
      </c>
      <c r="K210" s="358"/>
      <c r="L210" s="358"/>
      <c r="M210" s="358">
        <f>F210*5960/3456</f>
        <v>0</v>
      </c>
      <c r="N210" s="324"/>
      <c r="O210" s="324"/>
      <c r="P210" s="324"/>
      <c r="Q210" s="324" t="s">
        <v>18</v>
      </c>
      <c r="R210" s="324"/>
      <c r="S210" s="324" t="s">
        <v>19</v>
      </c>
      <c r="T210" s="528">
        <v>9</v>
      </c>
      <c r="U210" s="324">
        <f t="shared" si="60"/>
        <v>0</v>
      </c>
      <c r="V210" s="676"/>
      <c r="W210" s="528"/>
      <c r="X210" s="529"/>
      <c r="Y210" s="323"/>
      <c r="Z210" s="312">
        <f>E210/1.21</f>
        <v>0</v>
      </c>
      <c r="AA210" s="316">
        <f>SUM(Z210/298.1)</f>
        <v>0</v>
      </c>
    </row>
    <row r="211" spans="1:28" ht="51.75" thickBot="1" x14ac:dyDescent="0.45">
      <c r="A211" s="319" t="s">
        <v>14</v>
      </c>
      <c r="B211" s="369" t="s">
        <v>880</v>
      </c>
      <c r="C211" s="528"/>
      <c r="D211" s="550">
        <f>C211*18</f>
        <v>0</v>
      </c>
      <c r="E211" s="358">
        <f>D211*0.24</f>
        <v>0</v>
      </c>
      <c r="F211" s="358">
        <f>E211*0.81/147</f>
        <v>0</v>
      </c>
      <c r="G211" s="548">
        <f t="shared" si="58"/>
        <v>0</v>
      </c>
      <c r="H211" s="358" t="s">
        <v>18</v>
      </c>
      <c r="I211" s="548">
        <f t="shared" si="59"/>
        <v>0</v>
      </c>
      <c r="J211" s="358" t="s">
        <v>19</v>
      </c>
      <c r="K211" s="358"/>
      <c r="L211" s="358"/>
      <c r="M211" s="358">
        <f>F211*6125/3456</f>
        <v>0</v>
      </c>
      <c r="N211" s="358"/>
      <c r="O211" s="358"/>
      <c r="P211" s="358"/>
      <c r="Q211" s="358" t="s">
        <v>18</v>
      </c>
      <c r="R211" s="358"/>
      <c r="S211" s="358" t="s">
        <v>19</v>
      </c>
      <c r="T211" s="528">
        <v>9</v>
      </c>
      <c r="U211" s="324">
        <f t="shared" si="60"/>
        <v>0</v>
      </c>
      <c r="V211" s="676"/>
      <c r="W211" s="528"/>
      <c r="X211" s="529"/>
      <c r="Y211" s="323"/>
      <c r="Z211" s="312">
        <f>E211/1.21</f>
        <v>0</v>
      </c>
      <c r="AA211" s="316">
        <f>SUM(Z211/298)</f>
        <v>0</v>
      </c>
    </row>
    <row r="212" spans="1:28" ht="51.75" thickBot="1" x14ac:dyDescent="0.45">
      <c r="A212" s="329" t="s">
        <v>14</v>
      </c>
      <c r="B212" s="878" t="s">
        <v>1208</v>
      </c>
      <c r="C212" s="872"/>
      <c r="D212" s="548">
        <f>C212*12</f>
        <v>0</v>
      </c>
      <c r="E212" s="456">
        <f>D212*0.3</f>
        <v>0</v>
      </c>
      <c r="F212" s="358">
        <f>E212*1.01*0.79/152</f>
        <v>0</v>
      </c>
      <c r="G212" s="549">
        <f>INT(M212)</f>
        <v>0</v>
      </c>
      <c r="H212" s="359" t="s">
        <v>18</v>
      </c>
      <c r="I212" s="549">
        <f>(M212-G212)*64</f>
        <v>0</v>
      </c>
      <c r="J212" s="359" t="s">
        <v>19</v>
      </c>
      <c r="K212" s="358"/>
      <c r="L212" s="358"/>
      <c r="M212" s="358">
        <f>F212*7696/3456</f>
        <v>0</v>
      </c>
      <c r="N212" s="461"/>
      <c r="O212" s="461"/>
      <c r="P212" s="358"/>
      <c r="Q212" s="358" t="s">
        <v>18</v>
      </c>
      <c r="R212" s="358"/>
      <c r="S212" s="358" t="s">
        <v>19</v>
      </c>
      <c r="T212" s="528">
        <v>9</v>
      </c>
      <c r="U212" s="324">
        <f>E212/220*60</f>
        <v>0</v>
      </c>
      <c r="V212" s="676"/>
      <c r="W212" s="528"/>
      <c r="X212" s="529"/>
      <c r="Y212" s="323"/>
      <c r="Z212" s="312">
        <f>E212/1.21</f>
        <v>0</v>
      </c>
      <c r="AA212" s="316">
        <f>SUM(Z212/248)</f>
        <v>0</v>
      </c>
    </row>
    <row r="213" spans="1:28" s="728" customFormat="1" ht="102.75" outlineLevel="1" thickBot="1" x14ac:dyDescent="0.45">
      <c r="A213" s="636" t="s">
        <v>14</v>
      </c>
      <c r="B213" s="874" t="s">
        <v>1027</v>
      </c>
      <c r="C213" s="720"/>
      <c r="D213" s="817">
        <f>C213*7</f>
        <v>0</v>
      </c>
      <c r="E213" s="721">
        <f>D213*0.36</f>
        <v>0</v>
      </c>
      <c r="F213" s="722">
        <f>E213*1.03*0.8/147</f>
        <v>0</v>
      </c>
      <c r="G213" s="720">
        <f>INT(M213)</f>
        <v>0</v>
      </c>
      <c r="H213" s="722" t="s">
        <v>18</v>
      </c>
      <c r="I213" s="720">
        <f>(M213-G213)*64</f>
        <v>0</v>
      </c>
      <c r="J213" s="722" t="s">
        <v>19</v>
      </c>
      <c r="K213" s="722"/>
      <c r="L213" s="722"/>
      <c r="M213" s="722">
        <f>F213*6000/3456</f>
        <v>0</v>
      </c>
      <c r="N213" s="722"/>
      <c r="O213" s="722"/>
      <c r="P213" s="722"/>
      <c r="Q213" s="722" t="s">
        <v>18</v>
      </c>
      <c r="R213" s="722"/>
      <c r="S213" s="722" t="s">
        <v>19</v>
      </c>
      <c r="T213" s="720">
        <v>9</v>
      </c>
      <c r="U213" s="722">
        <f t="shared" si="60"/>
        <v>0</v>
      </c>
      <c r="V213" s="724"/>
      <c r="W213" s="720"/>
      <c r="X213" s="725"/>
      <c r="Y213" s="736"/>
      <c r="Z213" s="727">
        <f>E213/1.21/1.143</f>
        <v>0</v>
      </c>
      <c r="AA213" s="815">
        <f>SUM(AB213/184.68)</f>
        <v>0</v>
      </c>
      <c r="AB213" s="728">
        <f>E213/1.21</f>
        <v>0</v>
      </c>
    </row>
    <row r="214" spans="1:28" ht="51.75" thickBot="1" x14ac:dyDescent="0.45">
      <c r="A214" s="319" t="s">
        <v>14</v>
      </c>
      <c r="B214" s="362" t="s">
        <v>909</v>
      </c>
      <c r="C214" s="528"/>
      <c r="D214" s="550">
        <f>C214*12</f>
        <v>0</v>
      </c>
      <c r="E214" s="358">
        <f>D214*0.36</f>
        <v>0</v>
      </c>
      <c r="F214" s="358">
        <f>E214*1.03*0.8/147</f>
        <v>0</v>
      </c>
      <c r="G214" s="548">
        <f>INT(M214)</f>
        <v>0</v>
      </c>
      <c r="H214" s="358" t="s">
        <v>18</v>
      </c>
      <c r="I214" s="548">
        <f>(M214-G214)*64</f>
        <v>0</v>
      </c>
      <c r="J214" s="358" t="s">
        <v>19</v>
      </c>
      <c r="K214" s="358"/>
      <c r="L214" s="358"/>
      <c r="M214" s="358">
        <f>F214*6000/3456</f>
        <v>0</v>
      </c>
      <c r="N214" s="358"/>
      <c r="O214" s="358"/>
      <c r="P214" s="358"/>
      <c r="Q214" s="358" t="s">
        <v>18</v>
      </c>
      <c r="R214" s="358"/>
      <c r="S214" s="358" t="s">
        <v>19</v>
      </c>
      <c r="T214" s="528">
        <v>9</v>
      </c>
      <c r="U214" s="324">
        <f t="shared" si="60"/>
        <v>0</v>
      </c>
      <c r="V214" s="676"/>
      <c r="W214" s="528"/>
      <c r="X214" s="529"/>
      <c r="Y214" s="323"/>
      <c r="Z214" s="312">
        <f>E214/1.21</f>
        <v>0</v>
      </c>
      <c r="AA214" s="316">
        <f>SUM(Z214/272)</f>
        <v>0</v>
      </c>
    </row>
    <row r="215" spans="1:28" ht="51.75" thickBot="1" x14ac:dyDescent="0.45">
      <c r="A215" s="319" t="s">
        <v>14</v>
      </c>
      <c r="B215" s="362" t="s">
        <v>1004</v>
      </c>
      <c r="C215" s="528"/>
      <c r="D215" s="567">
        <f>C215*14</f>
        <v>0</v>
      </c>
      <c r="E215" s="324">
        <f>D215*0.36</f>
        <v>0</v>
      </c>
      <c r="F215" s="324">
        <f>E215*1.03*0.8/147</f>
        <v>0</v>
      </c>
      <c r="G215" s="528">
        <f>INT(M215)</f>
        <v>0</v>
      </c>
      <c r="H215" s="324" t="s">
        <v>18</v>
      </c>
      <c r="I215" s="528">
        <f>(M215-G215)*64</f>
        <v>0</v>
      </c>
      <c r="J215" s="324" t="s">
        <v>19</v>
      </c>
      <c r="K215" s="324"/>
      <c r="L215" s="324"/>
      <c r="M215" s="324">
        <f>F215*6000/3456</f>
        <v>0</v>
      </c>
      <c r="N215" s="324"/>
      <c r="O215" s="324"/>
      <c r="P215" s="324"/>
      <c r="Q215" s="324" t="s">
        <v>18</v>
      </c>
      <c r="R215" s="324"/>
      <c r="S215" s="324" t="s">
        <v>19</v>
      </c>
      <c r="T215" s="528">
        <v>9</v>
      </c>
      <c r="U215" s="324">
        <f t="shared" si="60"/>
        <v>0</v>
      </c>
      <c r="V215" s="676"/>
      <c r="W215" s="528"/>
      <c r="X215" s="529"/>
      <c r="Y215" s="323"/>
      <c r="Z215" s="312">
        <f>E215/1.21</f>
        <v>0</v>
      </c>
      <c r="AA215" s="316">
        <f>SUM(Z215/272)</f>
        <v>0</v>
      </c>
    </row>
    <row r="216" spans="1:28" ht="102.75" thickBot="1" x14ac:dyDescent="0.45">
      <c r="A216" s="319" t="s">
        <v>14</v>
      </c>
      <c r="B216" s="320" t="s">
        <v>906</v>
      </c>
      <c r="C216" s="528"/>
      <c r="D216" s="548">
        <f>C216*12</f>
        <v>0</v>
      </c>
      <c r="E216" s="456">
        <f>D216*0.5</f>
        <v>0</v>
      </c>
      <c r="F216" s="358">
        <f>E216*1.037*0.756/147</f>
        <v>0</v>
      </c>
      <c r="G216" s="548">
        <f t="shared" si="58"/>
        <v>0</v>
      </c>
      <c r="H216" s="358" t="s">
        <v>18</v>
      </c>
      <c r="I216" s="548">
        <f t="shared" si="59"/>
        <v>0</v>
      </c>
      <c r="J216" s="358" t="s">
        <v>19</v>
      </c>
      <c r="K216" s="358"/>
      <c r="L216" s="358"/>
      <c r="M216" s="358">
        <f>(F216*6760/3456)</f>
        <v>0</v>
      </c>
      <c r="N216" s="324"/>
      <c r="O216" s="324"/>
      <c r="P216" s="324"/>
      <c r="Q216" s="324" t="s">
        <v>18</v>
      </c>
      <c r="R216" s="324"/>
      <c r="S216" s="324" t="s">
        <v>19</v>
      </c>
      <c r="T216" s="528">
        <v>9</v>
      </c>
      <c r="U216" s="324">
        <f>E216/324*60</f>
        <v>0</v>
      </c>
      <c r="V216" s="676"/>
      <c r="W216" s="528"/>
      <c r="X216" s="529"/>
      <c r="Y216" s="323"/>
      <c r="Z216" s="312">
        <f>E216/1.21/1.143</f>
        <v>0</v>
      </c>
      <c r="AA216" s="316">
        <f>SUM(AB216/236)</f>
        <v>0</v>
      </c>
      <c r="AB216" s="310">
        <f>E216/1.21</f>
        <v>0</v>
      </c>
    </row>
    <row r="217" spans="1:28" ht="77.25" thickBot="1" x14ac:dyDescent="0.45">
      <c r="A217" s="319" t="s">
        <v>14</v>
      </c>
      <c r="B217" s="369" t="s">
        <v>1015</v>
      </c>
      <c r="C217" s="528"/>
      <c r="D217" s="528">
        <f>C217*12</f>
        <v>0</v>
      </c>
      <c r="E217" s="460">
        <f>D217*0.5</f>
        <v>0</v>
      </c>
      <c r="F217" s="324">
        <f>E217*1.03*0.82/147</f>
        <v>0</v>
      </c>
      <c r="G217" s="537">
        <f>INT(M217)</f>
        <v>0</v>
      </c>
      <c r="H217" s="354" t="s">
        <v>18</v>
      </c>
      <c r="I217" s="537">
        <f>(M217-G217)*64</f>
        <v>0</v>
      </c>
      <c r="J217" s="354" t="s">
        <v>19</v>
      </c>
      <c r="K217" s="324"/>
      <c r="L217" s="324"/>
      <c r="M217" s="324">
        <f>(F217*5250/3456)</f>
        <v>0</v>
      </c>
      <c r="N217" s="324"/>
      <c r="O217" s="324"/>
      <c r="P217" s="324"/>
      <c r="Q217" s="324" t="s">
        <v>18</v>
      </c>
      <c r="R217" s="324"/>
      <c r="S217" s="324" t="s">
        <v>19</v>
      </c>
      <c r="T217" s="528">
        <v>9</v>
      </c>
      <c r="U217" s="324">
        <f>E217/324*60</f>
        <v>0</v>
      </c>
      <c r="V217" s="676"/>
      <c r="W217" s="528"/>
      <c r="X217" s="529"/>
      <c r="Y217" s="323"/>
      <c r="Z217" s="312">
        <f>E217/1.21</f>
        <v>0</v>
      </c>
      <c r="AA217" s="316">
        <f>SUM(Z217/236)</f>
        <v>0</v>
      </c>
    </row>
    <row r="218" spans="1:28" ht="84.75" customHeight="1" thickBot="1" x14ac:dyDescent="0.45">
      <c r="A218" s="319" t="s">
        <v>14</v>
      </c>
      <c r="B218" s="369" t="s">
        <v>928</v>
      </c>
      <c r="C218" s="528"/>
      <c r="D218" s="548">
        <f>C218*12</f>
        <v>0</v>
      </c>
      <c r="E218" s="456">
        <f>D218*0.6</f>
        <v>0</v>
      </c>
      <c r="F218" s="358">
        <f>E218*1.03*0.82/147</f>
        <v>0</v>
      </c>
      <c r="G218" s="549">
        <f>INT(M218)</f>
        <v>0</v>
      </c>
      <c r="H218" s="359" t="s">
        <v>18</v>
      </c>
      <c r="I218" s="549">
        <f>(M218-G218)*64</f>
        <v>0</v>
      </c>
      <c r="J218" s="359" t="s">
        <v>19</v>
      </c>
      <c r="K218" s="358"/>
      <c r="L218" s="358"/>
      <c r="M218" s="358">
        <f>(F218*5250/3456)</f>
        <v>0</v>
      </c>
      <c r="N218" s="358"/>
      <c r="O218" s="358"/>
      <c r="P218" s="358"/>
      <c r="Q218" s="358" t="s">
        <v>18</v>
      </c>
      <c r="R218" s="358"/>
      <c r="S218" s="358" t="s">
        <v>19</v>
      </c>
      <c r="T218" s="528">
        <v>9</v>
      </c>
      <c r="U218" s="324">
        <f>E218/324*60</f>
        <v>0</v>
      </c>
      <c r="V218" s="676"/>
      <c r="W218" s="528"/>
      <c r="X218" s="529"/>
      <c r="Y218" s="323"/>
      <c r="Z218" s="312">
        <f>E218/1.21</f>
        <v>0</v>
      </c>
      <c r="AA218" s="316">
        <f>SUM(Z218/311.85)</f>
        <v>0</v>
      </c>
    </row>
    <row r="219" spans="1:28" ht="84.75" customHeight="1" thickBot="1" x14ac:dyDescent="0.45">
      <c r="A219" s="319" t="s">
        <v>14</v>
      </c>
      <c r="B219" s="886" t="s">
        <v>1225</v>
      </c>
      <c r="C219" s="528"/>
      <c r="D219" s="528">
        <f>C219*10</f>
        <v>0</v>
      </c>
      <c r="E219" s="460">
        <f>D219*0.3</f>
        <v>0</v>
      </c>
      <c r="F219" s="324">
        <f>E219*1.03*0.82/147</f>
        <v>0</v>
      </c>
      <c r="G219" s="537">
        <f>INT(M219)</f>
        <v>0</v>
      </c>
      <c r="H219" s="354"/>
      <c r="I219" s="537">
        <f>(M219-G219)*64</f>
        <v>0</v>
      </c>
      <c r="J219" s="354"/>
      <c r="K219" s="324"/>
      <c r="L219" s="324"/>
      <c r="M219" s="324">
        <f>(F219*4900/2880)</f>
        <v>0</v>
      </c>
      <c r="N219" s="324"/>
      <c r="O219" s="324"/>
      <c r="P219" s="324"/>
      <c r="Q219" s="324"/>
      <c r="R219" s="324"/>
      <c r="S219" s="324"/>
      <c r="T219" s="528">
        <v>9</v>
      </c>
      <c r="U219" s="324"/>
      <c r="V219" s="676"/>
      <c r="W219" s="528"/>
      <c r="X219" s="529"/>
      <c r="Y219" s="323"/>
      <c r="Z219" s="312">
        <f>E219/1.21</f>
        <v>0</v>
      </c>
      <c r="AA219" s="316">
        <f>SUM(Z219/282)</f>
        <v>0</v>
      </c>
    </row>
    <row r="220" spans="1:28" ht="102.75" thickBot="1" x14ac:dyDescent="0.45">
      <c r="A220" s="319" t="s">
        <v>14</v>
      </c>
      <c r="B220" s="362" t="s">
        <v>969</v>
      </c>
      <c r="C220" s="528"/>
      <c r="D220" s="548"/>
      <c r="E220" s="456">
        <f>C220*0.3</f>
        <v>0</v>
      </c>
      <c r="F220" s="358">
        <f>E220*1.03*0.84/147</f>
        <v>0</v>
      </c>
      <c r="G220" s="549">
        <f>INT(M220)</f>
        <v>0</v>
      </c>
      <c r="H220" s="359" t="s">
        <v>18</v>
      </c>
      <c r="I220" s="549">
        <f>(M220-G220)*64</f>
        <v>0</v>
      </c>
      <c r="J220" s="359" t="s">
        <v>19</v>
      </c>
      <c r="K220" s="358"/>
      <c r="L220" s="358"/>
      <c r="M220" s="358">
        <f>(F220*5547/3456)</f>
        <v>0</v>
      </c>
      <c r="N220" s="461"/>
      <c r="O220" s="461"/>
      <c r="P220" s="461"/>
      <c r="Q220" s="324" t="s">
        <v>18</v>
      </c>
      <c r="R220" s="324"/>
      <c r="S220" s="324" t="s">
        <v>19</v>
      </c>
      <c r="T220" s="528">
        <v>9</v>
      </c>
      <c r="U220" s="324">
        <f>E220/324*60</f>
        <v>0</v>
      </c>
      <c r="V220" s="676"/>
      <c r="W220" s="528"/>
      <c r="X220" s="529"/>
      <c r="Y220" s="323"/>
      <c r="Z220" s="312">
        <f>E220/1.21</f>
        <v>0</v>
      </c>
      <c r="AA220" s="316">
        <f>SUM(Z220/282)</f>
        <v>0</v>
      </c>
    </row>
    <row r="221" spans="1:28" thickBot="1" x14ac:dyDescent="0.45">
      <c r="A221" s="830"/>
      <c r="B221" s="332" t="s">
        <v>287</v>
      </c>
      <c r="C221" s="347"/>
      <c r="D221" s="347"/>
      <c r="E221" s="494"/>
      <c r="F221" s="348"/>
      <c r="G221" s="347"/>
      <c r="H221" s="348"/>
      <c r="I221" s="347"/>
      <c r="J221" s="348"/>
      <c r="K221" s="348"/>
      <c r="L221" s="348"/>
      <c r="M221" s="348"/>
      <c r="N221" s="348"/>
      <c r="O221" s="348"/>
      <c r="P221" s="348"/>
      <c r="Q221" s="348"/>
      <c r="R221" s="348"/>
      <c r="S221" s="348"/>
      <c r="T221" s="347"/>
      <c r="U221" s="348"/>
      <c r="V221" s="356"/>
      <c r="W221" s="348"/>
      <c r="X221" s="495"/>
      <c r="Y221" s="357"/>
    </row>
    <row r="222" spans="1:28" thickBot="1" x14ac:dyDescent="0.45">
      <c r="A222" s="830"/>
      <c r="B222" s="332" t="s">
        <v>299</v>
      </c>
      <c r="C222" s="347"/>
      <c r="D222" s="347"/>
      <c r="E222" s="494"/>
      <c r="F222" s="348"/>
      <c r="G222" s="347"/>
      <c r="H222" s="348"/>
      <c r="I222" s="347"/>
      <c r="J222" s="348"/>
      <c r="K222" s="348"/>
      <c r="L222" s="348"/>
      <c r="M222" s="348"/>
      <c r="N222" s="348"/>
      <c r="O222" s="348"/>
      <c r="P222" s="348"/>
      <c r="Q222" s="348"/>
      <c r="R222" s="348"/>
      <c r="S222" s="348"/>
      <c r="T222" s="347"/>
      <c r="U222" s="348"/>
      <c r="V222" s="356"/>
      <c r="W222" s="348"/>
      <c r="X222" s="495"/>
      <c r="Y222" s="357"/>
    </row>
    <row r="223" spans="1:28" ht="53.25" thickBot="1" x14ac:dyDescent="0.45">
      <c r="A223" s="319" t="s">
        <v>14</v>
      </c>
      <c r="B223" s="368" t="s">
        <v>866</v>
      </c>
      <c r="C223" s="853">
        <v>1000</v>
      </c>
      <c r="D223" s="626"/>
      <c r="E223" s="849">
        <f>C223*2.4</f>
        <v>2400</v>
      </c>
      <c r="F223" s="627">
        <f>E223*1.02*0.99/147</f>
        <v>16.486530612244898</v>
      </c>
      <c r="G223" s="850">
        <f>INT(M223)</f>
        <v>34</v>
      </c>
      <c r="H223" s="851" t="s">
        <v>18</v>
      </c>
      <c r="I223" s="850">
        <f>(M223-G223)*64</f>
        <v>22.204081632653015</v>
      </c>
      <c r="J223" s="851" t="s">
        <v>19</v>
      </c>
      <c r="K223" s="630"/>
      <c r="L223" s="630"/>
      <c r="M223" s="627">
        <f t="shared" ref="M223:M228" si="61">F223*6000/2880</f>
        <v>34.346938775510203</v>
      </c>
      <c r="N223" s="631"/>
      <c r="O223" s="631"/>
      <c r="P223" s="631"/>
      <c r="Q223" s="324" t="s">
        <v>18</v>
      </c>
      <c r="R223" s="324"/>
      <c r="S223" s="324" t="s">
        <v>19</v>
      </c>
      <c r="T223" s="528">
        <v>9</v>
      </c>
      <c r="U223" s="324">
        <f>E223/420*60</f>
        <v>342.85714285714289</v>
      </c>
      <c r="V223" s="676"/>
      <c r="W223" s="528"/>
      <c r="X223" s="529"/>
      <c r="Y223" s="323"/>
      <c r="Z223" s="312">
        <f>E223/1.02</f>
        <v>2352.9411764705883</v>
      </c>
      <c r="AA223" s="316">
        <f t="shared" ref="AA223:AA228" si="62">SUM(Z223/354)</f>
        <v>6.6467264872050515</v>
      </c>
    </row>
    <row r="224" spans="1:28" ht="53.25" thickBot="1" x14ac:dyDescent="0.45">
      <c r="A224" s="319" t="s">
        <v>14</v>
      </c>
      <c r="B224" s="368" t="s">
        <v>865</v>
      </c>
      <c r="C224" s="853">
        <v>1000</v>
      </c>
      <c r="D224" s="626"/>
      <c r="E224" s="849">
        <f>C224*2.4</f>
        <v>2400</v>
      </c>
      <c r="F224" s="627">
        <f>E224*1.02*0.99/147</f>
        <v>16.486530612244898</v>
      </c>
      <c r="G224" s="850">
        <f>INT(M224)</f>
        <v>34</v>
      </c>
      <c r="H224" s="851" t="s">
        <v>18</v>
      </c>
      <c r="I224" s="850">
        <f>(M224-G224)*64</f>
        <v>22.204081632653015</v>
      </c>
      <c r="J224" s="851" t="s">
        <v>19</v>
      </c>
      <c r="K224" s="630"/>
      <c r="L224" s="630"/>
      <c r="M224" s="627">
        <f t="shared" si="61"/>
        <v>34.346938775510203</v>
      </c>
      <c r="N224" s="631"/>
      <c r="O224" s="631"/>
      <c r="P224" s="631"/>
      <c r="Q224" s="324" t="s">
        <v>18</v>
      </c>
      <c r="R224" s="324"/>
      <c r="S224" s="324" t="s">
        <v>19</v>
      </c>
      <c r="T224" s="528">
        <v>9</v>
      </c>
      <c r="U224" s="324">
        <f>E224/420*60</f>
        <v>342.85714285714289</v>
      </c>
      <c r="V224" s="676"/>
      <c r="W224" s="528"/>
      <c r="X224" s="529"/>
      <c r="Y224" s="323"/>
      <c r="Z224" s="312">
        <f t="shared" ref="Z224:Z237" si="63">E224/1.02</f>
        <v>2352.9411764705883</v>
      </c>
      <c r="AA224" s="316">
        <f t="shared" si="62"/>
        <v>6.6467264872050515</v>
      </c>
    </row>
    <row r="225" spans="1:28" ht="53.25" thickBot="1" x14ac:dyDescent="0.45">
      <c r="A225" s="319" t="s">
        <v>14</v>
      </c>
      <c r="B225" s="368" t="s">
        <v>118</v>
      </c>
      <c r="C225" s="528"/>
      <c r="D225" s="528"/>
      <c r="E225" s="849">
        <f>C225*3.2</f>
        <v>0</v>
      </c>
      <c r="F225" s="627">
        <f t="shared" ref="F225:F237" si="64">E225*1.02*0.99/147</f>
        <v>0</v>
      </c>
      <c r="G225" s="850">
        <f t="shared" ref="G225:G237" si="65">INT(M225)</f>
        <v>0</v>
      </c>
      <c r="H225" s="851" t="s">
        <v>18</v>
      </c>
      <c r="I225" s="850">
        <f t="shared" ref="I225:I237" si="66">(M225-G225)*64</f>
        <v>0</v>
      </c>
      <c r="J225" s="851" t="s">
        <v>19</v>
      </c>
      <c r="K225" s="630"/>
      <c r="L225" s="630"/>
      <c r="M225" s="627">
        <f t="shared" si="61"/>
        <v>0</v>
      </c>
      <c r="N225" s="631"/>
      <c r="O225" s="631"/>
      <c r="P225" s="631"/>
      <c r="Q225" s="324" t="s">
        <v>18</v>
      </c>
      <c r="R225" s="324"/>
      <c r="S225" s="324" t="s">
        <v>19</v>
      </c>
      <c r="T225" s="528">
        <v>9</v>
      </c>
      <c r="U225" s="324">
        <f>E225/259*60</f>
        <v>0</v>
      </c>
      <c r="V225" s="676"/>
      <c r="W225" s="528"/>
      <c r="X225" s="529"/>
      <c r="Y225" s="323"/>
      <c r="Z225" s="312">
        <f t="shared" si="63"/>
        <v>0</v>
      </c>
      <c r="AA225" s="316">
        <f t="shared" si="62"/>
        <v>0</v>
      </c>
    </row>
    <row r="226" spans="1:28" ht="53.25" thickBot="1" x14ac:dyDescent="0.45">
      <c r="A226" s="319" t="s">
        <v>14</v>
      </c>
      <c r="B226" s="368" t="s">
        <v>688</v>
      </c>
      <c r="C226" s="528"/>
      <c r="D226" s="528"/>
      <c r="E226" s="849">
        <f>C226*3.2</f>
        <v>0</v>
      </c>
      <c r="F226" s="627">
        <f>E226*1.02*0.99/147</f>
        <v>0</v>
      </c>
      <c r="G226" s="850">
        <f>INT(M226)</f>
        <v>0</v>
      </c>
      <c r="H226" s="851" t="s">
        <v>18</v>
      </c>
      <c r="I226" s="850">
        <f>(M226-G226)*64</f>
        <v>0</v>
      </c>
      <c r="J226" s="851" t="s">
        <v>19</v>
      </c>
      <c r="K226" s="630"/>
      <c r="L226" s="630"/>
      <c r="M226" s="627">
        <f t="shared" si="61"/>
        <v>0</v>
      </c>
      <c r="N226" s="631"/>
      <c r="O226" s="631"/>
      <c r="P226" s="631"/>
      <c r="Q226" s="324" t="s">
        <v>18</v>
      </c>
      <c r="R226" s="324"/>
      <c r="S226" s="324" t="s">
        <v>19</v>
      </c>
      <c r="T226" s="528">
        <v>9</v>
      </c>
      <c r="U226" s="324">
        <f>E226/259*60</f>
        <v>0</v>
      </c>
      <c r="V226" s="676"/>
      <c r="W226" s="528"/>
      <c r="X226" s="529"/>
      <c r="Y226" s="323"/>
      <c r="Z226" s="312">
        <f t="shared" si="63"/>
        <v>0</v>
      </c>
      <c r="AA226" s="316">
        <f t="shared" si="62"/>
        <v>0</v>
      </c>
    </row>
    <row r="227" spans="1:28" ht="53.25" thickBot="1" x14ac:dyDescent="0.45">
      <c r="A227" s="319" t="s">
        <v>14</v>
      </c>
      <c r="B227" s="368" t="s">
        <v>689</v>
      </c>
      <c r="C227" s="853"/>
      <c r="D227" s="626"/>
      <c r="E227" s="849">
        <f>C227*4</f>
        <v>0</v>
      </c>
      <c r="F227" s="627">
        <f>E227*1.02*0.99/147</f>
        <v>0</v>
      </c>
      <c r="G227" s="850">
        <f>INT(M227)</f>
        <v>0</v>
      </c>
      <c r="H227" s="851" t="s">
        <v>18</v>
      </c>
      <c r="I227" s="850">
        <f>(M227-G227)*64</f>
        <v>0</v>
      </c>
      <c r="J227" s="851" t="s">
        <v>19</v>
      </c>
      <c r="K227" s="630"/>
      <c r="L227" s="630"/>
      <c r="M227" s="627">
        <f t="shared" si="61"/>
        <v>0</v>
      </c>
      <c r="N227" s="324"/>
      <c r="O227" s="324"/>
      <c r="P227" s="324"/>
      <c r="Q227" s="324" t="s">
        <v>18</v>
      </c>
      <c r="R227" s="324"/>
      <c r="S227" s="324" t="s">
        <v>19</v>
      </c>
      <c r="T227" s="528">
        <v>9</v>
      </c>
      <c r="U227" s="324">
        <f>E227/259*60</f>
        <v>0</v>
      </c>
      <c r="V227" s="676"/>
      <c r="W227" s="528"/>
      <c r="X227" s="529"/>
      <c r="Y227" s="323"/>
      <c r="Z227" s="312">
        <f t="shared" si="63"/>
        <v>0</v>
      </c>
      <c r="AA227" s="316">
        <f t="shared" si="62"/>
        <v>0</v>
      </c>
    </row>
    <row r="228" spans="1:28" ht="53.25" thickBot="1" x14ac:dyDescent="0.45">
      <c r="A228" s="319" t="s">
        <v>14</v>
      </c>
      <c r="B228" s="368" t="s">
        <v>240</v>
      </c>
      <c r="C228" s="853"/>
      <c r="D228" s="626"/>
      <c r="E228" s="849">
        <f>C228*4</f>
        <v>0</v>
      </c>
      <c r="F228" s="627">
        <f>E228*1.02*0.99/147</f>
        <v>0</v>
      </c>
      <c r="G228" s="850">
        <f>INT(M228)</f>
        <v>0</v>
      </c>
      <c r="H228" s="851" t="s">
        <v>18</v>
      </c>
      <c r="I228" s="850">
        <f>(M228-G228)*64</f>
        <v>0</v>
      </c>
      <c r="J228" s="851" t="s">
        <v>19</v>
      </c>
      <c r="K228" s="630"/>
      <c r="L228" s="630"/>
      <c r="M228" s="627">
        <f t="shared" si="61"/>
        <v>0</v>
      </c>
      <c r="N228" s="324"/>
      <c r="O228" s="324"/>
      <c r="P228" s="324"/>
      <c r="Q228" s="324" t="s">
        <v>18</v>
      </c>
      <c r="R228" s="324"/>
      <c r="S228" s="324" t="s">
        <v>19</v>
      </c>
      <c r="T228" s="528">
        <v>9</v>
      </c>
      <c r="U228" s="324">
        <f>E228/259*60</f>
        <v>0</v>
      </c>
      <c r="V228" s="676"/>
      <c r="W228" s="528"/>
      <c r="X228" s="529"/>
      <c r="Y228" s="323"/>
      <c r="Z228" s="312">
        <f t="shared" si="63"/>
        <v>0</v>
      </c>
      <c r="AA228" s="316">
        <f t="shared" si="62"/>
        <v>0</v>
      </c>
    </row>
    <row r="229" spans="1:28" ht="79.5" thickBot="1" x14ac:dyDescent="0.45">
      <c r="A229" s="319" t="s">
        <v>14</v>
      </c>
      <c r="B229" s="320" t="s">
        <v>869</v>
      </c>
      <c r="C229" s="853"/>
      <c r="D229" s="626"/>
      <c r="E229" s="849">
        <f>C229*2.4</f>
        <v>0</v>
      </c>
      <c r="F229" s="627">
        <f t="shared" si="64"/>
        <v>0</v>
      </c>
      <c r="G229" s="850">
        <f t="shared" si="65"/>
        <v>0</v>
      </c>
      <c r="H229" s="851" t="s">
        <v>18</v>
      </c>
      <c r="I229" s="850">
        <f t="shared" si="66"/>
        <v>0</v>
      </c>
      <c r="J229" s="851" t="s">
        <v>19</v>
      </c>
      <c r="K229" s="630"/>
      <c r="L229" s="630"/>
      <c r="M229" s="627">
        <f t="shared" ref="M229:M237" si="67">F229*6000/2880</f>
        <v>0</v>
      </c>
      <c r="N229" s="631"/>
      <c r="O229" s="631"/>
      <c r="P229" s="631"/>
      <c r="Q229" s="324" t="s">
        <v>18</v>
      </c>
      <c r="R229" s="324"/>
      <c r="S229" s="324" t="s">
        <v>19</v>
      </c>
      <c r="T229" s="528">
        <v>9</v>
      </c>
      <c r="U229" s="324">
        <f>E229/420*60</f>
        <v>0</v>
      </c>
      <c r="V229" s="676"/>
      <c r="W229" s="528"/>
      <c r="X229" s="529"/>
      <c r="Y229" s="360" t="s">
        <v>921</v>
      </c>
      <c r="Z229" s="312">
        <f t="shared" si="63"/>
        <v>0</v>
      </c>
      <c r="AA229" s="316">
        <f t="shared" ref="AA229:AA234" si="68">SUM(Z229/354)</f>
        <v>0</v>
      </c>
    </row>
    <row r="230" spans="1:28" ht="79.5" thickBot="1" x14ac:dyDescent="0.45">
      <c r="A230" s="319" t="s">
        <v>14</v>
      </c>
      <c r="B230" s="320" t="s">
        <v>870</v>
      </c>
      <c r="C230" s="853"/>
      <c r="D230" s="626"/>
      <c r="E230" s="849">
        <f>C230*2.4</f>
        <v>0</v>
      </c>
      <c r="F230" s="627">
        <f t="shared" si="64"/>
        <v>0</v>
      </c>
      <c r="G230" s="850">
        <f t="shared" si="65"/>
        <v>0</v>
      </c>
      <c r="H230" s="851" t="s">
        <v>18</v>
      </c>
      <c r="I230" s="850">
        <f t="shared" si="66"/>
        <v>0</v>
      </c>
      <c r="J230" s="851" t="s">
        <v>19</v>
      </c>
      <c r="K230" s="630"/>
      <c r="L230" s="630"/>
      <c r="M230" s="627">
        <f t="shared" si="67"/>
        <v>0</v>
      </c>
      <c r="N230" s="631"/>
      <c r="O230" s="631"/>
      <c r="P230" s="631"/>
      <c r="Q230" s="324" t="s">
        <v>18</v>
      </c>
      <c r="R230" s="324"/>
      <c r="S230" s="324" t="s">
        <v>19</v>
      </c>
      <c r="T230" s="528">
        <v>9</v>
      </c>
      <c r="U230" s="324">
        <f>E230/420*60</f>
        <v>0</v>
      </c>
      <c r="V230" s="676"/>
      <c r="W230" s="528"/>
      <c r="X230" s="529"/>
      <c r="Y230" s="360" t="s">
        <v>919</v>
      </c>
      <c r="Z230" s="312">
        <f t="shared" si="63"/>
        <v>0</v>
      </c>
      <c r="AA230" s="316">
        <f t="shared" si="68"/>
        <v>0</v>
      </c>
    </row>
    <row r="231" spans="1:28" ht="51.75" thickBot="1" x14ac:dyDescent="0.45">
      <c r="A231" s="319" t="s">
        <v>14</v>
      </c>
      <c r="B231" s="320" t="s">
        <v>871</v>
      </c>
      <c r="C231" s="853"/>
      <c r="D231" s="626"/>
      <c r="E231" s="849">
        <f>C231*2.4</f>
        <v>0</v>
      </c>
      <c r="F231" s="627">
        <f t="shared" si="64"/>
        <v>0</v>
      </c>
      <c r="G231" s="850">
        <f t="shared" si="65"/>
        <v>0</v>
      </c>
      <c r="H231" s="851" t="s">
        <v>18</v>
      </c>
      <c r="I231" s="850">
        <f t="shared" si="66"/>
        <v>0</v>
      </c>
      <c r="J231" s="851" t="s">
        <v>19</v>
      </c>
      <c r="K231" s="630"/>
      <c r="L231" s="630"/>
      <c r="M231" s="627">
        <f t="shared" si="67"/>
        <v>0</v>
      </c>
      <c r="N231" s="631"/>
      <c r="O231" s="631"/>
      <c r="P231" s="631"/>
      <c r="Q231" s="324" t="s">
        <v>18</v>
      </c>
      <c r="R231" s="324"/>
      <c r="S231" s="324" t="s">
        <v>19</v>
      </c>
      <c r="T231" s="528">
        <v>9</v>
      </c>
      <c r="U231" s="324">
        <f>E231/420*60</f>
        <v>0</v>
      </c>
      <c r="V231" s="676"/>
      <c r="W231" s="528"/>
      <c r="X231" s="529"/>
      <c r="Y231" s="323"/>
      <c r="Z231" s="312">
        <f t="shared" si="63"/>
        <v>0</v>
      </c>
      <c r="AA231" s="316">
        <f t="shared" si="68"/>
        <v>0</v>
      </c>
    </row>
    <row r="232" spans="1:28" ht="79.5" thickBot="1" x14ac:dyDescent="0.45">
      <c r="A232" s="319" t="s">
        <v>14</v>
      </c>
      <c r="B232" s="320" t="s">
        <v>786</v>
      </c>
      <c r="C232" s="853"/>
      <c r="D232" s="626"/>
      <c r="E232" s="849">
        <f t="shared" ref="E232:E237" si="69">C232*4</f>
        <v>0</v>
      </c>
      <c r="F232" s="627">
        <f t="shared" si="64"/>
        <v>0</v>
      </c>
      <c r="G232" s="850">
        <f t="shared" si="65"/>
        <v>0</v>
      </c>
      <c r="H232" s="851" t="s">
        <v>18</v>
      </c>
      <c r="I232" s="850">
        <f t="shared" si="66"/>
        <v>0</v>
      </c>
      <c r="J232" s="851" t="s">
        <v>19</v>
      </c>
      <c r="K232" s="630"/>
      <c r="L232" s="630"/>
      <c r="M232" s="627">
        <f t="shared" si="67"/>
        <v>0</v>
      </c>
      <c r="N232" s="324"/>
      <c r="O232" s="324"/>
      <c r="P232" s="324"/>
      <c r="Q232" s="324" t="s">
        <v>18</v>
      </c>
      <c r="R232" s="324"/>
      <c r="S232" s="324" t="s">
        <v>19</v>
      </c>
      <c r="T232" s="528">
        <v>9</v>
      </c>
      <c r="U232" s="324">
        <f t="shared" ref="U232:U237" si="70">E232/259*60</f>
        <v>0</v>
      </c>
      <c r="V232" s="676"/>
      <c r="W232" s="528"/>
      <c r="X232" s="529"/>
      <c r="Y232" s="360" t="s">
        <v>919</v>
      </c>
      <c r="Z232" s="312">
        <f t="shared" si="63"/>
        <v>0</v>
      </c>
      <c r="AA232" s="316">
        <f t="shared" si="68"/>
        <v>0</v>
      </c>
    </row>
    <row r="233" spans="1:28" ht="51.75" thickBot="1" x14ac:dyDescent="0.45">
      <c r="A233" s="319" t="s">
        <v>14</v>
      </c>
      <c r="B233" s="320" t="s">
        <v>630</v>
      </c>
      <c r="C233" s="853"/>
      <c r="D233" s="626"/>
      <c r="E233" s="849">
        <f t="shared" si="69"/>
        <v>0</v>
      </c>
      <c r="F233" s="627">
        <f t="shared" si="64"/>
        <v>0</v>
      </c>
      <c r="G233" s="850">
        <f t="shared" si="65"/>
        <v>0</v>
      </c>
      <c r="H233" s="851" t="s">
        <v>18</v>
      </c>
      <c r="I233" s="850">
        <f t="shared" si="66"/>
        <v>0</v>
      </c>
      <c r="J233" s="851" t="s">
        <v>19</v>
      </c>
      <c r="K233" s="630"/>
      <c r="L233" s="630"/>
      <c r="M233" s="627">
        <f t="shared" si="67"/>
        <v>0</v>
      </c>
      <c r="N233" s="324"/>
      <c r="O233" s="324"/>
      <c r="P233" s="324"/>
      <c r="Q233" s="324" t="s">
        <v>18</v>
      </c>
      <c r="R233" s="324"/>
      <c r="S233" s="324" t="s">
        <v>19</v>
      </c>
      <c r="T233" s="528">
        <v>9</v>
      </c>
      <c r="U233" s="324">
        <f t="shared" si="70"/>
        <v>0</v>
      </c>
      <c r="V233" s="676"/>
      <c r="W233" s="528"/>
      <c r="X233" s="529"/>
      <c r="Y233" s="323"/>
      <c r="Z233" s="312">
        <f t="shared" si="63"/>
        <v>0</v>
      </c>
      <c r="AA233" s="316">
        <f t="shared" si="68"/>
        <v>0</v>
      </c>
    </row>
    <row r="234" spans="1:28" thickBot="1" x14ac:dyDescent="0.45">
      <c r="A234" s="319" t="s">
        <v>14</v>
      </c>
      <c r="B234" s="320" t="s">
        <v>1065</v>
      </c>
      <c r="C234" s="853"/>
      <c r="D234" s="626"/>
      <c r="E234" s="849">
        <f t="shared" si="69"/>
        <v>0</v>
      </c>
      <c r="F234" s="627">
        <f t="shared" si="64"/>
        <v>0</v>
      </c>
      <c r="G234" s="850">
        <f t="shared" si="65"/>
        <v>0</v>
      </c>
      <c r="H234" s="851" t="s">
        <v>18</v>
      </c>
      <c r="I234" s="850">
        <f t="shared" si="66"/>
        <v>0</v>
      </c>
      <c r="J234" s="851" t="s">
        <v>19</v>
      </c>
      <c r="K234" s="630"/>
      <c r="L234" s="630"/>
      <c r="M234" s="627">
        <f t="shared" si="67"/>
        <v>0</v>
      </c>
      <c r="N234" s="324"/>
      <c r="O234" s="324"/>
      <c r="P234" s="324"/>
      <c r="Q234" s="324" t="s">
        <v>18</v>
      </c>
      <c r="R234" s="324"/>
      <c r="S234" s="324" t="s">
        <v>19</v>
      </c>
      <c r="T234" s="528">
        <v>9</v>
      </c>
      <c r="U234" s="324">
        <f t="shared" si="70"/>
        <v>0</v>
      </c>
      <c r="V234" s="676"/>
      <c r="W234" s="528"/>
      <c r="X234" s="529"/>
      <c r="Y234" s="323"/>
      <c r="Z234" s="312">
        <f>E234/1.02</f>
        <v>0</v>
      </c>
      <c r="AA234" s="316">
        <f t="shared" si="68"/>
        <v>0</v>
      </c>
    </row>
    <row r="235" spans="1:28" ht="51.75" thickBot="1" x14ac:dyDescent="0.45">
      <c r="A235" s="319" t="s">
        <v>14</v>
      </c>
      <c r="B235" s="320" t="s">
        <v>818</v>
      </c>
      <c r="C235" s="853"/>
      <c r="D235" s="626"/>
      <c r="E235" s="849">
        <f t="shared" si="69"/>
        <v>0</v>
      </c>
      <c r="F235" s="627">
        <f t="shared" si="64"/>
        <v>0</v>
      </c>
      <c r="G235" s="850">
        <f t="shared" si="65"/>
        <v>0</v>
      </c>
      <c r="H235" s="851" t="s">
        <v>18</v>
      </c>
      <c r="I235" s="850">
        <f t="shared" si="66"/>
        <v>0</v>
      </c>
      <c r="J235" s="851" t="s">
        <v>19</v>
      </c>
      <c r="K235" s="630"/>
      <c r="L235" s="630"/>
      <c r="M235" s="627">
        <f t="shared" si="67"/>
        <v>0</v>
      </c>
      <c r="N235" s="324"/>
      <c r="O235" s="324"/>
      <c r="P235" s="324"/>
      <c r="Q235" s="324" t="s">
        <v>18</v>
      </c>
      <c r="R235" s="324"/>
      <c r="S235" s="324" t="s">
        <v>19</v>
      </c>
      <c r="T235" s="528">
        <v>9</v>
      </c>
      <c r="U235" s="324">
        <f t="shared" si="70"/>
        <v>0</v>
      </c>
      <c r="V235" s="676"/>
      <c r="W235" s="528"/>
      <c r="X235" s="529"/>
      <c r="Y235" s="323"/>
      <c r="Z235" s="312">
        <f>E235/1.042</f>
        <v>0</v>
      </c>
      <c r="AA235" s="316">
        <f>SUM(Z235/366.4)</f>
        <v>0</v>
      </c>
    </row>
    <row r="236" spans="1:28" thickBot="1" x14ac:dyDescent="0.45">
      <c r="A236" s="319" t="s">
        <v>14</v>
      </c>
      <c r="B236" s="320" t="s">
        <v>817</v>
      </c>
      <c r="C236" s="853"/>
      <c r="D236" s="626"/>
      <c r="E236" s="849">
        <f t="shared" si="69"/>
        <v>0</v>
      </c>
      <c r="F236" s="627">
        <f t="shared" si="64"/>
        <v>0</v>
      </c>
      <c r="G236" s="850">
        <f t="shared" si="65"/>
        <v>0</v>
      </c>
      <c r="H236" s="851" t="s">
        <v>18</v>
      </c>
      <c r="I236" s="850">
        <f t="shared" si="66"/>
        <v>0</v>
      </c>
      <c r="J236" s="851" t="s">
        <v>19</v>
      </c>
      <c r="K236" s="630"/>
      <c r="L236" s="630"/>
      <c r="M236" s="627">
        <f t="shared" si="67"/>
        <v>0</v>
      </c>
      <c r="N236" s="324"/>
      <c r="O236" s="324"/>
      <c r="P236" s="324"/>
      <c r="Q236" s="324" t="s">
        <v>18</v>
      </c>
      <c r="R236" s="324"/>
      <c r="S236" s="324" t="s">
        <v>19</v>
      </c>
      <c r="T236" s="528">
        <v>9</v>
      </c>
      <c r="U236" s="324">
        <f t="shared" si="70"/>
        <v>0</v>
      </c>
      <c r="V236" s="676"/>
      <c r="W236" s="528"/>
      <c r="X236" s="529"/>
      <c r="Y236" s="323"/>
      <c r="Z236" s="312">
        <f t="shared" si="63"/>
        <v>0</v>
      </c>
      <c r="AA236" s="316">
        <f>SUM(Z236/354)</f>
        <v>0</v>
      </c>
    </row>
    <row r="237" spans="1:28" ht="79.5" thickBot="1" x14ac:dyDescent="0.45">
      <c r="A237" s="319" t="s">
        <v>14</v>
      </c>
      <c r="B237" s="320" t="s">
        <v>631</v>
      </c>
      <c r="C237" s="853"/>
      <c r="D237" s="626"/>
      <c r="E237" s="849">
        <f t="shared" si="69"/>
        <v>0</v>
      </c>
      <c r="F237" s="627">
        <f t="shared" si="64"/>
        <v>0</v>
      </c>
      <c r="G237" s="850">
        <f t="shared" si="65"/>
        <v>0</v>
      </c>
      <c r="H237" s="851" t="s">
        <v>18</v>
      </c>
      <c r="I237" s="850">
        <f t="shared" si="66"/>
        <v>0</v>
      </c>
      <c r="J237" s="851" t="s">
        <v>19</v>
      </c>
      <c r="K237" s="630"/>
      <c r="L237" s="630"/>
      <c r="M237" s="627">
        <f t="shared" si="67"/>
        <v>0</v>
      </c>
      <c r="N237" s="324"/>
      <c r="O237" s="324"/>
      <c r="P237" s="324"/>
      <c r="Q237" s="324" t="s">
        <v>18</v>
      </c>
      <c r="R237" s="324"/>
      <c r="S237" s="324" t="s">
        <v>19</v>
      </c>
      <c r="T237" s="528">
        <v>9</v>
      </c>
      <c r="U237" s="324">
        <f t="shared" si="70"/>
        <v>0</v>
      </c>
      <c r="V237" s="676"/>
      <c r="W237" s="528"/>
      <c r="X237" s="529"/>
      <c r="Y237" s="360" t="s">
        <v>921</v>
      </c>
      <c r="Z237" s="312">
        <f t="shared" si="63"/>
        <v>0</v>
      </c>
      <c r="AA237" s="316">
        <f>SUM(Z237/354)</f>
        <v>0</v>
      </c>
    </row>
    <row r="238" spans="1:28" ht="102.75" outlineLevel="1" thickBot="1" x14ac:dyDescent="0.45">
      <c r="A238" s="319" t="s">
        <v>14</v>
      </c>
      <c r="B238" s="362" t="s">
        <v>1219</v>
      </c>
      <c r="C238" s="528"/>
      <c r="D238" s="528"/>
      <c r="E238" s="460">
        <f>C238*4</f>
        <v>0</v>
      </c>
      <c r="F238" s="324">
        <f>E238*1.02*0.99/147</f>
        <v>0</v>
      </c>
      <c r="G238" s="528">
        <f t="shared" ref="G238:G262" si="71">INT(M238)</f>
        <v>0</v>
      </c>
      <c r="H238" s="324" t="s">
        <v>18</v>
      </c>
      <c r="I238" s="528">
        <f t="shared" ref="I238:I262" si="72">(M238-G238)*64</f>
        <v>0</v>
      </c>
      <c r="J238" s="324" t="s">
        <v>19</v>
      </c>
      <c r="K238" s="324"/>
      <c r="L238" s="324"/>
      <c r="M238" s="324">
        <f>F238*5764/2880</f>
        <v>0</v>
      </c>
      <c r="N238" s="324"/>
      <c r="O238" s="324"/>
      <c r="P238" s="324"/>
      <c r="Q238" s="324" t="s">
        <v>18</v>
      </c>
      <c r="R238" s="324"/>
      <c r="S238" s="324" t="s">
        <v>19</v>
      </c>
      <c r="T238" s="528">
        <v>9</v>
      </c>
      <c r="U238" s="722">
        <f>E238/324*60</f>
        <v>0</v>
      </c>
      <c r="V238" s="676"/>
      <c r="W238" s="528"/>
      <c r="X238" s="529"/>
      <c r="Y238" s="360" t="s">
        <v>885</v>
      </c>
      <c r="Z238" s="312">
        <f>E238/1.05</f>
        <v>0</v>
      </c>
      <c r="AA238" s="316">
        <f>SUM(Z238/316.7)</f>
        <v>0</v>
      </c>
    </row>
    <row r="239" spans="1:28" ht="102.75" outlineLevel="1" thickBot="1" x14ac:dyDescent="0.45">
      <c r="A239" s="319" t="s">
        <v>14</v>
      </c>
      <c r="B239" s="362" t="s">
        <v>1220</v>
      </c>
      <c r="C239" s="528"/>
      <c r="D239" s="528"/>
      <c r="E239" s="460">
        <f>C239*4</f>
        <v>0</v>
      </c>
      <c r="F239" s="324">
        <f>E239*1.02*0.99/147</f>
        <v>0</v>
      </c>
      <c r="G239" s="528">
        <f>INT(M239)</f>
        <v>0</v>
      </c>
      <c r="H239" s="324" t="s">
        <v>18</v>
      </c>
      <c r="I239" s="528">
        <f>(M239-G239)*64</f>
        <v>0</v>
      </c>
      <c r="J239" s="324" t="s">
        <v>19</v>
      </c>
      <c r="K239" s="324"/>
      <c r="L239" s="324"/>
      <c r="M239" s="324">
        <f>F239*5764/2880</f>
        <v>0</v>
      </c>
      <c r="N239" s="324"/>
      <c r="O239" s="324"/>
      <c r="P239" s="324"/>
      <c r="Q239" s="324" t="s">
        <v>18</v>
      </c>
      <c r="R239" s="324"/>
      <c r="S239" s="324" t="s">
        <v>19</v>
      </c>
      <c r="T239" s="528">
        <v>9</v>
      </c>
      <c r="U239" s="722">
        <f>E239/324*60</f>
        <v>0</v>
      </c>
      <c r="V239" s="676"/>
      <c r="W239" s="528"/>
      <c r="X239" s="529"/>
      <c r="Y239" s="360" t="s">
        <v>885</v>
      </c>
      <c r="Z239" s="312">
        <f>E239/1.05</f>
        <v>0</v>
      </c>
      <c r="AA239" s="316">
        <f>SUM(Z239/316.7)</f>
        <v>0</v>
      </c>
    </row>
    <row r="240" spans="1:28" ht="77.25" thickBot="1" x14ac:dyDescent="0.45">
      <c r="A240" s="319" t="s">
        <v>14</v>
      </c>
      <c r="B240" s="320" t="s">
        <v>840</v>
      </c>
      <c r="C240" s="528"/>
      <c r="D240" s="528"/>
      <c r="E240" s="456">
        <f>C240*4</f>
        <v>0</v>
      </c>
      <c r="F240" s="358">
        <f>E240*0.9*1.01/147</f>
        <v>0</v>
      </c>
      <c r="G240" s="548">
        <f t="shared" si="71"/>
        <v>0</v>
      </c>
      <c r="H240" s="358" t="s">
        <v>18</v>
      </c>
      <c r="I240" s="548">
        <f t="shared" si="72"/>
        <v>0</v>
      </c>
      <c r="J240" s="358" t="s">
        <v>19</v>
      </c>
      <c r="K240" s="358"/>
      <c r="L240" s="358"/>
      <c r="M240" s="358">
        <f>(F240*6533/3456)</f>
        <v>0</v>
      </c>
      <c r="N240" s="358"/>
      <c r="O240" s="358"/>
      <c r="P240" s="358"/>
      <c r="Q240" s="358" t="s">
        <v>18</v>
      </c>
      <c r="R240" s="358"/>
      <c r="S240" s="358" t="s">
        <v>19</v>
      </c>
      <c r="T240" s="528">
        <v>9</v>
      </c>
      <c r="U240" s="324">
        <f>E240/324*60</f>
        <v>0</v>
      </c>
      <c r="V240" s="676"/>
      <c r="W240" s="528"/>
      <c r="X240" s="529"/>
      <c r="Y240" s="323"/>
      <c r="Z240" s="312">
        <f>E240/1.05/1.143</f>
        <v>0</v>
      </c>
      <c r="AA240" s="316">
        <f>SUM(AB240/287.3)</f>
        <v>0</v>
      </c>
      <c r="AB240" s="310">
        <f>E240/1.05</f>
        <v>0</v>
      </c>
    </row>
    <row r="241" spans="1:28" ht="132" thickBot="1" x14ac:dyDescent="0.45">
      <c r="A241" s="319" t="s">
        <v>14</v>
      </c>
      <c r="B241" s="799" t="s">
        <v>1192</v>
      </c>
      <c r="C241" s="528"/>
      <c r="D241" s="528"/>
      <c r="E241" s="460">
        <f>C241*1.3</f>
        <v>0</v>
      </c>
      <c r="F241" s="324">
        <f>E241*1.02*1/135</f>
        <v>0</v>
      </c>
      <c r="G241" s="528">
        <f t="shared" si="71"/>
        <v>0</v>
      </c>
      <c r="H241" s="324" t="s">
        <v>18</v>
      </c>
      <c r="I241" s="528">
        <f t="shared" si="72"/>
        <v>0</v>
      </c>
      <c r="J241" s="324" t="s">
        <v>19</v>
      </c>
      <c r="K241" s="324"/>
      <c r="L241" s="324"/>
      <c r="M241" s="324">
        <f>F241*5252/2880</f>
        <v>0</v>
      </c>
      <c r="N241" s="324"/>
      <c r="O241" s="324"/>
      <c r="P241" s="324"/>
      <c r="Q241" s="324" t="s">
        <v>18</v>
      </c>
      <c r="R241" s="324"/>
      <c r="S241" s="324" t="s">
        <v>19</v>
      </c>
      <c r="T241" s="528">
        <v>9</v>
      </c>
      <c r="U241" s="324">
        <f>E241/237*60</f>
        <v>0</v>
      </c>
      <c r="V241" s="676"/>
      <c r="W241" s="528"/>
      <c r="X241" s="529"/>
      <c r="Y241" s="360" t="s">
        <v>954</v>
      </c>
      <c r="Z241" s="312">
        <f>E241/1.05/1.143</f>
        <v>0</v>
      </c>
      <c r="AA241" s="316">
        <f>SUM(AB241/287.3)</f>
        <v>0</v>
      </c>
      <c r="AB241" s="310">
        <f>E241/1.05</f>
        <v>0</v>
      </c>
    </row>
    <row r="242" spans="1:28" ht="51.75" thickBot="1" x14ac:dyDescent="0.45">
      <c r="A242" s="319" t="s">
        <v>14</v>
      </c>
      <c r="B242" s="320" t="s">
        <v>632</v>
      </c>
      <c r="C242" s="528"/>
      <c r="D242" s="528"/>
      <c r="E242" s="849">
        <f t="shared" ref="E242:E247" si="73">C242*3.2</f>
        <v>0</v>
      </c>
      <c r="F242" s="627">
        <f t="shared" ref="F242:F247" si="74">E242*1.02*0.99/147</f>
        <v>0</v>
      </c>
      <c r="G242" s="850">
        <f t="shared" si="71"/>
        <v>0</v>
      </c>
      <c r="H242" s="851" t="s">
        <v>18</v>
      </c>
      <c r="I242" s="850">
        <f t="shared" si="72"/>
        <v>0</v>
      </c>
      <c r="J242" s="851" t="s">
        <v>19</v>
      </c>
      <c r="K242" s="630"/>
      <c r="L242" s="630"/>
      <c r="M242" s="627">
        <f>F242*6000/2880</f>
        <v>0</v>
      </c>
      <c r="N242" s="631"/>
      <c r="O242" s="631"/>
      <c r="P242" s="631"/>
      <c r="Q242" s="324" t="s">
        <v>18</v>
      </c>
      <c r="R242" s="324"/>
      <c r="S242" s="324" t="s">
        <v>19</v>
      </c>
      <c r="T242" s="528">
        <v>9</v>
      </c>
      <c r="U242" s="324">
        <f t="shared" ref="U242:U247" si="75">E242/259*60</f>
        <v>0</v>
      </c>
      <c r="V242" s="676"/>
      <c r="W242" s="528"/>
      <c r="X242" s="529"/>
      <c r="Y242" s="323"/>
      <c r="Z242" s="312">
        <f t="shared" ref="Z242:Z247" si="76">E242/1.02</f>
        <v>0</v>
      </c>
      <c r="AA242" s="316">
        <f>SUM(Z242/354)</f>
        <v>0</v>
      </c>
    </row>
    <row r="243" spans="1:28" ht="79.5" thickBot="1" x14ac:dyDescent="0.45">
      <c r="A243" s="319" t="s">
        <v>14</v>
      </c>
      <c r="B243" s="320" t="s">
        <v>633</v>
      </c>
      <c r="C243" s="528"/>
      <c r="D243" s="528"/>
      <c r="E243" s="849">
        <f t="shared" si="73"/>
        <v>0</v>
      </c>
      <c r="F243" s="627">
        <f t="shared" si="74"/>
        <v>0</v>
      </c>
      <c r="G243" s="850">
        <f t="shared" si="71"/>
        <v>0</v>
      </c>
      <c r="H243" s="851" t="s">
        <v>18</v>
      </c>
      <c r="I243" s="850">
        <f t="shared" si="72"/>
        <v>0</v>
      </c>
      <c r="J243" s="851" t="s">
        <v>19</v>
      </c>
      <c r="K243" s="630"/>
      <c r="L243" s="630"/>
      <c r="M243" s="627">
        <f>F243*6000/2880</f>
        <v>0</v>
      </c>
      <c r="N243" s="631"/>
      <c r="O243" s="631"/>
      <c r="P243" s="631"/>
      <c r="Q243" s="358" t="s">
        <v>18</v>
      </c>
      <c r="R243" s="358"/>
      <c r="S243" s="358" t="s">
        <v>19</v>
      </c>
      <c r="T243" s="528">
        <v>9</v>
      </c>
      <c r="U243" s="324">
        <f t="shared" si="75"/>
        <v>0</v>
      </c>
      <c r="V243" s="676"/>
      <c r="W243" s="528"/>
      <c r="X243" s="529"/>
      <c r="Y243" s="360" t="s">
        <v>921</v>
      </c>
      <c r="Z243" s="312">
        <f t="shared" si="76"/>
        <v>0</v>
      </c>
      <c r="AA243" s="316">
        <f>SUM(Z243/354)</f>
        <v>0</v>
      </c>
    </row>
    <row r="244" spans="1:28" ht="79.5" thickBot="1" x14ac:dyDescent="0.45">
      <c r="A244" s="319" t="s">
        <v>14</v>
      </c>
      <c r="B244" s="320" t="s">
        <v>1066</v>
      </c>
      <c r="C244" s="528"/>
      <c r="D244" s="528"/>
      <c r="E244" s="849">
        <f t="shared" si="73"/>
        <v>0</v>
      </c>
      <c r="F244" s="627">
        <f t="shared" si="74"/>
        <v>0</v>
      </c>
      <c r="G244" s="850">
        <f t="shared" si="71"/>
        <v>0</v>
      </c>
      <c r="H244" s="851" t="s">
        <v>18</v>
      </c>
      <c r="I244" s="850">
        <f t="shared" si="72"/>
        <v>0</v>
      </c>
      <c r="J244" s="851" t="s">
        <v>19</v>
      </c>
      <c r="K244" s="630"/>
      <c r="L244" s="630"/>
      <c r="M244" s="627">
        <f>F244*6000/2880</f>
        <v>0</v>
      </c>
      <c r="N244" s="631"/>
      <c r="O244" s="631"/>
      <c r="P244" s="631"/>
      <c r="Q244" s="324" t="s">
        <v>18</v>
      </c>
      <c r="R244" s="324"/>
      <c r="S244" s="324" t="s">
        <v>19</v>
      </c>
      <c r="T244" s="528">
        <v>9</v>
      </c>
      <c r="U244" s="324">
        <f t="shared" si="75"/>
        <v>0</v>
      </c>
      <c r="V244" s="676"/>
      <c r="W244" s="528"/>
      <c r="X244" s="529"/>
      <c r="Y244" s="360" t="s">
        <v>921</v>
      </c>
      <c r="Z244" s="312">
        <f t="shared" si="76"/>
        <v>0</v>
      </c>
      <c r="AA244" s="316">
        <f>SUM(Z244/354)</f>
        <v>0</v>
      </c>
    </row>
    <row r="245" spans="1:28" ht="79.5" thickBot="1" x14ac:dyDescent="0.45">
      <c r="A245" s="319" t="s">
        <v>14</v>
      </c>
      <c r="B245" s="320" t="s">
        <v>1067</v>
      </c>
      <c r="C245" s="528"/>
      <c r="D245" s="528"/>
      <c r="E245" s="849">
        <f t="shared" si="73"/>
        <v>0</v>
      </c>
      <c r="F245" s="627">
        <f t="shared" si="74"/>
        <v>0</v>
      </c>
      <c r="G245" s="850">
        <f t="shared" si="71"/>
        <v>0</v>
      </c>
      <c r="H245" s="851" t="s">
        <v>18</v>
      </c>
      <c r="I245" s="850">
        <f t="shared" si="72"/>
        <v>0</v>
      </c>
      <c r="J245" s="851" t="s">
        <v>19</v>
      </c>
      <c r="K245" s="630"/>
      <c r="L245" s="630"/>
      <c r="M245" s="627">
        <f>F245*6000/2880</f>
        <v>0</v>
      </c>
      <c r="N245" s="631"/>
      <c r="O245" s="631"/>
      <c r="P245" s="631"/>
      <c r="Q245" s="324" t="s">
        <v>18</v>
      </c>
      <c r="R245" s="324"/>
      <c r="S245" s="324" t="s">
        <v>19</v>
      </c>
      <c r="T245" s="528">
        <v>9</v>
      </c>
      <c r="U245" s="324">
        <f t="shared" si="75"/>
        <v>0</v>
      </c>
      <c r="V245" s="676"/>
      <c r="W245" s="528"/>
      <c r="X245" s="529"/>
      <c r="Y245" s="360" t="s">
        <v>921</v>
      </c>
      <c r="Z245" s="312">
        <f t="shared" si="76"/>
        <v>0</v>
      </c>
      <c r="AA245" s="316">
        <f>SUM(Z245/354)</f>
        <v>0</v>
      </c>
    </row>
    <row r="246" spans="1:28" ht="51.75" thickBot="1" x14ac:dyDescent="0.45">
      <c r="A246" s="319" t="s">
        <v>14</v>
      </c>
      <c r="B246" s="320" t="s">
        <v>1033</v>
      </c>
      <c r="C246" s="528">
        <v>600</v>
      </c>
      <c r="D246" s="528"/>
      <c r="E246" s="852">
        <f t="shared" si="73"/>
        <v>1920</v>
      </c>
      <c r="F246" s="324">
        <f t="shared" si="74"/>
        <v>13.189224489795919</v>
      </c>
      <c r="G246" s="528">
        <f>INT(M246)</f>
        <v>28</v>
      </c>
      <c r="H246" s="324" t="s">
        <v>18</v>
      </c>
      <c r="I246" s="528">
        <f>(M246-G246)*64</f>
        <v>39.187410586552005</v>
      </c>
      <c r="J246" s="324"/>
      <c r="K246" s="324"/>
      <c r="L246" s="324"/>
      <c r="M246" s="324">
        <f>E246/0.0233/2880</f>
        <v>28.612303290414875</v>
      </c>
      <c r="N246" s="324"/>
      <c r="O246" s="324"/>
      <c r="P246" s="324"/>
      <c r="Q246" s="324" t="s">
        <v>18</v>
      </c>
      <c r="R246" s="324"/>
      <c r="S246" s="324" t="s">
        <v>19</v>
      </c>
      <c r="T246" s="528">
        <v>9</v>
      </c>
      <c r="U246" s="324">
        <f t="shared" si="75"/>
        <v>444.78764478764481</v>
      </c>
      <c r="V246" s="676"/>
      <c r="W246" s="528"/>
      <c r="X246" s="529"/>
      <c r="Y246" s="323"/>
      <c r="Z246" s="312">
        <f t="shared" si="76"/>
        <v>1882.3529411764705</v>
      </c>
      <c r="AA246" s="316">
        <f>SUM(Z246/300.6)</f>
        <v>6.2619858322570536</v>
      </c>
    </row>
    <row r="247" spans="1:28" ht="51.75" thickBot="1" x14ac:dyDescent="0.45">
      <c r="A247" s="319" t="s">
        <v>14</v>
      </c>
      <c r="B247" s="320" t="s">
        <v>1081</v>
      </c>
      <c r="C247" s="528"/>
      <c r="D247" s="528"/>
      <c r="E247" s="849">
        <f t="shared" si="73"/>
        <v>0</v>
      </c>
      <c r="F247" s="627">
        <f t="shared" si="74"/>
        <v>0</v>
      </c>
      <c r="G247" s="850">
        <f>INT(M247)</f>
        <v>0</v>
      </c>
      <c r="H247" s="851" t="s">
        <v>18</v>
      </c>
      <c r="I247" s="850">
        <f>(M247-G247)*64</f>
        <v>0</v>
      </c>
      <c r="J247" s="851" t="s">
        <v>19</v>
      </c>
      <c r="K247" s="630"/>
      <c r="L247" s="630"/>
      <c r="M247" s="627">
        <f>F247*6000/2880</f>
        <v>0</v>
      </c>
      <c r="N247" s="324"/>
      <c r="O247" s="324"/>
      <c r="P247" s="324"/>
      <c r="Q247" s="324" t="s">
        <v>18</v>
      </c>
      <c r="R247" s="324"/>
      <c r="S247" s="324" t="s">
        <v>19</v>
      </c>
      <c r="T247" s="528">
        <v>9</v>
      </c>
      <c r="U247" s="324">
        <f t="shared" si="75"/>
        <v>0</v>
      </c>
      <c r="V247" s="676"/>
      <c r="W247" s="528"/>
      <c r="X247" s="529"/>
      <c r="Y247" s="323"/>
      <c r="Z247" s="312">
        <f t="shared" si="76"/>
        <v>0</v>
      </c>
      <c r="AA247" s="316">
        <f>SUM(Z247/354)</f>
        <v>0</v>
      </c>
    </row>
    <row r="248" spans="1:28" s="327" customFormat="1" ht="79.5" thickBot="1" x14ac:dyDescent="0.45">
      <c r="A248" s="319" t="s">
        <v>14</v>
      </c>
      <c r="B248" s="365" t="s">
        <v>839</v>
      </c>
      <c r="C248" s="553"/>
      <c r="D248" s="554"/>
      <c r="E248" s="458">
        <f>C248*4.5</f>
        <v>0</v>
      </c>
      <c r="F248" s="358">
        <f>E248*0.9*1.01/147</f>
        <v>0</v>
      </c>
      <c r="G248" s="548">
        <f t="shared" si="71"/>
        <v>0</v>
      </c>
      <c r="H248" s="358" t="s">
        <v>18</v>
      </c>
      <c r="I248" s="548">
        <f t="shared" si="72"/>
        <v>0</v>
      </c>
      <c r="J248" s="358" t="s">
        <v>19</v>
      </c>
      <c r="K248" s="358"/>
      <c r="L248" s="358"/>
      <c r="M248" s="358">
        <f>(F248*6533/3456)</f>
        <v>0</v>
      </c>
      <c r="N248" s="555"/>
      <c r="O248" s="555"/>
      <c r="P248" s="555"/>
      <c r="Q248" s="555" t="s">
        <v>18</v>
      </c>
      <c r="R248" s="555"/>
      <c r="S248" s="555" t="s">
        <v>19</v>
      </c>
      <c r="T248" s="528">
        <v>9</v>
      </c>
      <c r="U248" s="555">
        <f>E248/324*60</f>
        <v>0</v>
      </c>
      <c r="V248" s="686"/>
      <c r="W248" s="553"/>
      <c r="X248" s="555"/>
      <c r="Y248" s="367" t="s">
        <v>919</v>
      </c>
      <c r="Z248" s="312">
        <f>E248/1.02/1.143</f>
        <v>0</v>
      </c>
      <c r="AA248" s="316">
        <f>SUM(AB248/292.4)</f>
        <v>0</v>
      </c>
      <c r="AB248" s="310">
        <f>E248/1.02</f>
        <v>0</v>
      </c>
    </row>
    <row r="249" spans="1:28" s="327" customFormat="1" ht="79.5" thickBot="1" x14ac:dyDescent="0.45">
      <c r="A249" s="319" t="s">
        <v>14</v>
      </c>
      <c r="B249" s="365" t="s">
        <v>867</v>
      </c>
      <c r="C249" s="553"/>
      <c r="D249" s="554"/>
      <c r="E249" s="458">
        <f>C249*3.5</f>
        <v>0</v>
      </c>
      <c r="F249" s="358">
        <f>E249*0.9*1.01/147</f>
        <v>0</v>
      </c>
      <c r="G249" s="556">
        <f t="shared" si="71"/>
        <v>0</v>
      </c>
      <c r="H249" s="366" t="s">
        <v>18</v>
      </c>
      <c r="I249" s="556">
        <f t="shared" si="72"/>
        <v>0</v>
      </c>
      <c r="J249" s="366" t="s">
        <v>19</v>
      </c>
      <c r="K249" s="366"/>
      <c r="L249" s="366"/>
      <c r="M249" s="358">
        <f>(F249*6533/3456)</f>
        <v>0</v>
      </c>
      <c r="N249" s="555"/>
      <c r="O249" s="555"/>
      <c r="P249" s="555"/>
      <c r="Q249" s="555" t="s">
        <v>18</v>
      </c>
      <c r="R249" s="555"/>
      <c r="S249" s="555" t="s">
        <v>19</v>
      </c>
      <c r="T249" s="528">
        <v>9</v>
      </c>
      <c r="U249" s="555">
        <f>E249/324*60</f>
        <v>0</v>
      </c>
      <c r="V249" s="686"/>
      <c r="W249" s="553"/>
      <c r="X249" s="555"/>
      <c r="Y249" s="367" t="s">
        <v>919</v>
      </c>
      <c r="Z249" s="312">
        <f>E249/1.02/1.143</f>
        <v>0</v>
      </c>
      <c r="AA249" s="316">
        <f>SUM(AB249/292.4)</f>
        <v>0</v>
      </c>
      <c r="AB249" s="310">
        <f>E249/1.02</f>
        <v>0</v>
      </c>
    </row>
    <row r="250" spans="1:28" s="327" customFormat="1" ht="79.5" thickBot="1" x14ac:dyDescent="0.45">
      <c r="A250" s="319" t="s">
        <v>14</v>
      </c>
      <c r="B250" s="365" t="s">
        <v>864</v>
      </c>
      <c r="C250" s="553"/>
      <c r="D250" s="554"/>
      <c r="E250" s="458">
        <f>C250*2.5</f>
        <v>0</v>
      </c>
      <c r="F250" s="358">
        <f>E250*0.9*1.01/147</f>
        <v>0</v>
      </c>
      <c r="G250" s="556">
        <f t="shared" si="71"/>
        <v>0</v>
      </c>
      <c r="H250" s="366" t="s">
        <v>18</v>
      </c>
      <c r="I250" s="556">
        <f t="shared" si="72"/>
        <v>0</v>
      </c>
      <c r="J250" s="366" t="s">
        <v>19</v>
      </c>
      <c r="K250" s="366"/>
      <c r="L250" s="366"/>
      <c r="M250" s="358">
        <f>(F250*6533/3456)</f>
        <v>0</v>
      </c>
      <c r="N250" s="555"/>
      <c r="O250" s="555"/>
      <c r="P250" s="555"/>
      <c r="Q250" s="555" t="s">
        <v>18</v>
      </c>
      <c r="R250" s="555"/>
      <c r="S250" s="555" t="s">
        <v>19</v>
      </c>
      <c r="T250" s="528">
        <v>9</v>
      </c>
      <c r="U250" s="555">
        <f>E250/324*60</f>
        <v>0</v>
      </c>
      <c r="V250" s="686"/>
      <c r="W250" s="553"/>
      <c r="X250" s="555"/>
      <c r="Y250" s="367" t="s">
        <v>919</v>
      </c>
      <c r="Z250" s="312">
        <f>E250/1.02/1.143</f>
        <v>0</v>
      </c>
      <c r="AA250" s="316">
        <f>SUM(AB250/292.4)</f>
        <v>0</v>
      </c>
      <c r="AB250" s="310">
        <f>E250/1.02</f>
        <v>0</v>
      </c>
    </row>
    <row r="251" spans="1:28" ht="51.75" thickBot="1" x14ac:dyDescent="0.45">
      <c r="A251" s="319" t="s">
        <v>14</v>
      </c>
      <c r="B251" s="320" t="s">
        <v>872</v>
      </c>
      <c r="C251" s="853"/>
      <c r="D251" s="626"/>
      <c r="E251" s="849">
        <f>C251*2.4</f>
        <v>0</v>
      </c>
      <c r="F251" s="627">
        <f>E251*1.02*0.99/147</f>
        <v>0</v>
      </c>
      <c r="G251" s="850">
        <f t="shared" si="71"/>
        <v>0</v>
      </c>
      <c r="H251" s="851" t="s">
        <v>18</v>
      </c>
      <c r="I251" s="850">
        <f t="shared" si="72"/>
        <v>0</v>
      </c>
      <c r="J251" s="851" t="s">
        <v>19</v>
      </c>
      <c r="K251" s="630"/>
      <c r="L251" s="630"/>
      <c r="M251" s="627">
        <f>F251*6000/2880</f>
        <v>0</v>
      </c>
      <c r="N251" s="631"/>
      <c r="O251" s="631"/>
      <c r="P251" s="631"/>
      <c r="Q251" s="324" t="s">
        <v>18</v>
      </c>
      <c r="R251" s="324"/>
      <c r="S251" s="324" t="s">
        <v>19</v>
      </c>
      <c r="T251" s="528">
        <v>9</v>
      </c>
      <c r="U251" s="324">
        <f>E251/420*60</f>
        <v>0</v>
      </c>
      <c r="V251" s="676"/>
      <c r="W251" s="528"/>
      <c r="X251" s="529"/>
      <c r="Y251" s="323"/>
      <c r="Z251" s="312">
        <f>E251/1.02</f>
        <v>0</v>
      </c>
      <c r="AA251" s="316">
        <f>SUM(Z251/354)</f>
        <v>0</v>
      </c>
    </row>
    <row r="252" spans="1:28" ht="63.75" customHeight="1" thickBot="1" x14ac:dyDescent="0.45">
      <c r="A252" s="319" t="s">
        <v>14</v>
      </c>
      <c r="B252" s="802" t="s">
        <v>854</v>
      </c>
      <c r="C252" s="528"/>
      <c r="D252" s="528"/>
      <c r="E252" s="456">
        <f t="shared" ref="E252:E258" si="77">C252*1</f>
        <v>0</v>
      </c>
      <c r="F252" s="358">
        <f>E252*1.02*0.99/147</f>
        <v>0</v>
      </c>
      <c r="G252" s="548">
        <f t="shared" si="71"/>
        <v>0</v>
      </c>
      <c r="H252" s="358" t="s">
        <v>18</v>
      </c>
      <c r="I252" s="548">
        <f t="shared" si="72"/>
        <v>0</v>
      </c>
      <c r="J252" s="358" t="s">
        <v>19</v>
      </c>
      <c r="K252" s="358"/>
      <c r="L252" s="358"/>
      <c r="M252" s="358">
        <f>F252*4983/2880</f>
        <v>0</v>
      </c>
      <c r="N252" s="358"/>
      <c r="O252" s="358"/>
      <c r="P252" s="358"/>
      <c r="Q252" s="358" t="s">
        <v>18</v>
      </c>
      <c r="R252" s="358"/>
      <c r="S252" s="358" t="s">
        <v>19</v>
      </c>
      <c r="T252" s="528">
        <v>9</v>
      </c>
      <c r="U252" s="324">
        <f t="shared" ref="U252:U261" si="78">E252/420*60</f>
        <v>0</v>
      </c>
      <c r="V252" s="676"/>
      <c r="W252" s="528"/>
      <c r="X252" s="529"/>
      <c r="Y252" s="323"/>
      <c r="Z252" s="312">
        <f>E252/1.02</f>
        <v>0</v>
      </c>
      <c r="AA252" s="316">
        <f>SUM(Z252/323.2)</f>
        <v>0</v>
      </c>
    </row>
    <row r="253" spans="1:28" ht="63.75" customHeight="1" thickBot="1" x14ac:dyDescent="0.45">
      <c r="A253" s="319" t="s">
        <v>14</v>
      </c>
      <c r="B253" s="802" t="s">
        <v>1204</v>
      </c>
      <c r="C253" s="528"/>
      <c r="D253" s="528"/>
      <c r="E253" s="456">
        <f>C253*1</f>
        <v>0</v>
      </c>
      <c r="F253" s="358">
        <f>E253*1.02*0.99/147</f>
        <v>0</v>
      </c>
      <c r="G253" s="548">
        <f>INT(M253)</f>
        <v>0</v>
      </c>
      <c r="H253" s="358" t="s">
        <v>18</v>
      </c>
      <c r="I253" s="548">
        <f>(M253-G253)*64</f>
        <v>0</v>
      </c>
      <c r="J253" s="358" t="s">
        <v>19</v>
      </c>
      <c r="K253" s="358"/>
      <c r="L253" s="358"/>
      <c r="M253" s="358">
        <f>F253*4983/2880</f>
        <v>0</v>
      </c>
      <c r="N253" s="358"/>
      <c r="O253" s="358"/>
      <c r="P253" s="358"/>
      <c r="Q253" s="358" t="s">
        <v>18</v>
      </c>
      <c r="R253" s="358"/>
      <c r="S253" s="358" t="s">
        <v>19</v>
      </c>
      <c r="T253" s="528">
        <v>9</v>
      </c>
      <c r="U253" s="324">
        <f>E253/420*60</f>
        <v>0</v>
      </c>
      <c r="V253" s="676"/>
      <c r="W253" s="528"/>
      <c r="X253" s="529"/>
      <c r="Y253" s="323"/>
      <c r="Z253" s="312">
        <f>E253/1.02</f>
        <v>0</v>
      </c>
      <c r="AA253" s="316">
        <f>SUM(Z253/323.2)</f>
        <v>0</v>
      </c>
    </row>
    <row r="254" spans="1:28" ht="63.75" customHeight="1" thickBot="1" x14ac:dyDescent="0.45">
      <c r="A254" s="319" t="s">
        <v>14</v>
      </c>
      <c r="B254" s="802" t="s">
        <v>902</v>
      </c>
      <c r="C254" s="528"/>
      <c r="D254" s="528"/>
      <c r="E254" s="456">
        <f t="shared" si="77"/>
        <v>0</v>
      </c>
      <c r="F254" s="358">
        <f>E254*1.02*0.99/147</f>
        <v>0</v>
      </c>
      <c r="G254" s="548">
        <f t="shared" si="71"/>
        <v>0</v>
      </c>
      <c r="H254" s="358" t="s">
        <v>18</v>
      </c>
      <c r="I254" s="548">
        <f t="shared" si="72"/>
        <v>0</v>
      </c>
      <c r="J254" s="358" t="s">
        <v>19</v>
      </c>
      <c r="K254" s="358"/>
      <c r="L254" s="358"/>
      <c r="M254" s="358">
        <f>F254*4983/2880</f>
        <v>0</v>
      </c>
      <c r="N254" s="358"/>
      <c r="O254" s="358"/>
      <c r="P254" s="358"/>
      <c r="Q254" s="358" t="s">
        <v>18</v>
      </c>
      <c r="R254" s="358"/>
      <c r="S254" s="358" t="s">
        <v>19</v>
      </c>
      <c r="T254" s="528">
        <v>9</v>
      </c>
      <c r="U254" s="324">
        <f t="shared" si="78"/>
        <v>0</v>
      </c>
      <c r="V254" s="676"/>
      <c r="W254" s="528"/>
      <c r="X254" s="529"/>
      <c r="Y254" s="711"/>
      <c r="Z254" s="312">
        <f>E254/1.02</f>
        <v>0</v>
      </c>
      <c r="AA254" s="316">
        <f>SUM(Z254/323.2)</f>
        <v>0</v>
      </c>
    </row>
    <row r="255" spans="1:28" ht="63.75" customHeight="1" thickBot="1" x14ac:dyDescent="0.45">
      <c r="A255" s="319" t="s">
        <v>14</v>
      </c>
      <c r="B255" s="802" t="s">
        <v>1206</v>
      </c>
      <c r="C255" s="528"/>
      <c r="D255" s="528"/>
      <c r="E255" s="456">
        <f>C255*1</f>
        <v>0</v>
      </c>
      <c r="F255" s="358">
        <f>E255*1.02*0.99/147</f>
        <v>0</v>
      </c>
      <c r="G255" s="548">
        <f>INT(M255)</f>
        <v>0</v>
      </c>
      <c r="H255" s="358" t="s">
        <v>18</v>
      </c>
      <c r="I255" s="548">
        <f>(M255-G255)*64</f>
        <v>0</v>
      </c>
      <c r="J255" s="358" t="s">
        <v>19</v>
      </c>
      <c r="K255" s="358"/>
      <c r="L255" s="358"/>
      <c r="M255" s="358">
        <f>F255*4983/2880</f>
        <v>0</v>
      </c>
      <c r="N255" s="358"/>
      <c r="O255" s="358"/>
      <c r="P255" s="358"/>
      <c r="Q255" s="358" t="s">
        <v>18</v>
      </c>
      <c r="R255" s="358"/>
      <c r="S255" s="358" t="s">
        <v>19</v>
      </c>
      <c r="T255" s="528">
        <v>9</v>
      </c>
      <c r="U255" s="324">
        <f>E255/420*60</f>
        <v>0</v>
      </c>
      <c r="V255" s="676"/>
      <c r="W255" s="528"/>
      <c r="X255" s="529"/>
      <c r="Y255" s="711"/>
      <c r="Z255" s="312">
        <f>E255/1.02</f>
        <v>0</v>
      </c>
      <c r="AA255" s="316">
        <f>SUM(Z255/323.2)</f>
        <v>0</v>
      </c>
    </row>
    <row r="256" spans="1:28" ht="63.75" customHeight="1" thickBot="1" x14ac:dyDescent="0.45">
      <c r="A256" s="319" t="s">
        <v>14</v>
      </c>
      <c r="B256" s="802" t="s">
        <v>900</v>
      </c>
      <c r="C256" s="528"/>
      <c r="D256" s="554"/>
      <c r="E256" s="458">
        <f t="shared" si="77"/>
        <v>0</v>
      </c>
      <c r="F256" s="358">
        <f>E256*0.9*1.01/147</f>
        <v>0</v>
      </c>
      <c r="G256" s="556">
        <f t="shared" si="71"/>
        <v>0</v>
      </c>
      <c r="H256" s="366" t="s">
        <v>18</v>
      </c>
      <c r="I256" s="556">
        <f t="shared" si="72"/>
        <v>0</v>
      </c>
      <c r="J256" s="366" t="s">
        <v>19</v>
      </c>
      <c r="K256" s="366"/>
      <c r="L256" s="366"/>
      <c r="M256" s="358">
        <f>(F256*6533/3456)</f>
        <v>0</v>
      </c>
      <c r="N256" s="366"/>
      <c r="O256" s="366"/>
      <c r="P256" s="366"/>
      <c r="Q256" s="366" t="s">
        <v>18</v>
      </c>
      <c r="R256" s="366"/>
      <c r="S256" s="366" t="s">
        <v>19</v>
      </c>
      <c r="T256" s="528">
        <v>9</v>
      </c>
      <c r="U256" s="324">
        <f t="shared" si="78"/>
        <v>0</v>
      </c>
      <c r="V256" s="676"/>
      <c r="W256" s="528"/>
      <c r="X256" s="529"/>
      <c r="Y256" s="367"/>
      <c r="Z256" s="312">
        <f>E256/1.02/1.143</f>
        <v>0</v>
      </c>
      <c r="AA256" s="316">
        <f>SUM(AB256/292.4)</f>
        <v>0</v>
      </c>
      <c r="AB256" s="310">
        <f>E256/1.02</f>
        <v>0</v>
      </c>
    </row>
    <row r="257" spans="1:28" ht="63.75" customHeight="1" thickBot="1" x14ac:dyDescent="0.45">
      <c r="A257" s="319" t="s">
        <v>14</v>
      </c>
      <c r="B257" s="802" t="s">
        <v>901</v>
      </c>
      <c r="C257" s="528"/>
      <c r="D257" s="554"/>
      <c r="E257" s="458">
        <f t="shared" si="77"/>
        <v>0</v>
      </c>
      <c r="F257" s="358">
        <f>E257*0.9*1.01/147</f>
        <v>0</v>
      </c>
      <c r="G257" s="556">
        <f t="shared" si="71"/>
        <v>0</v>
      </c>
      <c r="H257" s="366" t="s">
        <v>18</v>
      </c>
      <c r="I257" s="556">
        <f t="shared" si="72"/>
        <v>0</v>
      </c>
      <c r="J257" s="366" t="s">
        <v>19</v>
      </c>
      <c r="K257" s="366"/>
      <c r="L257" s="366"/>
      <c r="M257" s="358">
        <f>(F257*6533/3456)</f>
        <v>0</v>
      </c>
      <c r="N257" s="366"/>
      <c r="O257" s="366"/>
      <c r="P257" s="366"/>
      <c r="Q257" s="366" t="s">
        <v>18</v>
      </c>
      <c r="R257" s="366"/>
      <c r="S257" s="366" t="s">
        <v>19</v>
      </c>
      <c r="T257" s="528">
        <v>9</v>
      </c>
      <c r="U257" s="324">
        <f t="shared" si="78"/>
        <v>0</v>
      </c>
      <c r="V257" s="676"/>
      <c r="W257" s="528"/>
      <c r="X257" s="529"/>
      <c r="Y257" s="367"/>
      <c r="Z257" s="312">
        <f>E257/1.02/1.143</f>
        <v>0</v>
      </c>
      <c r="AA257" s="316">
        <f>SUM(AB257/292.4)</f>
        <v>0</v>
      </c>
      <c r="AB257" s="310">
        <f>E257/1.02</f>
        <v>0</v>
      </c>
    </row>
    <row r="258" spans="1:28" ht="51.75" thickBot="1" x14ac:dyDescent="0.45">
      <c r="A258" s="319" t="s">
        <v>14</v>
      </c>
      <c r="B258" s="802" t="s">
        <v>915</v>
      </c>
      <c r="C258" s="528"/>
      <c r="D258" s="528"/>
      <c r="E258" s="456">
        <f t="shared" si="77"/>
        <v>0</v>
      </c>
      <c r="F258" s="358">
        <f>E258*1.02*0.99/147</f>
        <v>0</v>
      </c>
      <c r="G258" s="548">
        <f t="shared" si="71"/>
        <v>0</v>
      </c>
      <c r="H258" s="358" t="s">
        <v>18</v>
      </c>
      <c r="I258" s="548">
        <f t="shared" si="72"/>
        <v>0</v>
      </c>
      <c r="J258" s="358" t="s">
        <v>19</v>
      </c>
      <c r="K258" s="358"/>
      <c r="L258" s="358"/>
      <c r="M258" s="358">
        <f>F258*4983/2880</f>
        <v>0</v>
      </c>
      <c r="N258" s="358"/>
      <c r="O258" s="358"/>
      <c r="P258" s="358"/>
      <c r="Q258" s="358" t="s">
        <v>18</v>
      </c>
      <c r="R258" s="358"/>
      <c r="S258" s="358" t="s">
        <v>19</v>
      </c>
      <c r="T258" s="528">
        <v>9</v>
      </c>
      <c r="U258" s="324">
        <f t="shared" si="78"/>
        <v>0</v>
      </c>
      <c r="V258" s="676"/>
      <c r="W258" s="528"/>
      <c r="X258" s="529"/>
      <c r="Y258" s="360"/>
      <c r="Z258" s="312">
        <f>E258/1.02</f>
        <v>0</v>
      </c>
      <c r="AA258" s="316">
        <f>SUM(Z258/323.2)</f>
        <v>0</v>
      </c>
    </row>
    <row r="259" spans="1:28" ht="51.75" thickBot="1" x14ac:dyDescent="0.45">
      <c r="A259" s="319" t="s">
        <v>14</v>
      </c>
      <c r="B259" s="802" t="s">
        <v>1205</v>
      </c>
      <c r="C259" s="528"/>
      <c r="D259" s="528"/>
      <c r="E259" s="456">
        <f>C259*1</f>
        <v>0</v>
      </c>
      <c r="F259" s="358">
        <f>E259*1.02*0.99/147</f>
        <v>0</v>
      </c>
      <c r="G259" s="548">
        <f>INT(M259)</f>
        <v>0</v>
      </c>
      <c r="H259" s="358" t="s">
        <v>18</v>
      </c>
      <c r="I259" s="548">
        <f>(M259-G259)*64</f>
        <v>0</v>
      </c>
      <c r="J259" s="358" t="s">
        <v>19</v>
      </c>
      <c r="K259" s="358"/>
      <c r="L259" s="358"/>
      <c r="M259" s="358">
        <f>F259*4983/2880</f>
        <v>0</v>
      </c>
      <c r="N259" s="358"/>
      <c r="O259" s="358"/>
      <c r="P259" s="358"/>
      <c r="Q259" s="358" t="s">
        <v>18</v>
      </c>
      <c r="R259" s="358"/>
      <c r="S259" s="358" t="s">
        <v>19</v>
      </c>
      <c r="T259" s="528">
        <v>9</v>
      </c>
      <c r="U259" s="324">
        <f>E259/420*60</f>
        <v>0</v>
      </c>
      <c r="V259" s="676"/>
      <c r="W259" s="528"/>
      <c r="X259" s="529"/>
      <c r="Y259" s="360"/>
      <c r="Z259" s="312">
        <f>E259/1.02</f>
        <v>0</v>
      </c>
      <c r="AA259" s="316">
        <f>SUM(Z259/323.2)</f>
        <v>0</v>
      </c>
    </row>
    <row r="260" spans="1:28" ht="51.75" thickBot="1" x14ac:dyDescent="0.45">
      <c r="A260" s="319" t="s">
        <v>14</v>
      </c>
      <c r="B260" s="802" t="s">
        <v>916</v>
      </c>
      <c r="C260" s="528"/>
      <c r="D260" s="525"/>
      <c r="E260" s="456">
        <f>C260*1</f>
        <v>0</v>
      </c>
      <c r="F260" s="358">
        <f>E260*1.02*0.99/147</f>
        <v>0</v>
      </c>
      <c r="G260" s="548">
        <f>INT(M260)</f>
        <v>0</v>
      </c>
      <c r="H260" s="358" t="s">
        <v>18</v>
      </c>
      <c r="I260" s="548">
        <f>(M260-G260)*64</f>
        <v>0</v>
      </c>
      <c r="J260" s="358" t="s">
        <v>19</v>
      </c>
      <c r="K260" s="358"/>
      <c r="L260" s="358"/>
      <c r="M260" s="358">
        <f>F260*6391/2880</f>
        <v>0</v>
      </c>
      <c r="N260" s="358"/>
      <c r="O260" s="358"/>
      <c r="P260" s="358"/>
      <c r="Q260" s="358" t="s">
        <v>18</v>
      </c>
      <c r="R260" s="358"/>
      <c r="S260" s="358" t="s">
        <v>19</v>
      </c>
      <c r="T260" s="528">
        <v>9</v>
      </c>
      <c r="U260" s="324">
        <f t="shared" si="78"/>
        <v>0</v>
      </c>
      <c r="V260" s="676"/>
      <c r="W260" s="528"/>
      <c r="X260" s="529"/>
      <c r="Y260" s="711"/>
      <c r="Z260" s="312">
        <f>E260/1.02</f>
        <v>0</v>
      </c>
      <c r="AA260" s="316">
        <f>SUM(Z260/323.2)</f>
        <v>0</v>
      </c>
    </row>
    <row r="261" spans="1:28" ht="51.75" thickBot="1" x14ac:dyDescent="0.45">
      <c r="A261" s="319" t="s">
        <v>14</v>
      </c>
      <c r="B261" s="802" t="s">
        <v>1064</v>
      </c>
      <c r="C261" s="528"/>
      <c r="D261" s="525"/>
      <c r="E261" s="545">
        <f>C261*1</f>
        <v>0</v>
      </c>
      <c r="F261" s="461">
        <f>E261*1.02*0.99/147</f>
        <v>0</v>
      </c>
      <c r="G261" s="525">
        <f>INT(M261)</f>
        <v>0</v>
      </c>
      <c r="H261" s="461" t="s">
        <v>18</v>
      </c>
      <c r="I261" s="525">
        <f>(M261-G261)*64</f>
        <v>0</v>
      </c>
      <c r="J261" s="461" t="s">
        <v>19</v>
      </c>
      <c r="K261" s="461"/>
      <c r="L261" s="461"/>
      <c r="M261" s="461">
        <f>F261*6391/2880</f>
        <v>0</v>
      </c>
      <c r="N261" s="461"/>
      <c r="O261" s="461"/>
      <c r="P261" s="324"/>
      <c r="Q261" s="324" t="s">
        <v>18</v>
      </c>
      <c r="R261" s="324"/>
      <c r="S261" s="324" t="s">
        <v>19</v>
      </c>
      <c r="T261" s="528">
        <v>9</v>
      </c>
      <c r="U261" s="324">
        <f t="shared" si="78"/>
        <v>0</v>
      </c>
      <c r="V261" s="676"/>
      <c r="W261" s="528"/>
      <c r="X261" s="529"/>
      <c r="Y261" s="711"/>
      <c r="Z261" s="312">
        <f>E261/1.02</f>
        <v>0</v>
      </c>
      <c r="AA261" s="316">
        <f>SUM(Z261/323.2)</f>
        <v>0</v>
      </c>
    </row>
    <row r="262" spans="1:28" ht="51.75" thickBot="1" x14ac:dyDescent="0.45">
      <c r="A262" s="319" t="s">
        <v>14</v>
      </c>
      <c r="B262" s="320" t="s">
        <v>873</v>
      </c>
      <c r="C262" s="853"/>
      <c r="D262" s="626"/>
      <c r="E262" s="849">
        <f>C262*2.4</f>
        <v>0</v>
      </c>
      <c r="F262" s="627">
        <f>E262*1.02*0.99/147</f>
        <v>0</v>
      </c>
      <c r="G262" s="850">
        <f t="shared" si="71"/>
        <v>0</v>
      </c>
      <c r="H262" s="851" t="s">
        <v>18</v>
      </c>
      <c r="I262" s="850">
        <f t="shared" si="72"/>
        <v>0</v>
      </c>
      <c r="J262" s="851" t="s">
        <v>19</v>
      </c>
      <c r="K262" s="630"/>
      <c r="L262" s="630"/>
      <c r="M262" s="627">
        <f>F262*6000/2880</f>
        <v>0</v>
      </c>
      <c r="N262" s="631"/>
      <c r="O262" s="631"/>
      <c r="P262" s="631"/>
      <c r="Q262" s="324" t="s">
        <v>18</v>
      </c>
      <c r="R262" s="324"/>
      <c r="S262" s="324" t="s">
        <v>19</v>
      </c>
      <c r="T262" s="528">
        <v>9</v>
      </c>
      <c r="U262" s="324">
        <f>E262/259*60</f>
        <v>0</v>
      </c>
      <c r="V262" s="676"/>
      <c r="W262" s="528"/>
      <c r="X262" s="529"/>
      <c r="Y262" s="323"/>
      <c r="Z262" s="312">
        <f>E262/1.042</f>
        <v>0</v>
      </c>
      <c r="AA262" s="316">
        <f>SUM(Z262/366.4)</f>
        <v>0</v>
      </c>
    </row>
    <row r="263" spans="1:28" s="327" customFormat="1" ht="79.5" thickBot="1" x14ac:dyDescent="0.45">
      <c r="A263" s="319" t="s">
        <v>14</v>
      </c>
      <c r="B263" s="365" t="s">
        <v>841</v>
      </c>
      <c r="C263" s="553"/>
      <c r="D263" s="554"/>
      <c r="E263" s="458">
        <f>C263*4.5</f>
        <v>0</v>
      </c>
      <c r="F263" s="358">
        <f>E263*0.9*1.01/147</f>
        <v>0</v>
      </c>
      <c r="G263" s="548">
        <f t="shared" ref="G263:G270" si="79">INT(M263)</f>
        <v>0</v>
      </c>
      <c r="H263" s="358" t="s">
        <v>18</v>
      </c>
      <c r="I263" s="548">
        <f t="shared" ref="I263:I270" si="80">(M263-G263)*64</f>
        <v>0</v>
      </c>
      <c r="J263" s="358" t="s">
        <v>19</v>
      </c>
      <c r="K263" s="358"/>
      <c r="L263" s="358"/>
      <c r="M263" s="358">
        <f>(F263*6533/3456)</f>
        <v>0</v>
      </c>
      <c r="N263" s="555"/>
      <c r="O263" s="555"/>
      <c r="P263" s="555"/>
      <c r="Q263" s="555" t="s">
        <v>18</v>
      </c>
      <c r="R263" s="555"/>
      <c r="S263" s="555" t="s">
        <v>19</v>
      </c>
      <c r="T263" s="528">
        <v>9</v>
      </c>
      <c r="U263" s="555">
        <f>E263/324*60</f>
        <v>0</v>
      </c>
      <c r="V263" s="686"/>
      <c r="W263" s="553"/>
      <c r="X263" s="555"/>
      <c r="Y263" s="367" t="s">
        <v>919</v>
      </c>
      <c r="Z263" s="312">
        <f>E263/1.02/1.143</f>
        <v>0</v>
      </c>
      <c r="AA263" s="316">
        <f>SUM(AB263/292.4)</f>
        <v>0</v>
      </c>
      <c r="AB263" s="310">
        <f>E263/1.02</f>
        <v>0</v>
      </c>
    </row>
    <row r="264" spans="1:28" s="327" customFormat="1" ht="53.25" thickBot="1" x14ac:dyDescent="0.45">
      <c r="A264" s="319" t="s">
        <v>14</v>
      </c>
      <c r="B264" s="365" t="s">
        <v>903</v>
      </c>
      <c r="C264" s="553"/>
      <c r="D264" s="554"/>
      <c r="E264" s="458">
        <f>C264*4.5</f>
        <v>0</v>
      </c>
      <c r="F264" s="358">
        <f>E264*0.9*1.01/147</f>
        <v>0</v>
      </c>
      <c r="G264" s="548">
        <f t="shared" si="79"/>
        <v>0</v>
      </c>
      <c r="H264" s="358" t="s">
        <v>18</v>
      </c>
      <c r="I264" s="548">
        <f t="shared" si="80"/>
        <v>0</v>
      </c>
      <c r="J264" s="358" t="s">
        <v>19</v>
      </c>
      <c r="K264" s="358"/>
      <c r="L264" s="358"/>
      <c r="M264" s="358">
        <f>(F264*6533/3456)</f>
        <v>0</v>
      </c>
      <c r="N264" s="555"/>
      <c r="O264" s="555"/>
      <c r="P264" s="555"/>
      <c r="Q264" s="555" t="s">
        <v>18</v>
      </c>
      <c r="R264" s="555"/>
      <c r="S264" s="555" t="s">
        <v>19</v>
      </c>
      <c r="T264" s="528">
        <v>9</v>
      </c>
      <c r="U264" s="555">
        <f>E264/324*60</f>
        <v>0</v>
      </c>
      <c r="V264" s="686"/>
      <c r="W264" s="553"/>
      <c r="X264" s="555"/>
      <c r="Y264" s="367"/>
      <c r="Z264" s="312">
        <f>E264/1.02/1.143</f>
        <v>0</v>
      </c>
      <c r="AA264" s="316">
        <f>SUM(AB264/261.6)</f>
        <v>0</v>
      </c>
      <c r="AB264" s="310">
        <f>E264/1.02</f>
        <v>0</v>
      </c>
    </row>
    <row r="265" spans="1:28" s="327" customFormat="1" ht="53.25" thickBot="1" x14ac:dyDescent="0.45">
      <c r="A265" s="319" t="s">
        <v>14</v>
      </c>
      <c r="B265" s="419" t="s">
        <v>914</v>
      </c>
      <c r="C265" s="553"/>
      <c r="D265" s="554"/>
      <c r="E265" s="458">
        <f>C265*4.5</f>
        <v>0</v>
      </c>
      <c r="F265" s="358">
        <f>E265*0.9*1.01/147</f>
        <v>0</v>
      </c>
      <c r="G265" s="548">
        <f t="shared" si="79"/>
        <v>0</v>
      </c>
      <c r="H265" s="358" t="s">
        <v>18</v>
      </c>
      <c r="I265" s="548">
        <f t="shared" si="80"/>
        <v>0</v>
      </c>
      <c r="J265" s="358" t="s">
        <v>19</v>
      </c>
      <c r="K265" s="358"/>
      <c r="L265" s="358"/>
      <c r="M265" s="358">
        <f>(F265*6533/3456)</f>
        <v>0</v>
      </c>
      <c r="N265" s="555"/>
      <c r="O265" s="555"/>
      <c r="P265" s="555"/>
      <c r="Q265" s="555" t="s">
        <v>18</v>
      </c>
      <c r="R265" s="555"/>
      <c r="S265" s="555" t="s">
        <v>19</v>
      </c>
      <c r="T265" s="528">
        <v>9</v>
      </c>
      <c r="U265" s="555">
        <f>E265/324*60</f>
        <v>0</v>
      </c>
      <c r="V265" s="686"/>
      <c r="W265" s="553"/>
      <c r="X265" s="555"/>
      <c r="Y265" s="367"/>
      <c r="Z265" s="312">
        <f>E265/1.02/1.143</f>
        <v>0</v>
      </c>
      <c r="AA265" s="316">
        <f>SUM(AB265/261.6)</f>
        <v>0</v>
      </c>
      <c r="AB265" s="310">
        <f>E265/1.02</f>
        <v>0</v>
      </c>
    </row>
    <row r="266" spans="1:28" ht="51.75" thickBot="1" x14ac:dyDescent="0.45">
      <c r="A266" s="319" t="s">
        <v>14</v>
      </c>
      <c r="B266" s="320" t="s">
        <v>849</v>
      </c>
      <c r="C266" s="528"/>
      <c r="D266" s="528"/>
      <c r="E266" s="849">
        <f>C266*3.2</f>
        <v>0</v>
      </c>
      <c r="F266" s="627">
        <f>E266*1.02*0.99/147</f>
        <v>0</v>
      </c>
      <c r="G266" s="850">
        <f t="shared" si="79"/>
        <v>0</v>
      </c>
      <c r="H266" s="851" t="s">
        <v>18</v>
      </c>
      <c r="I266" s="850">
        <f t="shared" si="80"/>
        <v>0</v>
      </c>
      <c r="J266" s="851" t="s">
        <v>19</v>
      </c>
      <c r="K266" s="630"/>
      <c r="L266" s="630"/>
      <c r="M266" s="627">
        <f>F266*6000/2880</f>
        <v>0</v>
      </c>
      <c r="N266" s="358"/>
      <c r="O266" s="358"/>
      <c r="P266" s="358"/>
      <c r="Q266" s="358" t="s">
        <v>18</v>
      </c>
      <c r="R266" s="358"/>
      <c r="S266" s="358" t="s">
        <v>19</v>
      </c>
      <c r="T266" s="528">
        <v>9</v>
      </c>
      <c r="U266" s="324">
        <f>E266/259*60</f>
        <v>0</v>
      </c>
      <c r="V266" s="676"/>
      <c r="W266" s="528"/>
      <c r="X266" s="529"/>
      <c r="Y266" s="323"/>
      <c r="Z266" s="312">
        <f>E266/1.1</f>
        <v>0</v>
      </c>
      <c r="AA266" s="316">
        <f>SUM(Z266/354)</f>
        <v>0</v>
      </c>
    </row>
    <row r="267" spans="1:28" s="327" customFormat="1" ht="79.5" thickBot="1" x14ac:dyDescent="0.45">
      <c r="A267" s="319" t="s">
        <v>14</v>
      </c>
      <c r="B267" s="365" t="s">
        <v>853</v>
      </c>
      <c r="C267" s="553"/>
      <c r="D267" s="554"/>
      <c r="E267" s="458">
        <f>C267*3.5</f>
        <v>0</v>
      </c>
      <c r="F267" s="358">
        <f>E267*0.9*1.01/147</f>
        <v>0</v>
      </c>
      <c r="G267" s="548">
        <f t="shared" si="79"/>
        <v>0</v>
      </c>
      <c r="H267" s="358" t="s">
        <v>18</v>
      </c>
      <c r="I267" s="548">
        <f t="shared" si="80"/>
        <v>0</v>
      </c>
      <c r="J267" s="358" t="s">
        <v>19</v>
      </c>
      <c r="K267" s="358"/>
      <c r="L267" s="358"/>
      <c r="M267" s="358">
        <f>(F267*6533/3456)</f>
        <v>0</v>
      </c>
      <c r="N267" s="366"/>
      <c r="O267" s="366"/>
      <c r="P267" s="366"/>
      <c r="Q267" s="366" t="s">
        <v>18</v>
      </c>
      <c r="R267" s="366"/>
      <c r="S267" s="366" t="s">
        <v>19</v>
      </c>
      <c r="T267" s="528">
        <v>9</v>
      </c>
      <c r="U267" s="555">
        <f>E267/324*60</f>
        <v>0</v>
      </c>
      <c r="V267" s="686"/>
      <c r="W267" s="553"/>
      <c r="X267" s="555"/>
      <c r="Y267" s="367" t="s">
        <v>919</v>
      </c>
      <c r="Z267" s="312">
        <f>E267/1.02/1.143</f>
        <v>0</v>
      </c>
      <c r="AA267" s="316">
        <f>SUM(AB267/292.4)</f>
        <v>0</v>
      </c>
      <c r="AB267" s="310">
        <f>E267/1.02</f>
        <v>0</v>
      </c>
    </row>
    <row r="268" spans="1:28" ht="51.75" thickBot="1" x14ac:dyDescent="0.45">
      <c r="A268" s="319" t="s">
        <v>14</v>
      </c>
      <c r="B268" s="320" t="s">
        <v>855</v>
      </c>
      <c r="C268" s="853"/>
      <c r="D268" s="626"/>
      <c r="E268" s="849">
        <f>C268*4</f>
        <v>0</v>
      </c>
      <c r="F268" s="627">
        <f>E268*1.02*0.99/147</f>
        <v>0</v>
      </c>
      <c r="G268" s="850">
        <f t="shared" si="79"/>
        <v>0</v>
      </c>
      <c r="H268" s="851" t="s">
        <v>18</v>
      </c>
      <c r="I268" s="850">
        <f t="shared" si="80"/>
        <v>0</v>
      </c>
      <c r="J268" s="851" t="s">
        <v>19</v>
      </c>
      <c r="K268" s="630"/>
      <c r="L268" s="630"/>
      <c r="M268" s="627">
        <f>F268*6000/2880</f>
        <v>0</v>
      </c>
      <c r="N268" s="358"/>
      <c r="O268" s="358"/>
      <c r="P268" s="358"/>
      <c r="Q268" s="358" t="s">
        <v>18</v>
      </c>
      <c r="R268" s="358"/>
      <c r="S268" s="358" t="s">
        <v>19</v>
      </c>
      <c r="T268" s="528">
        <v>9</v>
      </c>
      <c r="U268" s="324">
        <f>E268/259*60</f>
        <v>0</v>
      </c>
      <c r="V268" s="676"/>
      <c r="W268" s="528"/>
      <c r="X268" s="529"/>
      <c r="Y268" s="323"/>
      <c r="Z268" s="312">
        <f>E268/1.1</f>
        <v>0</v>
      </c>
      <c r="AA268" s="316">
        <f>SUM(Z268/366.4)</f>
        <v>0</v>
      </c>
    </row>
    <row r="269" spans="1:28" ht="51.75" thickBot="1" x14ac:dyDescent="0.45">
      <c r="A269" s="319" t="s">
        <v>14</v>
      </c>
      <c r="B269" s="320" t="s">
        <v>874</v>
      </c>
      <c r="C269" s="528"/>
      <c r="D269" s="528"/>
      <c r="E269" s="456">
        <f>C269*2.5</f>
        <v>0</v>
      </c>
      <c r="F269" s="358">
        <f>E269*1.03*0.9/147</f>
        <v>0</v>
      </c>
      <c r="G269" s="548">
        <f t="shared" si="79"/>
        <v>0</v>
      </c>
      <c r="H269" s="358" t="s">
        <v>18</v>
      </c>
      <c r="I269" s="548">
        <f t="shared" si="80"/>
        <v>0</v>
      </c>
      <c r="J269" s="358" t="s">
        <v>19</v>
      </c>
      <c r="K269" s="358"/>
      <c r="L269" s="358"/>
      <c r="M269" s="358">
        <f>F269*4983/2880</f>
        <v>0</v>
      </c>
      <c r="N269" s="358"/>
      <c r="O269" s="358"/>
      <c r="P269" s="358"/>
      <c r="Q269" s="358" t="s">
        <v>18</v>
      </c>
      <c r="R269" s="358"/>
      <c r="S269" s="358" t="s">
        <v>19</v>
      </c>
      <c r="T269" s="528">
        <v>9</v>
      </c>
      <c r="U269" s="324">
        <f>E269/259*60</f>
        <v>0</v>
      </c>
      <c r="V269" s="676"/>
      <c r="W269" s="528"/>
      <c r="X269" s="529"/>
      <c r="Y269" s="323"/>
      <c r="Z269" s="312">
        <f>E269/1.1</f>
        <v>0</v>
      </c>
      <c r="AA269" s="316">
        <f>SUM(Z269/366.4)</f>
        <v>0</v>
      </c>
    </row>
    <row r="270" spans="1:28" ht="102.75" thickBot="1" x14ac:dyDescent="0.45">
      <c r="A270" s="319" t="s">
        <v>14</v>
      </c>
      <c r="B270" s="320" t="s">
        <v>918</v>
      </c>
      <c r="C270" s="528"/>
      <c r="D270" s="528"/>
      <c r="E270" s="456">
        <f>C270*4</f>
        <v>0</v>
      </c>
      <c r="F270" s="358">
        <f>E270*1.02*0.99/147</f>
        <v>0</v>
      </c>
      <c r="G270" s="548">
        <f t="shared" si="79"/>
        <v>0</v>
      </c>
      <c r="H270" s="358" t="s">
        <v>18</v>
      </c>
      <c r="I270" s="548">
        <f t="shared" si="80"/>
        <v>0</v>
      </c>
      <c r="J270" s="358" t="s">
        <v>19</v>
      </c>
      <c r="K270" s="358"/>
      <c r="L270" s="358"/>
      <c r="M270" s="358">
        <f>F270*4983/2880</f>
        <v>0</v>
      </c>
      <c r="N270" s="358"/>
      <c r="O270" s="358"/>
      <c r="P270" s="358"/>
      <c r="Q270" s="358" t="s">
        <v>18</v>
      </c>
      <c r="R270" s="358"/>
      <c r="S270" s="358" t="s">
        <v>19</v>
      </c>
      <c r="T270" s="528">
        <v>9</v>
      </c>
      <c r="U270" s="324">
        <f>E270/259*60</f>
        <v>0</v>
      </c>
      <c r="V270" s="676"/>
      <c r="W270" s="528"/>
      <c r="X270" s="529"/>
      <c r="Y270" s="323"/>
      <c r="Z270" s="312">
        <f>E270/1.063</f>
        <v>0</v>
      </c>
      <c r="AA270" s="316">
        <f>SUM(Z270/316.7)</f>
        <v>0</v>
      </c>
    </row>
    <row r="271" spans="1:28" thickBot="1" x14ac:dyDescent="0.45">
      <c r="A271" s="830"/>
      <c r="B271" s="332" t="s">
        <v>286</v>
      </c>
      <c r="C271" s="347"/>
      <c r="D271" s="347"/>
      <c r="E271" s="494"/>
      <c r="F271" s="348"/>
      <c r="G271" s="347"/>
      <c r="H271" s="348"/>
      <c r="I271" s="347"/>
      <c r="J271" s="348"/>
      <c r="K271" s="348"/>
      <c r="L271" s="348"/>
      <c r="M271" s="348"/>
      <c r="N271" s="348"/>
      <c r="O271" s="348"/>
      <c r="P271" s="348"/>
      <c r="Q271" s="348"/>
      <c r="R271" s="348"/>
      <c r="S271" s="348"/>
      <c r="T271" s="347"/>
      <c r="U271" s="348"/>
      <c r="V271" s="356"/>
      <c r="W271" s="348"/>
      <c r="X271" s="495"/>
      <c r="Y271" s="357"/>
    </row>
    <row r="272" spans="1:28" ht="53.25" thickBot="1" x14ac:dyDescent="0.45">
      <c r="A272" s="319" t="s">
        <v>14</v>
      </c>
      <c r="B272" s="319" t="s">
        <v>999</v>
      </c>
      <c r="C272" s="528"/>
      <c r="D272" s="551">
        <f>C272*16</f>
        <v>0</v>
      </c>
      <c r="E272" s="456">
        <f>D272*0.25</f>
        <v>0</v>
      </c>
      <c r="F272" s="358">
        <f t="shared" ref="F272:F279" si="81">E272*0.99*1.03/147</f>
        <v>0</v>
      </c>
      <c r="G272" s="548">
        <f t="shared" ref="G272:G279" si="82">INT(M272)</f>
        <v>0</v>
      </c>
      <c r="H272" s="358" t="s">
        <v>18</v>
      </c>
      <c r="I272" s="548">
        <f t="shared" ref="I272:I279" si="83">(M272-G272)*64</f>
        <v>0</v>
      </c>
      <c r="J272" s="358" t="s">
        <v>19</v>
      </c>
      <c r="K272" s="358"/>
      <c r="L272" s="358"/>
      <c r="M272" s="358">
        <f t="shared" ref="M272:M279" si="84">(F272*6989)/2880</f>
        <v>0</v>
      </c>
      <c r="N272" s="358"/>
      <c r="O272" s="358"/>
      <c r="P272" s="358"/>
      <c r="Q272" s="358" t="s">
        <v>18</v>
      </c>
      <c r="R272" s="358"/>
      <c r="S272" s="358" t="s">
        <v>19</v>
      </c>
      <c r="T272" s="528">
        <v>9</v>
      </c>
      <c r="U272" s="324">
        <f>E272/403*60</f>
        <v>0</v>
      </c>
      <c r="V272" s="676"/>
      <c r="W272" s="528"/>
      <c r="X272" s="529"/>
      <c r="Y272" s="323"/>
      <c r="Z272" s="312">
        <f t="shared" ref="Z272:Z308" si="85">E272/1.02</f>
        <v>0</v>
      </c>
      <c r="AA272" s="316">
        <f t="shared" ref="AA272:AA282" si="86">SUM(Z272/260.8)</f>
        <v>0</v>
      </c>
    </row>
    <row r="273" spans="1:28" ht="53.25" thickBot="1" x14ac:dyDescent="0.45">
      <c r="A273" s="319" t="s">
        <v>14</v>
      </c>
      <c r="B273" s="368" t="s">
        <v>690</v>
      </c>
      <c r="C273" s="528"/>
      <c r="D273" s="551">
        <f>C273*16</f>
        <v>0</v>
      </c>
      <c r="E273" s="456">
        <f>D273*0.25</f>
        <v>0</v>
      </c>
      <c r="F273" s="358">
        <f t="shared" si="81"/>
        <v>0</v>
      </c>
      <c r="G273" s="548">
        <f t="shared" si="82"/>
        <v>0</v>
      </c>
      <c r="H273" s="358" t="s">
        <v>18</v>
      </c>
      <c r="I273" s="548">
        <f t="shared" si="83"/>
        <v>0</v>
      </c>
      <c r="J273" s="358" t="s">
        <v>19</v>
      </c>
      <c r="K273" s="358"/>
      <c r="L273" s="358"/>
      <c r="M273" s="358">
        <f t="shared" si="84"/>
        <v>0</v>
      </c>
      <c r="N273" s="358"/>
      <c r="O273" s="358"/>
      <c r="P273" s="358"/>
      <c r="Q273" s="358" t="s">
        <v>18</v>
      </c>
      <c r="R273" s="358"/>
      <c r="S273" s="358" t="s">
        <v>19</v>
      </c>
      <c r="T273" s="528">
        <v>9</v>
      </c>
      <c r="U273" s="324">
        <f>E273/390*60</f>
        <v>0</v>
      </c>
      <c r="V273" s="676"/>
      <c r="W273" s="528"/>
      <c r="X273" s="529"/>
      <c r="Y273" s="323"/>
      <c r="Z273" s="312">
        <f t="shared" si="85"/>
        <v>0</v>
      </c>
      <c r="AA273" s="316">
        <f t="shared" si="86"/>
        <v>0</v>
      </c>
    </row>
    <row r="274" spans="1:28" ht="53.25" thickBot="1" x14ac:dyDescent="0.45">
      <c r="A274" s="319" t="s">
        <v>14</v>
      </c>
      <c r="B274" s="368" t="s">
        <v>687</v>
      </c>
      <c r="C274" s="528"/>
      <c r="D274" s="551">
        <f>C274*16</f>
        <v>0</v>
      </c>
      <c r="E274" s="456">
        <f>D274*0.25</f>
        <v>0</v>
      </c>
      <c r="F274" s="358">
        <f t="shared" si="81"/>
        <v>0</v>
      </c>
      <c r="G274" s="548">
        <f t="shared" si="82"/>
        <v>0</v>
      </c>
      <c r="H274" s="358" t="s">
        <v>18</v>
      </c>
      <c r="I274" s="548">
        <f t="shared" si="83"/>
        <v>0</v>
      </c>
      <c r="J274" s="358" t="s">
        <v>19</v>
      </c>
      <c r="K274" s="358"/>
      <c r="L274" s="358"/>
      <c r="M274" s="358">
        <f t="shared" si="84"/>
        <v>0</v>
      </c>
      <c r="N274" s="358"/>
      <c r="O274" s="358"/>
      <c r="P274" s="358"/>
      <c r="Q274" s="358" t="s">
        <v>18</v>
      </c>
      <c r="R274" s="358"/>
      <c r="S274" s="358" t="s">
        <v>19</v>
      </c>
      <c r="T274" s="528">
        <v>9</v>
      </c>
      <c r="U274" s="324">
        <f>E274/390*60</f>
        <v>0</v>
      </c>
      <c r="V274" s="676"/>
      <c r="W274" s="528"/>
      <c r="X274" s="529"/>
      <c r="Y274" s="323"/>
      <c r="Z274" s="312">
        <f t="shared" si="85"/>
        <v>0</v>
      </c>
      <c r="AA274" s="316">
        <f t="shared" si="86"/>
        <v>0</v>
      </c>
    </row>
    <row r="275" spans="1:28" ht="79.5" thickBot="1" x14ac:dyDescent="0.45">
      <c r="A275" s="319" t="s">
        <v>14</v>
      </c>
      <c r="B275" s="320" t="s">
        <v>1000</v>
      </c>
      <c r="C275" s="528"/>
      <c r="D275" s="551">
        <f>C275*16</f>
        <v>0</v>
      </c>
      <c r="E275" s="456">
        <f>D275*0.25</f>
        <v>0</v>
      </c>
      <c r="F275" s="358">
        <f t="shared" si="81"/>
        <v>0</v>
      </c>
      <c r="G275" s="548">
        <f t="shared" si="82"/>
        <v>0</v>
      </c>
      <c r="H275" s="358" t="s">
        <v>18</v>
      </c>
      <c r="I275" s="548">
        <f t="shared" si="83"/>
        <v>0</v>
      </c>
      <c r="J275" s="358" t="s">
        <v>19</v>
      </c>
      <c r="K275" s="358"/>
      <c r="L275" s="358"/>
      <c r="M275" s="358">
        <f t="shared" si="84"/>
        <v>0</v>
      </c>
      <c r="N275" s="358"/>
      <c r="O275" s="358"/>
      <c r="P275" s="358"/>
      <c r="Q275" s="358" t="s">
        <v>18</v>
      </c>
      <c r="R275" s="358"/>
      <c r="S275" s="358" t="s">
        <v>19</v>
      </c>
      <c r="T275" s="528">
        <v>9</v>
      </c>
      <c r="U275" s="324">
        <f>E275/403*60</f>
        <v>0</v>
      </c>
      <c r="V275" s="676"/>
      <c r="W275" s="528"/>
      <c r="X275" s="529"/>
      <c r="Y275" s="360" t="s">
        <v>921</v>
      </c>
      <c r="Z275" s="312">
        <f t="shared" si="85"/>
        <v>0</v>
      </c>
      <c r="AA275" s="316">
        <f t="shared" si="86"/>
        <v>0</v>
      </c>
    </row>
    <row r="276" spans="1:28" ht="53.25" thickBot="1" x14ac:dyDescent="0.45">
      <c r="A276" s="319" t="s">
        <v>14</v>
      </c>
      <c r="B276" s="368" t="s">
        <v>235</v>
      </c>
      <c r="C276" s="528"/>
      <c r="D276" s="551">
        <f>C276*14</f>
        <v>0</v>
      </c>
      <c r="E276" s="456">
        <f t="shared" ref="E276:E282" si="87">D276*0.25</f>
        <v>0</v>
      </c>
      <c r="F276" s="358">
        <f t="shared" si="81"/>
        <v>0</v>
      </c>
      <c r="G276" s="548">
        <f t="shared" si="82"/>
        <v>0</v>
      </c>
      <c r="H276" s="358" t="s">
        <v>18</v>
      </c>
      <c r="I276" s="548">
        <f t="shared" si="83"/>
        <v>0</v>
      </c>
      <c r="J276" s="358" t="s">
        <v>19</v>
      </c>
      <c r="K276" s="358"/>
      <c r="L276" s="358"/>
      <c r="M276" s="358">
        <f t="shared" si="84"/>
        <v>0</v>
      </c>
      <c r="N276" s="324"/>
      <c r="O276" s="324"/>
      <c r="P276" s="324"/>
      <c r="Q276" s="324" t="s">
        <v>18</v>
      </c>
      <c r="R276" s="324"/>
      <c r="S276" s="324" t="s">
        <v>19</v>
      </c>
      <c r="T276" s="528">
        <v>9</v>
      </c>
      <c r="U276" s="324">
        <f>E276/390*60</f>
        <v>0</v>
      </c>
      <c r="V276" s="676"/>
      <c r="W276" s="528"/>
      <c r="X276" s="529"/>
      <c r="Y276" s="323"/>
      <c r="Z276" s="312">
        <f t="shared" si="85"/>
        <v>0</v>
      </c>
      <c r="AA276" s="316">
        <f t="shared" si="86"/>
        <v>0</v>
      </c>
    </row>
    <row r="277" spans="1:28" ht="53.25" thickBot="1" x14ac:dyDescent="0.45">
      <c r="A277" s="319" t="s">
        <v>14</v>
      </c>
      <c r="B277" s="368" t="s">
        <v>237</v>
      </c>
      <c r="C277" s="528"/>
      <c r="D277" s="551">
        <f>C277*14</f>
        <v>0</v>
      </c>
      <c r="E277" s="456">
        <f t="shared" si="87"/>
        <v>0</v>
      </c>
      <c r="F277" s="358">
        <f t="shared" si="81"/>
        <v>0</v>
      </c>
      <c r="G277" s="548">
        <f t="shared" si="82"/>
        <v>0</v>
      </c>
      <c r="H277" s="358" t="s">
        <v>18</v>
      </c>
      <c r="I277" s="548">
        <f t="shared" si="83"/>
        <v>0</v>
      </c>
      <c r="J277" s="358" t="s">
        <v>19</v>
      </c>
      <c r="K277" s="358"/>
      <c r="L277" s="358"/>
      <c r="M277" s="358">
        <f t="shared" si="84"/>
        <v>0</v>
      </c>
      <c r="N277" s="324"/>
      <c r="O277" s="324"/>
      <c r="P277" s="324"/>
      <c r="Q277" s="324" t="s">
        <v>18</v>
      </c>
      <c r="R277" s="324"/>
      <c r="S277" s="324" t="s">
        <v>19</v>
      </c>
      <c r="T277" s="528">
        <v>9</v>
      </c>
      <c r="U277" s="324">
        <f>E277/390*60</f>
        <v>0</v>
      </c>
      <c r="V277" s="676"/>
      <c r="W277" s="528"/>
      <c r="X277" s="529"/>
      <c r="Y277" s="323"/>
      <c r="Z277" s="312">
        <f t="shared" si="85"/>
        <v>0</v>
      </c>
      <c r="AA277" s="316">
        <f t="shared" si="86"/>
        <v>0</v>
      </c>
    </row>
    <row r="278" spans="1:28" ht="51.75" thickBot="1" x14ac:dyDescent="0.45">
      <c r="A278" s="319" t="s">
        <v>14</v>
      </c>
      <c r="B278" s="362" t="s">
        <v>635</v>
      </c>
      <c r="C278" s="528"/>
      <c r="D278" s="551">
        <f>C278*14</f>
        <v>0</v>
      </c>
      <c r="E278" s="456">
        <f t="shared" si="87"/>
        <v>0</v>
      </c>
      <c r="F278" s="358">
        <f t="shared" si="81"/>
        <v>0</v>
      </c>
      <c r="G278" s="548">
        <f t="shared" si="82"/>
        <v>0</v>
      </c>
      <c r="H278" s="358" t="s">
        <v>18</v>
      </c>
      <c r="I278" s="548">
        <f t="shared" si="83"/>
        <v>0</v>
      </c>
      <c r="J278" s="358" t="s">
        <v>19</v>
      </c>
      <c r="K278" s="358"/>
      <c r="L278" s="358"/>
      <c r="M278" s="358">
        <f t="shared" si="84"/>
        <v>0</v>
      </c>
      <c r="N278" s="324"/>
      <c r="O278" s="324"/>
      <c r="P278" s="324"/>
      <c r="Q278" s="324" t="s">
        <v>18</v>
      </c>
      <c r="R278" s="324"/>
      <c r="S278" s="324" t="s">
        <v>19</v>
      </c>
      <c r="T278" s="528">
        <v>9</v>
      </c>
      <c r="U278" s="324">
        <f>E278/390*60</f>
        <v>0</v>
      </c>
      <c r="V278" s="676"/>
      <c r="W278" s="528"/>
      <c r="X278" s="529"/>
      <c r="Y278" s="323"/>
      <c r="Z278" s="312">
        <f t="shared" si="85"/>
        <v>0</v>
      </c>
      <c r="AA278" s="316">
        <f t="shared" si="86"/>
        <v>0</v>
      </c>
    </row>
    <row r="279" spans="1:28" ht="79.5" thickBot="1" x14ac:dyDescent="0.45">
      <c r="A279" s="319" t="s">
        <v>14</v>
      </c>
      <c r="B279" s="362" t="s">
        <v>785</v>
      </c>
      <c r="C279" s="528"/>
      <c r="D279" s="551">
        <f>C279*14</f>
        <v>0</v>
      </c>
      <c r="E279" s="456">
        <f t="shared" si="87"/>
        <v>0</v>
      </c>
      <c r="F279" s="358">
        <f t="shared" si="81"/>
        <v>0</v>
      </c>
      <c r="G279" s="548">
        <f t="shared" si="82"/>
        <v>0</v>
      </c>
      <c r="H279" s="358" t="s">
        <v>18</v>
      </c>
      <c r="I279" s="548">
        <f t="shared" si="83"/>
        <v>0</v>
      </c>
      <c r="J279" s="358" t="s">
        <v>19</v>
      </c>
      <c r="K279" s="358"/>
      <c r="L279" s="358"/>
      <c r="M279" s="358">
        <f t="shared" si="84"/>
        <v>0</v>
      </c>
      <c r="N279" s="324"/>
      <c r="O279" s="324"/>
      <c r="P279" s="324"/>
      <c r="Q279" s="324" t="s">
        <v>18</v>
      </c>
      <c r="R279" s="324"/>
      <c r="S279" s="324" t="s">
        <v>19</v>
      </c>
      <c r="T279" s="528">
        <v>9</v>
      </c>
      <c r="U279" s="324">
        <f>E279/390*60</f>
        <v>0</v>
      </c>
      <c r="V279" s="676"/>
      <c r="W279" s="528"/>
      <c r="X279" s="529"/>
      <c r="Y279" s="360" t="s">
        <v>921</v>
      </c>
      <c r="Z279" s="312">
        <f t="shared" si="85"/>
        <v>0</v>
      </c>
      <c r="AA279" s="316">
        <f t="shared" si="86"/>
        <v>0</v>
      </c>
    </row>
    <row r="280" spans="1:28" ht="79.5" thickBot="1" x14ac:dyDescent="0.45">
      <c r="A280" s="319" t="s">
        <v>14</v>
      </c>
      <c r="B280" s="320" t="s">
        <v>637</v>
      </c>
      <c r="C280" s="528"/>
      <c r="D280" s="528">
        <f>C280*12</f>
        <v>0</v>
      </c>
      <c r="E280" s="460">
        <f t="shared" si="87"/>
        <v>0</v>
      </c>
      <c r="F280" s="324">
        <f>E280*1.05*0.99/135</f>
        <v>0</v>
      </c>
      <c r="G280" s="528">
        <f>INT(M280)</f>
        <v>0</v>
      </c>
      <c r="H280" s="324" t="s">
        <v>18</v>
      </c>
      <c r="I280" s="528">
        <f>(M280-G280)*64</f>
        <v>0</v>
      </c>
      <c r="J280" s="324" t="s">
        <v>19</v>
      </c>
      <c r="K280" s="324"/>
      <c r="L280" s="324"/>
      <c r="M280" s="324">
        <f>(F280*6253)/2880</f>
        <v>0</v>
      </c>
      <c r="N280" s="324"/>
      <c r="O280" s="324"/>
      <c r="P280" s="324"/>
      <c r="Q280" s="324" t="s">
        <v>18</v>
      </c>
      <c r="R280" s="324"/>
      <c r="S280" s="324" t="s">
        <v>19</v>
      </c>
      <c r="T280" s="528">
        <v>9</v>
      </c>
      <c r="U280" s="324">
        <f>E280/226*60</f>
        <v>0</v>
      </c>
      <c r="V280" s="676"/>
      <c r="W280" s="528"/>
      <c r="X280" s="529"/>
      <c r="Y280" s="360" t="s">
        <v>950</v>
      </c>
      <c r="Z280" s="312">
        <f t="shared" si="85"/>
        <v>0</v>
      </c>
      <c r="AA280" s="316">
        <f t="shared" si="86"/>
        <v>0</v>
      </c>
    </row>
    <row r="281" spans="1:28" ht="79.5" thickBot="1" x14ac:dyDescent="0.45">
      <c r="A281" s="319" t="s">
        <v>14</v>
      </c>
      <c r="B281" s="320" t="s">
        <v>773</v>
      </c>
      <c r="C281" s="528"/>
      <c r="D281" s="528">
        <f>C281*6</f>
        <v>0</v>
      </c>
      <c r="E281" s="460">
        <f t="shared" si="87"/>
        <v>0</v>
      </c>
      <c r="F281" s="324">
        <f>E281*1.05*0.99/135</f>
        <v>0</v>
      </c>
      <c r="G281" s="528">
        <f>INT(M281)</f>
        <v>0</v>
      </c>
      <c r="H281" s="324" t="s">
        <v>18</v>
      </c>
      <c r="I281" s="528">
        <f>(M281-G281)*64</f>
        <v>0</v>
      </c>
      <c r="J281" s="324" t="s">
        <v>19</v>
      </c>
      <c r="K281" s="324"/>
      <c r="L281" s="324"/>
      <c r="M281" s="324">
        <f>(F281*6253)/2880</f>
        <v>0</v>
      </c>
      <c r="N281" s="324"/>
      <c r="O281" s="324"/>
      <c r="P281" s="324"/>
      <c r="Q281" s="324" t="s">
        <v>18</v>
      </c>
      <c r="R281" s="324"/>
      <c r="S281" s="324" t="s">
        <v>19</v>
      </c>
      <c r="T281" s="528">
        <v>9</v>
      </c>
      <c r="U281" s="324">
        <f>E281/226*60</f>
        <v>0</v>
      </c>
      <c r="V281" s="676"/>
      <c r="W281" s="528"/>
      <c r="X281" s="529"/>
      <c r="Y281" s="360" t="s">
        <v>950</v>
      </c>
      <c r="Z281" s="312">
        <f t="shared" si="85"/>
        <v>0</v>
      </c>
      <c r="AA281" s="316">
        <f t="shared" si="86"/>
        <v>0</v>
      </c>
    </row>
    <row r="282" spans="1:28" ht="79.5" outlineLevel="1" thickBot="1" x14ac:dyDescent="0.45">
      <c r="A282" s="319" t="s">
        <v>14</v>
      </c>
      <c r="B282" s="799" t="s">
        <v>1214</v>
      </c>
      <c r="C282" s="528"/>
      <c r="D282" s="528">
        <f>C282*14</f>
        <v>0</v>
      </c>
      <c r="E282" s="460">
        <f t="shared" si="87"/>
        <v>0</v>
      </c>
      <c r="F282" s="324">
        <f>E282*1.05*0.99/135</f>
        <v>0</v>
      </c>
      <c r="G282" s="528">
        <f>INT(M282)</f>
        <v>0</v>
      </c>
      <c r="H282" s="324" t="s">
        <v>18</v>
      </c>
      <c r="I282" s="528">
        <f>(M282-G282)*64</f>
        <v>0</v>
      </c>
      <c r="J282" s="324" t="s">
        <v>19</v>
      </c>
      <c r="K282" s="324"/>
      <c r="L282" s="324"/>
      <c r="M282" s="324">
        <f>(F282*6253)/2880</f>
        <v>0</v>
      </c>
      <c r="N282" s="324"/>
      <c r="O282" s="324"/>
      <c r="P282" s="324"/>
      <c r="Q282" s="324" t="s">
        <v>18</v>
      </c>
      <c r="R282" s="324"/>
      <c r="S282" s="324" t="s">
        <v>19</v>
      </c>
      <c r="T282" s="528">
        <v>9</v>
      </c>
      <c r="U282" s="722">
        <f>E282/226*60</f>
        <v>0</v>
      </c>
      <c r="V282" s="676"/>
      <c r="W282" s="528"/>
      <c r="X282" s="529"/>
      <c r="Y282" s="360" t="s">
        <v>950</v>
      </c>
      <c r="Z282" s="312">
        <f t="shared" si="85"/>
        <v>0</v>
      </c>
      <c r="AA282" s="316">
        <f t="shared" si="86"/>
        <v>0</v>
      </c>
    </row>
    <row r="283" spans="1:28" ht="51.75" thickBot="1" x14ac:dyDescent="0.45">
      <c r="A283" s="319" t="s">
        <v>14</v>
      </c>
      <c r="B283" s="362" t="s">
        <v>1037</v>
      </c>
      <c r="C283" s="528"/>
      <c r="D283" s="548">
        <f>C283*16</f>
        <v>0</v>
      </c>
      <c r="E283" s="456">
        <f>D283*0.27</f>
        <v>0</v>
      </c>
      <c r="F283" s="358">
        <f t="shared" ref="F283:F293" si="88">E283*0.99*1.03/147</f>
        <v>0</v>
      </c>
      <c r="G283" s="548">
        <f t="shared" ref="G283:G290" si="89">INT(M283)</f>
        <v>0</v>
      </c>
      <c r="H283" s="358" t="s">
        <v>18</v>
      </c>
      <c r="I283" s="548">
        <f t="shared" ref="I283:I290" si="90">(M283-G283)*64</f>
        <v>0</v>
      </c>
      <c r="J283" s="358" t="s">
        <v>19</v>
      </c>
      <c r="K283" s="358"/>
      <c r="L283" s="358"/>
      <c r="M283" s="358">
        <f>(F283*6391)/2880</f>
        <v>0</v>
      </c>
      <c r="N283" s="358"/>
      <c r="O283" s="358"/>
      <c r="P283" s="358"/>
      <c r="Q283" s="358" t="s">
        <v>18</v>
      </c>
      <c r="R283" s="358"/>
      <c r="S283" s="358" t="s">
        <v>19</v>
      </c>
      <c r="T283" s="528">
        <v>9</v>
      </c>
      <c r="U283" s="324">
        <f t="shared" ref="U283:U290" si="91">E283/403*60</f>
        <v>0</v>
      </c>
      <c r="V283" s="676"/>
      <c r="W283" s="528"/>
      <c r="X283" s="529"/>
      <c r="Y283" s="323"/>
      <c r="Z283" s="312">
        <f t="shared" si="85"/>
        <v>0</v>
      </c>
      <c r="AA283" s="316">
        <f>SUM(Z283/285.7)</f>
        <v>0</v>
      </c>
    </row>
    <row r="284" spans="1:28" ht="79.5" thickBot="1" x14ac:dyDescent="0.45">
      <c r="A284" s="319" t="s">
        <v>14</v>
      </c>
      <c r="B284" s="369" t="s">
        <v>1038</v>
      </c>
      <c r="C284" s="528"/>
      <c r="D284" s="548">
        <f>C284*16</f>
        <v>0</v>
      </c>
      <c r="E284" s="456">
        <f>D284*0.27</f>
        <v>0</v>
      </c>
      <c r="F284" s="358">
        <f t="shared" si="88"/>
        <v>0</v>
      </c>
      <c r="G284" s="548">
        <f t="shared" si="89"/>
        <v>0</v>
      </c>
      <c r="H284" s="358" t="s">
        <v>18</v>
      </c>
      <c r="I284" s="548">
        <f t="shared" si="90"/>
        <v>0</v>
      </c>
      <c r="J284" s="358" t="s">
        <v>19</v>
      </c>
      <c r="K284" s="358"/>
      <c r="L284" s="358"/>
      <c r="M284" s="358">
        <f>(F284*6391)/2880</f>
        <v>0</v>
      </c>
      <c r="N284" s="358"/>
      <c r="O284" s="358"/>
      <c r="P284" s="358"/>
      <c r="Q284" s="358" t="s">
        <v>18</v>
      </c>
      <c r="R284" s="358"/>
      <c r="S284" s="358" t="s">
        <v>19</v>
      </c>
      <c r="T284" s="528">
        <v>9</v>
      </c>
      <c r="U284" s="324">
        <f t="shared" si="91"/>
        <v>0</v>
      </c>
      <c r="V284" s="676"/>
      <c r="W284" s="528"/>
      <c r="X284" s="529"/>
      <c r="Y284" s="360" t="s">
        <v>921</v>
      </c>
      <c r="Z284" s="312">
        <f t="shared" si="85"/>
        <v>0</v>
      </c>
      <c r="AA284" s="316">
        <f>SUM(Z284/285.7)</f>
        <v>0</v>
      </c>
    </row>
    <row r="285" spans="1:28" ht="53.25" thickBot="1" x14ac:dyDescent="0.45">
      <c r="A285" s="319" t="s">
        <v>14</v>
      </c>
      <c r="B285" s="319" t="s">
        <v>684</v>
      </c>
      <c r="C285" s="528"/>
      <c r="D285" s="548">
        <f t="shared" ref="D285:D290" si="92">C285*12</f>
        <v>0</v>
      </c>
      <c r="E285" s="456">
        <f t="shared" ref="E285:E290" si="93">D285*0.3</f>
        <v>0</v>
      </c>
      <c r="F285" s="358">
        <f t="shared" si="88"/>
        <v>0</v>
      </c>
      <c r="G285" s="548">
        <f t="shared" si="89"/>
        <v>0</v>
      </c>
      <c r="H285" s="358" t="s">
        <v>18</v>
      </c>
      <c r="I285" s="548">
        <f t="shared" si="90"/>
        <v>0</v>
      </c>
      <c r="J285" s="358" t="s">
        <v>19</v>
      </c>
      <c r="K285" s="358"/>
      <c r="L285" s="358"/>
      <c r="M285" s="358">
        <f>(F285*5880)/2880</f>
        <v>0</v>
      </c>
      <c r="N285" s="324"/>
      <c r="O285" s="324"/>
      <c r="P285" s="324"/>
      <c r="Q285" s="324" t="s">
        <v>18</v>
      </c>
      <c r="R285" s="324"/>
      <c r="S285" s="324" t="s">
        <v>19</v>
      </c>
      <c r="T285" s="528">
        <v>9</v>
      </c>
      <c r="U285" s="324">
        <f t="shared" si="91"/>
        <v>0</v>
      </c>
      <c r="V285" s="676"/>
      <c r="W285" s="528"/>
      <c r="X285" s="529"/>
      <c r="Y285" s="323"/>
      <c r="Z285" s="312">
        <f t="shared" si="85"/>
        <v>0</v>
      </c>
      <c r="AA285" s="316">
        <f>SUM(Z285/310.5)</f>
        <v>0</v>
      </c>
    </row>
    <row r="286" spans="1:28" ht="79.5" thickBot="1" x14ac:dyDescent="0.45">
      <c r="A286" s="319" t="s">
        <v>14</v>
      </c>
      <c r="B286" s="319" t="s">
        <v>685</v>
      </c>
      <c r="C286" s="528"/>
      <c r="D286" s="548">
        <f t="shared" si="92"/>
        <v>0</v>
      </c>
      <c r="E286" s="456">
        <f t="shared" si="93"/>
        <v>0</v>
      </c>
      <c r="F286" s="358">
        <f t="shared" si="88"/>
        <v>0</v>
      </c>
      <c r="G286" s="548">
        <f t="shared" si="89"/>
        <v>0</v>
      </c>
      <c r="H286" s="358" t="s">
        <v>18</v>
      </c>
      <c r="I286" s="548">
        <f t="shared" si="90"/>
        <v>0</v>
      </c>
      <c r="J286" s="358" t="s">
        <v>19</v>
      </c>
      <c r="K286" s="358"/>
      <c r="L286" s="358"/>
      <c r="M286" s="358">
        <f>(F286*5880)/2880</f>
        <v>0</v>
      </c>
      <c r="N286" s="324"/>
      <c r="O286" s="324"/>
      <c r="P286" s="324"/>
      <c r="Q286" s="324" t="s">
        <v>18</v>
      </c>
      <c r="R286" s="324"/>
      <c r="S286" s="324" t="s">
        <v>19</v>
      </c>
      <c r="T286" s="528">
        <v>9</v>
      </c>
      <c r="U286" s="324">
        <f t="shared" si="91"/>
        <v>0</v>
      </c>
      <c r="V286" s="676"/>
      <c r="W286" s="528"/>
      <c r="X286" s="529"/>
      <c r="Y286" s="360" t="s">
        <v>921</v>
      </c>
      <c r="Z286" s="312">
        <f t="shared" si="85"/>
        <v>0</v>
      </c>
      <c r="AA286" s="316">
        <f>SUM(Z286/310.5)</f>
        <v>0</v>
      </c>
    </row>
    <row r="287" spans="1:28" ht="79.5" thickBot="1" x14ac:dyDescent="0.45">
      <c r="A287" s="319" t="s">
        <v>14</v>
      </c>
      <c r="B287" s="854" t="s">
        <v>1196</v>
      </c>
      <c r="C287" s="528"/>
      <c r="D287" s="548">
        <f>C287*14</f>
        <v>0</v>
      </c>
      <c r="E287" s="456">
        <f t="shared" si="93"/>
        <v>0</v>
      </c>
      <c r="F287" s="358">
        <f>E287*0.99*1.03/147</f>
        <v>0</v>
      </c>
      <c r="G287" s="548">
        <f>INT(M287)</f>
        <v>0</v>
      </c>
      <c r="H287" s="358" t="s">
        <v>18</v>
      </c>
      <c r="I287" s="548">
        <f>(M287-G287)*64</f>
        <v>0</v>
      </c>
      <c r="J287" s="358" t="s">
        <v>19</v>
      </c>
      <c r="K287" s="358"/>
      <c r="L287" s="358"/>
      <c r="M287" s="358">
        <f>(F287*5880)/2880</f>
        <v>0</v>
      </c>
      <c r="N287" s="324"/>
      <c r="O287" s="324"/>
      <c r="P287" s="324"/>
      <c r="Q287" s="324" t="s">
        <v>18</v>
      </c>
      <c r="R287" s="324"/>
      <c r="S287" s="324" t="s">
        <v>19</v>
      </c>
      <c r="T287" s="528">
        <v>9</v>
      </c>
      <c r="U287" s="324">
        <f>E287/403*60</f>
        <v>0</v>
      </c>
      <c r="V287" s="676"/>
      <c r="W287" s="528"/>
      <c r="X287" s="529"/>
      <c r="Y287" s="360" t="s">
        <v>921</v>
      </c>
      <c r="Z287" s="312">
        <f>E287/1.02</f>
        <v>0</v>
      </c>
      <c r="AA287" s="316">
        <f>SUM(Z287/310.5)</f>
        <v>0</v>
      </c>
    </row>
    <row r="288" spans="1:28" ht="79.5" thickBot="1" x14ac:dyDescent="0.45">
      <c r="A288" s="319" t="s">
        <v>14</v>
      </c>
      <c r="B288" s="862" t="s">
        <v>1197</v>
      </c>
      <c r="C288" s="853"/>
      <c r="D288" s="856">
        <f>C288*16</f>
        <v>0</v>
      </c>
      <c r="E288" s="629">
        <f t="shared" si="93"/>
        <v>0</v>
      </c>
      <c r="F288" s="857">
        <f>E288*0.9*1.01/147</f>
        <v>0</v>
      </c>
      <c r="G288" s="858">
        <f>INT(M288)</f>
        <v>0</v>
      </c>
      <c r="H288" s="366"/>
      <c r="I288" s="859">
        <f>(M288-G288)*64</f>
        <v>0</v>
      </c>
      <c r="J288" s="860" t="s">
        <v>19</v>
      </c>
      <c r="K288" s="860"/>
      <c r="L288" s="860"/>
      <c r="M288" s="861">
        <f>F288*6533/3456</f>
        <v>0</v>
      </c>
      <c r="N288" s="860"/>
      <c r="O288" s="860"/>
      <c r="P288" s="860"/>
      <c r="Q288" s="324" t="s">
        <v>18</v>
      </c>
      <c r="R288" s="324"/>
      <c r="S288" s="324" t="s">
        <v>19</v>
      </c>
      <c r="T288" s="528">
        <v>9</v>
      </c>
      <c r="U288" s="324">
        <f>E288/403*60</f>
        <v>0</v>
      </c>
      <c r="V288" s="676"/>
      <c r="W288" s="528"/>
      <c r="X288" s="529"/>
      <c r="Y288" s="360" t="s">
        <v>921</v>
      </c>
      <c r="Z288" s="312">
        <f>E288/1.02/1.143</f>
        <v>0</v>
      </c>
      <c r="AA288" s="316">
        <f>SUM(AB288/256.5)</f>
        <v>0</v>
      </c>
      <c r="AB288" s="310">
        <f>E288/1.02</f>
        <v>0</v>
      </c>
    </row>
    <row r="289" spans="1:27" ht="53.25" thickBot="1" x14ac:dyDescent="0.45">
      <c r="A289" s="319" t="s">
        <v>14</v>
      </c>
      <c r="B289" s="368" t="s">
        <v>686</v>
      </c>
      <c r="C289" s="528"/>
      <c r="D289" s="548">
        <f t="shared" si="92"/>
        <v>0</v>
      </c>
      <c r="E289" s="456">
        <f t="shared" si="93"/>
        <v>0</v>
      </c>
      <c r="F289" s="358">
        <f t="shared" si="88"/>
        <v>0</v>
      </c>
      <c r="G289" s="548">
        <f t="shared" si="89"/>
        <v>0</v>
      </c>
      <c r="H289" s="358" t="s">
        <v>18</v>
      </c>
      <c r="I289" s="548">
        <f t="shared" si="90"/>
        <v>0</v>
      </c>
      <c r="J289" s="358" t="s">
        <v>19</v>
      </c>
      <c r="K289" s="358"/>
      <c r="L289" s="358"/>
      <c r="M289" s="358">
        <f>(F289*5880)/2880</f>
        <v>0</v>
      </c>
      <c r="N289" s="324"/>
      <c r="O289" s="324"/>
      <c r="P289" s="324"/>
      <c r="Q289" s="324" t="s">
        <v>18</v>
      </c>
      <c r="R289" s="324"/>
      <c r="S289" s="324" t="s">
        <v>19</v>
      </c>
      <c r="T289" s="528">
        <v>9</v>
      </c>
      <c r="U289" s="324">
        <f t="shared" si="91"/>
        <v>0</v>
      </c>
      <c r="V289" s="676"/>
      <c r="W289" s="528"/>
      <c r="X289" s="529"/>
      <c r="Y289" s="323"/>
      <c r="Z289" s="312">
        <f t="shared" si="85"/>
        <v>0</v>
      </c>
      <c r="AA289" s="316">
        <f>SUM(Z289/310.5)</f>
        <v>0</v>
      </c>
    </row>
    <row r="290" spans="1:27" ht="53.25" thickBot="1" x14ac:dyDescent="0.45">
      <c r="A290" s="319" t="s">
        <v>14</v>
      </c>
      <c r="B290" s="368" t="s">
        <v>691</v>
      </c>
      <c r="C290" s="528"/>
      <c r="D290" s="548">
        <f t="shared" si="92"/>
        <v>0</v>
      </c>
      <c r="E290" s="456">
        <f t="shared" si="93"/>
        <v>0</v>
      </c>
      <c r="F290" s="358">
        <f t="shared" si="88"/>
        <v>0</v>
      </c>
      <c r="G290" s="548">
        <f t="shared" si="89"/>
        <v>0</v>
      </c>
      <c r="H290" s="358" t="s">
        <v>18</v>
      </c>
      <c r="I290" s="548">
        <f t="shared" si="90"/>
        <v>0</v>
      </c>
      <c r="J290" s="358" t="s">
        <v>19</v>
      </c>
      <c r="K290" s="358"/>
      <c r="L290" s="358"/>
      <c r="M290" s="358">
        <f>(F290*5880)/2880</f>
        <v>0</v>
      </c>
      <c r="N290" s="324"/>
      <c r="O290" s="324"/>
      <c r="P290" s="324"/>
      <c r="Q290" s="324" t="s">
        <v>18</v>
      </c>
      <c r="R290" s="324"/>
      <c r="S290" s="324" t="s">
        <v>19</v>
      </c>
      <c r="T290" s="528">
        <v>9</v>
      </c>
      <c r="U290" s="324">
        <f t="shared" si="91"/>
        <v>0</v>
      </c>
      <c r="V290" s="676"/>
      <c r="W290" s="528"/>
      <c r="X290" s="529"/>
      <c r="Y290" s="323"/>
      <c r="Z290" s="312">
        <f t="shared" si="85"/>
        <v>0</v>
      </c>
      <c r="AA290" s="316">
        <f>SUM(Z290/310.5)</f>
        <v>0</v>
      </c>
    </row>
    <row r="291" spans="1:27" ht="77.25" thickBot="1" x14ac:dyDescent="0.45">
      <c r="A291" s="319" t="s">
        <v>14</v>
      </c>
      <c r="B291" s="344" t="s">
        <v>1167</v>
      </c>
      <c r="C291" s="528"/>
      <c r="D291" s="551">
        <f>C291*16</f>
        <v>0</v>
      </c>
      <c r="E291" s="456">
        <f t="shared" ref="E291:E304" si="94">D291*0.25</f>
        <v>0</v>
      </c>
      <c r="F291" s="358">
        <f t="shared" si="88"/>
        <v>0</v>
      </c>
      <c r="G291" s="548">
        <f t="shared" ref="G291:G303" si="95">INT(M291)</f>
        <v>0</v>
      </c>
      <c r="H291" s="358" t="s">
        <v>18</v>
      </c>
      <c r="I291" s="548">
        <f t="shared" ref="I291:I303" si="96">(M291-G291)*64</f>
        <v>0</v>
      </c>
      <c r="J291" s="358" t="s">
        <v>19</v>
      </c>
      <c r="K291" s="358"/>
      <c r="L291" s="358"/>
      <c r="M291" s="358">
        <f t="shared" ref="M291:M307" si="97">(F291*6989)/2880</f>
        <v>0</v>
      </c>
      <c r="N291" s="324"/>
      <c r="O291" s="324"/>
      <c r="P291" s="324"/>
      <c r="Q291" s="324" t="s">
        <v>18</v>
      </c>
      <c r="R291" s="324"/>
      <c r="S291" s="324" t="s">
        <v>19</v>
      </c>
      <c r="T291" s="528">
        <v>9</v>
      </c>
      <c r="U291" s="324">
        <f>E291/259*60</f>
        <v>0</v>
      </c>
      <c r="V291" s="676"/>
      <c r="W291" s="528"/>
      <c r="X291" s="529"/>
      <c r="Y291" s="323"/>
      <c r="Z291" s="312">
        <f t="shared" si="85"/>
        <v>0</v>
      </c>
      <c r="AA291" s="316">
        <f t="shared" ref="AA291:AA307" si="98">SUM(Z291/260.8)</f>
        <v>0</v>
      </c>
    </row>
    <row r="292" spans="1:27" ht="77.25" thickBot="1" x14ac:dyDescent="0.45">
      <c r="A292" s="319" t="s">
        <v>14</v>
      </c>
      <c r="B292" s="344" t="s">
        <v>1168</v>
      </c>
      <c r="C292" s="528"/>
      <c r="D292" s="551">
        <f>C292*16</f>
        <v>0</v>
      </c>
      <c r="E292" s="456">
        <f t="shared" si="94"/>
        <v>0</v>
      </c>
      <c r="F292" s="358">
        <f t="shared" si="88"/>
        <v>0</v>
      </c>
      <c r="G292" s="548">
        <f t="shared" si="95"/>
        <v>0</v>
      </c>
      <c r="H292" s="358" t="s">
        <v>18</v>
      </c>
      <c r="I292" s="548">
        <f t="shared" si="96"/>
        <v>0</v>
      </c>
      <c r="J292" s="358" t="s">
        <v>19</v>
      </c>
      <c r="K292" s="358"/>
      <c r="L292" s="358"/>
      <c r="M292" s="358">
        <f t="shared" si="97"/>
        <v>0</v>
      </c>
      <c r="N292" s="324"/>
      <c r="O292" s="324"/>
      <c r="P292" s="324"/>
      <c r="Q292" s="324" t="s">
        <v>18</v>
      </c>
      <c r="R292" s="324"/>
      <c r="S292" s="324" t="s">
        <v>19</v>
      </c>
      <c r="T292" s="528">
        <v>9</v>
      </c>
      <c r="U292" s="324">
        <f>E292/259*60</f>
        <v>0</v>
      </c>
      <c r="V292" s="676"/>
      <c r="W292" s="528"/>
      <c r="X292" s="529"/>
      <c r="Y292" s="323"/>
      <c r="Z292" s="312">
        <f t="shared" si="85"/>
        <v>0</v>
      </c>
      <c r="AA292" s="316">
        <f t="shared" si="98"/>
        <v>0</v>
      </c>
    </row>
    <row r="293" spans="1:27" ht="77.25" thickBot="1" x14ac:dyDescent="0.45">
      <c r="A293" s="319" t="s">
        <v>14</v>
      </c>
      <c r="B293" s="344" t="s">
        <v>1169</v>
      </c>
      <c r="C293" s="528"/>
      <c r="D293" s="551">
        <f>C293*16</f>
        <v>0</v>
      </c>
      <c r="E293" s="456">
        <f t="shared" si="94"/>
        <v>0</v>
      </c>
      <c r="F293" s="358">
        <f t="shared" si="88"/>
        <v>0</v>
      </c>
      <c r="G293" s="548">
        <f t="shared" si="95"/>
        <v>0</v>
      </c>
      <c r="H293" s="358" t="s">
        <v>18</v>
      </c>
      <c r="I293" s="548">
        <f t="shared" si="96"/>
        <v>0</v>
      </c>
      <c r="J293" s="358" t="s">
        <v>19</v>
      </c>
      <c r="K293" s="358"/>
      <c r="L293" s="358"/>
      <c r="M293" s="358">
        <f t="shared" si="97"/>
        <v>0</v>
      </c>
      <c r="N293" s="324"/>
      <c r="O293" s="324"/>
      <c r="P293" s="324"/>
      <c r="Q293" s="324" t="s">
        <v>18</v>
      </c>
      <c r="R293" s="324"/>
      <c r="S293" s="324" t="s">
        <v>19</v>
      </c>
      <c r="T293" s="528">
        <v>9</v>
      </c>
      <c r="U293" s="324">
        <f>E293/403*60</f>
        <v>0</v>
      </c>
      <c r="V293" s="676"/>
      <c r="W293" s="528"/>
      <c r="X293" s="529"/>
      <c r="Y293" s="323"/>
      <c r="Z293" s="312">
        <f t="shared" si="85"/>
        <v>0</v>
      </c>
      <c r="AA293" s="316">
        <f t="shared" si="98"/>
        <v>0</v>
      </c>
    </row>
    <row r="294" spans="1:27" ht="77.25" thickBot="1" x14ac:dyDescent="0.45">
      <c r="A294" s="319" t="s">
        <v>14</v>
      </c>
      <c r="B294" s="344" t="s">
        <v>789</v>
      </c>
      <c r="C294" s="528"/>
      <c r="D294" s="551">
        <f t="shared" ref="D294:D304" si="99">C294*12</f>
        <v>0</v>
      </c>
      <c r="E294" s="456">
        <f t="shared" si="94"/>
        <v>0</v>
      </c>
      <c r="F294" s="358">
        <f t="shared" ref="F294:F304" si="100">E294*0.99*1.03/147</f>
        <v>0</v>
      </c>
      <c r="G294" s="548">
        <f t="shared" si="95"/>
        <v>0</v>
      </c>
      <c r="H294" s="358" t="s">
        <v>18</v>
      </c>
      <c r="I294" s="548">
        <f t="shared" si="96"/>
        <v>0</v>
      </c>
      <c r="J294" s="358" t="s">
        <v>19</v>
      </c>
      <c r="K294" s="358"/>
      <c r="L294" s="358"/>
      <c r="M294" s="358">
        <f t="shared" si="97"/>
        <v>0</v>
      </c>
      <c r="N294" s="324"/>
      <c r="O294" s="324"/>
      <c r="P294" s="324"/>
      <c r="Q294" s="324" t="s">
        <v>18</v>
      </c>
      <c r="R294" s="324"/>
      <c r="S294" s="324" t="s">
        <v>19</v>
      </c>
      <c r="T294" s="528">
        <v>9</v>
      </c>
      <c r="U294" s="324">
        <f>E294/259*60</f>
        <v>0</v>
      </c>
      <c r="V294" s="676"/>
      <c r="W294" s="528"/>
      <c r="X294" s="529"/>
      <c r="Y294" s="323"/>
      <c r="Z294" s="312">
        <f t="shared" si="85"/>
        <v>0</v>
      </c>
      <c r="AA294" s="316">
        <f t="shared" si="98"/>
        <v>0</v>
      </c>
    </row>
    <row r="295" spans="1:27" ht="77.25" thickBot="1" x14ac:dyDescent="0.45">
      <c r="A295" s="319" t="s">
        <v>14</v>
      </c>
      <c r="B295" s="344" t="s">
        <v>790</v>
      </c>
      <c r="C295" s="528"/>
      <c r="D295" s="551">
        <f t="shared" si="99"/>
        <v>0</v>
      </c>
      <c r="E295" s="456">
        <f t="shared" si="94"/>
        <v>0</v>
      </c>
      <c r="F295" s="358">
        <f t="shared" si="100"/>
        <v>0</v>
      </c>
      <c r="G295" s="548">
        <f t="shared" si="95"/>
        <v>0</v>
      </c>
      <c r="H295" s="358" t="s">
        <v>18</v>
      </c>
      <c r="I295" s="548">
        <f t="shared" si="96"/>
        <v>0</v>
      </c>
      <c r="J295" s="358" t="s">
        <v>19</v>
      </c>
      <c r="K295" s="358"/>
      <c r="L295" s="358"/>
      <c r="M295" s="358">
        <f t="shared" si="97"/>
        <v>0</v>
      </c>
      <c r="N295" s="324"/>
      <c r="O295" s="324"/>
      <c r="P295" s="324"/>
      <c r="Q295" s="324" t="s">
        <v>18</v>
      </c>
      <c r="R295" s="324"/>
      <c r="S295" s="324" t="s">
        <v>19</v>
      </c>
      <c r="T295" s="528">
        <v>9</v>
      </c>
      <c r="U295" s="324">
        <f>E295/259*60</f>
        <v>0</v>
      </c>
      <c r="V295" s="676"/>
      <c r="W295" s="528"/>
      <c r="X295" s="529"/>
      <c r="Y295" s="323"/>
      <c r="Z295" s="312">
        <f t="shared" si="85"/>
        <v>0</v>
      </c>
      <c r="AA295" s="316">
        <f t="shared" si="98"/>
        <v>0</v>
      </c>
    </row>
    <row r="296" spans="1:27" ht="51.75" thickBot="1" x14ac:dyDescent="0.45">
      <c r="A296" s="319" t="s">
        <v>14</v>
      </c>
      <c r="B296" s="344" t="s">
        <v>702</v>
      </c>
      <c r="C296" s="528"/>
      <c r="D296" s="551">
        <f t="shared" si="99"/>
        <v>0</v>
      </c>
      <c r="E296" s="456">
        <f t="shared" si="94"/>
        <v>0</v>
      </c>
      <c r="F296" s="358">
        <f t="shared" si="100"/>
        <v>0</v>
      </c>
      <c r="G296" s="548">
        <f t="shared" si="95"/>
        <v>0</v>
      </c>
      <c r="H296" s="358" t="s">
        <v>18</v>
      </c>
      <c r="I296" s="548">
        <f t="shared" si="96"/>
        <v>0</v>
      </c>
      <c r="J296" s="358" t="s">
        <v>19</v>
      </c>
      <c r="K296" s="358"/>
      <c r="L296" s="358"/>
      <c r="M296" s="358">
        <f t="shared" si="97"/>
        <v>0</v>
      </c>
      <c r="N296" s="324"/>
      <c r="O296" s="324"/>
      <c r="P296" s="324"/>
      <c r="Q296" s="324" t="s">
        <v>18</v>
      </c>
      <c r="R296" s="324"/>
      <c r="S296" s="324" t="s">
        <v>19</v>
      </c>
      <c r="T296" s="528">
        <v>9</v>
      </c>
      <c r="U296" s="324">
        <f t="shared" ref="U296:U307" si="101">E296/403*60</f>
        <v>0</v>
      </c>
      <c r="V296" s="676"/>
      <c r="W296" s="528"/>
      <c r="X296" s="529"/>
      <c r="Y296" s="323"/>
      <c r="Z296" s="312">
        <f t="shared" si="85"/>
        <v>0</v>
      </c>
      <c r="AA296" s="316">
        <f t="shared" si="98"/>
        <v>0</v>
      </c>
    </row>
    <row r="297" spans="1:27" ht="77.25" thickBot="1" x14ac:dyDescent="0.45">
      <c r="A297" s="319" t="s">
        <v>14</v>
      </c>
      <c r="B297" s="344" t="s">
        <v>1075</v>
      </c>
      <c r="C297" s="528"/>
      <c r="D297" s="530">
        <f>C297*16</f>
        <v>0</v>
      </c>
      <c r="E297" s="460">
        <f>D297*0.25</f>
        <v>0</v>
      </c>
      <c r="F297" s="324">
        <f>E297*0.99*1.03/147</f>
        <v>0</v>
      </c>
      <c r="G297" s="528">
        <f>INT(M297)</f>
        <v>0</v>
      </c>
      <c r="H297" s="324" t="s">
        <v>18</v>
      </c>
      <c r="I297" s="528">
        <f>(M297-G297)*64</f>
        <v>0</v>
      </c>
      <c r="J297" s="324" t="s">
        <v>19</v>
      </c>
      <c r="K297" s="324"/>
      <c r="L297" s="324"/>
      <c r="M297" s="324">
        <f>(F297*6989)/2880</f>
        <v>0</v>
      </c>
      <c r="N297" s="324"/>
      <c r="O297" s="324"/>
      <c r="P297" s="324"/>
      <c r="Q297" s="324" t="s">
        <v>18</v>
      </c>
      <c r="R297" s="324"/>
      <c r="S297" s="324" t="s">
        <v>19</v>
      </c>
      <c r="T297" s="528">
        <v>9</v>
      </c>
      <c r="U297" s="324">
        <f>E297/259*60</f>
        <v>0</v>
      </c>
      <c r="V297" s="676"/>
      <c r="W297" s="528"/>
      <c r="X297" s="529"/>
      <c r="Y297" s="323"/>
      <c r="Z297" s="312">
        <f>E297/1.02</f>
        <v>0</v>
      </c>
      <c r="AA297" s="316">
        <f>SUM(Z297/260.8)</f>
        <v>0</v>
      </c>
    </row>
    <row r="298" spans="1:27" ht="77.25" thickBot="1" x14ac:dyDescent="0.45">
      <c r="A298" s="319" t="s">
        <v>14</v>
      </c>
      <c r="B298" s="344" t="s">
        <v>1076</v>
      </c>
      <c r="C298" s="528"/>
      <c r="D298" s="530">
        <f>C298*16</f>
        <v>0</v>
      </c>
      <c r="E298" s="460">
        <f>D298*0.25</f>
        <v>0</v>
      </c>
      <c r="F298" s="324">
        <f>E298*0.99*1.03/147</f>
        <v>0</v>
      </c>
      <c r="G298" s="528">
        <f>INT(M298)</f>
        <v>0</v>
      </c>
      <c r="H298" s="324" t="s">
        <v>18</v>
      </c>
      <c r="I298" s="528">
        <f>(M298-G298)*64</f>
        <v>0</v>
      </c>
      <c r="J298" s="324" t="s">
        <v>19</v>
      </c>
      <c r="K298" s="324"/>
      <c r="L298" s="324"/>
      <c r="M298" s="324">
        <f>(F298*6989)/2880</f>
        <v>0</v>
      </c>
      <c r="N298" s="324"/>
      <c r="O298" s="324"/>
      <c r="P298" s="324"/>
      <c r="Q298" s="324" t="s">
        <v>18</v>
      </c>
      <c r="R298" s="324"/>
      <c r="S298" s="324" t="s">
        <v>19</v>
      </c>
      <c r="T298" s="528">
        <v>9</v>
      </c>
      <c r="U298" s="324">
        <f>E298/259*60</f>
        <v>0</v>
      </c>
      <c r="V298" s="676"/>
      <c r="W298" s="528"/>
      <c r="X298" s="529"/>
      <c r="Y298" s="323"/>
      <c r="Z298" s="312">
        <f>E298/1.02</f>
        <v>0</v>
      </c>
      <c r="AA298" s="316">
        <f>SUM(Z298/260.8)</f>
        <v>0</v>
      </c>
    </row>
    <row r="299" spans="1:27" ht="51.75" thickBot="1" x14ac:dyDescent="0.45">
      <c r="A299" s="319" t="s">
        <v>14</v>
      </c>
      <c r="B299" s="344" t="s">
        <v>1077</v>
      </c>
      <c r="C299" s="528"/>
      <c r="D299" s="530">
        <f>C299*16</f>
        <v>0</v>
      </c>
      <c r="E299" s="460">
        <f>D299*0.25</f>
        <v>0</v>
      </c>
      <c r="F299" s="324">
        <f>E299*0.99*1.03/147</f>
        <v>0</v>
      </c>
      <c r="G299" s="528">
        <f>INT(M299)</f>
        <v>0</v>
      </c>
      <c r="H299" s="324" t="s">
        <v>18</v>
      </c>
      <c r="I299" s="528">
        <f>(M299-G299)*64</f>
        <v>0</v>
      </c>
      <c r="J299" s="324" t="s">
        <v>19</v>
      </c>
      <c r="K299" s="324"/>
      <c r="L299" s="324"/>
      <c r="M299" s="324">
        <f>(F299*6989)/2880</f>
        <v>0</v>
      </c>
      <c r="N299" s="324"/>
      <c r="O299" s="324"/>
      <c r="P299" s="324"/>
      <c r="Q299" s="324" t="s">
        <v>18</v>
      </c>
      <c r="R299" s="324"/>
      <c r="S299" s="324" t="s">
        <v>19</v>
      </c>
      <c r="T299" s="528">
        <v>9</v>
      </c>
      <c r="U299" s="324">
        <f>E299/403*60</f>
        <v>0</v>
      </c>
      <c r="V299" s="676"/>
      <c r="W299" s="528"/>
      <c r="X299" s="529"/>
      <c r="Y299" s="323"/>
      <c r="Z299" s="312">
        <f>E299/1.02</f>
        <v>0</v>
      </c>
      <c r="AA299" s="316">
        <f>SUM(Z299/260.8)</f>
        <v>0</v>
      </c>
    </row>
    <row r="300" spans="1:27" ht="79.5" thickBot="1" x14ac:dyDescent="0.45">
      <c r="A300" s="319" t="s">
        <v>14</v>
      </c>
      <c r="B300" s="371" t="s">
        <v>823</v>
      </c>
      <c r="C300" s="528"/>
      <c r="D300" s="551">
        <f t="shared" si="99"/>
        <v>0</v>
      </c>
      <c r="E300" s="456">
        <f t="shared" si="94"/>
        <v>0</v>
      </c>
      <c r="F300" s="358">
        <f t="shared" si="100"/>
        <v>0</v>
      </c>
      <c r="G300" s="548">
        <f t="shared" si="95"/>
        <v>0</v>
      </c>
      <c r="H300" s="358" t="s">
        <v>18</v>
      </c>
      <c r="I300" s="548">
        <f t="shared" si="96"/>
        <v>0</v>
      </c>
      <c r="J300" s="358" t="s">
        <v>19</v>
      </c>
      <c r="K300" s="358"/>
      <c r="L300" s="358"/>
      <c r="M300" s="358">
        <f t="shared" si="97"/>
        <v>0</v>
      </c>
      <c r="N300" s="324"/>
      <c r="O300" s="324"/>
      <c r="P300" s="324"/>
      <c r="Q300" s="324" t="s">
        <v>18</v>
      </c>
      <c r="R300" s="324"/>
      <c r="S300" s="324" t="s">
        <v>19</v>
      </c>
      <c r="T300" s="528">
        <v>9</v>
      </c>
      <c r="U300" s="324">
        <f t="shared" si="101"/>
        <v>0</v>
      </c>
      <c r="V300" s="676"/>
      <c r="W300" s="528"/>
      <c r="X300" s="529"/>
      <c r="Y300" s="360" t="s">
        <v>919</v>
      </c>
      <c r="Z300" s="312">
        <f t="shared" si="85"/>
        <v>0</v>
      </c>
      <c r="AA300" s="316">
        <f t="shared" si="98"/>
        <v>0</v>
      </c>
    </row>
    <row r="301" spans="1:27" ht="79.5" thickBot="1" x14ac:dyDescent="0.45">
      <c r="A301" s="319" t="s">
        <v>14</v>
      </c>
      <c r="B301" s="344" t="s">
        <v>1006</v>
      </c>
      <c r="C301" s="528"/>
      <c r="D301" s="530">
        <f>C301*16</f>
        <v>0</v>
      </c>
      <c r="E301" s="460">
        <f>D301*0.25</f>
        <v>0</v>
      </c>
      <c r="F301" s="324">
        <f>E301*0.99*1.03/147</f>
        <v>0</v>
      </c>
      <c r="G301" s="528">
        <f t="shared" si="95"/>
        <v>0</v>
      </c>
      <c r="H301" s="324" t="s">
        <v>18</v>
      </c>
      <c r="I301" s="528">
        <f t="shared" si="96"/>
        <v>0</v>
      </c>
      <c r="J301" s="324" t="s">
        <v>19</v>
      </c>
      <c r="K301" s="324"/>
      <c r="L301" s="324"/>
      <c r="M301" s="324">
        <f>(F301*6989)/2880</f>
        <v>0</v>
      </c>
      <c r="N301" s="324"/>
      <c r="O301" s="324"/>
      <c r="P301" s="324"/>
      <c r="Q301" s="324" t="s">
        <v>18</v>
      </c>
      <c r="R301" s="324"/>
      <c r="S301" s="324" t="s">
        <v>19</v>
      </c>
      <c r="T301" s="528">
        <v>9</v>
      </c>
      <c r="U301" s="324">
        <f>E301/403*60</f>
        <v>0</v>
      </c>
      <c r="V301" s="676"/>
      <c r="W301" s="528"/>
      <c r="X301" s="529"/>
      <c r="Y301" s="360" t="s">
        <v>919</v>
      </c>
      <c r="Z301" s="312">
        <f>E301/1.02</f>
        <v>0</v>
      </c>
      <c r="AA301" s="316">
        <f>SUM(Z301/260.8)</f>
        <v>0</v>
      </c>
    </row>
    <row r="302" spans="1:27" ht="79.5" thickBot="1" x14ac:dyDescent="0.45">
      <c r="A302" s="319" t="s">
        <v>14</v>
      </c>
      <c r="B302" s="344" t="s">
        <v>1007</v>
      </c>
      <c r="C302" s="528"/>
      <c r="D302" s="530">
        <f>C302*16</f>
        <v>0</v>
      </c>
      <c r="E302" s="460">
        <f>D302*0.25</f>
        <v>0</v>
      </c>
      <c r="F302" s="324">
        <f>E302*0.99*1.03/147</f>
        <v>0</v>
      </c>
      <c r="G302" s="528">
        <f t="shared" si="95"/>
        <v>0</v>
      </c>
      <c r="H302" s="324" t="s">
        <v>18</v>
      </c>
      <c r="I302" s="528">
        <f t="shared" si="96"/>
        <v>0</v>
      </c>
      <c r="J302" s="324" t="s">
        <v>19</v>
      </c>
      <c r="K302" s="324"/>
      <c r="L302" s="324"/>
      <c r="M302" s="324">
        <f>(F302*6989)/2880</f>
        <v>0</v>
      </c>
      <c r="N302" s="324"/>
      <c r="O302" s="324"/>
      <c r="P302" s="324"/>
      <c r="Q302" s="324" t="s">
        <v>18</v>
      </c>
      <c r="R302" s="324"/>
      <c r="S302" s="324" t="s">
        <v>19</v>
      </c>
      <c r="T302" s="528">
        <v>9</v>
      </c>
      <c r="U302" s="324">
        <f>E302/403*60</f>
        <v>0</v>
      </c>
      <c r="V302" s="676"/>
      <c r="W302" s="528"/>
      <c r="X302" s="529"/>
      <c r="Y302" s="360" t="s">
        <v>921</v>
      </c>
      <c r="Z302" s="312">
        <f>E302/1.02</f>
        <v>0</v>
      </c>
      <c r="AA302" s="316">
        <f>SUM(Z302/260.8)</f>
        <v>0</v>
      </c>
    </row>
    <row r="303" spans="1:27" ht="51.75" thickBot="1" x14ac:dyDescent="0.45">
      <c r="A303" s="319" t="s">
        <v>14</v>
      </c>
      <c r="B303" s="371" t="s">
        <v>824</v>
      </c>
      <c r="C303" s="528"/>
      <c r="D303" s="551">
        <f t="shared" si="99"/>
        <v>0</v>
      </c>
      <c r="E303" s="456">
        <f t="shared" si="94"/>
        <v>0</v>
      </c>
      <c r="F303" s="358">
        <f t="shared" si="100"/>
        <v>0</v>
      </c>
      <c r="G303" s="548">
        <f t="shared" si="95"/>
        <v>0</v>
      </c>
      <c r="H303" s="358" t="s">
        <v>18</v>
      </c>
      <c r="I303" s="548">
        <f t="shared" si="96"/>
        <v>0</v>
      </c>
      <c r="J303" s="358" t="s">
        <v>19</v>
      </c>
      <c r="K303" s="358"/>
      <c r="L303" s="358"/>
      <c r="M303" s="358">
        <f t="shared" si="97"/>
        <v>0</v>
      </c>
      <c r="N303" s="324"/>
      <c r="O303" s="324"/>
      <c r="P303" s="324"/>
      <c r="Q303" s="324" t="s">
        <v>18</v>
      </c>
      <c r="R303" s="324"/>
      <c r="S303" s="324" t="s">
        <v>19</v>
      </c>
      <c r="T303" s="528">
        <v>9</v>
      </c>
      <c r="U303" s="324">
        <f t="shared" si="101"/>
        <v>0</v>
      </c>
      <c r="V303" s="676"/>
      <c r="W303" s="528"/>
      <c r="X303" s="529"/>
      <c r="Y303" s="323"/>
      <c r="Z303" s="312">
        <f t="shared" si="85"/>
        <v>0</v>
      </c>
      <c r="AA303" s="316">
        <f t="shared" si="98"/>
        <v>0</v>
      </c>
    </row>
    <row r="304" spans="1:27" ht="79.5" thickBot="1" x14ac:dyDescent="0.45">
      <c r="A304" s="319" t="s">
        <v>14</v>
      </c>
      <c r="B304" s="344" t="s">
        <v>703</v>
      </c>
      <c r="C304" s="528"/>
      <c r="D304" s="551">
        <f t="shared" si="99"/>
        <v>0</v>
      </c>
      <c r="E304" s="456">
        <f t="shared" si="94"/>
        <v>0</v>
      </c>
      <c r="F304" s="358">
        <f t="shared" si="100"/>
        <v>0</v>
      </c>
      <c r="G304" s="548">
        <f t="shared" ref="G304:G309" si="102">INT(M304)</f>
        <v>0</v>
      </c>
      <c r="H304" s="358" t="s">
        <v>18</v>
      </c>
      <c r="I304" s="548">
        <f t="shared" ref="I304:I309" si="103">(M304-G304)*64</f>
        <v>0</v>
      </c>
      <c r="J304" s="358" t="s">
        <v>19</v>
      </c>
      <c r="K304" s="358"/>
      <c r="L304" s="358"/>
      <c r="M304" s="358">
        <f t="shared" si="97"/>
        <v>0</v>
      </c>
      <c r="N304" s="324"/>
      <c r="O304" s="324"/>
      <c r="P304" s="324"/>
      <c r="Q304" s="324" t="s">
        <v>18</v>
      </c>
      <c r="R304" s="324"/>
      <c r="S304" s="324" t="s">
        <v>19</v>
      </c>
      <c r="T304" s="528">
        <v>9</v>
      </c>
      <c r="U304" s="324">
        <f t="shared" si="101"/>
        <v>0</v>
      </c>
      <c r="V304" s="676"/>
      <c r="W304" s="528"/>
      <c r="X304" s="529"/>
      <c r="Y304" s="360" t="s">
        <v>921</v>
      </c>
      <c r="Z304" s="312">
        <f t="shared" si="85"/>
        <v>0</v>
      </c>
      <c r="AA304" s="316">
        <f t="shared" si="98"/>
        <v>0</v>
      </c>
    </row>
    <row r="305" spans="1:28" ht="51.75" thickBot="1" x14ac:dyDescent="0.45">
      <c r="A305" s="319" t="s">
        <v>14</v>
      </c>
      <c r="B305" s="344" t="s">
        <v>798</v>
      </c>
      <c r="C305" s="528"/>
      <c r="D305" s="548">
        <f>C305*28</f>
        <v>0</v>
      </c>
      <c r="E305" s="456">
        <f>D305*0.125</f>
        <v>0</v>
      </c>
      <c r="F305" s="358">
        <f>E305*0.99*1.03/147</f>
        <v>0</v>
      </c>
      <c r="G305" s="548">
        <f t="shared" si="102"/>
        <v>0</v>
      </c>
      <c r="H305" s="358" t="s">
        <v>18</v>
      </c>
      <c r="I305" s="548">
        <f t="shared" si="103"/>
        <v>0</v>
      </c>
      <c r="J305" s="358" t="s">
        <v>19</v>
      </c>
      <c r="K305" s="358"/>
      <c r="L305" s="358"/>
      <c r="M305" s="358">
        <f t="shared" si="97"/>
        <v>0</v>
      </c>
      <c r="N305" s="324"/>
      <c r="O305" s="324"/>
      <c r="P305" s="324"/>
      <c r="Q305" s="324" t="s">
        <v>18</v>
      </c>
      <c r="R305" s="324"/>
      <c r="S305" s="324" t="s">
        <v>19</v>
      </c>
      <c r="T305" s="528">
        <v>9</v>
      </c>
      <c r="U305" s="324">
        <f t="shared" si="101"/>
        <v>0</v>
      </c>
      <c r="V305" s="676"/>
      <c r="W305" s="528"/>
      <c r="X305" s="529"/>
      <c r="Y305" s="323"/>
      <c r="Z305" s="312">
        <f t="shared" si="85"/>
        <v>0</v>
      </c>
      <c r="AA305" s="316">
        <f t="shared" si="98"/>
        <v>0</v>
      </c>
    </row>
    <row r="306" spans="1:28" ht="79.5" thickBot="1" x14ac:dyDescent="0.45">
      <c r="A306" s="319" t="s">
        <v>14</v>
      </c>
      <c r="B306" s="370" t="s">
        <v>787</v>
      </c>
      <c r="C306" s="528"/>
      <c r="D306" s="548">
        <f>C306*28</f>
        <v>0</v>
      </c>
      <c r="E306" s="456">
        <f>D306*0.125</f>
        <v>0</v>
      </c>
      <c r="F306" s="358">
        <f>E306*0.99*1.03/147</f>
        <v>0</v>
      </c>
      <c r="G306" s="548">
        <f t="shared" si="102"/>
        <v>0</v>
      </c>
      <c r="H306" s="358" t="s">
        <v>18</v>
      </c>
      <c r="I306" s="548">
        <f t="shared" si="103"/>
        <v>0</v>
      </c>
      <c r="J306" s="358" t="s">
        <v>19</v>
      </c>
      <c r="K306" s="358"/>
      <c r="L306" s="358"/>
      <c r="M306" s="358">
        <f t="shared" si="97"/>
        <v>0</v>
      </c>
      <c r="N306" s="324"/>
      <c r="O306" s="324"/>
      <c r="P306" s="324"/>
      <c r="Q306" s="324" t="s">
        <v>18</v>
      </c>
      <c r="R306" s="324"/>
      <c r="S306" s="324" t="s">
        <v>19</v>
      </c>
      <c r="T306" s="528">
        <v>9</v>
      </c>
      <c r="U306" s="324">
        <f t="shared" si="101"/>
        <v>0</v>
      </c>
      <c r="V306" s="676"/>
      <c r="W306" s="528"/>
      <c r="X306" s="529"/>
      <c r="Y306" s="323"/>
      <c r="Z306" s="312">
        <f t="shared" si="85"/>
        <v>0</v>
      </c>
      <c r="AA306" s="316">
        <f t="shared" si="98"/>
        <v>0</v>
      </c>
    </row>
    <row r="307" spans="1:28" ht="79.5" thickBot="1" x14ac:dyDescent="0.45">
      <c r="A307" s="319" t="s">
        <v>14</v>
      </c>
      <c r="B307" s="370" t="s">
        <v>788</v>
      </c>
      <c r="C307" s="528"/>
      <c r="D307" s="548">
        <f>C307*28</f>
        <v>0</v>
      </c>
      <c r="E307" s="456">
        <f>D307*0.125</f>
        <v>0</v>
      </c>
      <c r="F307" s="358">
        <f>E307*0.99*1.03/147</f>
        <v>0</v>
      </c>
      <c r="G307" s="548">
        <f t="shared" si="102"/>
        <v>0</v>
      </c>
      <c r="H307" s="358" t="s">
        <v>18</v>
      </c>
      <c r="I307" s="548">
        <f t="shared" si="103"/>
        <v>0</v>
      </c>
      <c r="J307" s="358" t="s">
        <v>19</v>
      </c>
      <c r="K307" s="358"/>
      <c r="L307" s="358"/>
      <c r="M307" s="358">
        <f t="shared" si="97"/>
        <v>0</v>
      </c>
      <c r="N307" s="324"/>
      <c r="O307" s="324"/>
      <c r="P307" s="324"/>
      <c r="Q307" s="324" t="s">
        <v>18</v>
      </c>
      <c r="R307" s="324"/>
      <c r="S307" s="324" t="s">
        <v>19</v>
      </c>
      <c r="T307" s="528">
        <v>9</v>
      </c>
      <c r="U307" s="324">
        <f t="shared" si="101"/>
        <v>0</v>
      </c>
      <c r="V307" s="676"/>
      <c r="W307" s="528"/>
      <c r="X307" s="529"/>
      <c r="Y307" s="323"/>
      <c r="Z307" s="312">
        <f t="shared" si="85"/>
        <v>0</v>
      </c>
      <c r="AA307" s="316">
        <f t="shared" si="98"/>
        <v>0</v>
      </c>
    </row>
    <row r="308" spans="1:28" ht="51.75" thickBot="1" x14ac:dyDescent="0.45">
      <c r="A308" s="319" t="s">
        <v>14</v>
      </c>
      <c r="B308" s="320" t="s">
        <v>781</v>
      </c>
      <c r="C308" s="528"/>
      <c r="D308" s="548">
        <f>C308*10</f>
        <v>0</v>
      </c>
      <c r="E308" s="456">
        <f>D308*0.18</f>
        <v>0</v>
      </c>
      <c r="F308" s="358">
        <f>E308*0.99*1.03/147</f>
        <v>0</v>
      </c>
      <c r="G308" s="548">
        <f t="shared" si="102"/>
        <v>0</v>
      </c>
      <c r="H308" s="358" t="s">
        <v>18</v>
      </c>
      <c r="I308" s="548">
        <f t="shared" si="103"/>
        <v>0</v>
      </c>
      <c r="J308" s="358" t="s">
        <v>19</v>
      </c>
      <c r="K308" s="358"/>
      <c r="L308" s="358"/>
      <c r="M308" s="358">
        <f>(F308*6400)/2880</f>
        <v>0</v>
      </c>
      <c r="N308" s="324"/>
      <c r="O308" s="324"/>
      <c r="P308" s="324"/>
      <c r="Q308" s="324" t="s">
        <v>18</v>
      </c>
      <c r="R308" s="324"/>
      <c r="S308" s="324" t="s">
        <v>19</v>
      </c>
      <c r="T308" s="528">
        <v>9</v>
      </c>
      <c r="U308" s="324">
        <f>E308/237*60</f>
        <v>0</v>
      </c>
      <c r="V308" s="676"/>
      <c r="W308" s="528"/>
      <c r="X308" s="529"/>
      <c r="Y308" s="323"/>
      <c r="Z308" s="312">
        <f t="shared" si="85"/>
        <v>0</v>
      </c>
      <c r="AA308" s="316">
        <f>SUM(Z308/285.7)</f>
        <v>0</v>
      </c>
    </row>
    <row r="309" spans="1:28" s="728" customFormat="1" ht="158.25" outlineLevel="1" thickBot="1" x14ac:dyDescent="0.45">
      <c r="A309" s="636" t="s">
        <v>14</v>
      </c>
      <c r="B309" s="635" t="s">
        <v>1041</v>
      </c>
      <c r="C309" s="720"/>
      <c r="D309" s="720">
        <f>C309*12</f>
        <v>0</v>
      </c>
      <c r="E309" s="721">
        <f t="shared" ref="E309:E315" si="104">D309*0.25</f>
        <v>0</v>
      </c>
      <c r="F309" s="722">
        <f t="shared" ref="F309:F315" si="105">E309*0.9*1.01/147</f>
        <v>0</v>
      </c>
      <c r="G309" s="720">
        <f t="shared" si="102"/>
        <v>0</v>
      </c>
      <c r="H309" s="722" t="s">
        <v>18</v>
      </c>
      <c r="I309" s="720">
        <f t="shared" si="103"/>
        <v>0</v>
      </c>
      <c r="J309" s="722" t="s">
        <v>19</v>
      </c>
      <c r="K309" s="722"/>
      <c r="L309" s="722"/>
      <c r="M309" s="722">
        <f>(F309*6533/3456)</f>
        <v>0</v>
      </c>
      <c r="N309" s="722"/>
      <c r="O309" s="722"/>
      <c r="P309" s="722"/>
      <c r="Q309" s="722" t="s">
        <v>18</v>
      </c>
      <c r="R309" s="722"/>
      <c r="S309" s="722" t="s">
        <v>19</v>
      </c>
      <c r="T309" s="720">
        <v>9</v>
      </c>
      <c r="U309" s="324">
        <f t="shared" ref="U309:U315" si="106">E309/390*60</f>
        <v>0</v>
      </c>
      <c r="V309" s="724"/>
      <c r="W309" s="720"/>
      <c r="X309" s="725"/>
      <c r="Y309" s="749" t="s">
        <v>920</v>
      </c>
      <c r="Z309" s="727">
        <f t="shared" ref="Z309:Z315" si="107">E309/1.02/1.143</f>
        <v>0</v>
      </c>
      <c r="AA309" s="815">
        <f>SUM(AB309/256.5)</f>
        <v>0</v>
      </c>
      <c r="AB309" s="728">
        <f t="shared" ref="AB309:AB315" si="108">E309/1.02</f>
        <v>0</v>
      </c>
    </row>
    <row r="310" spans="1:28" ht="79.5" thickBot="1" x14ac:dyDescent="0.45">
      <c r="A310" s="319" t="s">
        <v>14</v>
      </c>
      <c r="B310" s="362" t="s">
        <v>828</v>
      </c>
      <c r="C310" s="528"/>
      <c r="D310" s="557">
        <f>C310*12</f>
        <v>0</v>
      </c>
      <c r="E310" s="457">
        <f t="shared" si="104"/>
        <v>0</v>
      </c>
      <c r="F310" s="359">
        <f t="shared" si="105"/>
        <v>0</v>
      </c>
      <c r="G310" s="558">
        <f t="shared" ref="G310:G315" si="109">INT(M310)</f>
        <v>0</v>
      </c>
      <c r="H310" s="366" t="s">
        <v>18</v>
      </c>
      <c r="I310" s="556">
        <f t="shared" ref="I310:I315" si="110">(M310-G310)*64</f>
        <v>0</v>
      </c>
      <c r="J310" s="366" t="s">
        <v>19</v>
      </c>
      <c r="K310" s="366"/>
      <c r="L310" s="366"/>
      <c r="M310" s="366">
        <f t="shared" ref="M310:M315" si="111">(F310*7777/3456)</f>
        <v>0</v>
      </c>
      <c r="N310" s="366"/>
      <c r="O310" s="366"/>
      <c r="P310" s="366"/>
      <c r="Q310" s="358" t="s">
        <v>18</v>
      </c>
      <c r="R310" s="358"/>
      <c r="S310" s="358" t="s">
        <v>19</v>
      </c>
      <c r="T310" s="528">
        <v>9</v>
      </c>
      <c r="U310" s="324">
        <f t="shared" si="106"/>
        <v>0</v>
      </c>
      <c r="V310" s="676"/>
      <c r="W310" s="528"/>
      <c r="X310" s="529"/>
      <c r="Y310" s="660" t="s">
        <v>919</v>
      </c>
      <c r="Z310" s="312">
        <f t="shared" si="107"/>
        <v>0</v>
      </c>
      <c r="AA310" s="316">
        <f t="shared" ref="AA310:AA315" si="112">SUM(AB310/215.5)</f>
        <v>0</v>
      </c>
      <c r="AB310" s="310">
        <f t="shared" si="108"/>
        <v>0</v>
      </c>
    </row>
    <row r="311" spans="1:28" ht="79.5" thickBot="1" x14ac:dyDescent="0.45">
      <c r="A311" s="319" t="s">
        <v>14</v>
      </c>
      <c r="B311" s="362" t="s">
        <v>1017</v>
      </c>
      <c r="C311" s="528"/>
      <c r="D311" s="557">
        <f>C311*12</f>
        <v>0</v>
      </c>
      <c r="E311" s="457">
        <f t="shared" si="104"/>
        <v>0</v>
      </c>
      <c r="F311" s="359">
        <f t="shared" si="105"/>
        <v>0</v>
      </c>
      <c r="G311" s="558">
        <f t="shared" si="109"/>
        <v>0</v>
      </c>
      <c r="H311" s="366" t="s">
        <v>18</v>
      </c>
      <c r="I311" s="556">
        <f t="shared" si="110"/>
        <v>0</v>
      </c>
      <c r="J311" s="366" t="s">
        <v>19</v>
      </c>
      <c r="K311" s="366"/>
      <c r="L311" s="366"/>
      <c r="M311" s="366">
        <f t="shared" si="111"/>
        <v>0</v>
      </c>
      <c r="N311" s="366"/>
      <c r="O311" s="366"/>
      <c r="P311" s="366"/>
      <c r="Q311" s="358" t="s">
        <v>18</v>
      </c>
      <c r="R311" s="358"/>
      <c r="S311" s="358" t="s">
        <v>19</v>
      </c>
      <c r="T311" s="528">
        <v>9</v>
      </c>
      <c r="U311" s="324">
        <f t="shared" si="106"/>
        <v>0</v>
      </c>
      <c r="V311" s="676"/>
      <c r="W311" s="528"/>
      <c r="X311" s="529"/>
      <c r="Y311" s="665" t="s">
        <v>919</v>
      </c>
      <c r="Z311" s="312">
        <f t="shared" si="107"/>
        <v>0</v>
      </c>
      <c r="AA311" s="316">
        <f t="shared" si="112"/>
        <v>0</v>
      </c>
      <c r="AB311" s="310">
        <f t="shared" si="108"/>
        <v>0</v>
      </c>
    </row>
    <row r="312" spans="1:28" ht="79.5" thickBot="1" x14ac:dyDescent="0.45">
      <c r="A312" s="319" t="s">
        <v>14</v>
      </c>
      <c r="B312" s="362" t="s">
        <v>1073</v>
      </c>
      <c r="C312" s="528"/>
      <c r="D312" s="709">
        <f>C312*16</f>
        <v>0</v>
      </c>
      <c r="E312" s="496">
        <f t="shared" si="104"/>
        <v>0</v>
      </c>
      <c r="F312" s="354">
        <f t="shared" si="105"/>
        <v>0</v>
      </c>
      <c r="G312" s="710">
        <f t="shared" si="109"/>
        <v>0</v>
      </c>
      <c r="H312" s="555" t="s">
        <v>18</v>
      </c>
      <c r="I312" s="553">
        <f t="shared" si="110"/>
        <v>0</v>
      </c>
      <c r="J312" s="555" t="s">
        <v>19</v>
      </c>
      <c r="K312" s="555"/>
      <c r="L312" s="555"/>
      <c r="M312" s="555">
        <f t="shared" si="111"/>
        <v>0</v>
      </c>
      <c r="N312" s="555"/>
      <c r="O312" s="555"/>
      <c r="P312" s="555"/>
      <c r="Q312" s="324" t="s">
        <v>18</v>
      </c>
      <c r="R312" s="324"/>
      <c r="S312" s="324" t="s">
        <v>19</v>
      </c>
      <c r="T312" s="528">
        <v>9</v>
      </c>
      <c r="U312" s="324">
        <f t="shared" si="106"/>
        <v>0</v>
      </c>
      <c r="V312" s="676"/>
      <c r="W312" s="528"/>
      <c r="X312" s="529"/>
      <c r="Y312" s="668" t="s">
        <v>919</v>
      </c>
      <c r="Z312" s="312">
        <f t="shared" si="107"/>
        <v>0</v>
      </c>
      <c r="AA312" s="316">
        <f t="shared" si="112"/>
        <v>0</v>
      </c>
      <c r="AB312" s="310">
        <f t="shared" si="108"/>
        <v>0</v>
      </c>
    </row>
    <row r="313" spans="1:28" ht="79.5" thickBot="1" x14ac:dyDescent="0.45">
      <c r="A313" s="319" t="s">
        <v>14</v>
      </c>
      <c r="B313" s="362" t="s">
        <v>1074</v>
      </c>
      <c r="C313" s="528"/>
      <c r="D313" s="709">
        <f>C313*16</f>
        <v>0</v>
      </c>
      <c r="E313" s="496">
        <f t="shared" si="104"/>
        <v>0</v>
      </c>
      <c r="F313" s="354">
        <f t="shared" si="105"/>
        <v>0</v>
      </c>
      <c r="G313" s="710">
        <f t="shared" si="109"/>
        <v>0</v>
      </c>
      <c r="H313" s="555" t="s">
        <v>18</v>
      </c>
      <c r="I313" s="553">
        <f t="shared" si="110"/>
        <v>0</v>
      </c>
      <c r="J313" s="555" t="s">
        <v>19</v>
      </c>
      <c r="K313" s="555"/>
      <c r="L313" s="555"/>
      <c r="M313" s="555">
        <f t="shared" si="111"/>
        <v>0</v>
      </c>
      <c r="N313" s="555"/>
      <c r="O313" s="555"/>
      <c r="P313" s="555"/>
      <c r="Q313" s="324" t="s">
        <v>18</v>
      </c>
      <c r="R313" s="324"/>
      <c r="S313" s="324" t="s">
        <v>19</v>
      </c>
      <c r="T313" s="528">
        <v>9</v>
      </c>
      <c r="U313" s="324">
        <f t="shared" si="106"/>
        <v>0</v>
      </c>
      <c r="V313" s="676"/>
      <c r="W313" s="528"/>
      <c r="X313" s="529"/>
      <c r="Y313" s="660" t="s">
        <v>919</v>
      </c>
      <c r="Z313" s="312">
        <f t="shared" si="107"/>
        <v>0</v>
      </c>
      <c r="AA313" s="316">
        <f t="shared" si="112"/>
        <v>0</v>
      </c>
      <c r="AB313" s="310">
        <f t="shared" si="108"/>
        <v>0</v>
      </c>
    </row>
    <row r="314" spans="1:28" ht="79.5" thickBot="1" x14ac:dyDescent="0.45">
      <c r="A314" s="319" t="s">
        <v>14</v>
      </c>
      <c r="B314" s="362" t="s">
        <v>1184</v>
      </c>
      <c r="C314" s="528"/>
      <c r="D314" s="551">
        <f>C314*16</f>
        <v>0</v>
      </c>
      <c r="E314" s="457">
        <f t="shared" si="104"/>
        <v>0</v>
      </c>
      <c r="F314" s="359">
        <f t="shared" si="105"/>
        <v>0</v>
      </c>
      <c r="G314" s="558">
        <f t="shared" si="109"/>
        <v>0</v>
      </c>
      <c r="H314" s="366" t="s">
        <v>18</v>
      </c>
      <c r="I314" s="556">
        <f t="shared" si="110"/>
        <v>0</v>
      </c>
      <c r="J314" s="366" t="s">
        <v>19</v>
      </c>
      <c r="K314" s="366"/>
      <c r="L314" s="366"/>
      <c r="M314" s="366">
        <f t="shared" si="111"/>
        <v>0</v>
      </c>
      <c r="N314" s="366"/>
      <c r="O314" s="366"/>
      <c r="P314" s="366"/>
      <c r="Q314" s="358" t="s">
        <v>18</v>
      </c>
      <c r="R314" s="358"/>
      <c r="S314" s="358" t="s">
        <v>19</v>
      </c>
      <c r="T314" s="528">
        <v>9</v>
      </c>
      <c r="U314" s="324">
        <f t="shared" si="106"/>
        <v>0</v>
      </c>
      <c r="V314" s="676"/>
      <c r="W314" s="528"/>
      <c r="X314" s="529"/>
      <c r="Y314" s="659" t="s">
        <v>919</v>
      </c>
      <c r="Z314" s="312">
        <f t="shared" si="107"/>
        <v>0</v>
      </c>
      <c r="AA314" s="316">
        <f t="shared" si="112"/>
        <v>0</v>
      </c>
      <c r="AB314" s="310">
        <f t="shared" si="108"/>
        <v>0</v>
      </c>
    </row>
    <row r="315" spans="1:28" ht="79.5" thickBot="1" x14ac:dyDescent="0.45">
      <c r="A315" s="319" t="s">
        <v>14</v>
      </c>
      <c r="B315" s="362" t="s">
        <v>856</v>
      </c>
      <c r="C315" s="528"/>
      <c r="D315" s="551">
        <f>C315*16</f>
        <v>0</v>
      </c>
      <c r="E315" s="457">
        <f t="shared" si="104"/>
        <v>0</v>
      </c>
      <c r="F315" s="359">
        <f t="shared" si="105"/>
        <v>0</v>
      </c>
      <c r="G315" s="558">
        <f t="shared" si="109"/>
        <v>0</v>
      </c>
      <c r="H315" s="366" t="s">
        <v>18</v>
      </c>
      <c r="I315" s="556">
        <f t="shared" si="110"/>
        <v>0</v>
      </c>
      <c r="J315" s="366" t="s">
        <v>19</v>
      </c>
      <c r="K315" s="366"/>
      <c r="L315" s="366"/>
      <c r="M315" s="366">
        <f t="shared" si="111"/>
        <v>0</v>
      </c>
      <c r="N315" s="366"/>
      <c r="O315" s="366"/>
      <c r="P315" s="366"/>
      <c r="Q315" s="358" t="s">
        <v>18</v>
      </c>
      <c r="R315" s="358"/>
      <c r="S315" s="358" t="s">
        <v>19</v>
      </c>
      <c r="T315" s="528">
        <v>9</v>
      </c>
      <c r="U315" s="324">
        <f t="shared" si="106"/>
        <v>0</v>
      </c>
      <c r="V315" s="676"/>
      <c r="W315" s="528"/>
      <c r="X315" s="529"/>
      <c r="Y315" s="367" t="s">
        <v>919</v>
      </c>
      <c r="Z315" s="312">
        <f t="shared" si="107"/>
        <v>0</v>
      </c>
      <c r="AA315" s="316">
        <f t="shared" si="112"/>
        <v>0</v>
      </c>
      <c r="AB315" s="310">
        <f t="shared" si="108"/>
        <v>0</v>
      </c>
    </row>
    <row r="316" spans="1:28" ht="79.5" thickBot="1" x14ac:dyDescent="0.45">
      <c r="A316" s="319" t="s">
        <v>14</v>
      </c>
      <c r="B316" s="802" t="s">
        <v>1207</v>
      </c>
      <c r="C316" s="528"/>
      <c r="D316" s="550">
        <f>C316*12</f>
        <v>0</v>
      </c>
      <c r="E316" s="456">
        <f>D316*0.27</f>
        <v>0</v>
      </c>
      <c r="F316" s="358">
        <f>E316*0.87*1.01/151</f>
        <v>0</v>
      </c>
      <c r="G316" s="358">
        <f>INT(M316)</f>
        <v>0</v>
      </c>
      <c r="H316" s="358" t="s">
        <v>18</v>
      </c>
      <c r="I316" s="548">
        <f>(M316-G316)*64</f>
        <v>0</v>
      </c>
      <c r="J316" s="358" t="s">
        <v>19</v>
      </c>
      <c r="K316" s="358"/>
      <c r="L316" s="358"/>
      <c r="M316" s="358">
        <f>F316*7889/3456</f>
        <v>0</v>
      </c>
      <c r="N316" s="461"/>
      <c r="O316" s="461"/>
      <c r="P316" s="366"/>
      <c r="Q316" s="358" t="s">
        <v>18</v>
      </c>
      <c r="R316" s="358"/>
      <c r="S316" s="358" t="s">
        <v>19</v>
      </c>
      <c r="T316" s="528">
        <v>9</v>
      </c>
      <c r="U316" s="324">
        <f>E316/390*60</f>
        <v>0</v>
      </c>
      <c r="V316" s="676"/>
      <c r="W316" s="528"/>
      <c r="X316" s="529"/>
      <c r="Y316" s="367" t="s">
        <v>919</v>
      </c>
      <c r="Z316" s="312">
        <f>E316/1.051/1.143</f>
        <v>0</v>
      </c>
      <c r="AA316" s="316">
        <f>SUM(AB316/230.85)</f>
        <v>0</v>
      </c>
      <c r="AB316" s="310">
        <f>E316/1.051</f>
        <v>0</v>
      </c>
    </row>
    <row r="317" spans="1:28" ht="79.5" thickBot="1" x14ac:dyDescent="0.45">
      <c r="A317" s="319" t="s">
        <v>14</v>
      </c>
      <c r="B317" s="802" t="s">
        <v>1221</v>
      </c>
      <c r="C317" s="528"/>
      <c r="D317" s="550">
        <f>C317*7</f>
        <v>0</v>
      </c>
      <c r="E317" s="456">
        <f>D317*0.27</f>
        <v>0</v>
      </c>
      <c r="F317" s="358">
        <f>E317*0.87*1.01/151</f>
        <v>0</v>
      </c>
      <c r="G317" s="358">
        <f>INT(M317)</f>
        <v>0</v>
      </c>
      <c r="H317" s="358" t="s">
        <v>18</v>
      </c>
      <c r="I317" s="548">
        <f>(M317-G317)*64</f>
        <v>0</v>
      </c>
      <c r="J317" s="358" t="s">
        <v>19</v>
      </c>
      <c r="K317" s="358"/>
      <c r="L317" s="358"/>
      <c r="M317" s="358">
        <f>F317*7889/3456</f>
        <v>0</v>
      </c>
      <c r="N317" s="461"/>
      <c r="O317" s="461"/>
      <c r="P317" s="366"/>
      <c r="Q317" s="358" t="s">
        <v>18</v>
      </c>
      <c r="R317" s="358"/>
      <c r="S317" s="358" t="s">
        <v>19</v>
      </c>
      <c r="T317" s="528">
        <v>9</v>
      </c>
      <c r="U317" s="324">
        <f>E317/390*60</f>
        <v>0</v>
      </c>
      <c r="V317" s="676"/>
      <c r="W317" s="528"/>
      <c r="X317" s="529"/>
      <c r="Y317" s="367" t="s">
        <v>919</v>
      </c>
      <c r="Z317" s="312">
        <f>E317/1.051/1.143</f>
        <v>0</v>
      </c>
      <c r="AA317" s="316">
        <f>SUM(AB317/230.85)</f>
        <v>0</v>
      </c>
      <c r="AB317" s="310">
        <f>E317/1.051</f>
        <v>0</v>
      </c>
    </row>
    <row r="318" spans="1:28" ht="51.75" thickBot="1" x14ac:dyDescent="0.45">
      <c r="A318" s="319" t="s">
        <v>14</v>
      </c>
      <c r="B318" s="371" t="s">
        <v>860</v>
      </c>
      <c r="C318" s="528"/>
      <c r="D318" s="548">
        <f>C318*12</f>
        <v>0</v>
      </c>
      <c r="E318" s="456">
        <f>D318*0.2</f>
        <v>0</v>
      </c>
      <c r="F318" s="358">
        <f>E318*0.99*1.03/147</f>
        <v>0</v>
      </c>
      <c r="G318" s="548">
        <f t="shared" ref="G318:G330" si="113">INT(M318)</f>
        <v>0</v>
      </c>
      <c r="H318" s="358" t="s">
        <v>18</v>
      </c>
      <c r="I318" s="548">
        <f t="shared" ref="I318:I330" si="114">(M318-G318)*64</f>
        <v>0</v>
      </c>
      <c r="J318" s="358" t="s">
        <v>19</v>
      </c>
      <c r="K318" s="358"/>
      <c r="L318" s="358"/>
      <c r="M318" s="358">
        <f>(F318*8655)/2880</f>
        <v>0</v>
      </c>
      <c r="N318" s="358"/>
      <c r="O318" s="358"/>
      <c r="P318" s="358"/>
      <c r="Q318" s="358" t="s">
        <v>18</v>
      </c>
      <c r="R318" s="358"/>
      <c r="S318" s="358" t="s">
        <v>19</v>
      </c>
      <c r="T318" s="528">
        <v>9</v>
      </c>
      <c r="U318" s="324">
        <f>E318/403*60</f>
        <v>0</v>
      </c>
      <c r="V318" s="676"/>
      <c r="W318" s="528"/>
      <c r="X318" s="529"/>
      <c r="Y318" s="323"/>
      <c r="Z318" s="312">
        <f t="shared" ref="Z318:Z329" si="115">E318/1.02</f>
        <v>0</v>
      </c>
      <c r="AA318" s="316">
        <f>SUM(Z318/204.9)</f>
        <v>0</v>
      </c>
    </row>
    <row r="319" spans="1:28" ht="51.75" thickBot="1" x14ac:dyDescent="0.45">
      <c r="A319" s="319" t="s">
        <v>14</v>
      </c>
      <c r="B319" s="371" t="s">
        <v>861</v>
      </c>
      <c r="C319" s="528"/>
      <c r="D319" s="548">
        <f>C319*12</f>
        <v>0</v>
      </c>
      <c r="E319" s="456">
        <f>D319*0.2</f>
        <v>0</v>
      </c>
      <c r="F319" s="358">
        <f>E319*0.99*1.03/147</f>
        <v>0</v>
      </c>
      <c r="G319" s="548">
        <f t="shared" si="113"/>
        <v>0</v>
      </c>
      <c r="H319" s="358" t="s">
        <v>18</v>
      </c>
      <c r="I319" s="548">
        <f t="shared" si="114"/>
        <v>0</v>
      </c>
      <c r="J319" s="358" t="s">
        <v>19</v>
      </c>
      <c r="K319" s="358"/>
      <c r="L319" s="358"/>
      <c r="M319" s="358">
        <f>(F319*8655)/2880</f>
        <v>0</v>
      </c>
      <c r="N319" s="358"/>
      <c r="O319" s="358"/>
      <c r="P319" s="358"/>
      <c r="Q319" s="358" t="s">
        <v>18</v>
      </c>
      <c r="R319" s="358"/>
      <c r="S319" s="358" t="s">
        <v>19</v>
      </c>
      <c r="T319" s="528">
        <v>9</v>
      </c>
      <c r="U319" s="324">
        <f>E319/403*60</f>
        <v>0</v>
      </c>
      <c r="V319" s="676"/>
      <c r="W319" s="528"/>
      <c r="X319" s="529"/>
      <c r="Y319" s="323"/>
      <c r="Z319" s="312">
        <f t="shared" si="115"/>
        <v>0</v>
      </c>
      <c r="AA319" s="316">
        <f>SUM(Z319/204.9)</f>
        <v>0</v>
      </c>
    </row>
    <row r="320" spans="1:28" s="728" customFormat="1" ht="79.5" outlineLevel="1" thickBot="1" x14ac:dyDescent="0.45">
      <c r="A320" s="636" t="s">
        <v>14</v>
      </c>
      <c r="B320" s="635" t="s">
        <v>1042</v>
      </c>
      <c r="C320" s="720"/>
      <c r="D320" s="741">
        <f>C320*12</f>
        <v>0</v>
      </c>
      <c r="E320" s="721">
        <f>D320*0.25</f>
        <v>0</v>
      </c>
      <c r="F320" s="722">
        <f>E320*0.99*1.02/147</f>
        <v>0</v>
      </c>
      <c r="G320" s="720">
        <f t="shared" si="113"/>
        <v>0</v>
      </c>
      <c r="H320" s="722" t="s">
        <v>18</v>
      </c>
      <c r="I320" s="720">
        <f t="shared" si="114"/>
        <v>0</v>
      </c>
      <c r="J320" s="722" t="s">
        <v>19</v>
      </c>
      <c r="K320" s="722"/>
      <c r="L320" s="722"/>
      <c r="M320" s="722">
        <f>(F320*5880)/3456</f>
        <v>0</v>
      </c>
      <c r="N320" s="722"/>
      <c r="O320" s="722"/>
      <c r="P320" s="722"/>
      <c r="Q320" s="722" t="s">
        <v>18</v>
      </c>
      <c r="R320" s="722"/>
      <c r="S320" s="722" t="s">
        <v>19</v>
      </c>
      <c r="T320" s="720">
        <v>9</v>
      </c>
      <c r="U320" s="722">
        <f>E320/390*60</f>
        <v>0</v>
      </c>
      <c r="V320" s="724"/>
      <c r="W320" s="720"/>
      <c r="X320" s="725"/>
      <c r="Y320" s="736" t="s">
        <v>889</v>
      </c>
      <c r="Z320" s="727">
        <f t="shared" si="115"/>
        <v>0</v>
      </c>
      <c r="AA320" s="815">
        <f>SUM(Z320/310.5)</f>
        <v>0</v>
      </c>
    </row>
    <row r="321" spans="1:28" ht="53.25" thickBot="1" x14ac:dyDescent="0.45">
      <c r="A321" s="319" t="s">
        <v>14</v>
      </c>
      <c r="B321" s="368" t="s">
        <v>807</v>
      </c>
      <c r="C321" s="528"/>
      <c r="D321" s="551">
        <f>C321*8</f>
        <v>0</v>
      </c>
      <c r="E321" s="456">
        <f>D321*0.34</f>
        <v>0</v>
      </c>
      <c r="F321" s="358">
        <f>E321*0.99*1.01/147</f>
        <v>0</v>
      </c>
      <c r="G321" s="548">
        <f t="shared" si="113"/>
        <v>0</v>
      </c>
      <c r="H321" s="358" t="s">
        <v>18</v>
      </c>
      <c r="I321" s="548">
        <f t="shared" si="114"/>
        <v>0</v>
      </c>
      <c r="J321" s="358" t="s">
        <v>19</v>
      </c>
      <c r="K321" s="358"/>
      <c r="L321" s="358"/>
      <c r="M321" s="358">
        <f>(F321*5250)/2880</f>
        <v>0</v>
      </c>
      <c r="N321" s="358"/>
      <c r="O321" s="358"/>
      <c r="P321" s="358"/>
      <c r="Q321" s="358" t="s">
        <v>18</v>
      </c>
      <c r="R321" s="358"/>
      <c r="S321" s="358" t="s">
        <v>19</v>
      </c>
      <c r="T321" s="528">
        <v>9</v>
      </c>
      <c r="U321" s="324"/>
      <c r="V321" s="676"/>
      <c r="W321" s="528"/>
      <c r="X321" s="529"/>
      <c r="Y321" s="323"/>
      <c r="Z321" s="312">
        <f t="shared" si="115"/>
        <v>0</v>
      </c>
      <c r="AA321" s="316">
        <f>SUM(Z321/347.8)</f>
        <v>0</v>
      </c>
    </row>
    <row r="322" spans="1:28" ht="53.25" thickBot="1" x14ac:dyDescent="0.45">
      <c r="A322" s="319" t="s">
        <v>14</v>
      </c>
      <c r="B322" s="368" t="s">
        <v>808</v>
      </c>
      <c r="C322" s="528"/>
      <c r="D322" s="551">
        <f>C322*8</f>
        <v>0</v>
      </c>
      <c r="E322" s="456">
        <f>D322*0.34</f>
        <v>0</v>
      </c>
      <c r="F322" s="358">
        <f>E322*0.99*1.01/147</f>
        <v>0</v>
      </c>
      <c r="G322" s="548">
        <f t="shared" si="113"/>
        <v>0</v>
      </c>
      <c r="H322" s="358" t="s">
        <v>18</v>
      </c>
      <c r="I322" s="548">
        <f t="shared" si="114"/>
        <v>0</v>
      </c>
      <c r="J322" s="358" t="s">
        <v>19</v>
      </c>
      <c r="K322" s="358"/>
      <c r="L322" s="358"/>
      <c r="M322" s="358">
        <f>(F322*5250)/2880</f>
        <v>0</v>
      </c>
      <c r="N322" s="358"/>
      <c r="O322" s="358"/>
      <c r="P322" s="358"/>
      <c r="Q322" s="358" t="s">
        <v>18</v>
      </c>
      <c r="R322" s="358"/>
      <c r="S322" s="358" t="s">
        <v>19</v>
      </c>
      <c r="T322" s="528">
        <v>9</v>
      </c>
      <c r="U322" s="324"/>
      <c r="V322" s="676"/>
      <c r="W322" s="528"/>
      <c r="X322" s="529"/>
      <c r="Y322" s="323"/>
      <c r="Z322" s="312">
        <f t="shared" si="115"/>
        <v>0</v>
      </c>
      <c r="AA322" s="316">
        <f>SUM(Z322/347.8)</f>
        <v>0</v>
      </c>
    </row>
    <row r="323" spans="1:28" ht="79.5" thickBot="1" x14ac:dyDescent="0.45">
      <c r="A323" s="319" t="s">
        <v>14</v>
      </c>
      <c r="B323" s="362" t="s">
        <v>810</v>
      </c>
      <c r="C323" s="528"/>
      <c r="D323" s="551">
        <f>C323*8</f>
        <v>0</v>
      </c>
      <c r="E323" s="456">
        <f>D323*0.34</f>
        <v>0</v>
      </c>
      <c r="F323" s="358">
        <f>E323*0.99*1.01/147</f>
        <v>0</v>
      </c>
      <c r="G323" s="548">
        <f t="shared" si="113"/>
        <v>0</v>
      </c>
      <c r="H323" s="358" t="s">
        <v>18</v>
      </c>
      <c r="I323" s="548">
        <f t="shared" si="114"/>
        <v>0</v>
      </c>
      <c r="J323" s="358" t="s">
        <v>19</v>
      </c>
      <c r="K323" s="358"/>
      <c r="L323" s="358"/>
      <c r="M323" s="358">
        <f>(F323*5250)/2880</f>
        <v>0</v>
      </c>
      <c r="N323" s="358"/>
      <c r="O323" s="358"/>
      <c r="P323" s="358"/>
      <c r="Q323" s="358" t="s">
        <v>18</v>
      </c>
      <c r="R323" s="358"/>
      <c r="S323" s="358" t="s">
        <v>19</v>
      </c>
      <c r="T323" s="528">
        <v>9</v>
      </c>
      <c r="U323" s="324"/>
      <c r="V323" s="676"/>
      <c r="W323" s="528"/>
      <c r="X323" s="529"/>
      <c r="Y323" s="360" t="s">
        <v>921</v>
      </c>
      <c r="Z323" s="312">
        <f t="shared" si="115"/>
        <v>0</v>
      </c>
      <c r="AA323" s="316">
        <f>SUM(Z323/347.8)</f>
        <v>0</v>
      </c>
    </row>
    <row r="324" spans="1:28" ht="51.75" thickBot="1" x14ac:dyDescent="0.45">
      <c r="A324" s="319" t="s">
        <v>14</v>
      </c>
      <c r="B324" s="362" t="s">
        <v>812</v>
      </c>
      <c r="C324" s="528"/>
      <c r="D324" s="551">
        <f>C324*15</f>
        <v>0</v>
      </c>
      <c r="E324" s="456">
        <f>D324*0.18</f>
        <v>0</v>
      </c>
      <c r="F324" s="358">
        <f>E324*0.99*1.03/147</f>
        <v>0</v>
      </c>
      <c r="G324" s="548">
        <f t="shared" si="113"/>
        <v>0</v>
      </c>
      <c r="H324" s="358" t="s">
        <v>18</v>
      </c>
      <c r="I324" s="548">
        <f t="shared" si="114"/>
        <v>0</v>
      </c>
      <c r="J324" s="358" t="s">
        <v>19</v>
      </c>
      <c r="K324" s="358"/>
      <c r="L324" s="358"/>
      <c r="M324" s="358">
        <f>(F324*6450)/2880</f>
        <v>0</v>
      </c>
      <c r="N324" s="358"/>
      <c r="O324" s="358"/>
      <c r="P324" s="358"/>
      <c r="Q324" s="358" t="s">
        <v>18</v>
      </c>
      <c r="R324" s="358"/>
      <c r="S324" s="358" t="s">
        <v>19</v>
      </c>
      <c r="T324" s="528">
        <v>9</v>
      </c>
      <c r="U324" s="324">
        <f>E324/237*60</f>
        <v>0</v>
      </c>
      <c r="V324" s="676"/>
      <c r="W324" s="528"/>
      <c r="X324" s="529"/>
      <c r="Y324" s="323"/>
      <c r="Z324" s="312">
        <f t="shared" si="115"/>
        <v>0</v>
      </c>
      <c r="AA324" s="316">
        <f>SUM(Z324/285.7)</f>
        <v>0</v>
      </c>
    </row>
    <row r="325" spans="1:28" ht="51.75" thickBot="1" x14ac:dyDescent="0.45">
      <c r="A325" s="319" t="s">
        <v>14</v>
      </c>
      <c r="B325" s="362" t="s">
        <v>826</v>
      </c>
      <c r="C325" s="528"/>
      <c r="D325" s="551">
        <f t="shared" ref="D325:D334" si="116">C325*12</f>
        <v>0</v>
      </c>
      <c r="E325" s="456">
        <f>D325*0.5</f>
        <v>0</v>
      </c>
      <c r="F325" s="358">
        <f>E325*1.02*0.99/147</f>
        <v>0</v>
      </c>
      <c r="G325" s="548">
        <f t="shared" si="113"/>
        <v>0</v>
      </c>
      <c r="H325" s="358" t="s">
        <v>18</v>
      </c>
      <c r="I325" s="548">
        <f t="shared" si="114"/>
        <v>0</v>
      </c>
      <c r="J325" s="358" t="s">
        <v>19</v>
      </c>
      <c r="K325" s="358"/>
      <c r="L325" s="358"/>
      <c r="M325" s="358">
        <f>(F325*5257)/2880</f>
        <v>0</v>
      </c>
      <c r="N325" s="358"/>
      <c r="O325" s="358"/>
      <c r="P325" s="358"/>
      <c r="Q325" s="358" t="s">
        <v>18</v>
      </c>
      <c r="R325" s="358"/>
      <c r="S325" s="358" t="s">
        <v>19</v>
      </c>
      <c r="T325" s="528">
        <v>9</v>
      </c>
      <c r="U325" s="324"/>
      <c r="V325" s="676"/>
      <c r="W325" s="528"/>
      <c r="X325" s="529"/>
      <c r="Y325" s="711"/>
      <c r="Z325" s="312">
        <f t="shared" si="115"/>
        <v>0</v>
      </c>
      <c r="AA325" s="316">
        <f>SUM(Z325/323)</f>
        <v>0</v>
      </c>
    </row>
    <row r="326" spans="1:28" ht="84.75" customHeight="1" thickBot="1" x14ac:dyDescent="0.45">
      <c r="A326" s="319" t="s">
        <v>14</v>
      </c>
      <c r="B326" s="362" t="s">
        <v>904</v>
      </c>
      <c r="C326" s="528"/>
      <c r="D326" s="569">
        <f t="shared" si="116"/>
        <v>0</v>
      </c>
      <c r="E326" s="458">
        <f>D326*0.55</f>
        <v>0</v>
      </c>
      <c r="F326" s="358">
        <f>E326*0.9*1.01/147</f>
        <v>0</v>
      </c>
      <c r="G326" s="556">
        <f t="shared" si="113"/>
        <v>0</v>
      </c>
      <c r="H326" s="366" t="s">
        <v>18</v>
      </c>
      <c r="I326" s="556">
        <f t="shared" si="114"/>
        <v>0</v>
      </c>
      <c r="J326" s="366" t="s">
        <v>19</v>
      </c>
      <c r="K326" s="366"/>
      <c r="L326" s="366"/>
      <c r="M326" s="570">
        <f>(F326*5300/3456)</f>
        <v>0</v>
      </c>
      <c r="N326" s="366"/>
      <c r="O326" s="366"/>
      <c r="P326" s="366"/>
      <c r="Q326" s="366" t="s">
        <v>18</v>
      </c>
      <c r="R326" s="366"/>
      <c r="S326" s="366" t="s">
        <v>19</v>
      </c>
      <c r="T326" s="528">
        <v>9</v>
      </c>
      <c r="U326" s="324"/>
      <c r="V326" s="676"/>
      <c r="W326" s="528"/>
      <c r="X326" s="529"/>
      <c r="Y326" s="658"/>
      <c r="Z326" s="312">
        <f>E326/1.02/1.143</f>
        <v>0</v>
      </c>
      <c r="AA326" s="316">
        <f>SUM(AB326/323)</f>
        <v>0</v>
      </c>
      <c r="AB326" s="310">
        <f>E326/1.02</f>
        <v>0</v>
      </c>
    </row>
    <row r="327" spans="1:28" ht="84.75" customHeight="1" thickBot="1" x14ac:dyDescent="0.45">
      <c r="A327" s="319" t="s">
        <v>14</v>
      </c>
      <c r="B327" s="362" t="s">
        <v>905</v>
      </c>
      <c r="C327" s="528"/>
      <c r="D327" s="569">
        <f t="shared" si="116"/>
        <v>0</v>
      </c>
      <c r="E327" s="458">
        <f>D327*0.55</f>
        <v>0</v>
      </c>
      <c r="F327" s="358">
        <f>E327*0.9*1.01/147</f>
        <v>0</v>
      </c>
      <c r="G327" s="556">
        <f t="shared" si="113"/>
        <v>0</v>
      </c>
      <c r="H327" s="366" t="s">
        <v>18</v>
      </c>
      <c r="I327" s="556">
        <f t="shared" si="114"/>
        <v>0</v>
      </c>
      <c r="J327" s="366" t="s">
        <v>19</v>
      </c>
      <c r="K327" s="366"/>
      <c r="L327" s="366"/>
      <c r="M327" s="570">
        <f>(F327*5300/3456)</f>
        <v>0</v>
      </c>
      <c r="N327" s="366"/>
      <c r="O327" s="366"/>
      <c r="P327" s="366"/>
      <c r="Q327" s="366" t="s">
        <v>18</v>
      </c>
      <c r="R327" s="366"/>
      <c r="S327" s="366" t="s">
        <v>19</v>
      </c>
      <c r="T327" s="528">
        <v>9</v>
      </c>
      <c r="U327" s="324"/>
      <c r="V327" s="676"/>
      <c r="W327" s="528"/>
      <c r="X327" s="529"/>
      <c r="Y327" s="660"/>
      <c r="Z327" s="312">
        <f>E327/1.02/1.143</f>
        <v>0</v>
      </c>
      <c r="AA327" s="316">
        <f>SUM(AB327/323)</f>
        <v>0</v>
      </c>
      <c r="AB327" s="310">
        <f>E327/1.02</f>
        <v>0</v>
      </c>
    </row>
    <row r="328" spans="1:28" ht="51.75" thickBot="1" x14ac:dyDescent="0.45">
      <c r="A328" s="319" t="s">
        <v>14</v>
      </c>
      <c r="B328" s="344" t="s">
        <v>846</v>
      </c>
      <c r="C328" s="528"/>
      <c r="D328" s="551">
        <f t="shared" si="116"/>
        <v>0</v>
      </c>
      <c r="E328" s="456">
        <f t="shared" ref="E328:E334" si="117">D328*0.25</f>
        <v>0</v>
      </c>
      <c r="F328" s="358">
        <f t="shared" ref="F328:F334" si="118">E328*0.99*1.03/147</f>
        <v>0</v>
      </c>
      <c r="G328" s="548">
        <f t="shared" si="113"/>
        <v>0</v>
      </c>
      <c r="H328" s="358" t="s">
        <v>18</v>
      </c>
      <c r="I328" s="548">
        <f t="shared" si="114"/>
        <v>0</v>
      </c>
      <c r="J328" s="358" t="s">
        <v>19</v>
      </c>
      <c r="K328" s="358"/>
      <c r="L328" s="358"/>
      <c r="M328" s="358">
        <f t="shared" ref="M328:M333" si="119">(F328*6989)/2880</f>
        <v>0</v>
      </c>
      <c r="N328" s="358"/>
      <c r="O328" s="358"/>
      <c r="P328" s="358"/>
      <c r="Q328" s="358" t="s">
        <v>18</v>
      </c>
      <c r="R328" s="358"/>
      <c r="S328" s="358" t="s">
        <v>19</v>
      </c>
      <c r="T328" s="528">
        <v>9</v>
      </c>
      <c r="U328" s="324">
        <f t="shared" ref="U328:U334" si="120">E328/403*60</f>
        <v>0</v>
      </c>
      <c r="V328" s="676"/>
      <c r="W328" s="528"/>
      <c r="X328" s="529"/>
      <c r="Y328" s="323"/>
      <c r="Z328" s="312">
        <f t="shared" si="115"/>
        <v>0</v>
      </c>
      <c r="AA328" s="316">
        <f t="shared" ref="AA328:AA334" si="121">SUM(Z328/260.8)</f>
        <v>0</v>
      </c>
    </row>
    <row r="329" spans="1:28" ht="51.75" thickBot="1" x14ac:dyDescent="0.45">
      <c r="A329" s="319" t="s">
        <v>14</v>
      </c>
      <c r="B329" s="344" t="s">
        <v>847</v>
      </c>
      <c r="C329" s="528"/>
      <c r="D329" s="551">
        <f t="shared" si="116"/>
        <v>0</v>
      </c>
      <c r="E329" s="456">
        <f t="shared" si="117"/>
        <v>0</v>
      </c>
      <c r="F329" s="358">
        <f t="shared" si="118"/>
        <v>0</v>
      </c>
      <c r="G329" s="548">
        <f t="shared" si="113"/>
        <v>0</v>
      </c>
      <c r="H329" s="358" t="s">
        <v>18</v>
      </c>
      <c r="I329" s="548">
        <f t="shared" si="114"/>
        <v>0</v>
      </c>
      <c r="J329" s="358" t="s">
        <v>19</v>
      </c>
      <c r="K329" s="358"/>
      <c r="L329" s="358"/>
      <c r="M329" s="358">
        <f t="shared" si="119"/>
        <v>0</v>
      </c>
      <c r="N329" s="358"/>
      <c r="O329" s="358"/>
      <c r="P329" s="358"/>
      <c r="Q329" s="358" t="s">
        <v>18</v>
      </c>
      <c r="R329" s="358"/>
      <c r="S329" s="358" t="s">
        <v>19</v>
      </c>
      <c r="T329" s="528">
        <v>9</v>
      </c>
      <c r="U329" s="324">
        <f t="shared" si="120"/>
        <v>0</v>
      </c>
      <c r="V329" s="676"/>
      <c r="W329" s="528"/>
      <c r="X329" s="529"/>
      <c r="Y329" s="323"/>
      <c r="Z329" s="312">
        <f t="shared" si="115"/>
        <v>0</v>
      </c>
      <c r="AA329" s="316">
        <f t="shared" si="121"/>
        <v>0</v>
      </c>
    </row>
    <row r="330" spans="1:28" ht="51.75" thickBot="1" x14ac:dyDescent="0.45">
      <c r="A330" s="319" t="s">
        <v>14</v>
      </c>
      <c r="B330" s="344" t="s">
        <v>848</v>
      </c>
      <c r="C330" s="528"/>
      <c r="D330" s="551">
        <f t="shared" si="116"/>
        <v>0</v>
      </c>
      <c r="E330" s="456">
        <f t="shared" si="117"/>
        <v>0</v>
      </c>
      <c r="F330" s="358">
        <f t="shared" si="118"/>
        <v>0</v>
      </c>
      <c r="G330" s="548">
        <f t="shared" si="113"/>
        <v>0</v>
      </c>
      <c r="H330" s="358" t="s">
        <v>18</v>
      </c>
      <c r="I330" s="548">
        <f t="shared" si="114"/>
        <v>0</v>
      </c>
      <c r="J330" s="358" t="s">
        <v>19</v>
      </c>
      <c r="K330" s="358"/>
      <c r="L330" s="358"/>
      <c r="M330" s="358">
        <f t="shared" si="119"/>
        <v>0</v>
      </c>
      <c r="N330" s="358"/>
      <c r="O330" s="358"/>
      <c r="P330" s="358"/>
      <c r="Q330" s="358" t="s">
        <v>18</v>
      </c>
      <c r="R330" s="358"/>
      <c r="S330" s="358" t="s">
        <v>19</v>
      </c>
      <c r="T330" s="528">
        <v>9</v>
      </c>
      <c r="U330" s="324">
        <f t="shared" si="120"/>
        <v>0</v>
      </c>
      <c r="V330" s="676"/>
      <c r="W330" s="528"/>
      <c r="X330" s="529"/>
      <c r="Y330" s="323"/>
      <c r="Z330" s="312">
        <f>E330/1.1</f>
        <v>0</v>
      </c>
      <c r="AA330" s="316">
        <f t="shared" si="121"/>
        <v>0</v>
      </c>
    </row>
    <row r="331" spans="1:28" ht="51.75" thickBot="1" x14ac:dyDescent="0.45">
      <c r="A331" s="319" t="s">
        <v>14</v>
      </c>
      <c r="B331" s="879" t="s">
        <v>1211</v>
      </c>
      <c r="C331" s="528"/>
      <c r="D331" s="551">
        <f>C331*14</f>
        <v>0</v>
      </c>
      <c r="E331" s="456">
        <f t="shared" si="117"/>
        <v>0</v>
      </c>
      <c r="F331" s="358">
        <f t="shared" si="118"/>
        <v>0</v>
      </c>
      <c r="G331" s="548">
        <f t="shared" ref="G331:G342" si="122">INT(M331)</f>
        <v>0</v>
      </c>
      <c r="H331" s="358" t="s">
        <v>18</v>
      </c>
      <c r="I331" s="548">
        <f t="shared" ref="I331:I342" si="123">(M331-G331)*64</f>
        <v>0</v>
      </c>
      <c r="J331" s="358" t="s">
        <v>19</v>
      </c>
      <c r="K331" s="358"/>
      <c r="L331" s="358"/>
      <c r="M331" s="358">
        <f t="shared" si="119"/>
        <v>0</v>
      </c>
      <c r="N331" s="358"/>
      <c r="O331" s="358"/>
      <c r="P331" s="358"/>
      <c r="Q331" s="358" t="s">
        <v>18</v>
      </c>
      <c r="R331" s="358"/>
      <c r="S331" s="358" t="s">
        <v>19</v>
      </c>
      <c r="T331" s="528">
        <v>9</v>
      </c>
      <c r="U331" s="324">
        <f t="shared" si="120"/>
        <v>0</v>
      </c>
      <c r="V331" s="676"/>
      <c r="W331" s="528"/>
      <c r="X331" s="529"/>
      <c r="Y331" s="323"/>
      <c r="Z331" s="312">
        <f>E331/1.02</f>
        <v>0</v>
      </c>
      <c r="AA331" s="316">
        <f t="shared" si="121"/>
        <v>0</v>
      </c>
    </row>
    <row r="332" spans="1:28" ht="51.75" thickBot="1" x14ac:dyDescent="0.45">
      <c r="A332" s="319" t="s">
        <v>14</v>
      </c>
      <c r="B332" s="879" t="s">
        <v>1213</v>
      </c>
      <c r="C332" s="528"/>
      <c r="D332" s="551">
        <f>C332*14</f>
        <v>0</v>
      </c>
      <c r="E332" s="456">
        <f t="shared" si="117"/>
        <v>0</v>
      </c>
      <c r="F332" s="358">
        <f t="shared" si="118"/>
        <v>0</v>
      </c>
      <c r="G332" s="548">
        <f t="shared" si="122"/>
        <v>0</v>
      </c>
      <c r="H332" s="358" t="s">
        <v>18</v>
      </c>
      <c r="I332" s="548">
        <f t="shared" si="123"/>
        <v>0</v>
      </c>
      <c r="J332" s="358" t="s">
        <v>19</v>
      </c>
      <c r="K332" s="358"/>
      <c r="L332" s="358"/>
      <c r="M332" s="358">
        <f t="shared" si="119"/>
        <v>0</v>
      </c>
      <c r="N332" s="358"/>
      <c r="O332" s="358"/>
      <c r="P332" s="358"/>
      <c r="Q332" s="358" t="s">
        <v>18</v>
      </c>
      <c r="R332" s="358"/>
      <c r="S332" s="358" t="s">
        <v>19</v>
      </c>
      <c r="T332" s="528">
        <v>9</v>
      </c>
      <c r="U332" s="324">
        <f t="shared" si="120"/>
        <v>0</v>
      </c>
      <c r="V332" s="676"/>
      <c r="W332" s="528"/>
      <c r="X332" s="529"/>
      <c r="Y332" s="323"/>
      <c r="Z332" s="312">
        <f>E332/1.02</f>
        <v>0</v>
      </c>
      <c r="AA332" s="316">
        <f t="shared" si="121"/>
        <v>0</v>
      </c>
    </row>
    <row r="333" spans="1:28" ht="51.75" thickBot="1" x14ac:dyDescent="0.45">
      <c r="A333" s="319" t="s">
        <v>14</v>
      </c>
      <c r="B333" s="879" t="s">
        <v>1212</v>
      </c>
      <c r="C333" s="528"/>
      <c r="D333" s="551">
        <f>C333*14</f>
        <v>0</v>
      </c>
      <c r="E333" s="456">
        <f t="shared" si="117"/>
        <v>0</v>
      </c>
      <c r="F333" s="358">
        <f t="shared" si="118"/>
        <v>0</v>
      </c>
      <c r="G333" s="548">
        <f t="shared" si="122"/>
        <v>0</v>
      </c>
      <c r="H333" s="358" t="s">
        <v>18</v>
      </c>
      <c r="I333" s="548">
        <f t="shared" si="123"/>
        <v>0</v>
      </c>
      <c r="J333" s="358" t="s">
        <v>19</v>
      </c>
      <c r="K333" s="358"/>
      <c r="L333" s="358"/>
      <c r="M333" s="358">
        <f t="shared" si="119"/>
        <v>0</v>
      </c>
      <c r="N333" s="358"/>
      <c r="O333" s="358"/>
      <c r="P333" s="358"/>
      <c r="Q333" s="358" t="s">
        <v>18</v>
      </c>
      <c r="R333" s="358"/>
      <c r="S333" s="358" t="s">
        <v>19</v>
      </c>
      <c r="T333" s="528">
        <v>9</v>
      </c>
      <c r="U333" s="324">
        <f t="shared" si="120"/>
        <v>0</v>
      </c>
      <c r="V333" s="676"/>
      <c r="W333" s="528"/>
      <c r="X333" s="529"/>
      <c r="Y333" s="323"/>
      <c r="Z333" s="312">
        <f>E333/1.1</f>
        <v>0</v>
      </c>
      <c r="AA333" s="316">
        <f t="shared" si="121"/>
        <v>0</v>
      </c>
    </row>
    <row r="334" spans="1:28" ht="77.25" thickBot="1" x14ac:dyDescent="0.45">
      <c r="A334" s="319" t="s">
        <v>14</v>
      </c>
      <c r="B334" s="344" t="s">
        <v>910</v>
      </c>
      <c r="C334" s="528"/>
      <c r="D334" s="548">
        <f t="shared" si="116"/>
        <v>0</v>
      </c>
      <c r="E334" s="456">
        <f t="shared" si="117"/>
        <v>0</v>
      </c>
      <c r="F334" s="358">
        <f t="shared" si="118"/>
        <v>0</v>
      </c>
      <c r="G334" s="548">
        <f t="shared" si="122"/>
        <v>0</v>
      </c>
      <c r="H334" s="358" t="s">
        <v>18</v>
      </c>
      <c r="I334" s="548">
        <f t="shared" si="123"/>
        <v>0</v>
      </c>
      <c r="J334" s="358" t="s">
        <v>19</v>
      </c>
      <c r="K334" s="358"/>
      <c r="L334" s="358"/>
      <c r="M334" s="358">
        <f>(F334*7000)/2880</f>
        <v>0</v>
      </c>
      <c r="N334" s="358"/>
      <c r="O334" s="358"/>
      <c r="P334" s="358"/>
      <c r="Q334" s="358" t="s">
        <v>18</v>
      </c>
      <c r="R334" s="358"/>
      <c r="S334" s="358" t="s">
        <v>19</v>
      </c>
      <c r="T334" s="528">
        <v>9</v>
      </c>
      <c r="U334" s="324">
        <f t="shared" si="120"/>
        <v>0</v>
      </c>
      <c r="V334" s="676"/>
      <c r="W334" s="528"/>
      <c r="X334" s="529"/>
      <c r="Y334" s="323"/>
      <c r="Z334" s="312">
        <f>E334/1.1</f>
        <v>0</v>
      </c>
      <c r="AA334" s="316">
        <f t="shared" si="121"/>
        <v>0</v>
      </c>
    </row>
    <row r="335" spans="1:28" ht="53.25" thickBot="1" x14ac:dyDescent="0.45">
      <c r="A335" s="319" t="s">
        <v>14</v>
      </c>
      <c r="B335" s="320" t="s">
        <v>1021</v>
      </c>
      <c r="C335" s="528"/>
      <c r="D335" s="530">
        <f>C335*22</f>
        <v>0</v>
      </c>
      <c r="E335" s="460">
        <f>D335*0.13</f>
        <v>0</v>
      </c>
      <c r="F335" s="324">
        <f t="shared" ref="F335:F340" si="124">E335*0.99*1.02/170</f>
        <v>0</v>
      </c>
      <c r="G335" s="324">
        <f t="shared" si="122"/>
        <v>0</v>
      </c>
      <c r="H335" s="324" t="s">
        <v>18</v>
      </c>
      <c r="I335" s="528">
        <f t="shared" si="123"/>
        <v>0</v>
      </c>
      <c r="J335" s="324" t="s">
        <v>19</v>
      </c>
      <c r="K335" s="324"/>
      <c r="L335" s="324"/>
      <c r="M335" s="324">
        <f t="shared" ref="M335:M340" si="125">(F335*8500)/3456</f>
        <v>0</v>
      </c>
      <c r="N335" s="324"/>
      <c r="O335" s="324"/>
      <c r="P335" s="324"/>
      <c r="Q335" s="324" t="s">
        <v>18</v>
      </c>
      <c r="R335" s="324"/>
      <c r="S335" s="324" t="s">
        <v>19</v>
      </c>
      <c r="T335" s="528">
        <v>9</v>
      </c>
      <c r="U335" s="324">
        <f t="shared" ref="U335:U340" si="126">E335/237*60</f>
        <v>0</v>
      </c>
      <c r="V335" s="676"/>
      <c r="W335" s="528"/>
      <c r="X335" s="529"/>
      <c r="Y335" s="323" t="s">
        <v>1022</v>
      </c>
      <c r="Z335" s="312">
        <f t="shared" ref="Z335:Z340" si="127">E335/1.026</f>
        <v>0</v>
      </c>
      <c r="AA335" s="316">
        <f>SUM(Z335/273)</f>
        <v>0</v>
      </c>
    </row>
    <row r="336" spans="1:28" ht="53.25" thickBot="1" x14ac:dyDescent="0.45">
      <c r="A336" s="319" t="s">
        <v>14</v>
      </c>
      <c r="B336" s="799" t="s">
        <v>1223</v>
      </c>
      <c r="C336" s="528"/>
      <c r="D336" s="530">
        <f>C336*12</f>
        <v>0</v>
      </c>
      <c r="E336" s="460">
        <f>D336*0.13</f>
        <v>0</v>
      </c>
      <c r="F336" s="324">
        <f t="shared" si="124"/>
        <v>0</v>
      </c>
      <c r="G336" s="324">
        <f>INT(M336)</f>
        <v>0</v>
      </c>
      <c r="H336" s="324" t="s">
        <v>18</v>
      </c>
      <c r="I336" s="528">
        <f>(M336-G336)*64</f>
        <v>0</v>
      </c>
      <c r="J336" s="324" t="s">
        <v>19</v>
      </c>
      <c r="K336" s="324"/>
      <c r="L336" s="324"/>
      <c r="M336" s="324">
        <f t="shared" si="125"/>
        <v>0</v>
      </c>
      <c r="N336" s="324"/>
      <c r="O336" s="324"/>
      <c r="P336" s="324"/>
      <c r="Q336" s="324" t="s">
        <v>18</v>
      </c>
      <c r="R336" s="324"/>
      <c r="S336" s="324" t="s">
        <v>19</v>
      </c>
      <c r="T336" s="528">
        <v>9</v>
      </c>
      <c r="U336" s="324">
        <f t="shared" si="126"/>
        <v>0</v>
      </c>
      <c r="V336" s="676"/>
      <c r="W336" s="528"/>
      <c r="X336" s="529"/>
      <c r="Y336" s="323" t="s">
        <v>1022</v>
      </c>
      <c r="Z336" s="312">
        <f t="shared" si="127"/>
        <v>0</v>
      </c>
      <c r="AA336" s="316">
        <f>SUM(Z336/273)</f>
        <v>0</v>
      </c>
    </row>
    <row r="337" spans="1:29" ht="53.25" thickBot="1" x14ac:dyDescent="0.45">
      <c r="A337" s="319" t="s">
        <v>14</v>
      </c>
      <c r="B337" s="320" t="s">
        <v>1023</v>
      </c>
      <c r="C337" s="528"/>
      <c r="D337" s="530">
        <f>C337*8</f>
        <v>0</v>
      </c>
      <c r="E337" s="460">
        <f>D337*0.16</f>
        <v>0</v>
      </c>
      <c r="F337" s="324">
        <f t="shared" si="124"/>
        <v>0</v>
      </c>
      <c r="G337" s="324">
        <f t="shared" si="122"/>
        <v>0</v>
      </c>
      <c r="H337" s="324" t="s">
        <v>18</v>
      </c>
      <c r="I337" s="528">
        <f t="shared" si="123"/>
        <v>0</v>
      </c>
      <c r="J337" s="324" t="s">
        <v>19</v>
      </c>
      <c r="K337" s="324"/>
      <c r="L337" s="324"/>
      <c r="M337" s="324">
        <f t="shared" si="125"/>
        <v>0</v>
      </c>
      <c r="N337" s="324"/>
      <c r="O337" s="324"/>
      <c r="P337" s="324"/>
      <c r="Q337" s="324" t="s">
        <v>18</v>
      </c>
      <c r="R337" s="324"/>
      <c r="S337" s="324" t="s">
        <v>19</v>
      </c>
      <c r="T337" s="528">
        <v>9</v>
      </c>
      <c r="U337" s="324">
        <f t="shared" si="126"/>
        <v>0</v>
      </c>
      <c r="V337" s="676"/>
      <c r="W337" s="528"/>
      <c r="X337" s="529"/>
      <c r="Y337" s="323" t="s">
        <v>1022</v>
      </c>
      <c r="Z337" s="312">
        <f t="shared" si="127"/>
        <v>0</v>
      </c>
      <c r="AA337" s="316">
        <f>SUM(Z337/248)</f>
        <v>0</v>
      </c>
    </row>
    <row r="338" spans="1:29" ht="53.25" thickBot="1" x14ac:dyDescent="0.45">
      <c r="A338" s="319" t="s">
        <v>14</v>
      </c>
      <c r="B338" s="320" t="s">
        <v>1194</v>
      </c>
      <c r="C338" s="528"/>
      <c r="D338" s="551">
        <f>C338*12</f>
        <v>0</v>
      </c>
      <c r="E338" s="456">
        <f>D338*0.16</f>
        <v>0</v>
      </c>
      <c r="F338" s="358">
        <f t="shared" si="124"/>
        <v>0</v>
      </c>
      <c r="G338" s="358">
        <f t="shared" si="122"/>
        <v>0</v>
      </c>
      <c r="H338" s="358" t="s">
        <v>18</v>
      </c>
      <c r="I338" s="548">
        <f t="shared" si="123"/>
        <v>0</v>
      </c>
      <c r="J338" s="358" t="s">
        <v>19</v>
      </c>
      <c r="K338" s="358"/>
      <c r="L338" s="358"/>
      <c r="M338" s="358">
        <f t="shared" si="125"/>
        <v>0</v>
      </c>
      <c r="N338" s="324"/>
      <c r="O338" s="324"/>
      <c r="P338" s="324"/>
      <c r="Q338" s="324" t="s">
        <v>18</v>
      </c>
      <c r="R338" s="324"/>
      <c r="S338" s="324" t="s">
        <v>19</v>
      </c>
      <c r="T338" s="528">
        <v>9</v>
      </c>
      <c r="U338" s="324">
        <f t="shared" si="126"/>
        <v>0</v>
      </c>
      <c r="V338" s="676"/>
      <c r="W338" s="528"/>
      <c r="X338" s="529"/>
      <c r="Y338" s="323" t="s">
        <v>1022</v>
      </c>
      <c r="Z338" s="312">
        <f t="shared" si="127"/>
        <v>0</v>
      </c>
      <c r="AA338" s="316">
        <f>SUM(Z338/248)</f>
        <v>0</v>
      </c>
    </row>
    <row r="339" spans="1:29" ht="53.25" thickBot="1" x14ac:dyDescent="0.45">
      <c r="A339" s="319" t="s">
        <v>14</v>
      </c>
      <c r="B339" s="799" t="s">
        <v>1215</v>
      </c>
      <c r="C339" s="528"/>
      <c r="D339" s="551">
        <f>C339*10</f>
        <v>0</v>
      </c>
      <c r="E339" s="456">
        <f>D339*0.16</f>
        <v>0</v>
      </c>
      <c r="F339" s="358">
        <f t="shared" si="124"/>
        <v>0</v>
      </c>
      <c r="G339" s="358">
        <f>INT(M339)</f>
        <v>0</v>
      </c>
      <c r="H339" s="358" t="s">
        <v>18</v>
      </c>
      <c r="I339" s="548">
        <f>(M339-G339)*64</f>
        <v>0</v>
      </c>
      <c r="J339" s="358" t="s">
        <v>19</v>
      </c>
      <c r="K339" s="358"/>
      <c r="L339" s="358"/>
      <c r="M339" s="358">
        <f t="shared" si="125"/>
        <v>0</v>
      </c>
      <c r="N339" s="324"/>
      <c r="O339" s="324"/>
      <c r="P339" s="324"/>
      <c r="Q339" s="324" t="s">
        <v>18</v>
      </c>
      <c r="R339" s="324"/>
      <c r="S339" s="324" t="s">
        <v>19</v>
      </c>
      <c r="T339" s="528">
        <v>9</v>
      </c>
      <c r="U339" s="324">
        <f t="shared" si="126"/>
        <v>0</v>
      </c>
      <c r="V339" s="676"/>
      <c r="W339" s="528"/>
      <c r="X339" s="529"/>
      <c r="Y339" s="323" t="s">
        <v>1022</v>
      </c>
      <c r="Z339" s="312">
        <f t="shared" si="127"/>
        <v>0</v>
      </c>
      <c r="AA339" s="316">
        <f>SUM(Z339/248)</f>
        <v>0</v>
      </c>
    </row>
    <row r="340" spans="1:29" ht="77.25" thickBot="1" x14ac:dyDescent="0.45">
      <c r="A340" s="319" t="s">
        <v>14</v>
      </c>
      <c r="B340" s="320" t="s">
        <v>1182</v>
      </c>
      <c r="C340" s="528"/>
      <c r="D340" s="530">
        <f>C340*10</f>
        <v>0</v>
      </c>
      <c r="E340" s="460">
        <f>D340*0.26</f>
        <v>0</v>
      </c>
      <c r="F340" s="324">
        <f t="shared" si="124"/>
        <v>0</v>
      </c>
      <c r="G340" s="324">
        <f t="shared" si="122"/>
        <v>0</v>
      </c>
      <c r="H340" s="324" t="s">
        <v>18</v>
      </c>
      <c r="I340" s="528">
        <f t="shared" si="123"/>
        <v>0</v>
      </c>
      <c r="J340" s="324" t="s">
        <v>19</v>
      </c>
      <c r="K340" s="324"/>
      <c r="L340" s="324"/>
      <c r="M340" s="324">
        <f t="shared" si="125"/>
        <v>0</v>
      </c>
      <c r="N340" s="324"/>
      <c r="O340" s="324"/>
      <c r="P340" s="324"/>
      <c r="Q340" s="324" t="s">
        <v>18</v>
      </c>
      <c r="R340" s="324"/>
      <c r="S340" s="324" t="s">
        <v>19</v>
      </c>
      <c r="T340" s="528">
        <v>9</v>
      </c>
      <c r="U340" s="324">
        <f t="shared" si="126"/>
        <v>0</v>
      </c>
      <c r="V340" s="676"/>
      <c r="W340" s="528"/>
      <c r="X340" s="529"/>
      <c r="Y340" s="323" t="s">
        <v>1022</v>
      </c>
      <c r="Z340" s="312">
        <f t="shared" si="127"/>
        <v>0</v>
      </c>
      <c r="AA340" s="316">
        <f>SUM(Z340/273)</f>
        <v>0</v>
      </c>
    </row>
    <row r="341" spans="1:29" ht="77.25" thickBot="1" x14ac:dyDescent="0.45">
      <c r="A341" s="319" t="s">
        <v>14</v>
      </c>
      <c r="B341" s="320" t="s">
        <v>744</v>
      </c>
      <c r="C341" s="528"/>
      <c r="D341" s="528"/>
      <c r="E341" s="456">
        <f>C341*4</f>
        <v>0</v>
      </c>
      <c r="F341" s="358">
        <f>E341*1.01*0.72/147</f>
        <v>0</v>
      </c>
      <c r="G341" s="548">
        <f t="shared" si="122"/>
        <v>0</v>
      </c>
      <c r="H341" s="358" t="s">
        <v>18</v>
      </c>
      <c r="I341" s="548">
        <f t="shared" si="123"/>
        <v>0</v>
      </c>
      <c r="J341" s="358" t="s">
        <v>19</v>
      </c>
      <c r="K341" s="358"/>
      <c r="L341" s="358"/>
      <c r="M341" s="358">
        <f>(F341*6035/3456)</f>
        <v>0</v>
      </c>
      <c r="N341" s="324"/>
      <c r="O341" s="324"/>
      <c r="P341" s="324"/>
      <c r="Q341" s="324" t="s">
        <v>18</v>
      </c>
      <c r="R341" s="324"/>
      <c r="S341" s="324" t="s">
        <v>19</v>
      </c>
      <c r="T341" s="528">
        <v>9</v>
      </c>
      <c r="U341" s="324">
        <f>E341/324*60</f>
        <v>0</v>
      </c>
      <c r="V341" s="676"/>
      <c r="W341" s="528"/>
      <c r="X341" s="529"/>
      <c r="Y341" s="323"/>
      <c r="Z341" s="312">
        <f>E341/1.21/1.143</f>
        <v>0</v>
      </c>
      <c r="AA341" s="316">
        <f>SUM(AB341/347.8)</f>
        <v>0</v>
      </c>
      <c r="AB341" s="310">
        <f>E341/1.21</f>
        <v>0</v>
      </c>
    </row>
    <row r="342" spans="1:29" ht="77.25" thickBot="1" x14ac:dyDescent="0.45">
      <c r="A342" s="319" t="s">
        <v>14</v>
      </c>
      <c r="B342" s="320" t="s">
        <v>745</v>
      </c>
      <c r="C342" s="528"/>
      <c r="D342" s="528"/>
      <c r="E342" s="456">
        <f>C342*2.5</f>
        <v>0</v>
      </c>
      <c r="F342" s="358">
        <f>E342*1.01*0.72/147</f>
        <v>0</v>
      </c>
      <c r="G342" s="548">
        <f t="shared" si="122"/>
        <v>0</v>
      </c>
      <c r="H342" s="358" t="s">
        <v>18</v>
      </c>
      <c r="I342" s="548">
        <f t="shared" si="123"/>
        <v>0</v>
      </c>
      <c r="J342" s="358" t="s">
        <v>19</v>
      </c>
      <c r="K342" s="358"/>
      <c r="L342" s="358"/>
      <c r="M342" s="358">
        <f>(F342*6035/3456)</f>
        <v>0</v>
      </c>
      <c r="N342" s="324"/>
      <c r="O342" s="324"/>
      <c r="P342" s="324"/>
      <c r="Q342" s="324" t="s">
        <v>18</v>
      </c>
      <c r="R342" s="324"/>
      <c r="S342" s="324" t="s">
        <v>19</v>
      </c>
      <c r="T342" s="528">
        <v>9</v>
      </c>
      <c r="U342" s="324">
        <f>E342/324*60</f>
        <v>0</v>
      </c>
      <c r="V342" s="676"/>
      <c r="W342" s="528"/>
      <c r="X342" s="529"/>
      <c r="Y342" s="323"/>
      <c r="Z342" s="312">
        <f>E342/1.21/1.143</f>
        <v>0</v>
      </c>
      <c r="AA342" s="316">
        <f>SUM(AB342/287.3)</f>
        <v>0</v>
      </c>
      <c r="AB342" s="310">
        <f>E342/1.21</f>
        <v>0</v>
      </c>
    </row>
    <row r="343" spans="1:29" thickBot="1" x14ac:dyDescent="0.45">
      <c r="A343" s="319"/>
      <c r="B343" s="372"/>
      <c r="C343" s="528"/>
      <c r="D343" s="528"/>
      <c r="E343" s="460"/>
      <c r="F343" s="324"/>
      <c r="G343" s="528"/>
      <c r="H343" s="324"/>
      <c r="I343" s="528"/>
      <c r="J343" s="324"/>
      <c r="K343" s="324"/>
      <c r="L343" s="324"/>
      <c r="M343" s="324"/>
      <c r="N343" s="324"/>
      <c r="O343" s="324"/>
      <c r="P343" s="324"/>
      <c r="Q343" s="324"/>
      <c r="R343" s="324"/>
      <c r="S343" s="324"/>
      <c r="T343" s="528"/>
      <c r="U343" s="324"/>
      <c r="V343" s="676"/>
      <c r="W343" s="528"/>
      <c r="X343" s="529"/>
      <c r="Y343" s="323"/>
    </row>
    <row r="344" spans="1:29" thickBot="1" x14ac:dyDescent="0.45">
      <c r="A344" s="319"/>
      <c r="B344" s="319"/>
      <c r="C344" s="528"/>
      <c r="D344" s="528"/>
      <c r="E344" s="460"/>
      <c r="F344" s="324"/>
      <c r="G344" s="528"/>
      <c r="H344" s="324"/>
      <c r="I344" s="528"/>
      <c r="J344" s="324"/>
      <c r="K344" s="324"/>
      <c r="L344" s="324"/>
      <c r="M344" s="324"/>
      <c r="N344" s="324"/>
      <c r="O344" s="324"/>
      <c r="P344" s="324"/>
      <c r="Q344" s="324"/>
      <c r="R344" s="324"/>
      <c r="S344" s="324"/>
      <c r="T344" s="528"/>
      <c r="U344" s="324"/>
      <c r="V344" s="676"/>
      <c r="W344" s="528"/>
      <c r="X344" s="529"/>
      <c r="Y344" s="323"/>
    </row>
    <row r="345" spans="1:29" ht="333" thickBot="1" x14ac:dyDescent="0.45">
      <c r="A345" s="829"/>
      <c r="B345" s="304" t="s">
        <v>119</v>
      </c>
      <c r="C345" s="537"/>
      <c r="D345" s="537"/>
      <c r="E345" s="499">
        <v>160</v>
      </c>
      <c r="F345" s="538"/>
      <c r="G345" s="528"/>
      <c r="H345" s="324"/>
      <c r="I345" s="528"/>
      <c r="J345" s="324"/>
      <c r="K345" s="324"/>
      <c r="L345" s="324"/>
      <c r="M345" s="324"/>
      <c r="N345" s="324"/>
      <c r="O345" s="324"/>
      <c r="P345" s="324"/>
      <c r="Q345" s="324"/>
      <c r="R345" s="324"/>
      <c r="S345" s="324"/>
      <c r="T345" s="528"/>
      <c r="U345" s="324"/>
      <c r="V345" s="676"/>
      <c r="W345" s="528"/>
      <c r="X345" s="529"/>
      <c r="Y345" s="397" t="s">
        <v>1049</v>
      </c>
      <c r="AA345" s="916" t="s">
        <v>1050</v>
      </c>
      <c r="AB345" s="916"/>
      <c r="AC345" s="916"/>
    </row>
    <row r="346" spans="1:29" thickBot="1" x14ac:dyDescent="0.45">
      <c r="A346" s="829"/>
      <c r="B346" s="332" t="s">
        <v>120</v>
      </c>
      <c r="C346" s="537"/>
      <c r="D346" s="537"/>
      <c r="E346" s="496">
        <f>SUM(E158:E342)</f>
        <v>10720</v>
      </c>
      <c r="F346" s="354">
        <f>SUM(F158:F342)</f>
        <v>65.950040816326521</v>
      </c>
      <c r="G346" s="528"/>
      <c r="H346" s="324"/>
      <c r="I346" s="528"/>
      <c r="J346" s="324"/>
      <c r="K346" s="324"/>
      <c r="L346" s="324"/>
      <c r="M346" s="324"/>
      <c r="N346" s="324"/>
      <c r="O346" s="324"/>
      <c r="P346" s="324"/>
      <c r="Q346" s="324"/>
      <c r="R346" s="324"/>
      <c r="S346" s="324"/>
      <c r="T346" s="528"/>
      <c r="U346" s="324"/>
      <c r="V346" s="676"/>
      <c r="W346" s="528"/>
      <c r="X346" s="529"/>
      <c r="Y346" s="323"/>
    </row>
    <row r="347" spans="1:29" thickBot="1" x14ac:dyDescent="0.45">
      <c r="A347" s="829"/>
      <c r="B347" s="332" t="s">
        <v>121</v>
      </c>
      <c r="C347" s="537"/>
      <c r="D347" s="537"/>
      <c r="E347" s="496">
        <f>E346+E152</f>
        <v>10720</v>
      </c>
      <c r="F347" s="354"/>
      <c r="G347" s="528"/>
      <c r="H347" s="324"/>
      <c r="I347" s="528"/>
      <c r="J347" s="324"/>
      <c r="K347" s="324"/>
      <c r="L347" s="324"/>
      <c r="M347" s="324"/>
      <c r="N347" s="324"/>
      <c r="O347" s="324"/>
      <c r="P347" s="324"/>
      <c r="Q347" s="324"/>
      <c r="R347" s="324"/>
      <c r="S347" s="324"/>
      <c r="T347" s="528"/>
      <c r="U347" s="324"/>
      <c r="V347" s="676"/>
      <c r="W347" s="528"/>
      <c r="X347" s="529"/>
      <c r="Y347" s="323"/>
    </row>
    <row r="348" spans="1:29" thickBot="1" x14ac:dyDescent="0.45">
      <c r="A348" s="829"/>
      <c r="B348" s="329"/>
      <c r="C348" s="539"/>
      <c r="D348" s="539"/>
      <c r="E348" s="502"/>
      <c r="F348" s="333"/>
      <c r="G348" s="539"/>
      <c r="H348" s="333"/>
      <c r="I348" s="539"/>
      <c r="J348" s="333"/>
      <c r="K348" s="333"/>
      <c r="L348" s="333"/>
      <c r="M348" s="333"/>
      <c r="N348" s="333"/>
      <c r="O348" s="333"/>
      <c r="P348" s="333"/>
      <c r="Q348" s="333"/>
      <c r="R348" s="333"/>
      <c r="S348" s="333"/>
      <c r="T348" s="539"/>
      <c r="U348" s="333"/>
      <c r="V348" s="681"/>
      <c r="W348" s="539"/>
      <c r="X348" s="333"/>
      <c r="Y348" s="323"/>
    </row>
    <row r="349" spans="1:29" thickBot="1" x14ac:dyDescent="0.45">
      <c r="A349" s="829"/>
      <c r="B349" s="329"/>
      <c r="C349" s="539"/>
      <c r="D349" s="539"/>
      <c r="E349" s="502"/>
      <c r="F349" s="333"/>
      <c r="G349" s="539"/>
      <c r="H349" s="333"/>
      <c r="I349" s="539"/>
      <c r="J349" s="333"/>
      <c r="K349" s="333"/>
      <c r="L349" s="333"/>
      <c r="M349" s="333"/>
      <c r="N349" s="333"/>
      <c r="O349" s="333"/>
      <c r="P349" s="333"/>
      <c r="Q349" s="333"/>
      <c r="R349" s="333"/>
      <c r="S349" s="333"/>
      <c r="T349" s="539"/>
      <c r="U349" s="333"/>
      <c r="V349" s="681"/>
      <c r="W349" s="539"/>
      <c r="X349" s="333"/>
      <c r="Y349" s="323"/>
    </row>
    <row r="350" spans="1:29" thickBot="1" x14ac:dyDescent="0.45">
      <c r="A350" s="829"/>
      <c r="B350" s="305" t="s">
        <v>937</v>
      </c>
      <c r="C350" s="559"/>
      <c r="D350" s="559"/>
      <c r="E350" s="510"/>
      <c r="F350" s="471"/>
      <c r="G350" s="559"/>
      <c r="H350" s="471"/>
      <c r="I350" s="559"/>
      <c r="J350" s="471"/>
      <c r="K350" s="471"/>
      <c r="L350" s="471"/>
      <c r="M350" s="471"/>
      <c r="N350" s="471"/>
      <c r="O350" s="471"/>
      <c r="P350" s="471"/>
      <c r="Q350" s="471"/>
      <c r="R350" s="471"/>
      <c r="S350" s="471"/>
      <c r="T350" s="559"/>
      <c r="U350" s="471"/>
      <c r="V350" s="687"/>
      <c r="W350" s="471"/>
      <c r="X350" s="471"/>
      <c r="Y350" s="373"/>
    </row>
    <row r="351" spans="1:29" thickBot="1" x14ac:dyDescent="0.45">
      <c r="A351" s="829"/>
      <c r="B351" s="642" t="s">
        <v>1165</v>
      </c>
      <c r="C351" s="539"/>
      <c r="D351" s="539"/>
      <c r="E351" s="502"/>
      <c r="F351" s="333"/>
      <c r="G351" s="539"/>
      <c r="H351" s="333"/>
      <c r="I351" s="539"/>
      <c r="J351" s="333"/>
      <c r="K351" s="333"/>
      <c r="L351" s="333"/>
      <c r="M351" s="333"/>
      <c r="N351" s="333"/>
      <c r="O351" s="333"/>
      <c r="P351" s="333"/>
      <c r="Q351" s="333"/>
      <c r="R351" s="333"/>
      <c r="S351" s="333"/>
      <c r="T351" s="539"/>
      <c r="U351" s="333"/>
      <c r="V351" s="681"/>
      <c r="W351" s="539"/>
      <c r="X351" s="333"/>
      <c r="Y351" s="323"/>
    </row>
    <row r="352" spans="1:29" thickBot="1" x14ac:dyDescent="0.45">
      <c r="A352" s="829"/>
      <c r="B352" s="304" t="s">
        <v>878</v>
      </c>
      <c r="C352" s="528"/>
      <c r="D352" s="528"/>
      <c r="E352" s="460"/>
      <c r="F352" s="324"/>
      <c r="G352" s="528"/>
      <c r="H352" s="324"/>
      <c r="I352" s="528"/>
      <c r="J352" s="324"/>
      <c r="K352" s="324"/>
      <c r="L352" s="324"/>
      <c r="M352" s="324"/>
      <c r="N352" s="324"/>
      <c r="O352" s="324"/>
      <c r="P352" s="324"/>
      <c r="Q352" s="324"/>
      <c r="R352" s="324"/>
      <c r="S352" s="324"/>
      <c r="T352" s="528"/>
      <c r="U352" s="324"/>
      <c r="V352" s="676"/>
      <c r="W352" s="528"/>
      <c r="X352" s="529"/>
      <c r="Y352" s="323"/>
    </row>
    <row r="353" spans="1:28" thickBot="1" x14ac:dyDescent="0.45">
      <c r="A353" s="829"/>
      <c r="B353" s="642" t="s">
        <v>1091</v>
      </c>
      <c r="C353" s="539"/>
      <c r="D353" s="539"/>
      <c r="E353" s="502"/>
      <c r="F353" s="333"/>
      <c r="G353" s="539"/>
      <c r="H353" s="333"/>
      <c r="I353" s="539"/>
      <c r="J353" s="333"/>
      <c r="K353" s="333"/>
      <c r="L353" s="333"/>
      <c r="M353" s="333"/>
      <c r="N353" s="333"/>
      <c r="O353" s="333"/>
      <c r="P353" s="333"/>
      <c r="Q353" s="333"/>
      <c r="R353" s="333"/>
      <c r="S353" s="333"/>
      <c r="T353" s="539"/>
      <c r="U353" s="333"/>
      <c r="V353" s="681"/>
      <c r="W353" s="539"/>
      <c r="X353" s="333"/>
      <c r="Y353" s="323"/>
    </row>
    <row r="354" spans="1:28" thickBot="1" x14ac:dyDescent="0.45">
      <c r="A354" s="829"/>
      <c r="B354" s="642" t="s">
        <v>1092</v>
      </c>
      <c r="C354" s="539"/>
      <c r="D354" s="539"/>
      <c r="E354" s="502"/>
      <c r="F354" s="333"/>
      <c r="G354" s="539"/>
      <c r="H354" s="333"/>
      <c r="I354" s="539"/>
      <c r="J354" s="333"/>
      <c r="K354" s="333"/>
      <c r="L354" s="333"/>
      <c r="M354" s="333"/>
      <c r="N354" s="333"/>
      <c r="O354" s="333"/>
      <c r="P354" s="333"/>
      <c r="Q354" s="333"/>
      <c r="R354" s="333"/>
      <c r="S354" s="333"/>
      <c r="T354" s="539"/>
      <c r="U354" s="333"/>
      <c r="V354" s="681"/>
      <c r="W354" s="539"/>
      <c r="X354" s="333"/>
      <c r="Y354" s="323"/>
    </row>
    <row r="355" spans="1:28" thickBot="1" x14ac:dyDescent="0.45">
      <c r="A355" s="831">
        <v>1</v>
      </c>
      <c r="B355" s="305" t="s">
        <v>948</v>
      </c>
      <c r="C355" s="539"/>
      <c r="D355" s="539"/>
      <c r="E355" s="502"/>
      <c r="F355" s="333"/>
      <c r="G355" s="539"/>
      <c r="H355" s="333"/>
      <c r="I355" s="539"/>
      <c r="J355" s="333"/>
      <c r="K355" s="333"/>
      <c r="L355" s="333"/>
      <c r="M355" s="333"/>
      <c r="N355" s="333"/>
      <c r="O355" s="333"/>
      <c r="P355" s="333"/>
      <c r="Q355" s="333"/>
      <c r="R355" s="333"/>
      <c r="S355" s="333"/>
      <c r="T355" s="539"/>
      <c r="U355" s="333"/>
      <c r="V355" s="681"/>
      <c r="W355" s="333"/>
      <c r="X355" s="333"/>
      <c r="Y355" s="374"/>
    </row>
    <row r="356" spans="1:28" ht="105.75" thickBot="1" x14ac:dyDescent="0.45">
      <c r="A356" s="319" t="s">
        <v>14</v>
      </c>
      <c r="B356" s="320" t="s">
        <v>618</v>
      </c>
      <c r="C356" s="528"/>
      <c r="D356" s="525">
        <f>C356*10</f>
        <v>0</v>
      </c>
      <c r="E356" s="545">
        <f>D356*0.25</f>
        <v>0</v>
      </c>
      <c r="F356" s="461">
        <f>E356*1.15*0.82/173</f>
        <v>0</v>
      </c>
      <c r="G356" s="525">
        <f t="shared" ref="G356:G362" si="128">INT(M356)</f>
        <v>0</v>
      </c>
      <c r="H356" s="461" t="s">
        <v>18</v>
      </c>
      <c r="I356" s="525">
        <f t="shared" ref="I356:I362" si="129">(M356-G356)*64</f>
        <v>0</v>
      </c>
      <c r="J356" s="461" t="s">
        <v>19</v>
      </c>
      <c r="K356" s="461"/>
      <c r="L356" s="461"/>
      <c r="M356" s="461">
        <f>(F356*7863)/3456</f>
        <v>0</v>
      </c>
      <c r="N356" s="461"/>
      <c r="O356" s="461"/>
      <c r="P356" s="461"/>
      <c r="Q356" s="324" t="s">
        <v>18</v>
      </c>
      <c r="R356" s="324"/>
      <c r="S356" s="324" t="s">
        <v>19</v>
      </c>
      <c r="T356" s="528">
        <v>9</v>
      </c>
      <c r="U356" s="324">
        <f>E356/272*60</f>
        <v>0</v>
      </c>
      <c r="V356" s="676"/>
      <c r="W356" s="528"/>
      <c r="X356" s="529"/>
      <c r="Y356" s="351" t="s">
        <v>922</v>
      </c>
      <c r="Z356" s="312">
        <f>E356/1.23</f>
        <v>0</v>
      </c>
      <c r="AA356" s="316">
        <f>SUM(Z356/260.8)</f>
        <v>0</v>
      </c>
    </row>
    <row r="357" spans="1:28" ht="105.75" thickBot="1" x14ac:dyDescent="0.45">
      <c r="A357" s="319" t="s">
        <v>14</v>
      </c>
      <c r="B357" s="320" t="s">
        <v>619</v>
      </c>
      <c r="C357" s="528"/>
      <c r="D357" s="525">
        <f>C357*10</f>
        <v>0</v>
      </c>
      <c r="E357" s="545">
        <f>D357*0.25</f>
        <v>0</v>
      </c>
      <c r="F357" s="461">
        <f>E357*1.15*0.82/173</f>
        <v>0</v>
      </c>
      <c r="G357" s="525">
        <f t="shared" si="128"/>
        <v>0</v>
      </c>
      <c r="H357" s="461" t="s">
        <v>18</v>
      </c>
      <c r="I357" s="525">
        <f t="shared" si="129"/>
        <v>0</v>
      </c>
      <c r="J357" s="461" t="s">
        <v>19</v>
      </c>
      <c r="K357" s="461"/>
      <c r="L357" s="461"/>
      <c r="M357" s="461">
        <f>(F357*7863)/3456</f>
        <v>0</v>
      </c>
      <c r="N357" s="461"/>
      <c r="O357" s="461"/>
      <c r="P357" s="461"/>
      <c r="Q357" s="324" t="s">
        <v>18</v>
      </c>
      <c r="R357" s="324"/>
      <c r="S357" s="324" t="s">
        <v>19</v>
      </c>
      <c r="T357" s="528">
        <v>9</v>
      </c>
      <c r="U357" s="324">
        <f>E357/272*60</f>
        <v>0</v>
      </c>
      <c r="V357" s="676"/>
      <c r="W357" s="528"/>
      <c r="X357" s="529"/>
      <c r="Y357" s="351" t="s">
        <v>922</v>
      </c>
      <c r="Z357" s="312">
        <f>E357/1.21</f>
        <v>0</v>
      </c>
      <c r="AA357" s="316">
        <f>SUM(Z357/260.8)</f>
        <v>0</v>
      </c>
    </row>
    <row r="358" spans="1:28" ht="105.75" thickBot="1" x14ac:dyDescent="0.45">
      <c r="A358" s="319" t="s">
        <v>14</v>
      </c>
      <c r="B358" s="320" t="s">
        <v>813</v>
      </c>
      <c r="C358" s="528"/>
      <c r="D358" s="525">
        <f>C358*10</f>
        <v>0</v>
      </c>
      <c r="E358" s="545">
        <f>D358*0.2</f>
        <v>0</v>
      </c>
      <c r="F358" s="461">
        <f>E358*1.15*0.82/173</f>
        <v>0</v>
      </c>
      <c r="G358" s="525">
        <f t="shared" si="128"/>
        <v>0</v>
      </c>
      <c r="H358" s="461" t="s">
        <v>18</v>
      </c>
      <c r="I358" s="525">
        <f t="shared" si="129"/>
        <v>0</v>
      </c>
      <c r="J358" s="461" t="s">
        <v>19</v>
      </c>
      <c r="K358" s="461"/>
      <c r="L358" s="461"/>
      <c r="M358" s="461">
        <f>(F358*9600)/3456</f>
        <v>0</v>
      </c>
      <c r="N358" s="461"/>
      <c r="O358" s="461"/>
      <c r="P358" s="461"/>
      <c r="Q358" s="324" t="s">
        <v>18</v>
      </c>
      <c r="R358" s="324"/>
      <c r="S358" s="324" t="s">
        <v>19</v>
      </c>
      <c r="T358" s="528">
        <v>9</v>
      </c>
      <c r="U358" s="324">
        <f>E358/207*60</f>
        <v>0</v>
      </c>
      <c r="V358" s="676"/>
      <c r="W358" s="528"/>
      <c r="X358" s="529"/>
      <c r="Y358" s="351" t="s">
        <v>922</v>
      </c>
      <c r="Z358" s="312">
        <f>E358/1.21</f>
        <v>0</v>
      </c>
      <c r="AA358" s="316">
        <f>SUM(Z358/223.6)</f>
        <v>0</v>
      </c>
    </row>
    <row r="359" spans="1:28" ht="105.75" thickBot="1" x14ac:dyDescent="0.45">
      <c r="A359" s="319" t="s">
        <v>14</v>
      </c>
      <c r="B359" s="320" t="s">
        <v>911</v>
      </c>
      <c r="C359" s="528"/>
      <c r="D359" s="525">
        <f>C359*10</f>
        <v>0</v>
      </c>
      <c r="E359" s="545">
        <f>D359*0.2</f>
        <v>0</v>
      </c>
      <c r="F359" s="461">
        <f>E359*1.15*0.82/173</f>
        <v>0</v>
      </c>
      <c r="G359" s="525">
        <f t="shared" si="128"/>
        <v>0</v>
      </c>
      <c r="H359" s="461" t="s">
        <v>18</v>
      </c>
      <c r="I359" s="525">
        <f t="shared" si="129"/>
        <v>0</v>
      </c>
      <c r="J359" s="461" t="s">
        <v>19</v>
      </c>
      <c r="K359" s="461"/>
      <c r="L359" s="461"/>
      <c r="M359" s="461">
        <f>(F359*9600)/3456</f>
        <v>0</v>
      </c>
      <c r="N359" s="461"/>
      <c r="O359" s="461"/>
      <c r="P359" s="461"/>
      <c r="Q359" s="324" t="s">
        <v>18</v>
      </c>
      <c r="R359" s="324"/>
      <c r="S359" s="324" t="s">
        <v>19</v>
      </c>
      <c r="T359" s="528">
        <v>9</v>
      </c>
      <c r="U359" s="324">
        <f>E359/207*60</f>
        <v>0</v>
      </c>
      <c r="V359" s="676"/>
      <c r="W359" s="528"/>
      <c r="X359" s="529"/>
      <c r="Y359" s="351" t="s">
        <v>922</v>
      </c>
      <c r="Z359" s="312">
        <f>E359/1.21</f>
        <v>0</v>
      </c>
      <c r="AA359" s="316">
        <f>SUM(Z359/223.6)</f>
        <v>0</v>
      </c>
    </row>
    <row r="360" spans="1:28" ht="105.75" thickBot="1" x14ac:dyDescent="0.45">
      <c r="A360" s="319" t="s">
        <v>14</v>
      </c>
      <c r="B360" s="320" t="s">
        <v>620</v>
      </c>
      <c r="C360" s="528"/>
      <c r="D360" s="528">
        <f>C360*12</f>
        <v>0</v>
      </c>
      <c r="E360" s="460">
        <f>D360*0.255</f>
        <v>0</v>
      </c>
      <c r="F360" s="324">
        <f>E360*1.03*1.05/173</f>
        <v>0</v>
      </c>
      <c r="G360" s="528">
        <f t="shared" si="128"/>
        <v>0</v>
      </c>
      <c r="H360" s="324" t="s">
        <v>18</v>
      </c>
      <c r="I360" s="528">
        <f t="shared" si="129"/>
        <v>0</v>
      </c>
      <c r="J360" s="324" t="s">
        <v>19</v>
      </c>
      <c r="K360" s="324"/>
      <c r="L360" s="324"/>
      <c r="M360" s="324">
        <f>(F360*7673)/2880</f>
        <v>0</v>
      </c>
      <c r="N360" s="324"/>
      <c r="O360" s="324"/>
      <c r="P360" s="324"/>
      <c r="Q360" s="324" t="s">
        <v>18</v>
      </c>
      <c r="R360" s="324"/>
      <c r="S360" s="324" t="s">
        <v>19</v>
      </c>
      <c r="T360" s="528">
        <v>9</v>
      </c>
      <c r="U360" s="324">
        <f>E360/272*60</f>
        <v>0</v>
      </c>
      <c r="V360" s="676"/>
      <c r="W360" s="528"/>
      <c r="X360" s="529"/>
      <c r="Y360" s="351" t="s">
        <v>922</v>
      </c>
      <c r="Z360" s="312">
        <f>E360/1.05</f>
        <v>0</v>
      </c>
      <c r="AA360" s="316">
        <f>SUM(Z360/298)</f>
        <v>0</v>
      </c>
    </row>
    <row r="361" spans="1:28" ht="105.75" thickBot="1" x14ac:dyDescent="0.45">
      <c r="A361" s="319" t="s">
        <v>14</v>
      </c>
      <c r="B361" s="320" t="s">
        <v>621</v>
      </c>
      <c r="C361" s="528"/>
      <c r="D361" s="528">
        <f>C361*12</f>
        <v>0</v>
      </c>
      <c r="E361" s="460">
        <f>D361*0.255</f>
        <v>0</v>
      </c>
      <c r="F361" s="324">
        <f>E361*1.03*1.05/173</f>
        <v>0</v>
      </c>
      <c r="G361" s="528">
        <f t="shared" si="128"/>
        <v>0</v>
      </c>
      <c r="H361" s="324" t="s">
        <v>18</v>
      </c>
      <c r="I361" s="528">
        <f t="shared" si="129"/>
        <v>0</v>
      </c>
      <c r="J361" s="324" t="s">
        <v>19</v>
      </c>
      <c r="K361" s="324"/>
      <c r="L361" s="324"/>
      <c r="M361" s="324">
        <f>(F361*7673)/2880</f>
        <v>0</v>
      </c>
      <c r="N361" s="324"/>
      <c r="O361" s="324"/>
      <c r="P361" s="324"/>
      <c r="Q361" s="324" t="s">
        <v>18</v>
      </c>
      <c r="R361" s="324"/>
      <c r="S361" s="324" t="s">
        <v>19</v>
      </c>
      <c r="T361" s="528">
        <v>9</v>
      </c>
      <c r="U361" s="324">
        <f>E361/272*60</f>
        <v>0</v>
      </c>
      <c r="V361" s="676"/>
      <c r="W361" s="528"/>
      <c r="X361" s="529"/>
      <c r="Y361" s="351" t="s">
        <v>922</v>
      </c>
      <c r="Z361" s="312">
        <f>E361/1.05</f>
        <v>0</v>
      </c>
      <c r="AA361" s="316">
        <f>SUM(Z361/298)</f>
        <v>0</v>
      </c>
    </row>
    <row r="362" spans="1:28" ht="105.75" thickBot="1" x14ac:dyDescent="0.45">
      <c r="A362" s="319" t="s">
        <v>14</v>
      </c>
      <c r="B362" s="320" t="s">
        <v>622</v>
      </c>
      <c r="C362" s="528"/>
      <c r="D362" s="528">
        <f>C362*12</f>
        <v>0</v>
      </c>
      <c r="E362" s="460">
        <f>D362*0.255</f>
        <v>0</v>
      </c>
      <c r="F362" s="324">
        <f>E362*1.03*1.05/173</f>
        <v>0</v>
      </c>
      <c r="G362" s="528">
        <f t="shared" si="128"/>
        <v>0</v>
      </c>
      <c r="H362" s="324" t="s">
        <v>18</v>
      </c>
      <c r="I362" s="528">
        <f t="shared" si="129"/>
        <v>0</v>
      </c>
      <c r="J362" s="324" t="s">
        <v>19</v>
      </c>
      <c r="K362" s="324"/>
      <c r="L362" s="324"/>
      <c r="M362" s="324">
        <f>(F362*7673)/2880</f>
        <v>0</v>
      </c>
      <c r="N362" s="324"/>
      <c r="O362" s="324"/>
      <c r="P362" s="324"/>
      <c r="Q362" s="324" t="s">
        <v>18</v>
      </c>
      <c r="R362" s="324"/>
      <c r="S362" s="324" t="s">
        <v>19</v>
      </c>
      <c r="T362" s="528">
        <v>9</v>
      </c>
      <c r="U362" s="324">
        <f>E362/272*60</f>
        <v>0</v>
      </c>
      <c r="V362" s="676"/>
      <c r="W362" s="528"/>
      <c r="X362" s="529"/>
      <c r="Y362" s="351" t="s">
        <v>922</v>
      </c>
      <c r="Z362" s="312">
        <f>E362/1.05</f>
        <v>0</v>
      </c>
      <c r="AA362" s="316">
        <f>SUM(Z362/298)</f>
        <v>0</v>
      </c>
    </row>
    <row r="363" spans="1:28" thickBot="1" x14ac:dyDescent="0.45">
      <c r="A363" s="318">
        <v>2</v>
      </c>
      <c r="B363" s="305" t="s">
        <v>949</v>
      </c>
      <c r="C363" s="539"/>
      <c r="D363" s="539"/>
      <c r="E363" s="502"/>
      <c r="F363" s="333"/>
      <c r="G363" s="539"/>
      <c r="H363" s="333"/>
      <c r="I363" s="539"/>
      <c r="J363" s="333"/>
      <c r="K363" s="333"/>
      <c r="L363" s="333"/>
      <c r="M363" s="333"/>
      <c r="N363" s="333"/>
      <c r="O363" s="333"/>
      <c r="P363" s="333"/>
      <c r="Q363" s="333"/>
      <c r="R363" s="333"/>
      <c r="S363" s="333"/>
      <c r="T363" s="539"/>
      <c r="U363" s="333"/>
      <c r="V363" s="681"/>
      <c r="W363" s="333"/>
      <c r="X363" s="333"/>
      <c r="Y363" s="374"/>
    </row>
    <row r="364" spans="1:28" ht="77.25" outlineLevel="1" thickBot="1" x14ac:dyDescent="0.45">
      <c r="A364" s="319" t="s">
        <v>14</v>
      </c>
      <c r="B364" s="320" t="s">
        <v>624</v>
      </c>
      <c r="C364" s="528"/>
      <c r="D364" s="530">
        <f>C364*10</f>
        <v>0</v>
      </c>
      <c r="E364" s="460">
        <f>D364*0.2</f>
        <v>0</v>
      </c>
      <c r="F364" s="324">
        <f>E364*0.97*0.8/19.6</f>
        <v>0</v>
      </c>
      <c r="G364" s="528">
        <f t="shared" ref="G364:G369" si="130">INT(M364)</f>
        <v>0</v>
      </c>
      <c r="H364" s="324" t="s">
        <v>18</v>
      </c>
      <c r="I364" s="528">
        <f t="shared" ref="I364:I369" si="131">(M364-G364)*64</f>
        <v>0</v>
      </c>
      <c r="J364" s="324" t="s">
        <v>19</v>
      </c>
      <c r="K364" s="324"/>
      <c r="L364" s="324"/>
      <c r="M364" s="324">
        <f>(F364*1087/3456)</f>
        <v>0</v>
      </c>
      <c r="N364" s="324"/>
      <c r="O364" s="324"/>
      <c r="P364" s="324"/>
      <c r="Q364" s="324" t="s">
        <v>18</v>
      </c>
      <c r="R364" s="324"/>
      <c r="S364" s="324" t="s">
        <v>19</v>
      </c>
      <c r="T364" s="528">
        <v>6</v>
      </c>
      <c r="U364" s="324">
        <f t="shared" ref="U364:U369" si="132">E364/259*60</f>
        <v>0</v>
      </c>
      <c r="V364" s="676"/>
      <c r="W364" s="528"/>
      <c r="X364" s="529"/>
      <c r="Y364" s="323"/>
      <c r="Z364" s="312">
        <f>E364/1.21/1.143</f>
        <v>0</v>
      </c>
      <c r="AA364" s="316">
        <f>SUM(AB364/215.5)</f>
        <v>0</v>
      </c>
      <c r="AB364" s="310">
        <f>E364/1.21</f>
        <v>0</v>
      </c>
    </row>
    <row r="365" spans="1:28" ht="77.25" outlineLevel="1" thickBot="1" x14ac:dyDescent="0.45">
      <c r="A365" s="319" t="s">
        <v>14</v>
      </c>
      <c r="B365" s="320" t="s">
        <v>625</v>
      </c>
      <c r="C365" s="528"/>
      <c r="D365" s="530">
        <f>C365*10</f>
        <v>0</v>
      </c>
      <c r="E365" s="460">
        <f>D365*0.2</f>
        <v>0</v>
      </c>
      <c r="F365" s="324">
        <f>E365*0.97*0.8/19.6</f>
        <v>0</v>
      </c>
      <c r="G365" s="528">
        <f t="shared" si="130"/>
        <v>0</v>
      </c>
      <c r="H365" s="324" t="s">
        <v>18</v>
      </c>
      <c r="I365" s="528">
        <f t="shared" si="131"/>
        <v>0</v>
      </c>
      <c r="J365" s="324" t="s">
        <v>19</v>
      </c>
      <c r="K365" s="324"/>
      <c r="L365" s="324"/>
      <c r="M365" s="324">
        <f>(F365*1087/3456)</f>
        <v>0</v>
      </c>
      <c r="N365" s="324"/>
      <c r="O365" s="324"/>
      <c r="P365" s="324"/>
      <c r="Q365" s="324" t="s">
        <v>18</v>
      </c>
      <c r="R365" s="324"/>
      <c r="S365" s="324" t="s">
        <v>19</v>
      </c>
      <c r="T365" s="528">
        <v>6</v>
      </c>
      <c r="U365" s="324">
        <f t="shared" si="132"/>
        <v>0</v>
      </c>
      <c r="V365" s="676"/>
      <c r="W365" s="528"/>
      <c r="X365" s="529"/>
      <c r="Y365" s="323"/>
      <c r="Z365" s="312">
        <f>E365/1.21/1.143</f>
        <v>0</v>
      </c>
      <c r="AA365" s="316">
        <f>SUM(AB365/215.5)</f>
        <v>0</v>
      </c>
      <c r="AB365" s="310">
        <f>E365/1.21</f>
        <v>0</v>
      </c>
    </row>
    <row r="366" spans="1:28" ht="77.25" outlineLevel="1" thickBot="1" x14ac:dyDescent="0.45">
      <c r="A366" s="319" t="s">
        <v>14</v>
      </c>
      <c r="B366" s="343" t="s">
        <v>626</v>
      </c>
      <c r="C366" s="528"/>
      <c r="D366" s="530">
        <f>C366*10</f>
        <v>0</v>
      </c>
      <c r="E366" s="460">
        <f>D366*0.2</f>
        <v>0</v>
      </c>
      <c r="F366" s="324">
        <f>E366*0.97*0.8/19.6</f>
        <v>0</v>
      </c>
      <c r="G366" s="528">
        <f t="shared" si="130"/>
        <v>0</v>
      </c>
      <c r="H366" s="324" t="s">
        <v>18</v>
      </c>
      <c r="I366" s="528">
        <f t="shared" si="131"/>
        <v>0</v>
      </c>
      <c r="J366" s="324" t="s">
        <v>19</v>
      </c>
      <c r="K366" s="324"/>
      <c r="L366" s="324"/>
      <c r="M366" s="324">
        <f>(F366*1087/3456)</f>
        <v>0</v>
      </c>
      <c r="N366" s="324"/>
      <c r="O366" s="324"/>
      <c r="P366" s="324"/>
      <c r="Q366" s="324" t="s">
        <v>18</v>
      </c>
      <c r="R366" s="324"/>
      <c r="S366" s="324" t="s">
        <v>19</v>
      </c>
      <c r="T366" s="528">
        <v>6</v>
      </c>
      <c r="U366" s="324">
        <f t="shared" si="132"/>
        <v>0</v>
      </c>
      <c r="V366" s="676"/>
      <c r="W366" s="528"/>
      <c r="X366" s="529"/>
      <c r="Y366" s="323"/>
      <c r="Z366" s="312">
        <f>E366/1.21/1.143</f>
        <v>0</v>
      </c>
      <c r="AA366" s="316">
        <f>SUM(AB366/215.5)</f>
        <v>0</v>
      </c>
      <c r="AB366" s="310">
        <f>E366/1.21</f>
        <v>0</v>
      </c>
    </row>
    <row r="367" spans="1:28" ht="77.25" thickBot="1" x14ac:dyDescent="0.45">
      <c r="A367" s="319" t="s">
        <v>14</v>
      </c>
      <c r="B367" s="320" t="s">
        <v>894</v>
      </c>
      <c r="C367" s="528"/>
      <c r="D367" s="532">
        <f>C367*12</f>
        <v>0</v>
      </c>
      <c r="E367" s="472">
        <f>D367*0.27</f>
        <v>0</v>
      </c>
      <c r="F367" s="472">
        <f>E367*1.03*0.87/19.3</f>
        <v>0</v>
      </c>
      <c r="G367" s="531">
        <f t="shared" si="130"/>
        <v>0</v>
      </c>
      <c r="H367" s="472" t="s">
        <v>18</v>
      </c>
      <c r="I367" s="531">
        <f t="shared" si="131"/>
        <v>0</v>
      </c>
      <c r="J367" s="472" t="s">
        <v>19</v>
      </c>
      <c r="K367" s="472"/>
      <c r="L367" s="472"/>
      <c r="M367" s="472">
        <f>(F367*877/2880)</f>
        <v>0</v>
      </c>
      <c r="N367" s="472"/>
      <c r="O367" s="461"/>
      <c r="P367" s="461"/>
      <c r="Q367" s="461" t="s">
        <v>18</v>
      </c>
      <c r="R367" s="461"/>
      <c r="S367" s="461" t="s">
        <v>19</v>
      </c>
      <c r="T367" s="528">
        <v>6</v>
      </c>
      <c r="U367" s="324">
        <f t="shared" si="132"/>
        <v>0</v>
      </c>
      <c r="V367" s="676"/>
      <c r="W367" s="528"/>
      <c r="X367" s="529"/>
      <c r="Y367" s="323"/>
      <c r="Z367" s="312">
        <f>E367/1.134</f>
        <v>0</v>
      </c>
      <c r="AA367" s="316">
        <f>SUM(Z367/134.6)</f>
        <v>0</v>
      </c>
      <c r="AB367" s="352" t="s">
        <v>852</v>
      </c>
    </row>
    <row r="368" spans="1:28" ht="77.25" thickBot="1" x14ac:dyDescent="0.45">
      <c r="A368" s="319" t="s">
        <v>14</v>
      </c>
      <c r="B368" s="320" t="s">
        <v>1005</v>
      </c>
      <c r="C368" s="528"/>
      <c r="D368" s="530">
        <f>C368*1</f>
        <v>0</v>
      </c>
      <c r="E368" s="546">
        <f>D368*0.65</f>
        <v>0</v>
      </c>
      <c r="F368" s="546">
        <f>E368*1.03*0.87/19.3</f>
        <v>0</v>
      </c>
      <c r="G368" s="639">
        <f t="shared" si="130"/>
        <v>0</v>
      </c>
      <c r="H368" s="546" t="s">
        <v>18</v>
      </c>
      <c r="I368" s="639">
        <f t="shared" si="131"/>
        <v>0</v>
      </c>
      <c r="J368" s="546" t="s">
        <v>19</v>
      </c>
      <c r="K368" s="546"/>
      <c r="L368" s="546"/>
      <c r="M368" s="546">
        <f>(F368*877/2880)</f>
        <v>0</v>
      </c>
      <c r="N368" s="546"/>
      <c r="O368" s="324"/>
      <c r="P368" s="324"/>
      <c r="Q368" s="324" t="s">
        <v>18</v>
      </c>
      <c r="R368" s="324"/>
      <c r="S368" s="324" t="s">
        <v>19</v>
      </c>
      <c r="T368" s="528">
        <v>6</v>
      </c>
      <c r="U368" s="324">
        <f t="shared" si="132"/>
        <v>0</v>
      </c>
      <c r="V368" s="676"/>
      <c r="W368" s="528"/>
      <c r="X368" s="529"/>
      <c r="Y368" s="323"/>
      <c r="Z368" s="312">
        <f>E368/1.134</f>
        <v>0</v>
      </c>
      <c r="AA368" s="316">
        <f>SUM(Z368/134.6)</f>
        <v>0</v>
      </c>
      <c r="AB368" s="352" t="s">
        <v>852</v>
      </c>
    </row>
    <row r="369" spans="1:29" ht="102.75" thickBot="1" x14ac:dyDescent="0.45">
      <c r="A369" s="319" t="s">
        <v>14</v>
      </c>
      <c r="B369" s="320" t="s">
        <v>843</v>
      </c>
      <c r="C369" s="528"/>
      <c r="D369" s="530"/>
      <c r="E369" s="472">
        <f>C369*2</f>
        <v>0</v>
      </c>
      <c r="F369" s="472">
        <f>E369*1.03*0.87/19.3</f>
        <v>0</v>
      </c>
      <c r="G369" s="531">
        <f t="shared" si="130"/>
        <v>0</v>
      </c>
      <c r="H369" s="472" t="s">
        <v>18</v>
      </c>
      <c r="I369" s="531">
        <f t="shared" si="131"/>
        <v>0</v>
      </c>
      <c r="J369" s="472" t="s">
        <v>19</v>
      </c>
      <c r="K369" s="472"/>
      <c r="L369" s="472"/>
      <c r="M369" s="472">
        <f>(F369*877/2880)</f>
        <v>0</v>
      </c>
      <c r="N369" s="472"/>
      <c r="O369" s="461"/>
      <c r="P369" s="461"/>
      <c r="Q369" s="461" t="s">
        <v>18</v>
      </c>
      <c r="R369" s="461"/>
      <c r="S369" s="461" t="s">
        <v>19</v>
      </c>
      <c r="T369" s="528">
        <v>6</v>
      </c>
      <c r="U369" s="324">
        <f t="shared" si="132"/>
        <v>0</v>
      </c>
      <c r="V369" s="676"/>
      <c r="W369" s="528"/>
      <c r="X369" s="529"/>
      <c r="Y369" s="323"/>
      <c r="Z369" s="312">
        <f>E369/1.134</f>
        <v>0</v>
      </c>
      <c r="AA369" s="316">
        <f>SUM(Z369/134.6)</f>
        <v>0</v>
      </c>
      <c r="AB369" s="352" t="s">
        <v>852</v>
      </c>
    </row>
    <row r="370" spans="1:29" thickBot="1" x14ac:dyDescent="0.45">
      <c r="A370" s="329"/>
      <c r="B370" s="353"/>
      <c r="C370" s="547"/>
      <c r="D370" s="537"/>
      <c r="E370" s="496"/>
      <c r="F370" s="354"/>
      <c r="G370" s="537"/>
      <c r="H370" s="354"/>
      <c r="I370" s="537"/>
      <c r="J370" s="354"/>
      <c r="K370" s="354"/>
      <c r="L370" s="354"/>
      <c r="M370" s="354"/>
      <c r="N370" s="354"/>
      <c r="O370" s="354"/>
      <c r="P370" s="354"/>
      <c r="Q370" s="354"/>
      <c r="R370" s="354"/>
      <c r="S370" s="354"/>
      <c r="T370" s="528"/>
      <c r="U370" s="354"/>
      <c r="V370" s="676"/>
      <c r="W370" s="528"/>
      <c r="X370" s="529"/>
      <c r="Y370" s="323"/>
    </row>
    <row r="371" spans="1:29" thickBot="1" x14ac:dyDescent="0.45">
      <c r="A371" s="319"/>
      <c r="B371" s="346"/>
      <c r="C371" s="537"/>
      <c r="D371" s="537"/>
      <c r="E371" s="496"/>
      <c r="F371" s="354"/>
      <c r="G371" s="537"/>
      <c r="H371" s="354"/>
      <c r="I371" s="537"/>
      <c r="J371" s="354"/>
      <c r="K371" s="354"/>
      <c r="L371" s="354"/>
      <c r="M371" s="354"/>
      <c r="N371" s="354"/>
      <c r="O371" s="354"/>
      <c r="P371" s="354"/>
      <c r="Q371" s="354"/>
      <c r="R371" s="354"/>
      <c r="S371" s="354"/>
      <c r="T371" s="528"/>
      <c r="U371" s="354"/>
      <c r="V371" s="676"/>
      <c r="W371" s="528"/>
      <c r="X371" s="529"/>
      <c r="Y371" s="323"/>
    </row>
    <row r="372" spans="1:29" ht="213.75" customHeight="1" thickBot="1" x14ac:dyDescent="0.45">
      <c r="A372" s="829"/>
      <c r="B372" s="304" t="s">
        <v>639</v>
      </c>
      <c r="C372" s="537"/>
      <c r="D372" s="537"/>
      <c r="E372" s="500">
        <v>65</v>
      </c>
      <c r="F372" s="538"/>
      <c r="G372" s="528"/>
      <c r="H372" s="324"/>
      <c r="I372" s="528"/>
      <c r="J372" s="324"/>
      <c r="K372" s="324"/>
      <c r="L372" s="324"/>
      <c r="M372" s="324"/>
      <c r="N372" s="324"/>
      <c r="O372" s="324"/>
      <c r="P372" s="324"/>
      <c r="Q372" s="324"/>
      <c r="R372" s="324"/>
      <c r="S372" s="324"/>
      <c r="T372" s="528"/>
      <c r="U372" s="324"/>
      <c r="V372" s="676"/>
      <c r="W372" s="528"/>
      <c r="X372" s="529"/>
      <c r="Y372" s="323" t="s">
        <v>1047</v>
      </c>
      <c r="Z372" s="901" t="s">
        <v>1048</v>
      </c>
      <c r="AA372" s="902"/>
      <c r="AB372" s="902"/>
    </row>
    <row r="373" spans="1:29" thickBot="1" x14ac:dyDescent="0.45">
      <c r="A373" s="829"/>
      <c r="B373" s="304" t="s">
        <v>640</v>
      </c>
      <c r="C373" s="499"/>
      <c r="D373" s="499"/>
      <c r="E373" s="503">
        <v>43</v>
      </c>
      <c r="F373" s="538"/>
      <c r="G373" s="528"/>
      <c r="H373" s="324"/>
      <c r="I373" s="528"/>
      <c r="J373" s="324"/>
      <c r="K373" s="324"/>
      <c r="L373" s="324"/>
      <c r="M373" s="324"/>
      <c r="N373" s="324"/>
      <c r="O373" s="324"/>
      <c r="P373" s="324"/>
      <c r="Q373" s="324"/>
      <c r="R373" s="324"/>
      <c r="S373" s="324"/>
      <c r="T373" s="528"/>
      <c r="U373" s="324"/>
      <c r="V373" s="676"/>
      <c r="W373" s="528"/>
      <c r="X373" s="529"/>
      <c r="Y373" s="323"/>
    </row>
    <row r="374" spans="1:29" thickBot="1" x14ac:dyDescent="0.45">
      <c r="A374" s="829"/>
      <c r="B374" s="332" t="s">
        <v>638</v>
      </c>
      <c r="C374" s="537"/>
      <c r="D374" s="537"/>
      <c r="E374" s="496">
        <f>SUM(E356:E362)</f>
        <v>0</v>
      </c>
      <c r="F374" s="354">
        <f>SUM(F356:F362)</f>
        <v>0</v>
      </c>
      <c r="G374" s="528"/>
      <c r="H374" s="324"/>
      <c r="I374" s="528"/>
      <c r="J374" s="324"/>
      <c r="K374" s="324"/>
      <c r="L374" s="324"/>
      <c r="M374" s="324"/>
      <c r="N374" s="324"/>
      <c r="O374" s="324"/>
      <c r="P374" s="324"/>
      <c r="Q374" s="324"/>
      <c r="R374" s="324"/>
      <c r="S374" s="324"/>
      <c r="T374" s="528"/>
      <c r="U374" s="324"/>
      <c r="V374" s="676"/>
      <c r="W374" s="528"/>
      <c r="X374" s="529"/>
      <c r="Y374" s="323"/>
    </row>
    <row r="375" spans="1:29" thickBot="1" x14ac:dyDescent="0.45">
      <c r="A375" s="829"/>
      <c r="B375" s="332" t="s">
        <v>641</v>
      </c>
      <c r="C375" s="537"/>
      <c r="D375" s="537"/>
      <c r="E375" s="496">
        <f>SUM(E364:E369)</f>
        <v>0</v>
      </c>
      <c r="F375" s="354">
        <f>SUM(F364:F369)</f>
        <v>0</v>
      </c>
      <c r="G375" s="528"/>
      <c r="H375" s="324"/>
      <c r="I375" s="528"/>
      <c r="J375" s="324"/>
      <c r="K375" s="324"/>
      <c r="L375" s="324"/>
      <c r="M375" s="324"/>
      <c r="N375" s="324"/>
      <c r="O375" s="324"/>
      <c r="P375" s="324"/>
      <c r="Q375" s="324"/>
      <c r="R375" s="324"/>
      <c r="S375" s="324"/>
      <c r="T375" s="528"/>
      <c r="U375" s="324"/>
      <c r="V375" s="676"/>
      <c r="W375" s="528"/>
      <c r="X375" s="529"/>
      <c r="Y375" s="323"/>
    </row>
    <row r="376" spans="1:29" thickBot="1" x14ac:dyDescent="0.45">
      <c r="A376" s="829"/>
      <c r="B376" s="332" t="s">
        <v>121</v>
      </c>
      <c r="C376" s="537"/>
      <c r="D376" s="537"/>
      <c r="E376" s="496">
        <f>E374+E375</f>
        <v>0</v>
      </c>
      <c r="F376" s="354">
        <f>F374+F375</f>
        <v>0</v>
      </c>
      <c r="G376" s="528"/>
      <c r="H376" s="324"/>
      <c r="I376" s="528"/>
      <c r="J376" s="324"/>
      <c r="K376" s="324"/>
      <c r="L376" s="324"/>
      <c r="M376" s="324"/>
      <c r="N376" s="324"/>
      <c r="O376" s="324"/>
      <c r="P376" s="324"/>
      <c r="Q376" s="324"/>
      <c r="R376" s="324"/>
      <c r="S376" s="324"/>
      <c r="T376" s="528"/>
      <c r="U376" s="324"/>
      <c r="V376" s="676"/>
      <c r="W376" s="528"/>
      <c r="X376" s="529"/>
      <c r="Y376" s="323"/>
    </row>
    <row r="377" spans="1:29" thickBot="1" x14ac:dyDescent="0.45">
      <c r="A377" s="829"/>
      <c r="B377" s="319"/>
      <c r="C377" s="528"/>
      <c r="D377" s="528"/>
      <c r="E377" s="460"/>
      <c r="F377" s="324"/>
      <c r="G377" s="528"/>
      <c r="H377" s="324"/>
      <c r="I377" s="528"/>
      <c r="J377" s="324"/>
      <c r="K377" s="324"/>
      <c r="L377" s="324"/>
      <c r="M377" s="324"/>
      <c r="N377" s="324"/>
      <c r="O377" s="324"/>
      <c r="P377" s="324"/>
      <c r="Q377" s="324"/>
      <c r="R377" s="324"/>
      <c r="S377" s="324"/>
      <c r="T377" s="528"/>
      <c r="U377" s="324"/>
      <c r="V377" s="676"/>
      <c r="W377" s="528"/>
      <c r="X377" s="529"/>
      <c r="Y377" s="323"/>
    </row>
    <row r="378" spans="1:29" thickBot="1" x14ac:dyDescent="0.45">
      <c r="A378" s="829"/>
      <c r="B378" s="319"/>
      <c r="C378" s="528"/>
      <c r="D378" s="528"/>
      <c r="E378" s="460"/>
      <c r="F378" s="324"/>
      <c r="G378" s="528"/>
      <c r="H378" s="324"/>
      <c r="I378" s="528"/>
      <c r="J378" s="324"/>
      <c r="K378" s="324"/>
      <c r="L378" s="324"/>
      <c r="M378" s="324"/>
      <c r="N378" s="324"/>
      <c r="O378" s="324"/>
      <c r="P378" s="324"/>
      <c r="Q378" s="324"/>
      <c r="R378" s="324"/>
      <c r="S378" s="324"/>
      <c r="T378" s="528"/>
      <c r="U378" s="324"/>
      <c r="V378" s="676"/>
      <c r="W378" s="528"/>
      <c r="X378" s="529"/>
      <c r="Y378" s="323"/>
    </row>
    <row r="379" spans="1:29" thickBot="1" x14ac:dyDescent="0.45">
      <c r="A379" s="829"/>
      <c r="B379" s="302" t="s">
        <v>289</v>
      </c>
      <c r="C379" s="347"/>
      <c r="D379" s="347"/>
      <c r="E379" s="494"/>
      <c r="F379" s="348"/>
      <c r="G379" s="347"/>
      <c r="H379" s="348"/>
      <c r="I379" s="347"/>
      <c r="J379" s="348"/>
      <c r="K379" s="348"/>
      <c r="L379" s="348"/>
      <c r="M379" s="348"/>
      <c r="N379" s="348"/>
      <c r="O379" s="348"/>
      <c r="P379" s="348"/>
      <c r="Q379" s="348"/>
      <c r="R379" s="348"/>
      <c r="S379" s="348"/>
      <c r="T379" s="347"/>
      <c r="U379" s="348"/>
      <c r="V379" s="356"/>
      <c r="W379" s="348"/>
      <c r="X379" s="495"/>
      <c r="Y379" s="349"/>
    </row>
    <row r="380" spans="1:29" thickBot="1" x14ac:dyDescent="0.45">
      <c r="A380" s="830"/>
      <c r="B380" s="332" t="s">
        <v>285</v>
      </c>
      <c r="C380" s="347"/>
      <c r="D380" s="347"/>
      <c r="E380" s="494"/>
      <c r="F380" s="348"/>
      <c r="G380" s="347"/>
      <c r="H380" s="348"/>
      <c r="I380" s="347"/>
      <c r="J380" s="348"/>
      <c r="K380" s="348"/>
      <c r="L380" s="348"/>
      <c r="M380" s="348"/>
      <c r="N380" s="348"/>
      <c r="O380" s="348"/>
      <c r="P380" s="348"/>
      <c r="Q380" s="348"/>
      <c r="R380" s="348"/>
      <c r="S380" s="348"/>
      <c r="T380" s="347"/>
      <c r="U380" s="348"/>
      <c r="V380" s="356"/>
      <c r="W380" s="348"/>
      <c r="X380" s="495"/>
      <c r="Y380" s="357"/>
    </row>
    <row r="381" spans="1:29" thickBot="1" x14ac:dyDescent="0.45">
      <c r="A381" s="830"/>
      <c r="B381" s="332" t="s">
        <v>299</v>
      </c>
      <c r="C381" s="347"/>
      <c r="D381" s="347"/>
      <c r="E381" s="494"/>
      <c r="F381" s="348"/>
      <c r="G381" s="347"/>
      <c r="H381" s="348"/>
      <c r="I381" s="347"/>
      <c r="J381" s="348"/>
      <c r="K381" s="348"/>
      <c r="L381" s="348"/>
      <c r="M381" s="348"/>
      <c r="N381" s="348"/>
      <c r="O381" s="348"/>
      <c r="P381" s="348"/>
      <c r="Q381" s="348"/>
      <c r="R381" s="348"/>
      <c r="S381" s="348"/>
      <c r="T381" s="347"/>
      <c r="U381" s="348"/>
      <c r="V381" s="356"/>
      <c r="W381" s="348"/>
      <c r="X381" s="495"/>
      <c r="Y381" s="357"/>
    </row>
    <row r="382" spans="1:29" s="453" customFormat="1" ht="210.75" thickBot="1" x14ac:dyDescent="0.45">
      <c r="A382" s="319" t="s">
        <v>14</v>
      </c>
      <c r="B382" s="487" t="s">
        <v>1045</v>
      </c>
      <c r="C382" s="525"/>
      <c r="D382" s="626"/>
      <c r="E382" s="358">
        <f>C382*2</f>
        <v>0</v>
      </c>
      <c r="F382" s="627">
        <f>E382*1.03*0.85/147</f>
        <v>0</v>
      </c>
      <c r="G382" s="628">
        <f>INT(M382)</f>
        <v>0</v>
      </c>
      <c r="H382" s="359"/>
      <c r="I382" s="628">
        <f>(M382-G382)*64</f>
        <v>0</v>
      </c>
      <c r="J382" s="629"/>
      <c r="K382" s="630"/>
      <c r="L382" s="630"/>
      <c r="M382" s="627">
        <f>F382*147/0.57/64</f>
        <v>0</v>
      </c>
      <c r="N382" s="631"/>
      <c r="O382" s="631"/>
      <c r="P382" s="631"/>
      <c r="Q382" s="324" t="s">
        <v>18</v>
      </c>
      <c r="R382" s="324"/>
      <c r="S382" s="324" t="s">
        <v>19</v>
      </c>
      <c r="T382" s="528">
        <v>9</v>
      </c>
      <c r="U382" s="461"/>
      <c r="V382" s="688"/>
      <c r="W382" s="525"/>
      <c r="X382" s="560"/>
      <c r="Y382" s="451" t="s">
        <v>1087</v>
      </c>
      <c r="Z382" s="312">
        <f>E382/1.03564/1.16291/1.10009</f>
        <v>0</v>
      </c>
      <c r="AA382" s="316">
        <f>SUM(AB382/132)</f>
        <v>0</v>
      </c>
      <c r="AB382" s="310">
        <f>E382/1.03564/1.16291</f>
        <v>0</v>
      </c>
      <c r="AC382" s="453" t="s">
        <v>1057</v>
      </c>
    </row>
    <row r="383" spans="1:29" s="453" customFormat="1" ht="210.75" thickBot="1" x14ac:dyDescent="0.45">
      <c r="A383" s="319" t="s">
        <v>14</v>
      </c>
      <c r="B383" s="487" t="s">
        <v>1044</v>
      </c>
      <c r="C383" s="525"/>
      <c r="D383" s="626"/>
      <c r="E383" s="358">
        <f>C383*2</f>
        <v>0</v>
      </c>
      <c r="F383" s="627">
        <f>E383*1.03*0.82/147</f>
        <v>0</v>
      </c>
      <c r="G383" s="628">
        <f>INT(M383)</f>
        <v>0</v>
      </c>
      <c r="H383" s="359"/>
      <c r="I383" s="628">
        <f>(M383-G383)*64</f>
        <v>0</v>
      </c>
      <c r="J383" s="629" t="s">
        <v>19</v>
      </c>
      <c r="K383" s="630"/>
      <c r="L383" s="630"/>
      <c r="M383" s="627">
        <f>F383*147/0.46/64</f>
        <v>0</v>
      </c>
      <c r="N383" s="631"/>
      <c r="O383" s="631"/>
      <c r="P383" s="631"/>
      <c r="Q383" s="324" t="s">
        <v>18</v>
      </c>
      <c r="R383" s="324"/>
      <c r="S383" s="324" t="s">
        <v>19</v>
      </c>
      <c r="T383" s="528">
        <v>9</v>
      </c>
      <c r="U383" s="461"/>
      <c r="V383" s="688"/>
      <c r="W383" s="525"/>
      <c r="X383" s="560"/>
      <c r="Y383" s="451" t="s">
        <v>1087</v>
      </c>
      <c r="Z383" s="312">
        <f>E383/1.23221</f>
        <v>0</v>
      </c>
      <c r="AA383" s="316">
        <f>SUM(Z383/132)</f>
        <v>0</v>
      </c>
      <c r="AB383" s="310"/>
      <c r="AC383" s="453" t="s">
        <v>1058</v>
      </c>
    </row>
    <row r="384" spans="1:29" s="453" customFormat="1" ht="210.75" thickBot="1" x14ac:dyDescent="0.45">
      <c r="A384" s="319" t="s">
        <v>14</v>
      </c>
      <c r="B384" s="487" t="s">
        <v>1083</v>
      </c>
      <c r="C384" s="525"/>
      <c r="D384" s="626"/>
      <c r="E384" s="358">
        <f>C384*0.4</f>
        <v>0</v>
      </c>
      <c r="F384" s="627">
        <f>E384*1.03*0.85/147</f>
        <v>0</v>
      </c>
      <c r="G384" s="628">
        <f>INT(M384)</f>
        <v>0</v>
      </c>
      <c r="H384" s="359"/>
      <c r="I384" s="628">
        <f>(M384-G384)*64</f>
        <v>0</v>
      </c>
      <c r="J384" s="629"/>
      <c r="K384" s="630"/>
      <c r="L384" s="630"/>
      <c r="M384" s="627">
        <f>F384*147/0.57/64</f>
        <v>0</v>
      </c>
      <c r="N384" s="631"/>
      <c r="O384" s="631"/>
      <c r="P384" s="631"/>
      <c r="Q384" s="324" t="s">
        <v>18</v>
      </c>
      <c r="R384" s="324"/>
      <c r="S384" s="324" t="s">
        <v>19</v>
      </c>
      <c r="T384" s="528">
        <v>9</v>
      </c>
      <c r="U384" s="461"/>
      <c r="V384" s="688"/>
      <c r="W384" s="525"/>
      <c r="X384" s="560"/>
      <c r="Y384" s="451" t="s">
        <v>1087</v>
      </c>
      <c r="Z384" s="312">
        <f>E384/1.03564/1.16291/1.10009</f>
        <v>0</v>
      </c>
      <c r="AA384" s="316">
        <f>SUM(AB384/132)</f>
        <v>0</v>
      </c>
      <c r="AB384" s="310">
        <f>E384/1.03564/1.16291</f>
        <v>0</v>
      </c>
      <c r="AC384" s="453" t="s">
        <v>1057</v>
      </c>
    </row>
    <row r="385" spans="1:29" s="453" customFormat="1" ht="210.75" thickBot="1" x14ac:dyDescent="0.45">
      <c r="A385" s="319" t="s">
        <v>14</v>
      </c>
      <c r="B385" s="487" t="s">
        <v>1084</v>
      </c>
      <c r="C385" s="525"/>
      <c r="D385" s="626"/>
      <c r="E385" s="358">
        <f>C385*0.4</f>
        <v>0</v>
      </c>
      <c r="F385" s="627">
        <f>E385*1.03*0.82/147</f>
        <v>0</v>
      </c>
      <c r="G385" s="628">
        <f>INT(M385)</f>
        <v>0</v>
      </c>
      <c r="H385" s="359"/>
      <c r="I385" s="628">
        <f>(M385-G385)*64</f>
        <v>0</v>
      </c>
      <c r="J385" s="629" t="s">
        <v>19</v>
      </c>
      <c r="K385" s="630"/>
      <c r="L385" s="630"/>
      <c r="M385" s="627">
        <f>F385*147/0.46/64</f>
        <v>0</v>
      </c>
      <c r="N385" s="631"/>
      <c r="O385" s="631"/>
      <c r="P385" s="631"/>
      <c r="Q385" s="324" t="s">
        <v>18</v>
      </c>
      <c r="R385" s="324"/>
      <c r="S385" s="324" t="s">
        <v>19</v>
      </c>
      <c r="T385" s="528">
        <v>9</v>
      </c>
      <c r="U385" s="461"/>
      <c r="V385" s="688"/>
      <c r="W385" s="525"/>
      <c r="X385" s="560"/>
      <c r="Y385" s="451" t="s">
        <v>1087</v>
      </c>
      <c r="Z385" s="312">
        <f>E385/1.23221</f>
        <v>0</v>
      </c>
      <c r="AA385" s="316">
        <f>SUM(Z385/132)</f>
        <v>0</v>
      </c>
      <c r="AB385" s="310"/>
      <c r="AC385" s="453" t="s">
        <v>1058</v>
      </c>
    </row>
    <row r="386" spans="1:29" ht="102.75" thickBot="1" x14ac:dyDescent="0.45">
      <c r="A386" s="319" t="s">
        <v>14</v>
      </c>
      <c r="B386" s="320" t="s">
        <v>783</v>
      </c>
      <c r="C386" s="528"/>
      <c r="D386" s="530"/>
      <c r="E386" s="456">
        <f>C386*4</f>
        <v>0</v>
      </c>
      <c r="F386" s="358">
        <f t="shared" ref="F386:F391" si="133">E386*1.01*0.72/147</f>
        <v>0</v>
      </c>
      <c r="G386" s="548">
        <f t="shared" ref="G386:G391" si="134">INT(M386)</f>
        <v>0</v>
      </c>
      <c r="H386" s="358" t="s">
        <v>18</v>
      </c>
      <c r="I386" s="548">
        <f t="shared" ref="I386:I391" si="135">(M386-G386)*64</f>
        <v>0</v>
      </c>
      <c r="J386" s="358" t="s">
        <v>19</v>
      </c>
      <c r="K386" s="358"/>
      <c r="L386" s="358"/>
      <c r="M386" s="358">
        <f t="shared" ref="M386:M391" si="136">(F386*6035/3456)</f>
        <v>0</v>
      </c>
      <c r="N386" s="324"/>
      <c r="O386" s="324"/>
      <c r="P386" s="324"/>
      <c r="Q386" s="324" t="s">
        <v>18</v>
      </c>
      <c r="R386" s="324"/>
      <c r="S386" s="324" t="s">
        <v>19</v>
      </c>
      <c r="T386" s="528">
        <v>9</v>
      </c>
      <c r="U386" s="324">
        <f>E386/324*60</f>
        <v>0</v>
      </c>
      <c r="V386" s="676"/>
      <c r="W386" s="528"/>
      <c r="X386" s="529"/>
      <c r="Y386" s="323"/>
      <c r="Z386" s="312">
        <f>E386/1.21/1.143</f>
        <v>0</v>
      </c>
      <c r="AA386" s="316">
        <f>SUM(AB386/287.3)</f>
        <v>0</v>
      </c>
      <c r="AB386" s="310">
        <f t="shared" ref="AB386:AB391" si="137">E386/1.21</f>
        <v>0</v>
      </c>
    </row>
    <row r="387" spans="1:29" ht="77.25" thickBot="1" x14ac:dyDescent="0.45">
      <c r="A387" s="319" t="s">
        <v>14</v>
      </c>
      <c r="B387" s="320" t="s">
        <v>784</v>
      </c>
      <c r="C387" s="528"/>
      <c r="D387" s="530"/>
      <c r="E387" s="456">
        <f>C387*4</f>
        <v>0</v>
      </c>
      <c r="F387" s="358">
        <f t="shared" si="133"/>
        <v>0</v>
      </c>
      <c r="G387" s="548">
        <f t="shared" si="134"/>
        <v>0</v>
      </c>
      <c r="H387" s="358" t="s">
        <v>18</v>
      </c>
      <c r="I387" s="548">
        <f t="shared" si="135"/>
        <v>0</v>
      </c>
      <c r="J387" s="358" t="s">
        <v>19</v>
      </c>
      <c r="K387" s="358"/>
      <c r="L387" s="358"/>
      <c r="M387" s="358">
        <f t="shared" si="136"/>
        <v>0</v>
      </c>
      <c r="N387" s="324"/>
      <c r="O387" s="324"/>
      <c r="P387" s="324"/>
      <c r="Q387" s="324" t="s">
        <v>18</v>
      </c>
      <c r="R387" s="324"/>
      <c r="S387" s="324" t="s">
        <v>19</v>
      </c>
      <c r="T387" s="528">
        <v>9</v>
      </c>
      <c r="U387" s="324">
        <f>E387/324*60</f>
        <v>0</v>
      </c>
      <c r="V387" s="676"/>
      <c r="W387" s="528"/>
      <c r="X387" s="529"/>
      <c r="Y387" s="323"/>
      <c r="Z387" s="312">
        <f t="shared" ref="Z387:Z394" si="138">E387/1.21/1.143</f>
        <v>0</v>
      </c>
      <c r="AA387" s="316">
        <f>SUM(AB387/287.3)</f>
        <v>0</v>
      </c>
      <c r="AB387" s="310">
        <f t="shared" si="137"/>
        <v>0</v>
      </c>
    </row>
    <row r="388" spans="1:29" ht="77.25" thickBot="1" x14ac:dyDescent="0.45">
      <c r="A388" s="319" t="s">
        <v>14</v>
      </c>
      <c r="B388" s="320" t="s">
        <v>744</v>
      </c>
      <c r="C388" s="528"/>
      <c r="D388" s="528"/>
      <c r="E388" s="456">
        <f>C388*4</f>
        <v>0</v>
      </c>
      <c r="F388" s="358">
        <f t="shared" si="133"/>
        <v>0</v>
      </c>
      <c r="G388" s="548">
        <f t="shared" si="134"/>
        <v>0</v>
      </c>
      <c r="H388" s="358" t="s">
        <v>18</v>
      </c>
      <c r="I388" s="548">
        <f t="shared" si="135"/>
        <v>0</v>
      </c>
      <c r="J388" s="358" t="s">
        <v>19</v>
      </c>
      <c r="K388" s="358"/>
      <c r="L388" s="358"/>
      <c r="M388" s="358">
        <f t="shared" si="136"/>
        <v>0</v>
      </c>
      <c r="N388" s="324"/>
      <c r="O388" s="324"/>
      <c r="P388" s="324"/>
      <c r="Q388" s="324" t="s">
        <v>18</v>
      </c>
      <c r="R388" s="324"/>
      <c r="S388" s="324" t="s">
        <v>19</v>
      </c>
      <c r="T388" s="528">
        <v>9</v>
      </c>
      <c r="U388" s="324">
        <f t="shared" ref="U388:U393" si="139">E388/324*60</f>
        <v>0</v>
      </c>
      <c r="V388" s="676"/>
      <c r="W388" s="528"/>
      <c r="X388" s="529"/>
      <c r="Y388" s="323"/>
      <c r="Z388" s="312">
        <f t="shared" si="138"/>
        <v>0</v>
      </c>
      <c r="AA388" s="316">
        <f>SUM(AB388/347.8)</f>
        <v>0</v>
      </c>
      <c r="AB388" s="310">
        <f t="shared" si="137"/>
        <v>0</v>
      </c>
    </row>
    <row r="389" spans="1:29" ht="77.25" thickBot="1" x14ac:dyDescent="0.45">
      <c r="A389" s="319" t="s">
        <v>14</v>
      </c>
      <c r="B389" s="320" t="s">
        <v>745</v>
      </c>
      <c r="C389" s="528"/>
      <c r="D389" s="528"/>
      <c r="E389" s="456">
        <f>C389*2.5</f>
        <v>0</v>
      </c>
      <c r="F389" s="358">
        <f t="shared" si="133"/>
        <v>0</v>
      </c>
      <c r="G389" s="548">
        <f t="shared" si="134"/>
        <v>0</v>
      </c>
      <c r="H389" s="358" t="s">
        <v>18</v>
      </c>
      <c r="I389" s="548">
        <f t="shared" si="135"/>
        <v>0</v>
      </c>
      <c r="J389" s="358" t="s">
        <v>19</v>
      </c>
      <c r="K389" s="358"/>
      <c r="L389" s="358"/>
      <c r="M389" s="358">
        <f t="shared" si="136"/>
        <v>0</v>
      </c>
      <c r="N389" s="324"/>
      <c r="O389" s="324"/>
      <c r="P389" s="324"/>
      <c r="Q389" s="324" t="s">
        <v>18</v>
      </c>
      <c r="R389" s="324"/>
      <c r="S389" s="324" t="s">
        <v>19</v>
      </c>
      <c r="T389" s="528">
        <v>9</v>
      </c>
      <c r="U389" s="324">
        <f t="shared" si="139"/>
        <v>0</v>
      </c>
      <c r="V389" s="676"/>
      <c r="W389" s="528"/>
      <c r="X389" s="529"/>
      <c r="Y389" s="323"/>
      <c r="Z389" s="312">
        <f t="shared" si="138"/>
        <v>0</v>
      </c>
      <c r="AA389" s="316">
        <f>SUM(AB389/287.3)</f>
        <v>0</v>
      </c>
      <c r="AB389" s="310">
        <f t="shared" si="137"/>
        <v>0</v>
      </c>
    </row>
    <row r="390" spans="1:29" ht="77.25" thickBot="1" x14ac:dyDescent="0.45">
      <c r="A390" s="319" t="s">
        <v>14</v>
      </c>
      <c r="B390" s="320" t="s">
        <v>746</v>
      </c>
      <c r="C390" s="528">
        <v>1000</v>
      </c>
      <c r="D390" s="528"/>
      <c r="E390" s="456">
        <f>C390*4</f>
        <v>4000</v>
      </c>
      <c r="F390" s="358">
        <f t="shared" si="133"/>
        <v>19.787755102040816</v>
      </c>
      <c r="G390" s="548">
        <f t="shared" si="134"/>
        <v>34</v>
      </c>
      <c r="H390" s="358" t="s">
        <v>18</v>
      </c>
      <c r="I390" s="548">
        <f t="shared" si="135"/>
        <v>35.464852607709417</v>
      </c>
      <c r="J390" s="358" t="s">
        <v>19</v>
      </c>
      <c r="K390" s="358"/>
      <c r="L390" s="358"/>
      <c r="M390" s="358">
        <f t="shared" si="136"/>
        <v>34.55413832199546</v>
      </c>
      <c r="N390" s="324"/>
      <c r="O390" s="324"/>
      <c r="P390" s="324"/>
      <c r="Q390" s="324" t="s">
        <v>18</v>
      </c>
      <c r="R390" s="324"/>
      <c r="S390" s="324" t="s">
        <v>19</v>
      </c>
      <c r="T390" s="528">
        <v>9</v>
      </c>
      <c r="U390" s="324">
        <f t="shared" si="139"/>
        <v>740.74074074074076</v>
      </c>
      <c r="V390" s="676"/>
      <c r="W390" s="528"/>
      <c r="X390" s="529"/>
      <c r="Y390" s="323"/>
      <c r="Z390" s="312">
        <f t="shared" si="138"/>
        <v>2892.2004584137726</v>
      </c>
      <c r="AA390" s="316">
        <f>SUM(AB390/287.3)</f>
        <v>11.506387483351695</v>
      </c>
      <c r="AB390" s="310">
        <f t="shared" si="137"/>
        <v>3305.7851239669421</v>
      </c>
    </row>
    <row r="391" spans="1:29" ht="77.25" thickBot="1" x14ac:dyDescent="0.45">
      <c r="A391" s="319" t="s">
        <v>14</v>
      </c>
      <c r="B391" s="320" t="s">
        <v>747</v>
      </c>
      <c r="C391" s="528"/>
      <c r="D391" s="528"/>
      <c r="E391" s="456">
        <f>C391*2.5</f>
        <v>0</v>
      </c>
      <c r="F391" s="358">
        <f t="shared" si="133"/>
        <v>0</v>
      </c>
      <c r="G391" s="548">
        <f t="shared" si="134"/>
        <v>0</v>
      </c>
      <c r="H391" s="358" t="s">
        <v>18</v>
      </c>
      <c r="I391" s="548">
        <f t="shared" si="135"/>
        <v>0</v>
      </c>
      <c r="J391" s="358" t="s">
        <v>19</v>
      </c>
      <c r="K391" s="358"/>
      <c r="L391" s="358"/>
      <c r="M391" s="358">
        <f t="shared" si="136"/>
        <v>0</v>
      </c>
      <c r="N391" s="324"/>
      <c r="O391" s="324"/>
      <c r="P391" s="324"/>
      <c r="Q391" s="324" t="s">
        <v>18</v>
      </c>
      <c r="R391" s="324"/>
      <c r="S391" s="324" t="s">
        <v>19</v>
      </c>
      <c r="T391" s="528">
        <v>9</v>
      </c>
      <c r="U391" s="324">
        <f t="shared" si="139"/>
        <v>0</v>
      </c>
      <c r="V391" s="676"/>
      <c r="W391" s="528"/>
      <c r="X391" s="529"/>
      <c r="Y391" s="323"/>
      <c r="Z391" s="312">
        <f t="shared" si="138"/>
        <v>0</v>
      </c>
      <c r="AA391" s="316">
        <f>SUM(AB391/287.3)</f>
        <v>0</v>
      </c>
      <c r="AB391" s="310">
        <f t="shared" si="137"/>
        <v>0</v>
      </c>
    </row>
    <row r="392" spans="1:29" ht="51.75" thickBot="1" x14ac:dyDescent="0.45">
      <c r="A392" s="319" t="s">
        <v>14</v>
      </c>
      <c r="B392" s="320" t="s">
        <v>748</v>
      </c>
      <c r="C392" s="528"/>
      <c r="D392" s="528"/>
      <c r="E392" s="456">
        <f>C392*2.5</f>
        <v>0</v>
      </c>
      <c r="F392" s="358">
        <f>E392*1.03*0.82/147</f>
        <v>0</v>
      </c>
      <c r="G392" s="549">
        <f t="shared" ref="G392:G419" si="140">INT(M392)</f>
        <v>0</v>
      </c>
      <c r="H392" s="359" t="s">
        <v>18</v>
      </c>
      <c r="I392" s="549">
        <f t="shared" ref="I392:I419" si="141">(M392-G392)*64</f>
        <v>0</v>
      </c>
      <c r="J392" s="359" t="s">
        <v>19</v>
      </c>
      <c r="K392" s="358"/>
      <c r="L392" s="358"/>
      <c r="M392" s="358">
        <f>(F392*5547/3456)</f>
        <v>0</v>
      </c>
      <c r="N392" s="324"/>
      <c r="O392" s="324"/>
      <c r="P392" s="324"/>
      <c r="Q392" s="324" t="s">
        <v>18</v>
      </c>
      <c r="R392" s="324"/>
      <c r="S392" s="324" t="s">
        <v>19</v>
      </c>
      <c r="T392" s="528">
        <v>9</v>
      </c>
      <c r="U392" s="324">
        <f t="shared" si="139"/>
        <v>0</v>
      </c>
      <c r="V392" s="676"/>
      <c r="W392" s="528"/>
      <c r="X392" s="529"/>
      <c r="Y392" s="323"/>
      <c r="Z392" s="312">
        <f>E392/1.21</f>
        <v>0</v>
      </c>
      <c r="AA392" s="316">
        <f>SUM(Z392/347.8)</f>
        <v>0</v>
      </c>
    </row>
    <row r="393" spans="1:29" ht="77.25" thickBot="1" x14ac:dyDescent="0.45">
      <c r="A393" s="319" t="s">
        <v>14</v>
      </c>
      <c r="B393" s="320" t="s">
        <v>749</v>
      </c>
      <c r="C393" s="528"/>
      <c r="D393" s="528"/>
      <c r="E393" s="456">
        <f>C393*4</f>
        <v>0</v>
      </c>
      <c r="F393" s="358">
        <f>E393*1.03*0.82/147</f>
        <v>0</v>
      </c>
      <c r="G393" s="548">
        <f t="shared" si="140"/>
        <v>0</v>
      </c>
      <c r="H393" s="358" t="s">
        <v>18</v>
      </c>
      <c r="I393" s="548">
        <f t="shared" si="141"/>
        <v>0</v>
      </c>
      <c r="J393" s="358" t="s">
        <v>19</v>
      </c>
      <c r="K393" s="358"/>
      <c r="L393" s="358"/>
      <c r="M393" s="358">
        <f>(F393*5547/3456)</f>
        <v>0</v>
      </c>
      <c r="N393" s="324"/>
      <c r="O393" s="324"/>
      <c r="P393" s="324"/>
      <c r="Q393" s="324" t="s">
        <v>18</v>
      </c>
      <c r="R393" s="324"/>
      <c r="S393" s="324" t="s">
        <v>19</v>
      </c>
      <c r="T393" s="528">
        <v>9</v>
      </c>
      <c r="U393" s="324">
        <f t="shared" si="139"/>
        <v>0</v>
      </c>
      <c r="V393" s="685"/>
      <c r="W393" s="528"/>
      <c r="X393" s="529"/>
      <c r="Y393" s="323"/>
      <c r="Z393" s="312">
        <f>E393/1.21</f>
        <v>0</v>
      </c>
      <c r="AA393" s="316">
        <f>SUM(Z393/347.8)</f>
        <v>0</v>
      </c>
    </row>
    <row r="394" spans="1:29" s="728" customFormat="1" ht="79.5" outlineLevel="1" thickBot="1" x14ac:dyDescent="0.45">
      <c r="A394" s="636" t="s">
        <v>14</v>
      </c>
      <c r="B394" s="634" t="s">
        <v>750</v>
      </c>
      <c r="C394" s="720"/>
      <c r="D394" s="720">
        <f>C394*144</f>
        <v>0</v>
      </c>
      <c r="E394" s="721">
        <f>D394*0.025</f>
        <v>0</v>
      </c>
      <c r="F394" s="722">
        <f>E394*1.008*0.72/147</f>
        <v>0</v>
      </c>
      <c r="G394" s="720">
        <f t="shared" si="140"/>
        <v>0</v>
      </c>
      <c r="H394" s="722" t="s">
        <v>18</v>
      </c>
      <c r="I394" s="720">
        <f t="shared" si="141"/>
        <v>0</v>
      </c>
      <c r="J394" s="722" t="s">
        <v>19</v>
      </c>
      <c r="K394" s="722"/>
      <c r="L394" s="722"/>
      <c r="M394" s="722">
        <f>(F394*8166/3456)</f>
        <v>0</v>
      </c>
      <c r="N394" s="722"/>
      <c r="O394" s="722"/>
      <c r="P394" s="722"/>
      <c r="Q394" s="722" t="s">
        <v>18</v>
      </c>
      <c r="R394" s="722"/>
      <c r="S394" s="722" t="s">
        <v>19</v>
      </c>
      <c r="T394" s="720">
        <v>9</v>
      </c>
      <c r="U394" s="722">
        <f>E394/259*60</f>
        <v>0</v>
      </c>
      <c r="V394" s="724"/>
      <c r="W394" s="720"/>
      <c r="X394" s="725"/>
      <c r="Y394" s="737" t="s">
        <v>921</v>
      </c>
      <c r="Z394" s="727">
        <f t="shared" si="138"/>
        <v>0</v>
      </c>
      <c r="AA394" s="815">
        <f>SUM(AB394/215.5)</f>
        <v>0</v>
      </c>
      <c r="AB394" s="728">
        <f>E394/1.21</f>
        <v>0</v>
      </c>
    </row>
    <row r="395" spans="1:29" ht="77.25" thickBot="1" x14ac:dyDescent="0.45">
      <c r="A395" s="319" t="s">
        <v>14</v>
      </c>
      <c r="B395" s="320" t="s">
        <v>1149</v>
      </c>
      <c r="C395" s="528"/>
      <c r="D395" s="528"/>
      <c r="E395" s="456">
        <f>C395*4</f>
        <v>0</v>
      </c>
      <c r="F395" s="358">
        <f>E395*1.03*0.82/147</f>
        <v>0</v>
      </c>
      <c r="G395" s="548">
        <f t="shared" si="140"/>
        <v>0</v>
      </c>
      <c r="H395" s="358" t="s">
        <v>18</v>
      </c>
      <c r="I395" s="548">
        <f t="shared" si="141"/>
        <v>0</v>
      </c>
      <c r="J395" s="358" t="s">
        <v>19</v>
      </c>
      <c r="K395" s="358"/>
      <c r="L395" s="358"/>
      <c r="M395" s="358">
        <f>(F395*5547/3456)</f>
        <v>0</v>
      </c>
      <c r="N395" s="324"/>
      <c r="O395" s="324"/>
      <c r="P395" s="324"/>
      <c r="Q395" s="324" t="s">
        <v>18</v>
      </c>
      <c r="R395" s="324"/>
      <c r="S395" s="324" t="s">
        <v>19</v>
      </c>
      <c r="T395" s="528">
        <v>9</v>
      </c>
      <c r="U395" s="324">
        <f t="shared" ref="U395:U401" si="142">E395/324*60</f>
        <v>0</v>
      </c>
      <c r="V395" s="676"/>
      <c r="W395" s="528"/>
      <c r="X395" s="529"/>
      <c r="Y395" s="323"/>
      <c r="Z395" s="312">
        <f t="shared" ref="Z395:Z401" si="143">E395/1.21</f>
        <v>0</v>
      </c>
      <c r="AA395" s="316">
        <f>SUM(Z395/347.8)</f>
        <v>0</v>
      </c>
    </row>
    <row r="396" spans="1:29" ht="77.25" outlineLevel="1" thickBot="1" x14ac:dyDescent="0.45">
      <c r="A396" s="319" t="s">
        <v>14</v>
      </c>
      <c r="B396" s="799" t="s">
        <v>1209</v>
      </c>
      <c r="C396" s="528"/>
      <c r="D396" s="528"/>
      <c r="E396" s="456">
        <f>C396*4</f>
        <v>0</v>
      </c>
      <c r="F396" s="358">
        <f>E396*1.03*0.82/147</f>
        <v>0</v>
      </c>
      <c r="G396" s="548">
        <f t="shared" si="140"/>
        <v>0</v>
      </c>
      <c r="H396" s="358" t="s">
        <v>18</v>
      </c>
      <c r="I396" s="548">
        <f t="shared" si="141"/>
        <v>0</v>
      </c>
      <c r="J396" s="358" t="s">
        <v>19</v>
      </c>
      <c r="K396" s="358"/>
      <c r="L396" s="358"/>
      <c r="M396" s="358">
        <f>(F396*5547/3456)</f>
        <v>0</v>
      </c>
      <c r="N396" s="324"/>
      <c r="O396" s="324"/>
      <c r="P396" s="324"/>
      <c r="Q396" s="324" t="s">
        <v>18</v>
      </c>
      <c r="R396" s="324"/>
      <c r="S396" s="324" t="s">
        <v>19</v>
      </c>
      <c r="T396" s="528">
        <v>9</v>
      </c>
      <c r="U396" s="324">
        <f>E396/324*60</f>
        <v>0</v>
      </c>
      <c r="V396" s="676"/>
      <c r="W396" s="528"/>
      <c r="X396" s="529"/>
      <c r="Y396" s="323"/>
      <c r="Z396" s="312">
        <f t="shared" si="143"/>
        <v>0</v>
      </c>
      <c r="AA396" s="316">
        <f>SUM(Z396/341.6)</f>
        <v>0</v>
      </c>
    </row>
    <row r="397" spans="1:29" ht="102.75" thickBot="1" x14ac:dyDescent="0.45">
      <c r="A397" s="319" t="s">
        <v>14</v>
      </c>
      <c r="B397" s="320" t="s">
        <v>751</v>
      </c>
      <c r="C397" s="528"/>
      <c r="D397" s="528"/>
      <c r="E397" s="456">
        <f>C397*4</f>
        <v>0</v>
      </c>
      <c r="F397" s="358">
        <f>E397*1.01*0.72/147</f>
        <v>0</v>
      </c>
      <c r="G397" s="548">
        <f t="shared" ref="G397:G402" si="144">INT(M397)</f>
        <v>0</v>
      </c>
      <c r="H397" s="358" t="s">
        <v>18</v>
      </c>
      <c r="I397" s="548">
        <f t="shared" ref="I397:I402" si="145">(M397-G397)*64</f>
        <v>0</v>
      </c>
      <c r="J397" s="358" t="s">
        <v>19</v>
      </c>
      <c r="K397" s="358"/>
      <c r="L397" s="358"/>
      <c r="M397" s="358">
        <f>(F397*6035/3456)</f>
        <v>0</v>
      </c>
      <c r="N397" s="324"/>
      <c r="O397" s="324"/>
      <c r="P397" s="324"/>
      <c r="Q397" s="324" t="s">
        <v>18</v>
      </c>
      <c r="R397" s="324"/>
      <c r="S397" s="324" t="s">
        <v>19</v>
      </c>
      <c r="T397" s="528">
        <v>9</v>
      </c>
      <c r="U397" s="324">
        <f t="shared" si="142"/>
        <v>0</v>
      </c>
      <c r="V397" s="676"/>
      <c r="W397" s="528"/>
      <c r="X397" s="529"/>
      <c r="Y397" s="323"/>
      <c r="Z397" s="312">
        <f>E397/1.21/1.143</f>
        <v>0</v>
      </c>
      <c r="AA397" s="316">
        <f>SUM(AB397/287.3)</f>
        <v>0</v>
      </c>
      <c r="AB397" s="310">
        <f>E397/1.21</f>
        <v>0</v>
      </c>
    </row>
    <row r="398" spans="1:29" ht="77.25" thickBot="1" x14ac:dyDescent="0.45">
      <c r="A398" s="319" t="s">
        <v>14</v>
      </c>
      <c r="B398" s="343" t="s">
        <v>752</v>
      </c>
      <c r="C398" s="528"/>
      <c r="D398" s="528"/>
      <c r="E398" s="457">
        <f>C398*3</f>
        <v>0</v>
      </c>
      <c r="F398" s="358">
        <f>E398*1.03*0.82/147</f>
        <v>0</v>
      </c>
      <c r="G398" s="549">
        <f t="shared" si="144"/>
        <v>0</v>
      </c>
      <c r="H398" s="359" t="s">
        <v>18</v>
      </c>
      <c r="I398" s="549">
        <f t="shared" si="145"/>
        <v>0</v>
      </c>
      <c r="J398" s="359" t="s">
        <v>19</v>
      </c>
      <c r="K398" s="358"/>
      <c r="L398" s="358"/>
      <c r="M398" s="358">
        <f>(F398*5547/3456)</f>
        <v>0</v>
      </c>
      <c r="N398" s="324"/>
      <c r="O398" s="324"/>
      <c r="P398" s="324"/>
      <c r="Q398" s="324" t="s">
        <v>18</v>
      </c>
      <c r="R398" s="324"/>
      <c r="S398" s="324" t="s">
        <v>19</v>
      </c>
      <c r="T398" s="528">
        <v>9</v>
      </c>
      <c r="U398" s="324">
        <f t="shared" si="142"/>
        <v>0</v>
      </c>
      <c r="V398" s="676"/>
      <c r="W398" s="528"/>
      <c r="X398" s="529"/>
      <c r="Y398" s="323"/>
      <c r="Z398" s="312">
        <f t="shared" si="143"/>
        <v>0</v>
      </c>
      <c r="AA398" s="316">
        <f>SUM(Z398/341.6)</f>
        <v>0</v>
      </c>
    </row>
    <row r="399" spans="1:29" ht="77.25" thickBot="1" x14ac:dyDescent="0.45">
      <c r="A399" s="319" t="s">
        <v>14</v>
      </c>
      <c r="B399" s="344" t="s">
        <v>879</v>
      </c>
      <c r="C399" s="528"/>
      <c r="D399" s="528"/>
      <c r="E399" s="457">
        <f>C399*3</f>
        <v>0</v>
      </c>
      <c r="F399" s="358">
        <f>E399*1.03*0.82/147</f>
        <v>0</v>
      </c>
      <c r="G399" s="549">
        <f t="shared" si="144"/>
        <v>0</v>
      </c>
      <c r="H399" s="359" t="s">
        <v>18</v>
      </c>
      <c r="I399" s="549">
        <f t="shared" si="145"/>
        <v>0</v>
      </c>
      <c r="J399" s="359" t="s">
        <v>19</v>
      </c>
      <c r="K399" s="358"/>
      <c r="L399" s="358"/>
      <c r="M399" s="358">
        <f>(F399*5547/3456)</f>
        <v>0</v>
      </c>
      <c r="N399" s="324"/>
      <c r="O399" s="324"/>
      <c r="P399" s="324"/>
      <c r="Q399" s="324" t="s">
        <v>18</v>
      </c>
      <c r="R399" s="324"/>
      <c r="S399" s="324" t="s">
        <v>19</v>
      </c>
      <c r="T399" s="528">
        <v>9</v>
      </c>
      <c r="U399" s="324">
        <f t="shared" si="142"/>
        <v>0</v>
      </c>
      <c r="V399" s="676"/>
      <c r="W399" s="528"/>
      <c r="X399" s="529"/>
      <c r="Y399" s="323"/>
      <c r="Z399" s="312">
        <f t="shared" si="143"/>
        <v>0</v>
      </c>
      <c r="AA399" s="316">
        <f>SUM(Z399/347.8)</f>
        <v>0</v>
      </c>
    </row>
    <row r="400" spans="1:29" ht="51.75" thickBot="1" x14ac:dyDescent="0.45">
      <c r="A400" s="319" t="s">
        <v>14</v>
      </c>
      <c r="B400" s="320" t="s">
        <v>753</v>
      </c>
      <c r="C400" s="528"/>
      <c r="D400" s="528"/>
      <c r="E400" s="456">
        <f>C400*2.5</f>
        <v>0</v>
      </c>
      <c r="F400" s="358">
        <f>E400*1.03*0.84/147</f>
        <v>0</v>
      </c>
      <c r="G400" s="548">
        <f t="shared" si="144"/>
        <v>0</v>
      </c>
      <c r="H400" s="358" t="s">
        <v>18</v>
      </c>
      <c r="I400" s="548">
        <f t="shared" si="145"/>
        <v>0</v>
      </c>
      <c r="J400" s="358" t="s">
        <v>19</v>
      </c>
      <c r="K400" s="358"/>
      <c r="L400" s="358"/>
      <c r="M400" s="358">
        <f>(F400*5547/3456)</f>
        <v>0</v>
      </c>
      <c r="N400" s="324"/>
      <c r="O400" s="324"/>
      <c r="P400" s="324"/>
      <c r="Q400" s="324" t="s">
        <v>18</v>
      </c>
      <c r="R400" s="324"/>
      <c r="S400" s="324" t="s">
        <v>19</v>
      </c>
      <c r="T400" s="528">
        <v>9</v>
      </c>
      <c r="U400" s="324">
        <f t="shared" si="142"/>
        <v>0</v>
      </c>
      <c r="V400" s="676"/>
      <c r="W400" s="528"/>
      <c r="X400" s="529"/>
      <c r="Y400" s="323"/>
      <c r="Z400" s="312">
        <f t="shared" si="143"/>
        <v>0</v>
      </c>
      <c r="AA400" s="316">
        <f>SUM(Z400/347.8)</f>
        <v>0</v>
      </c>
    </row>
    <row r="401" spans="1:29" ht="77.25" thickBot="1" x14ac:dyDescent="0.45">
      <c r="A401" s="319" t="s">
        <v>14</v>
      </c>
      <c r="B401" s="320" t="s">
        <v>754</v>
      </c>
      <c r="C401" s="528"/>
      <c r="D401" s="528"/>
      <c r="E401" s="456">
        <f>C401*4</f>
        <v>0</v>
      </c>
      <c r="F401" s="358">
        <f>E401*1.03*0.84/147</f>
        <v>0</v>
      </c>
      <c r="G401" s="548">
        <f t="shared" si="144"/>
        <v>0</v>
      </c>
      <c r="H401" s="358" t="s">
        <v>18</v>
      </c>
      <c r="I401" s="548">
        <f t="shared" si="145"/>
        <v>0</v>
      </c>
      <c r="J401" s="358" t="s">
        <v>19</v>
      </c>
      <c r="K401" s="358"/>
      <c r="L401" s="358"/>
      <c r="M401" s="358">
        <f>(F401*5547/3456)</f>
        <v>0</v>
      </c>
      <c r="N401" s="324"/>
      <c r="O401" s="324"/>
      <c r="P401" s="324"/>
      <c r="Q401" s="324" t="s">
        <v>18</v>
      </c>
      <c r="R401" s="324"/>
      <c r="S401" s="324" t="s">
        <v>19</v>
      </c>
      <c r="T401" s="528">
        <v>9</v>
      </c>
      <c r="U401" s="324">
        <f t="shared" si="142"/>
        <v>0</v>
      </c>
      <c r="V401" s="676"/>
      <c r="W401" s="528"/>
      <c r="X401" s="529"/>
      <c r="Y401" s="323"/>
      <c r="Z401" s="312">
        <f t="shared" si="143"/>
        <v>0</v>
      </c>
      <c r="AA401" s="316">
        <f>SUM(Z401/347.8)</f>
        <v>0</v>
      </c>
    </row>
    <row r="402" spans="1:29" ht="77.25" thickBot="1" x14ac:dyDescent="0.45">
      <c r="A402" s="319" t="s">
        <v>14</v>
      </c>
      <c r="B402" s="361" t="s">
        <v>755</v>
      </c>
      <c r="C402" s="528"/>
      <c r="D402" s="528"/>
      <c r="E402" s="456">
        <f>C402*4</f>
        <v>0</v>
      </c>
      <c r="F402" s="358">
        <f>E402*1.01*0.756/147</f>
        <v>0</v>
      </c>
      <c r="G402" s="548">
        <f t="shared" si="144"/>
        <v>0</v>
      </c>
      <c r="H402" s="358" t="s">
        <v>18</v>
      </c>
      <c r="I402" s="548">
        <f t="shared" si="145"/>
        <v>0</v>
      </c>
      <c r="J402" s="358" t="s">
        <v>19</v>
      </c>
      <c r="K402" s="358"/>
      <c r="L402" s="358"/>
      <c r="M402" s="358">
        <f>(F402*6035/3456)</f>
        <v>0</v>
      </c>
      <c r="N402" s="324"/>
      <c r="O402" s="324"/>
      <c r="P402" s="324"/>
      <c r="Q402" s="324" t="s">
        <v>18</v>
      </c>
      <c r="R402" s="324"/>
      <c r="S402" s="324" t="s">
        <v>19</v>
      </c>
      <c r="T402" s="528">
        <v>9</v>
      </c>
      <c r="U402" s="324">
        <f t="shared" ref="U402:U419" si="146">E402/324*60</f>
        <v>0</v>
      </c>
      <c r="V402" s="676"/>
      <c r="W402" s="528"/>
      <c r="X402" s="529"/>
      <c r="Y402" s="323"/>
      <c r="Z402" s="312">
        <f>E402/1.21/1.143</f>
        <v>0</v>
      </c>
      <c r="AA402" s="316">
        <f>SUM(AB402/287.3)</f>
        <v>0</v>
      </c>
      <c r="AB402" s="310">
        <f>E402/1.21</f>
        <v>0</v>
      </c>
    </row>
    <row r="403" spans="1:29" ht="77.25" thickBot="1" x14ac:dyDescent="0.45">
      <c r="A403" s="319" t="s">
        <v>14</v>
      </c>
      <c r="B403" s="320" t="s">
        <v>756</v>
      </c>
      <c r="C403" s="528"/>
      <c r="D403" s="528"/>
      <c r="E403" s="456">
        <f>C403*2.5</f>
        <v>0</v>
      </c>
      <c r="F403" s="358">
        <f>E403*1.01*0.756/147</f>
        <v>0</v>
      </c>
      <c r="G403" s="548">
        <f t="shared" si="140"/>
        <v>0</v>
      </c>
      <c r="H403" s="358" t="s">
        <v>18</v>
      </c>
      <c r="I403" s="548">
        <f t="shared" si="141"/>
        <v>0</v>
      </c>
      <c r="J403" s="358" t="s">
        <v>19</v>
      </c>
      <c r="K403" s="358"/>
      <c r="L403" s="358"/>
      <c r="M403" s="358">
        <f>(F403*6035/3456)</f>
        <v>0</v>
      </c>
      <c r="N403" s="324"/>
      <c r="O403" s="324"/>
      <c r="P403" s="324"/>
      <c r="Q403" s="324" t="s">
        <v>18</v>
      </c>
      <c r="R403" s="324"/>
      <c r="S403" s="324" t="s">
        <v>19</v>
      </c>
      <c r="T403" s="528">
        <v>9</v>
      </c>
      <c r="U403" s="324">
        <f t="shared" si="146"/>
        <v>0</v>
      </c>
      <c r="V403" s="676"/>
      <c r="W403" s="528"/>
      <c r="X403" s="529"/>
      <c r="Y403" s="323"/>
      <c r="Z403" s="312">
        <f>E403/1.21/1.143</f>
        <v>0</v>
      </c>
      <c r="AA403" s="316">
        <f>SUM(AB403/287.3)</f>
        <v>0</v>
      </c>
      <c r="AB403" s="310">
        <f>E403/1.21</f>
        <v>0</v>
      </c>
    </row>
    <row r="404" spans="1:29" ht="77.25" thickBot="1" x14ac:dyDescent="0.45">
      <c r="A404" s="319" t="s">
        <v>14</v>
      </c>
      <c r="B404" s="320" t="s">
        <v>757</v>
      </c>
      <c r="C404" s="528"/>
      <c r="D404" s="528"/>
      <c r="E404" s="456">
        <f>C404*2.5</f>
        <v>0</v>
      </c>
      <c r="F404" s="358">
        <f>E404*1.01*0.756/147</f>
        <v>0</v>
      </c>
      <c r="G404" s="548">
        <f t="shared" si="140"/>
        <v>0</v>
      </c>
      <c r="H404" s="358" t="s">
        <v>18</v>
      </c>
      <c r="I404" s="548">
        <f t="shared" si="141"/>
        <v>0</v>
      </c>
      <c r="J404" s="358" t="s">
        <v>19</v>
      </c>
      <c r="K404" s="358"/>
      <c r="L404" s="358"/>
      <c r="M404" s="358">
        <f>(F404*6035/3456)</f>
        <v>0</v>
      </c>
      <c r="N404" s="324"/>
      <c r="O404" s="324"/>
      <c r="P404" s="324"/>
      <c r="Q404" s="324" t="s">
        <v>18</v>
      </c>
      <c r="R404" s="324"/>
      <c r="S404" s="324" t="s">
        <v>19</v>
      </c>
      <c r="T404" s="528">
        <v>9</v>
      </c>
      <c r="U404" s="324">
        <f t="shared" si="146"/>
        <v>0</v>
      </c>
      <c r="V404" s="676"/>
      <c r="W404" s="528"/>
      <c r="X404" s="529"/>
      <c r="Y404" s="323"/>
      <c r="Z404" s="312">
        <f>E404/1.21/1.143</f>
        <v>0</v>
      </c>
      <c r="AA404" s="316">
        <f>SUM(AB404/287.3)</f>
        <v>0</v>
      </c>
      <c r="AB404" s="310">
        <f>E404/1.21</f>
        <v>0</v>
      </c>
    </row>
    <row r="405" spans="1:29" ht="77.25" thickBot="1" x14ac:dyDescent="0.45">
      <c r="A405" s="319" t="s">
        <v>14</v>
      </c>
      <c r="B405" s="320" t="s">
        <v>758</v>
      </c>
      <c r="C405" s="528"/>
      <c r="D405" s="528"/>
      <c r="E405" s="456">
        <f>C405*4</f>
        <v>0</v>
      </c>
      <c r="F405" s="358">
        <f>E405*1.03*0.84/147</f>
        <v>0</v>
      </c>
      <c r="G405" s="548">
        <f t="shared" si="140"/>
        <v>0</v>
      </c>
      <c r="H405" s="358" t="s">
        <v>18</v>
      </c>
      <c r="I405" s="548">
        <f t="shared" si="141"/>
        <v>0</v>
      </c>
      <c r="J405" s="358" t="s">
        <v>19</v>
      </c>
      <c r="K405" s="358"/>
      <c r="L405" s="358"/>
      <c r="M405" s="358">
        <f>(F405*5068/3456)</f>
        <v>0</v>
      </c>
      <c r="N405" s="324"/>
      <c r="O405" s="324"/>
      <c r="P405" s="324"/>
      <c r="Q405" s="324" t="s">
        <v>18</v>
      </c>
      <c r="R405" s="324"/>
      <c r="S405" s="324" t="s">
        <v>19</v>
      </c>
      <c r="T405" s="528">
        <v>9</v>
      </c>
      <c r="U405" s="324">
        <f t="shared" si="146"/>
        <v>0</v>
      </c>
      <c r="V405" s="676"/>
      <c r="W405" s="528"/>
      <c r="X405" s="529"/>
      <c r="Y405" s="323"/>
      <c r="Z405" s="312">
        <f>E405/1.21</f>
        <v>0</v>
      </c>
      <c r="AA405" s="316">
        <f>SUM(Z405/347.8)</f>
        <v>0</v>
      </c>
    </row>
    <row r="406" spans="1:29" ht="77.25" thickBot="1" x14ac:dyDescent="0.45">
      <c r="A406" s="319" t="s">
        <v>14</v>
      </c>
      <c r="B406" s="799" t="s">
        <v>1186</v>
      </c>
      <c r="C406" s="528"/>
      <c r="D406" s="528"/>
      <c r="E406" s="456">
        <f>C406*1.7</f>
        <v>0</v>
      </c>
      <c r="F406" s="324">
        <f>E406*1.03*0.84/147</f>
        <v>0</v>
      </c>
      <c r="G406" s="548">
        <f t="shared" si="140"/>
        <v>0</v>
      </c>
      <c r="H406" s="358" t="s">
        <v>18</v>
      </c>
      <c r="I406" s="548">
        <f t="shared" si="141"/>
        <v>0</v>
      </c>
      <c r="J406" s="358" t="s">
        <v>19</v>
      </c>
      <c r="K406" s="358"/>
      <c r="L406" s="358"/>
      <c r="M406" s="358">
        <f>(F406*5068/3456)</f>
        <v>0</v>
      </c>
      <c r="N406" s="324"/>
      <c r="O406" s="324"/>
      <c r="P406" s="324"/>
      <c r="Q406" s="324" t="s">
        <v>18</v>
      </c>
      <c r="R406" s="324"/>
      <c r="S406" s="324" t="s">
        <v>19</v>
      </c>
      <c r="T406" s="528">
        <v>9</v>
      </c>
      <c r="U406" s="324">
        <f t="shared" si="146"/>
        <v>0</v>
      </c>
      <c r="V406" s="676"/>
      <c r="W406" s="528"/>
      <c r="X406" s="529"/>
      <c r="Y406" s="323"/>
      <c r="Z406" s="312">
        <f>E406/1.21</f>
        <v>0</v>
      </c>
      <c r="AA406" s="316">
        <f>SUM(Z406/347.8)</f>
        <v>0</v>
      </c>
    </row>
    <row r="407" spans="1:29" ht="77.25" thickBot="1" x14ac:dyDescent="0.45">
      <c r="A407" s="319" t="s">
        <v>14</v>
      </c>
      <c r="B407" s="802" t="s">
        <v>1185</v>
      </c>
      <c r="C407" s="528"/>
      <c r="D407" s="528"/>
      <c r="E407" s="456">
        <f>C407*1</f>
        <v>0</v>
      </c>
      <c r="F407" s="358">
        <f>E407*1.03*0.84/147</f>
        <v>0</v>
      </c>
      <c r="G407" s="549">
        <f t="shared" si="140"/>
        <v>0</v>
      </c>
      <c r="H407" s="359" t="s">
        <v>18</v>
      </c>
      <c r="I407" s="549">
        <f t="shared" si="141"/>
        <v>0</v>
      </c>
      <c r="J407" s="359" t="s">
        <v>19</v>
      </c>
      <c r="K407" s="358"/>
      <c r="L407" s="358"/>
      <c r="M407" s="358">
        <f>(F407*5068/3456)</f>
        <v>0</v>
      </c>
      <c r="N407" s="324"/>
      <c r="O407" s="324"/>
      <c r="P407" s="324"/>
      <c r="Q407" s="324" t="s">
        <v>18</v>
      </c>
      <c r="R407" s="324"/>
      <c r="S407" s="324" t="s">
        <v>19</v>
      </c>
      <c r="T407" s="528">
        <v>9</v>
      </c>
      <c r="U407" s="324">
        <f t="shared" si="146"/>
        <v>0</v>
      </c>
      <c r="V407" s="676"/>
      <c r="W407" s="528"/>
      <c r="X407" s="529"/>
      <c r="Y407" s="323"/>
      <c r="Z407" s="312">
        <f>E407/1.21</f>
        <v>0</v>
      </c>
      <c r="AA407" s="316">
        <f>SUM(Z407/285.7)</f>
        <v>0</v>
      </c>
    </row>
    <row r="408" spans="1:29" ht="77.25" thickBot="1" x14ac:dyDescent="0.45">
      <c r="A408" s="319" t="s">
        <v>14</v>
      </c>
      <c r="B408" s="802" t="s">
        <v>1187</v>
      </c>
      <c r="C408" s="528"/>
      <c r="D408" s="528"/>
      <c r="E408" s="456">
        <f>C408*1.7</f>
        <v>0</v>
      </c>
      <c r="F408" s="358">
        <f>E408*1.03*0.84/147</f>
        <v>0</v>
      </c>
      <c r="G408" s="549">
        <f t="shared" si="140"/>
        <v>0</v>
      </c>
      <c r="H408" s="359" t="s">
        <v>18</v>
      </c>
      <c r="I408" s="549">
        <f t="shared" si="141"/>
        <v>0</v>
      </c>
      <c r="J408" s="359" t="s">
        <v>19</v>
      </c>
      <c r="K408" s="358"/>
      <c r="L408" s="358"/>
      <c r="M408" s="358">
        <f>(F408*5068/3456)</f>
        <v>0</v>
      </c>
      <c r="N408" s="324"/>
      <c r="O408" s="324"/>
      <c r="P408" s="324"/>
      <c r="Q408" s="324" t="s">
        <v>18</v>
      </c>
      <c r="R408" s="324"/>
      <c r="S408" s="324" t="s">
        <v>19</v>
      </c>
      <c r="T408" s="528">
        <v>9</v>
      </c>
      <c r="U408" s="324">
        <f t="shared" si="146"/>
        <v>0</v>
      </c>
      <c r="V408" s="676"/>
      <c r="W408" s="528"/>
      <c r="X408" s="529"/>
      <c r="Y408" s="323"/>
      <c r="Z408" s="312">
        <f>E408/1.21/1.143</f>
        <v>0</v>
      </c>
      <c r="AA408" s="316">
        <f>SUM(AB408/287.3)</f>
        <v>0</v>
      </c>
      <c r="AB408" s="310">
        <f>E408/1.21</f>
        <v>0</v>
      </c>
    </row>
    <row r="409" spans="1:29" ht="77.25" thickBot="1" x14ac:dyDescent="0.45">
      <c r="A409" s="319" t="s">
        <v>14</v>
      </c>
      <c r="B409" s="802" t="s">
        <v>896</v>
      </c>
      <c r="C409" s="528"/>
      <c r="D409" s="528"/>
      <c r="E409" s="456">
        <f>C409*1.2</f>
        <v>0</v>
      </c>
      <c r="F409" s="358">
        <f>E409*1.01*0.72/147</f>
        <v>0</v>
      </c>
      <c r="G409" s="548">
        <f t="shared" si="140"/>
        <v>0</v>
      </c>
      <c r="H409" s="358" t="s">
        <v>18</v>
      </c>
      <c r="I409" s="548">
        <f t="shared" si="141"/>
        <v>0</v>
      </c>
      <c r="J409" s="358" t="s">
        <v>19</v>
      </c>
      <c r="K409" s="358"/>
      <c r="L409" s="358"/>
      <c r="M409" s="358">
        <f>(F409*6035/3456)</f>
        <v>0</v>
      </c>
      <c r="N409" s="358"/>
      <c r="O409" s="358"/>
      <c r="P409" s="358"/>
      <c r="Q409" s="358" t="s">
        <v>18</v>
      </c>
      <c r="R409" s="358"/>
      <c r="S409" s="358" t="s">
        <v>19</v>
      </c>
      <c r="T409" s="528">
        <v>9</v>
      </c>
      <c r="U409" s="324">
        <f t="shared" si="146"/>
        <v>0</v>
      </c>
      <c r="V409" s="685"/>
      <c r="W409" s="528"/>
      <c r="X409" s="529"/>
      <c r="Y409" s="323"/>
      <c r="Z409" s="312">
        <f>E409/1.21/1.143</f>
        <v>0</v>
      </c>
      <c r="AA409" s="316">
        <f>SUM(AB409/271.89)</f>
        <v>0</v>
      </c>
      <c r="AB409" s="310">
        <f>E409/1.21</f>
        <v>0</v>
      </c>
      <c r="AC409" s="643"/>
    </row>
    <row r="410" spans="1:29" ht="77.25" thickBot="1" x14ac:dyDescent="0.45">
      <c r="A410" s="319" t="s">
        <v>14</v>
      </c>
      <c r="B410" s="802" t="s">
        <v>1082</v>
      </c>
      <c r="C410" s="528"/>
      <c r="D410" s="528"/>
      <c r="E410" s="460">
        <f>C410*1.2</f>
        <v>0</v>
      </c>
      <c r="F410" s="324">
        <f>E410*1.01*0.72/147</f>
        <v>0</v>
      </c>
      <c r="G410" s="528">
        <f t="shared" si="140"/>
        <v>0</v>
      </c>
      <c r="H410" s="324" t="s">
        <v>18</v>
      </c>
      <c r="I410" s="528">
        <f t="shared" si="141"/>
        <v>0</v>
      </c>
      <c r="J410" s="324" t="s">
        <v>19</v>
      </c>
      <c r="K410" s="324"/>
      <c r="L410" s="324"/>
      <c r="M410" s="324">
        <f>(F410*6035/3456)</f>
        <v>0</v>
      </c>
      <c r="N410" s="324"/>
      <c r="O410" s="324"/>
      <c r="P410" s="324"/>
      <c r="Q410" s="324" t="s">
        <v>18</v>
      </c>
      <c r="R410" s="324"/>
      <c r="S410" s="324" t="s">
        <v>19</v>
      </c>
      <c r="T410" s="528">
        <v>9</v>
      </c>
      <c r="U410" s="324">
        <f t="shared" si="146"/>
        <v>0</v>
      </c>
      <c r="V410" s="685"/>
      <c r="W410" s="528"/>
      <c r="X410" s="529"/>
      <c r="Y410" s="323"/>
      <c r="Z410" s="312">
        <f>E410/1.21/1.143</f>
        <v>0</v>
      </c>
      <c r="AA410" s="316">
        <f>SUM(AB410/271.89)</f>
        <v>0</v>
      </c>
      <c r="AB410" s="310">
        <f>E410/1.21</f>
        <v>0</v>
      </c>
      <c r="AC410" s="643"/>
    </row>
    <row r="411" spans="1:29" ht="51.75" thickBot="1" x14ac:dyDescent="0.45">
      <c r="A411" s="319" t="s">
        <v>14</v>
      </c>
      <c r="B411" s="802" t="s">
        <v>897</v>
      </c>
      <c r="C411" s="528"/>
      <c r="D411" s="528"/>
      <c r="E411" s="456">
        <f>C411*1.2</f>
        <v>0</v>
      </c>
      <c r="F411" s="358">
        <f>E411*1.03*0.82/147</f>
        <v>0</v>
      </c>
      <c r="G411" s="549">
        <f t="shared" si="140"/>
        <v>0</v>
      </c>
      <c r="H411" s="359" t="s">
        <v>18</v>
      </c>
      <c r="I411" s="549">
        <f t="shared" si="141"/>
        <v>0</v>
      </c>
      <c r="J411" s="359" t="s">
        <v>19</v>
      </c>
      <c r="K411" s="358"/>
      <c r="L411" s="358"/>
      <c r="M411" s="358">
        <f>(F411*5547/3456)</f>
        <v>0</v>
      </c>
      <c r="N411" s="358"/>
      <c r="O411" s="358"/>
      <c r="P411" s="358"/>
      <c r="Q411" s="358" t="s">
        <v>18</v>
      </c>
      <c r="R411" s="358"/>
      <c r="S411" s="358" t="s">
        <v>19</v>
      </c>
      <c r="T411" s="528">
        <v>9</v>
      </c>
      <c r="U411" s="324">
        <f t="shared" si="146"/>
        <v>0</v>
      </c>
      <c r="V411" s="685"/>
      <c r="W411" s="528"/>
      <c r="X411" s="529"/>
      <c r="Y411" s="323"/>
      <c r="Z411" s="312">
        <f>E411/1.21</f>
        <v>0</v>
      </c>
      <c r="AA411" s="316">
        <f>SUM(Z411/300.5)</f>
        <v>0</v>
      </c>
    </row>
    <row r="412" spans="1:29" ht="77.25" thickBot="1" x14ac:dyDescent="0.45">
      <c r="A412" s="319" t="s">
        <v>14</v>
      </c>
      <c r="B412" s="802" t="s">
        <v>1203</v>
      </c>
      <c r="C412" s="528"/>
      <c r="D412" s="528"/>
      <c r="E412" s="456">
        <f>C412*1.2</f>
        <v>0</v>
      </c>
      <c r="F412" s="358">
        <f>E412*1.03*0.82/147</f>
        <v>0</v>
      </c>
      <c r="G412" s="549">
        <f t="shared" si="140"/>
        <v>0</v>
      </c>
      <c r="H412" s="359" t="s">
        <v>18</v>
      </c>
      <c r="I412" s="549">
        <f t="shared" si="141"/>
        <v>0</v>
      </c>
      <c r="J412" s="359" t="s">
        <v>19</v>
      </c>
      <c r="K412" s="358"/>
      <c r="L412" s="358"/>
      <c r="M412" s="358">
        <f>(F412*5547/3456)</f>
        <v>0</v>
      </c>
      <c r="N412" s="358"/>
      <c r="O412" s="358"/>
      <c r="P412" s="358"/>
      <c r="Q412" s="358" t="s">
        <v>18</v>
      </c>
      <c r="R412" s="358"/>
      <c r="S412" s="358" t="s">
        <v>19</v>
      </c>
      <c r="T412" s="528">
        <v>9</v>
      </c>
      <c r="U412" s="324">
        <f t="shared" si="146"/>
        <v>0</v>
      </c>
      <c r="V412" s="685"/>
      <c r="W412" s="528"/>
      <c r="X412" s="529"/>
      <c r="Y412" s="323"/>
      <c r="Z412" s="312">
        <f>E412/1.21</f>
        <v>0</v>
      </c>
      <c r="AA412" s="316">
        <f>SUM(Z412/300.5)</f>
        <v>0</v>
      </c>
    </row>
    <row r="413" spans="1:29" ht="77.25" thickBot="1" x14ac:dyDescent="0.45">
      <c r="A413" s="319" t="s">
        <v>14</v>
      </c>
      <c r="B413" s="802" t="s">
        <v>1010</v>
      </c>
      <c r="C413" s="528"/>
      <c r="D413" s="528"/>
      <c r="E413" s="460">
        <f>C413*2</f>
        <v>0</v>
      </c>
      <c r="F413" s="324">
        <f>E413*1.01*0.72/147</f>
        <v>0</v>
      </c>
      <c r="G413" s="528">
        <f t="shared" si="140"/>
        <v>0</v>
      </c>
      <c r="H413" s="324" t="s">
        <v>18</v>
      </c>
      <c r="I413" s="528">
        <f t="shared" si="141"/>
        <v>0</v>
      </c>
      <c r="J413" s="324" t="s">
        <v>19</v>
      </c>
      <c r="K413" s="324"/>
      <c r="L413" s="324"/>
      <c r="M413" s="324">
        <f>(F413*6035/3456)</f>
        <v>0</v>
      </c>
      <c r="N413" s="324"/>
      <c r="O413" s="324"/>
      <c r="P413" s="324"/>
      <c r="Q413" s="324" t="s">
        <v>18</v>
      </c>
      <c r="R413" s="324"/>
      <c r="S413" s="324" t="s">
        <v>19</v>
      </c>
      <c r="T413" s="528">
        <v>9</v>
      </c>
      <c r="U413" s="324">
        <f t="shared" si="146"/>
        <v>0</v>
      </c>
      <c r="V413" s="685"/>
      <c r="W413" s="528"/>
      <c r="X413" s="529"/>
      <c r="Y413" s="323"/>
      <c r="Z413" s="312">
        <f>E413/1.21/1.143</f>
        <v>0</v>
      </c>
      <c r="AA413" s="316">
        <f>SUM(AB413/271.89)</f>
        <v>0</v>
      </c>
      <c r="AB413" s="310">
        <f>E413/1.21</f>
        <v>0</v>
      </c>
      <c r="AC413" s="643"/>
    </row>
    <row r="414" spans="1:29" ht="77.25" thickBot="1" x14ac:dyDescent="0.45">
      <c r="A414" s="319" t="s">
        <v>14</v>
      </c>
      <c r="B414" s="802" t="s">
        <v>1011</v>
      </c>
      <c r="C414" s="528"/>
      <c r="D414" s="528"/>
      <c r="E414" s="460">
        <f>C414*2</f>
        <v>0</v>
      </c>
      <c r="F414" s="324">
        <f>E414*1.01*0.72/147</f>
        <v>0</v>
      </c>
      <c r="G414" s="528">
        <f t="shared" si="140"/>
        <v>0</v>
      </c>
      <c r="H414" s="324" t="s">
        <v>18</v>
      </c>
      <c r="I414" s="528">
        <f t="shared" si="141"/>
        <v>0</v>
      </c>
      <c r="J414" s="324" t="s">
        <v>19</v>
      </c>
      <c r="K414" s="324"/>
      <c r="L414" s="324"/>
      <c r="M414" s="324">
        <f>(F414*6035/3456)</f>
        <v>0</v>
      </c>
      <c r="N414" s="324"/>
      <c r="O414" s="324"/>
      <c r="P414" s="324"/>
      <c r="Q414" s="324" t="s">
        <v>18</v>
      </c>
      <c r="R414" s="324"/>
      <c r="S414" s="324" t="s">
        <v>19</v>
      </c>
      <c r="T414" s="528">
        <v>9</v>
      </c>
      <c r="U414" s="324">
        <f t="shared" si="146"/>
        <v>0</v>
      </c>
      <c r="V414" s="685"/>
      <c r="W414" s="528"/>
      <c r="X414" s="529"/>
      <c r="Y414" s="323"/>
      <c r="Z414" s="312">
        <f>E414/1.21/1.143</f>
        <v>0</v>
      </c>
      <c r="AA414" s="316">
        <f>SUM(AB414/271.89)</f>
        <v>0</v>
      </c>
      <c r="AB414" s="310">
        <f>E414/1.21</f>
        <v>0</v>
      </c>
      <c r="AC414" s="643"/>
    </row>
    <row r="415" spans="1:29" ht="77.25" thickBot="1" x14ac:dyDescent="0.45">
      <c r="A415" s="319" t="s">
        <v>14</v>
      </c>
      <c r="B415" s="802" t="s">
        <v>1009</v>
      </c>
      <c r="C415" s="528"/>
      <c r="D415" s="528"/>
      <c r="E415" s="460">
        <f>C415*2</f>
        <v>0</v>
      </c>
      <c r="F415" s="324">
        <f>E415*1.03*0.82/147</f>
        <v>0</v>
      </c>
      <c r="G415" s="537">
        <f t="shared" si="140"/>
        <v>0</v>
      </c>
      <c r="H415" s="354" t="s">
        <v>18</v>
      </c>
      <c r="I415" s="537">
        <f t="shared" si="141"/>
        <v>0</v>
      </c>
      <c r="J415" s="354" t="s">
        <v>19</v>
      </c>
      <c r="K415" s="324"/>
      <c r="L415" s="324"/>
      <c r="M415" s="324">
        <f>(F415*5547/3456)</f>
        <v>0</v>
      </c>
      <c r="N415" s="324"/>
      <c r="O415" s="324"/>
      <c r="P415" s="324"/>
      <c r="Q415" s="324" t="s">
        <v>18</v>
      </c>
      <c r="R415" s="324"/>
      <c r="S415" s="324" t="s">
        <v>19</v>
      </c>
      <c r="T415" s="528">
        <v>9</v>
      </c>
      <c r="U415" s="324">
        <f t="shared" si="146"/>
        <v>0</v>
      </c>
      <c r="V415" s="685"/>
      <c r="W415" s="528"/>
      <c r="X415" s="529"/>
      <c r="Y415" s="323"/>
      <c r="Z415" s="312">
        <f>E415/1.21</f>
        <v>0</v>
      </c>
      <c r="AA415" s="316">
        <f>SUM(Z415/300.5)</f>
        <v>0</v>
      </c>
    </row>
    <row r="416" spans="1:29" ht="77.25" thickBot="1" x14ac:dyDescent="0.45">
      <c r="A416" s="319" t="s">
        <v>14</v>
      </c>
      <c r="B416" s="802" t="s">
        <v>1043</v>
      </c>
      <c r="C416" s="528"/>
      <c r="D416" s="528"/>
      <c r="E416" s="460">
        <f>C416*2</f>
        <v>0</v>
      </c>
      <c r="F416" s="324">
        <f>E416*1.03*0.82/147</f>
        <v>0</v>
      </c>
      <c r="G416" s="537">
        <f t="shared" si="140"/>
        <v>0</v>
      </c>
      <c r="H416" s="354" t="s">
        <v>18</v>
      </c>
      <c r="I416" s="537">
        <f t="shared" si="141"/>
        <v>0</v>
      </c>
      <c r="J416" s="354" t="s">
        <v>19</v>
      </c>
      <c r="K416" s="324"/>
      <c r="L416" s="324"/>
      <c r="M416" s="324">
        <f>(F416*5547/3456)</f>
        <v>0</v>
      </c>
      <c r="N416" s="324"/>
      <c r="O416" s="324"/>
      <c r="P416" s="324"/>
      <c r="Q416" s="324" t="s">
        <v>18</v>
      </c>
      <c r="R416" s="324"/>
      <c r="S416" s="324" t="s">
        <v>19</v>
      </c>
      <c r="T416" s="528">
        <v>9</v>
      </c>
      <c r="U416" s="324">
        <f t="shared" si="146"/>
        <v>0</v>
      </c>
      <c r="V416" s="685"/>
      <c r="W416" s="528"/>
      <c r="X416" s="529"/>
      <c r="Y416" s="323"/>
      <c r="Z416" s="312">
        <f>E416/1.21</f>
        <v>0</v>
      </c>
      <c r="AA416" s="316">
        <f>SUM(Z416/300.5)</f>
        <v>0</v>
      </c>
    </row>
    <row r="417" spans="1:28" ht="51.75" thickBot="1" x14ac:dyDescent="0.45">
      <c r="A417" s="319" t="s">
        <v>14</v>
      </c>
      <c r="B417" s="320" t="s">
        <v>898</v>
      </c>
      <c r="C417" s="528"/>
      <c r="D417" s="525"/>
      <c r="E417" s="456">
        <f>C417*1</f>
        <v>0</v>
      </c>
      <c r="F417" s="358">
        <f>E417*1.03*0.84/147</f>
        <v>0</v>
      </c>
      <c r="G417" s="549">
        <f t="shared" si="140"/>
        <v>0</v>
      </c>
      <c r="H417" s="359" t="s">
        <v>18</v>
      </c>
      <c r="I417" s="549">
        <f t="shared" si="141"/>
        <v>0</v>
      </c>
      <c r="J417" s="359" t="s">
        <v>19</v>
      </c>
      <c r="K417" s="358"/>
      <c r="L417" s="358"/>
      <c r="M417" s="358">
        <f>(F417*6391/2880)</f>
        <v>0</v>
      </c>
      <c r="N417" s="461"/>
      <c r="O417" s="461"/>
      <c r="P417" s="324"/>
      <c r="Q417" s="324" t="s">
        <v>18</v>
      </c>
      <c r="R417" s="324"/>
      <c r="S417" s="324" t="s">
        <v>19</v>
      </c>
      <c r="T417" s="528">
        <v>9</v>
      </c>
      <c r="U417" s="324">
        <f t="shared" si="146"/>
        <v>0</v>
      </c>
      <c r="V417" s="676"/>
      <c r="W417" s="528"/>
      <c r="X417" s="529"/>
      <c r="Y417" s="323"/>
      <c r="Z417" s="312">
        <f>E417/1.21</f>
        <v>0</v>
      </c>
      <c r="AA417" s="316">
        <f>SUM(Z417/285.7)</f>
        <v>0</v>
      </c>
    </row>
    <row r="418" spans="1:28" ht="77.25" thickBot="1" x14ac:dyDescent="0.45">
      <c r="A418" s="319" t="s">
        <v>14</v>
      </c>
      <c r="B418" s="320" t="s">
        <v>1008</v>
      </c>
      <c r="C418" s="528"/>
      <c r="D418" s="528"/>
      <c r="E418" s="460">
        <f>C418*2</f>
        <v>0</v>
      </c>
      <c r="F418" s="324">
        <f>E418*1.03*0.84/147</f>
        <v>0</v>
      </c>
      <c r="G418" s="537">
        <f t="shared" si="140"/>
        <v>0</v>
      </c>
      <c r="H418" s="354" t="s">
        <v>18</v>
      </c>
      <c r="I418" s="537">
        <f t="shared" si="141"/>
        <v>0</v>
      </c>
      <c r="J418" s="354" t="s">
        <v>19</v>
      </c>
      <c r="K418" s="324"/>
      <c r="L418" s="324"/>
      <c r="M418" s="324">
        <f>(F418*5068/3456)</f>
        <v>0</v>
      </c>
      <c r="N418" s="324"/>
      <c r="O418" s="324"/>
      <c r="P418" s="324"/>
      <c r="Q418" s="324" t="s">
        <v>18</v>
      </c>
      <c r="R418" s="324"/>
      <c r="S418" s="324" t="s">
        <v>19</v>
      </c>
      <c r="T418" s="528">
        <v>9</v>
      </c>
      <c r="U418" s="324">
        <f t="shared" si="146"/>
        <v>0</v>
      </c>
      <c r="V418" s="676"/>
      <c r="W418" s="528"/>
      <c r="X418" s="529"/>
      <c r="Y418" s="323"/>
      <c r="Z418" s="312">
        <f>E418/1.21</f>
        <v>0</v>
      </c>
      <c r="AA418" s="316">
        <f>SUM(Z418/347.8)</f>
        <v>0</v>
      </c>
    </row>
    <row r="419" spans="1:28" ht="77.25" thickBot="1" x14ac:dyDescent="0.45">
      <c r="A419" s="319" t="s">
        <v>14</v>
      </c>
      <c r="B419" s="320" t="s">
        <v>899</v>
      </c>
      <c r="C419" s="528"/>
      <c r="D419" s="528"/>
      <c r="E419" s="456">
        <f>C419*1</f>
        <v>0</v>
      </c>
      <c r="F419" s="358">
        <f>E419*1.01*0.756/147</f>
        <v>0</v>
      </c>
      <c r="G419" s="548">
        <f t="shared" si="140"/>
        <v>0</v>
      </c>
      <c r="H419" s="358" t="s">
        <v>18</v>
      </c>
      <c r="I419" s="548">
        <f t="shared" si="141"/>
        <v>0</v>
      </c>
      <c r="J419" s="358" t="s">
        <v>19</v>
      </c>
      <c r="K419" s="358"/>
      <c r="L419" s="358"/>
      <c r="M419" s="358">
        <f>(F419*6035/3456)</f>
        <v>0</v>
      </c>
      <c r="N419" s="324"/>
      <c r="O419" s="324"/>
      <c r="P419" s="324"/>
      <c r="Q419" s="324" t="s">
        <v>18</v>
      </c>
      <c r="R419" s="324"/>
      <c r="S419" s="324" t="s">
        <v>19</v>
      </c>
      <c r="T419" s="528">
        <v>9</v>
      </c>
      <c r="U419" s="324">
        <f t="shared" si="146"/>
        <v>0</v>
      </c>
      <c r="V419" s="676"/>
      <c r="W419" s="528"/>
      <c r="X419" s="529"/>
      <c r="Y419" s="323"/>
      <c r="Z419" s="312">
        <f>E419/1.21/1.143</f>
        <v>0</v>
      </c>
      <c r="AA419" s="316">
        <f>SUM(AB419/236)</f>
        <v>0</v>
      </c>
      <c r="AB419" s="310">
        <f>E419/1.21</f>
        <v>0</v>
      </c>
    </row>
    <row r="420" spans="1:28" thickBot="1" x14ac:dyDescent="0.45">
      <c r="A420" s="830"/>
      <c r="B420" s="332" t="s">
        <v>286</v>
      </c>
      <c r="C420" s="347"/>
      <c r="D420" s="347"/>
      <c r="E420" s="494"/>
      <c r="F420" s="348"/>
      <c r="G420" s="347"/>
      <c r="H420" s="348"/>
      <c r="I420" s="347"/>
      <c r="J420" s="348"/>
      <c r="K420" s="348"/>
      <c r="L420" s="348"/>
      <c r="M420" s="348"/>
      <c r="N420" s="348"/>
      <c r="O420" s="348"/>
      <c r="P420" s="348"/>
      <c r="Q420" s="348"/>
      <c r="R420" s="348"/>
      <c r="S420" s="348"/>
      <c r="T420" s="347"/>
      <c r="U420" s="348"/>
      <c r="V420" s="356"/>
      <c r="W420" s="348"/>
      <c r="X420" s="495"/>
      <c r="Y420" s="357"/>
    </row>
    <row r="421" spans="1:28" ht="51.75" thickBot="1" x14ac:dyDescent="0.45">
      <c r="A421" s="319" t="s">
        <v>14</v>
      </c>
      <c r="B421" s="362" t="s">
        <v>1036</v>
      </c>
      <c r="C421" s="528"/>
      <c r="D421" s="550">
        <f>C421*22</f>
        <v>0</v>
      </c>
      <c r="E421" s="358">
        <f>D421*0.2</f>
        <v>0</v>
      </c>
      <c r="F421" s="358">
        <f>E421*1.03*0.82/147</f>
        <v>0</v>
      </c>
      <c r="G421" s="548">
        <f>INT(M421)</f>
        <v>0</v>
      </c>
      <c r="H421" s="358" t="s">
        <v>18</v>
      </c>
      <c r="I421" s="548">
        <f>(M421-G421)*64</f>
        <v>0</v>
      </c>
      <c r="J421" s="358" t="s">
        <v>19</v>
      </c>
      <c r="K421" s="358"/>
      <c r="L421" s="358"/>
      <c r="M421" s="358">
        <f>F421*5444/2880</f>
        <v>0</v>
      </c>
      <c r="N421" s="358"/>
      <c r="O421" s="358"/>
      <c r="P421" s="358"/>
      <c r="Q421" s="358" t="s">
        <v>18</v>
      </c>
      <c r="R421" s="358"/>
      <c r="S421" s="358" t="s">
        <v>19</v>
      </c>
      <c r="T421" s="528">
        <v>9</v>
      </c>
      <c r="U421" s="324">
        <f>E421/220*60</f>
        <v>0</v>
      </c>
      <c r="V421" s="676"/>
      <c r="W421" s="528"/>
      <c r="X421" s="529"/>
      <c r="Y421" s="323"/>
      <c r="Z421" s="312">
        <f>E421/1.21</f>
        <v>0</v>
      </c>
      <c r="AA421" s="316">
        <f>SUM(Z421/335.3)</f>
        <v>0</v>
      </c>
    </row>
    <row r="422" spans="1:28" ht="51.75" thickBot="1" x14ac:dyDescent="0.45">
      <c r="A422" s="319" t="s">
        <v>14</v>
      </c>
      <c r="B422" s="362" t="s">
        <v>1001</v>
      </c>
      <c r="C422" s="528"/>
      <c r="D422" s="551">
        <f>C422*22</f>
        <v>0</v>
      </c>
      <c r="E422" s="456">
        <f>D422*0.2</f>
        <v>0</v>
      </c>
      <c r="F422" s="358">
        <f>E422*1.03*0.82/147</f>
        <v>0</v>
      </c>
      <c r="G422" s="548">
        <f>INT(M422)</f>
        <v>0</v>
      </c>
      <c r="H422" s="358" t="s">
        <v>18</v>
      </c>
      <c r="I422" s="548">
        <f>(M422-G422)*64</f>
        <v>0</v>
      </c>
      <c r="J422" s="358" t="s">
        <v>19</v>
      </c>
      <c r="K422" s="358"/>
      <c r="L422" s="358"/>
      <c r="M422" s="358">
        <f>F422*5444/2880</f>
        <v>0</v>
      </c>
      <c r="N422" s="358"/>
      <c r="O422" s="358"/>
      <c r="P422" s="358"/>
      <c r="Q422" s="358" t="s">
        <v>18</v>
      </c>
      <c r="R422" s="358"/>
      <c r="S422" s="358" t="s">
        <v>19</v>
      </c>
      <c r="T422" s="528">
        <v>9</v>
      </c>
      <c r="U422" s="324">
        <f>E422/220*60</f>
        <v>0</v>
      </c>
      <c r="V422" s="676"/>
      <c r="W422" s="528"/>
      <c r="X422" s="529"/>
      <c r="Y422" s="323"/>
      <c r="Z422" s="312">
        <f>E422/1.21</f>
        <v>0</v>
      </c>
      <c r="AA422" s="316">
        <f>SUM(Z422/335.3)</f>
        <v>0</v>
      </c>
    </row>
    <row r="423" spans="1:28" ht="77.25" thickBot="1" x14ac:dyDescent="0.45">
      <c r="A423" s="319" t="s">
        <v>14</v>
      </c>
      <c r="B423" s="320" t="s">
        <v>796</v>
      </c>
      <c r="C423" s="528"/>
      <c r="D423" s="551">
        <f>C423*8</f>
        <v>0</v>
      </c>
      <c r="E423" s="456">
        <f>D423*0.25</f>
        <v>0</v>
      </c>
      <c r="F423" s="358">
        <f>E423*1.015*0.72/147</f>
        <v>0</v>
      </c>
      <c r="G423" s="548">
        <f t="shared" ref="G423:G431" si="147">INT(M423)</f>
        <v>0</v>
      </c>
      <c r="H423" s="358" t="s">
        <v>18</v>
      </c>
      <c r="I423" s="548">
        <f t="shared" ref="I423:I431" si="148">(M423-G423)*64</f>
        <v>0</v>
      </c>
      <c r="J423" s="358" t="s">
        <v>19</v>
      </c>
      <c r="K423" s="358"/>
      <c r="L423" s="358"/>
      <c r="M423" s="552">
        <f>(F423*6447/3456)</f>
        <v>0</v>
      </c>
      <c r="N423" s="324"/>
      <c r="O423" s="324"/>
      <c r="P423" s="324"/>
      <c r="Q423" s="324" t="s">
        <v>18</v>
      </c>
      <c r="R423" s="324"/>
      <c r="S423" s="324" t="s">
        <v>19</v>
      </c>
      <c r="T423" s="528">
        <v>9</v>
      </c>
      <c r="U423" s="324">
        <f>E423/259*60</f>
        <v>0</v>
      </c>
      <c r="V423" s="676"/>
      <c r="W423" s="528"/>
      <c r="X423" s="529"/>
      <c r="Y423" s="323"/>
      <c r="Z423" s="312">
        <f>E423/1.21/1.143</f>
        <v>0</v>
      </c>
      <c r="AA423" s="316">
        <f>SUM(AB423/266.8)</f>
        <v>0</v>
      </c>
      <c r="AB423" s="310">
        <f>E423/1.21</f>
        <v>0</v>
      </c>
    </row>
    <row r="424" spans="1:28" s="728" customFormat="1" ht="77.25" outlineLevel="1" thickBot="1" x14ac:dyDescent="0.45">
      <c r="A424" s="636" t="s">
        <v>14</v>
      </c>
      <c r="B424" s="634" t="s">
        <v>797</v>
      </c>
      <c r="C424" s="720"/>
      <c r="D424" s="741">
        <f>C424*8</f>
        <v>0</v>
      </c>
      <c r="E424" s="721">
        <f>D424*0.25</f>
        <v>0</v>
      </c>
      <c r="F424" s="722">
        <f>E424*1.015*0.72/147</f>
        <v>0</v>
      </c>
      <c r="G424" s="720">
        <f t="shared" si="147"/>
        <v>0</v>
      </c>
      <c r="H424" s="722" t="s">
        <v>18</v>
      </c>
      <c r="I424" s="720">
        <f t="shared" si="148"/>
        <v>0</v>
      </c>
      <c r="J424" s="722" t="s">
        <v>19</v>
      </c>
      <c r="K424" s="722"/>
      <c r="L424" s="722"/>
      <c r="M424" s="816">
        <f>(F424*6447/3456)</f>
        <v>0</v>
      </c>
      <c r="N424" s="722"/>
      <c r="O424" s="722"/>
      <c r="P424" s="722"/>
      <c r="Q424" s="722" t="s">
        <v>18</v>
      </c>
      <c r="R424" s="722"/>
      <c r="S424" s="722" t="s">
        <v>19</v>
      </c>
      <c r="T424" s="720">
        <v>9</v>
      </c>
      <c r="U424" s="722">
        <f>E424/259*60</f>
        <v>0</v>
      </c>
      <c r="V424" s="724"/>
      <c r="W424" s="720"/>
      <c r="X424" s="725"/>
      <c r="Y424" s="736"/>
      <c r="Z424" s="727">
        <f>E424/1.21/1.143</f>
        <v>0</v>
      </c>
      <c r="AA424" s="815">
        <f>SUM(AB424/266.8)</f>
        <v>0</v>
      </c>
      <c r="AB424" s="728">
        <f>E424/1.21</f>
        <v>0</v>
      </c>
    </row>
    <row r="425" spans="1:28" s="728" customFormat="1" ht="51.75" outlineLevel="1" thickBot="1" x14ac:dyDescent="0.45">
      <c r="A425" s="636" t="s">
        <v>14</v>
      </c>
      <c r="B425" s="814" t="s">
        <v>683</v>
      </c>
      <c r="C425" s="720"/>
      <c r="D425" s="720">
        <f>C425*10</f>
        <v>0</v>
      </c>
      <c r="E425" s="721">
        <f>D425*0.2</f>
        <v>0</v>
      </c>
      <c r="F425" s="722">
        <f>E425*1.03*0.82/147</f>
        <v>0</v>
      </c>
      <c r="G425" s="720">
        <f t="shared" si="147"/>
        <v>0</v>
      </c>
      <c r="H425" s="722" t="s">
        <v>18</v>
      </c>
      <c r="I425" s="720">
        <f t="shared" si="148"/>
        <v>0</v>
      </c>
      <c r="J425" s="722" t="s">
        <v>19</v>
      </c>
      <c r="K425" s="722"/>
      <c r="L425" s="722"/>
      <c r="M425" s="722">
        <f>(F425*8750/3456)</f>
        <v>0</v>
      </c>
      <c r="N425" s="722"/>
      <c r="O425" s="722"/>
      <c r="P425" s="722"/>
      <c r="Q425" s="722" t="s">
        <v>18</v>
      </c>
      <c r="R425" s="722"/>
      <c r="S425" s="722" t="s">
        <v>19</v>
      </c>
      <c r="T425" s="720">
        <v>9</v>
      </c>
      <c r="U425" s="722">
        <f>E425/220*60</f>
        <v>0</v>
      </c>
      <c r="V425" s="724"/>
      <c r="W425" s="720"/>
      <c r="X425" s="725"/>
      <c r="Y425" s="736"/>
      <c r="Z425" s="727">
        <f>E425/1.21</f>
        <v>0</v>
      </c>
      <c r="AA425" s="815">
        <f>SUM(Z425/211.1)</f>
        <v>0</v>
      </c>
    </row>
    <row r="426" spans="1:28" s="728" customFormat="1" ht="77.25" outlineLevel="1" thickBot="1" x14ac:dyDescent="0.45">
      <c r="A426" s="636" t="s">
        <v>14</v>
      </c>
      <c r="B426" s="634" t="s">
        <v>759</v>
      </c>
      <c r="C426" s="720"/>
      <c r="D426" s="720">
        <f>C426*10</f>
        <v>0</v>
      </c>
      <c r="E426" s="721">
        <f>D426*0.2</f>
        <v>0</v>
      </c>
      <c r="F426" s="722">
        <f>E426*1.015*0.72/147</f>
        <v>0</v>
      </c>
      <c r="G426" s="720">
        <f t="shared" si="147"/>
        <v>0</v>
      </c>
      <c r="H426" s="722" t="s">
        <v>18</v>
      </c>
      <c r="I426" s="720">
        <f t="shared" si="148"/>
        <v>0</v>
      </c>
      <c r="J426" s="722" t="s">
        <v>19</v>
      </c>
      <c r="K426" s="722"/>
      <c r="L426" s="722"/>
      <c r="M426" s="722">
        <f>(F426*8070/3456)</f>
        <v>0</v>
      </c>
      <c r="N426" s="722"/>
      <c r="O426" s="722"/>
      <c r="P426" s="722"/>
      <c r="Q426" s="722" t="s">
        <v>18</v>
      </c>
      <c r="R426" s="722"/>
      <c r="S426" s="722" t="s">
        <v>19</v>
      </c>
      <c r="T426" s="720">
        <v>9</v>
      </c>
      <c r="U426" s="722">
        <f>E426/259*60</f>
        <v>0</v>
      </c>
      <c r="V426" s="724"/>
      <c r="W426" s="720"/>
      <c r="X426" s="725"/>
      <c r="Y426" s="736"/>
      <c r="Z426" s="727">
        <f>E426/1.21/1.143</f>
        <v>0</v>
      </c>
      <c r="AA426" s="815">
        <f>SUM(AB426/215.5)</f>
        <v>0</v>
      </c>
      <c r="AB426" s="728">
        <f>E426/1.21</f>
        <v>0</v>
      </c>
    </row>
    <row r="427" spans="1:28" s="728" customFormat="1" ht="77.25" outlineLevel="1" thickBot="1" x14ac:dyDescent="0.45">
      <c r="A427" s="636" t="s">
        <v>14</v>
      </c>
      <c r="B427" s="634" t="s">
        <v>760</v>
      </c>
      <c r="C427" s="720"/>
      <c r="D427" s="720">
        <f>C427*10</f>
        <v>0</v>
      </c>
      <c r="E427" s="721">
        <f>D427*0.2</f>
        <v>0</v>
      </c>
      <c r="F427" s="722">
        <f>E427*1.015*0.72/147</f>
        <v>0</v>
      </c>
      <c r="G427" s="720">
        <f t="shared" si="147"/>
        <v>0</v>
      </c>
      <c r="H427" s="722" t="s">
        <v>18</v>
      </c>
      <c r="I427" s="720">
        <f t="shared" si="148"/>
        <v>0</v>
      </c>
      <c r="J427" s="722" t="s">
        <v>19</v>
      </c>
      <c r="K427" s="722"/>
      <c r="L427" s="722"/>
      <c r="M427" s="722">
        <f>(F427*8070/3456)</f>
        <v>0</v>
      </c>
      <c r="N427" s="722"/>
      <c r="O427" s="722"/>
      <c r="P427" s="722"/>
      <c r="Q427" s="722" t="s">
        <v>18</v>
      </c>
      <c r="R427" s="722"/>
      <c r="S427" s="722" t="s">
        <v>19</v>
      </c>
      <c r="T427" s="720">
        <v>9</v>
      </c>
      <c r="U427" s="722">
        <f>E427/259*60</f>
        <v>0</v>
      </c>
      <c r="V427" s="724"/>
      <c r="W427" s="720"/>
      <c r="X427" s="725"/>
      <c r="Y427" s="736"/>
      <c r="Z427" s="727">
        <f>E427/1.21/1.143</f>
        <v>0</v>
      </c>
      <c r="AA427" s="815">
        <f>SUM(AB427/215.5)</f>
        <v>0</v>
      </c>
      <c r="AB427" s="728">
        <f>E427/1.21</f>
        <v>0</v>
      </c>
    </row>
    <row r="428" spans="1:28" ht="79.5" thickBot="1" x14ac:dyDescent="0.45">
      <c r="A428" s="319" t="s">
        <v>14</v>
      </c>
      <c r="B428" s="320" t="s">
        <v>627</v>
      </c>
      <c r="C428" s="528"/>
      <c r="D428" s="548">
        <f>C428*18</f>
        <v>0</v>
      </c>
      <c r="E428" s="456">
        <f>D428*0.2</f>
        <v>0</v>
      </c>
      <c r="F428" s="358">
        <f>E428*1.05*0.8/140</f>
        <v>0</v>
      </c>
      <c r="G428" s="548">
        <f t="shared" si="147"/>
        <v>0</v>
      </c>
      <c r="H428" s="358" t="s">
        <v>18</v>
      </c>
      <c r="I428" s="548">
        <f t="shared" si="148"/>
        <v>0</v>
      </c>
      <c r="J428" s="358" t="s">
        <v>19</v>
      </c>
      <c r="K428" s="358"/>
      <c r="L428" s="358"/>
      <c r="M428" s="358">
        <f>F428*5111/3456</f>
        <v>0</v>
      </c>
      <c r="N428" s="324"/>
      <c r="O428" s="324"/>
      <c r="P428" s="324"/>
      <c r="Q428" s="324" t="s">
        <v>18</v>
      </c>
      <c r="R428" s="324"/>
      <c r="S428" s="324" t="s">
        <v>19</v>
      </c>
      <c r="T428" s="528">
        <v>9</v>
      </c>
      <c r="U428" s="324">
        <f t="shared" ref="U428:U433" si="149">E428/220*60</f>
        <v>0</v>
      </c>
      <c r="V428" s="676"/>
      <c r="W428" s="528"/>
      <c r="X428" s="529"/>
      <c r="Y428" s="360" t="s">
        <v>950</v>
      </c>
      <c r="Z428" s="312">
        <f>E428/1.21</f>
        <v>0</v>
      </c>
      <c r="AA428" s="316">
        <f>SUM(Z428/335.3)</f>
        <v>0</v>
      </c>
    </row>
    <row r="429" spans="1:28" ht="77.25" thickBot="1" x14ac:dyDescent="0.45">
      <c r="A429" s="319" t="s">
        <v>14</v>
      </c>
      <c r="B429" s="364" t="s">
        <v>694</v>
      </c>
      <c r="C429" s="528"/>
      <c r="D429" s="548">
        <f>C429*10</f>
        <v>0</v>
      </c>
      <c r="E429" s="456">
        <f>D429*0.25</f>
        <v>0</v>
      </c>
      <c r="F429" s="358">
        <f>E429*1.03*0.81/147</f>
        <v>0</v>
      </c>
      <c r="G429" s="548">
        <f t="shared" si="147"/>
        <v>0</v>
      </c>
      <c r="H429" s="358" t="s">
        <v>18</v>
      </c>
      <c r="I429" s="548">
        <f t="shared" si="148"/>
        <v>0</v>
      </c>
      <c r="J429" s="358" t="s">
        <v>19</v>
      </c>
      <c r="K429" s="358"/>
      <c r="L429" s="358"/>
      <c r="M429" s="358">
        <f>(F429*8820/3456)</f>
        <v>0</v>
      </c>
      <c r="N429" s="324"/>
      <c r="O429" s="324"/>
      <c r="P429" s="324"/>
      <c r="Q429" s="324" t="s">
        <v>18</v>
      </c>
      <c r="R429" s="324"/>
      <c r="S429" s="324" t="s">
        <v>19</v>
      </c>
      <c r="T429" s="528">
        <v>9</v>
      </c>
      <c r="U429" s="324">
        <f t="shared" si="149"/>
        <v>0</v>
      </c>
      <c r="V429" s="676"/>
      <c r="W429" s="528"/>
      <c r="X429" s="529"/>
      <c r="Y429" s="323"/>
      <c r="Z429" s="312">
        <f>E429/1.21</f>
        <v>0</v>
      </c>
      <c r="AA429" s="316">
        <f>SUM(Z429/260.8)</f>
        <v>0</v>
      </c>
    </row>
    <row r="430" spans="1:28" ht="77.25" thickBot="1" x14ac:dyDescent="0.45">
      <c r="A430" s="319" t="s">
        <v>14</v>
      </c>
      <c r="B430" s="364" t="s">
        <v>1068</v>
      </c>
      <c r="C430" s="528"/>
      <c r="D430" s="528">
        <f>C430*10</f>
        <v>0</v>
      </c>
      <c r="E430" s="460">
        <f>D430*0.25</f>
        <v>0</v>
      </c>
      <c r="F430" s="324">
        <f>E430*1.03*0.81/147</f>
        <v>0</v>
      </c>
      <c r="G430" s="528">
        <f t="shared" si="147"/>
        <v>0</v>
      </c>
      <c r="H430" s="324" t="s">
        <v>18</v>
      </c>
      <c r="I430" s="528">
        <f t="shared" si="148"/>
        <v>0</v>
      </c>
      <c r="J430" s="324" t="s">
        <v>19</v>
      </c>
      <c r="K430" s="324"/>
      <c r="L430" s="324"/>
      <c r="M430" s="324">
        <f>(F430*8820/3456)</f>
        <v>0</v>
      </c>
      <c r="N430" s="324"/>
      <c r="O430" s="324"/>
      <c r="P430" s="324"/>
      <c r="Q430" s="324" t="s">
        <v>18</v>
      </c>
      <c r="R430" s="324"/>
      <c r="S430" s="324" t="s">
        <v>19</v>
      </c>
      <c r="T430" s="528">
        <v>9</v>
      </c>
      <c r="U430" s="324">
        <f t="shared" si="149"/>
        <v>0</v>
      </c>
      <c r="V430" s="676"/>
      <c r="W430" s="528"/>
      <c r="X430" s="529"/>
      <c r="Y430" s="323"/>
      <c r="Z430" s="312">
        <f>E430/1.21</f>
        <v>0</v>
      </c>
      <c r="AA430" s="316">
        <f>SUM(Z430/260.8)</f>
        <v>0</v>
      </c>
    </row>
    <row r="431" spans="1:28" ht="77.25" thickBot="1" x14ac:dyDescent="0.45">
      <c r="A431" s="319" t="s">
        <v>14</v>
      </c>
      <c r="B431" s="364" t="s">
        <v>1072</v>
      </c>
      <c r="C431" s="528"/>
      <c r="D431" s="528">
        <f>C431*10</f>
        <v>0</v>
      </c>
      <c r="E431" s="460">
        <f>D431*0.25</f>
        <v>0</v>
      </c>
      <c r="F431" s="324">
        <f>E431*1.03*0.81/147</f>
        <v>0</v>
      </c>
      <c r="G431" s="528">
        <f t="shared" si="147"/>
        <v>0</v>
      </c>
      <c r="H431" s="324" t="s">
        <v>18</v>
      </c>
      <c r="I431" s="528">
        <f t="shared" si="148"/>
        <v>0</v>
      </c>
      <c r="J431" s="324" t="s">
        <v>19</v>
      </c>
      <c r="K431" s="324"/>
      <c r="L431" s="324"/>
      <c r="M431" s="324">
        <f>(F431*8820/3456)</f>
        <v>0</v>
      </c>
      <c r="N431" s="324"/>
      <c r="O431" s="324"/>
      <c r="P431" s="324"/>
      <c r="Q431" s="324" t="s">
        <v>18</v>
      </c>
      <c r="R431" s="324"/>
      <c r="S431" s="324" t="s">
        <v>19</v>
      </c>
      <c r="T431" s="528">
        <v>9</v>
      </c>
      <c r="U431" s="324">
        <f t="shared" si="149"/>
        <v>0</v>
      </c>
      <c r="V431" s="676"/>
      <c r="W431" s="528"/>
      <c r="X431" s="529"/>
      <c r="Y431" s="323"/>
      <c r="Z431" s="312">
        <f>E431/1.21</f>
        <v>0</v>
      </c>
      <c r="AA431" s="316">
        <f>SUM(Z431/223.6)</f>
        <v>0</v>
      </c>
    </row>
    <row r="432" spans="1:28" ht="52.5" thickBot="1" x14ac:dyDescent="0.45">
      <c r="A432" s="319" t="s">
        <v>14</v>
      </c>
      <c r="B432" s="320" t="s">
        <v>951</v>
      </c>
      <c r="C432" s="528"/>
      <c r="D432" s="551">
        <f>C432*18</f>
        <v>0</v>
      </c>
      <c r="E432" s="456">
        <f>D432*0.2</f>
        <v>0</v>
      </c>
      <c r="F432" s="358">
        <f>E432*1.03*0.82/147</f>
        <v>0</v>
      </c>
      <c r="G432" s="548">
        <f t="shared" ref="G432:G446" si="150">INT(M432)</f>
        <v>0</v>
      </c>
      <c r="H432" s="358" t="s">
        <v>18</v>
      </c>
      <c r="I432" s="548">
        <f t="shared" ref="I432:I446" si="151">(M432-G432)*64</f>
        <v>0</v>
      </c>
      <c r="J432" s="358" t="s">
        <v>19</v>
      </c>
      <c r="K432" s="358"/>
      <c r="L432" s="358"/>
      <c r="M432" s="358">
        <f>F432*5250/3456</f>
        <v>0</v>
      </c>
      <c r="N432" s="324"/>
      <c r="O432" s="324"/>
      <c r="P432" s="324"/>
      <c r="Q432" s="324" t="s">
        <v>18</v>
      </c>
      <c r="R432" s="324"/>
      <c r="S432" s="324" t="s">
        <v>19</v>
      </c>
      <c r="T432" s="528">
        <v>9</v>
      </c>
      <c r="U432" s="324">
        <f t="shared" si="149"/>
        <v>0</v>
      </c>
      <c r="V432" s="676"/>
      <c r="W432" s="528"/>
      <c r="X432" s="529"/>
      <c r="Y432" s="323"/>
      <c r="Z432" s="312">
        <f>E432/1.21</f>
        <v>0</v>
      </c>
      <c r="AA432" s="316">
        <f>SUM(Z432/335.3)</f>
        <v>0</v>
      </c>
    </row>
    <row r="433" spans="1:28" ht="78" thickBot="1" x14ac:dyDescent="0.45">
      <c r="A433" s="319" t="s">
        <v>14</v>
      </c>
      <c r="B433" s="320" t="s">
        <v>952</v>
      </c>
      <c r="C433" s="528"/>
      <c r="D433" s="551">
        <f>C433*18</f>
        <v>0</v>
      </c>
      <c r="E433" s="456">
        <f>D433*0.2</f>
        <v>0</v>
      </c>
      <c r="F433" s="358">
        <f>E433*1.03*0.729/147</f>
        <v>0</v>
      </c>
      <c r="G433" s="548">
        <f t="shared" si="150"/>
        <v>0</v>
      </c>
      <c r="H433" s="358" t="s">
        <v>18</v>
      </c>
      <c r="I433" s="548">
        <f t="shared" si="151"/>
        <v>0</v>
      </c>
      <c r="J433" s="358" t="s">
        <v>19</v>
      </c>
      <c r="K433" s="358"/>
      <c r="L433" s="358"/>
      <c r="M433" s="358">
        <f>F433*5880/3456</f>
        <v>0</v>
      </c>
      <c r="N433" s="324"/>
      <c r="O433" s="324"/>
      <c r="P433" s="324"/>
      <c r="Q433" s="324" t="s">
        <v>18</v>
      </c>
      <c r="R433" s="324"/>
      <c r="S433" s="324" t="s">
        <v>19</v>
      </c>
      <c r="T433" s="528">
        <v>9</v>
      </c>
      <c r="U433" s="324">
        <f t="shared" si="149"/>
        <v>0</v>
      </c>
      <c r="V433" s="676"/>
      <c r="W433" s="528"/>
      <c r="X433" s="529"/>
      <c r="Y433" s="323"/>
      <c r="Z433" s="312">
        <f>E433/1.21/1.143</f>
        <v>0</v>
      </c>
      <c r="AA433" s="316">
        <f>SUM(AB433/277)</f>
        <v>0</v>
      </c>
      <c r="AB433" s="310">
        <f>E433/1.21</f>
        <v>0</v>
      </c>
    </row>
    <row r="434" spans="1:28" s="728" customFormat="1" ht="158.25" outlineLevel="1" thickBot="1" x14ac:dyDescent="0.45">
      <c r="A434" s="636" t="s">
        <v>14</v>
      </c>
      <c r="B434" s="635" t="s">
        <v>1040</v>
      </c>
      <c r="C434" s="720"/>
      <c r="D434" s="720">
        <f>C434*12</f>
        <v>0</v>
      </c>
      <c r="E434" s="721">
        <f>D434*0.25</f>
        <v>0</v>
      </c>
      <c r="F434" s="722">
        <f>E434*1.03*0.729/147</f>
        <v>0</v>
      </c>
      <c r="G434" s="720">
        <f t="shared" si="150"/>
        <v>0</v>
      </c>
      <c r="H434" s="722" t="s">
        <v>18</v>
      </c>
      <c r="I434" s="720">
        <f t="shared" si="151"/>
        <v>0</v>
      </c>
      <c r="J434" s="722" t="s">
        <v>19</v>
      </c>
      <c r="K434" s="722"/>
      <c r="L434" s="722"/>
      <c r="M434" s="722">
        <f>(F434*7840/3456)</f>
        <v>0</v>
      </c>
      <c r="N434" s="722"/>
      <c r="O434" s="722"/>
      <c r="P434" s="722"/>
      <c r="Q434" s="722" t="s">
        <v>18</v>
      </c>
      <c r="R434" s="722"/>
      <c r="S434" s="722" t="s">
        <v>19</v>
      </c>
      <c r="T434" s="720">
        <v>9</v>
      </c>
      <c r="U434" s="722">
        <f>E434/390*60</f>
        <v>0</v>
      </c>
      <c r="V434" s="724"/>
      <c r="W434" s="720"/>
      <c r="X434" s="725"/>
      <c r="Y434" s="736" t="s">
        <v>920</v>
      </c>
      <c r="Z434" s="727">
        <f>E434/1.21/1.143</f>
        <v>0</v>
      </c>
      <c r="AA434" s="815">
        <f>SUM(AB434/205.2)</f>
        <v>0</v>
      </c>
      <c r="AB434" s="728">
        <f>E434/1.21</f>
        <v>0</v>
      </c>
    </row>
    <row r="435" spans="1:28" s="728" customFormat="1" ht="78" outlineLevel="1" thickBot="1" x14ac:dyDescent="0.45">
      <c r="A435" s="636" t="s">
        <v>14</v>
      </c>
      <c r="B435" s="634" t="s">
        <v>953</v>
      </c>
      <c r="C435" s="720"/>
      <c r="D435" s="741">
        <f>C435*18</f>
        <v>0</v>
      </c>
      <c r="E435" s="721">
        <f>D435*0.2</f>
        <v>0</v>
      </c>
      <c r="F435" s="722">
        <f>E435*1.03*0.729/147</f>
        <v>0</v>
      </c>
      <c r="G435" s="720">
        <f t="shared" si="150"/>
        <v>0</v>
      </c>
      <c r="H435" s="722" t="s">
        <v>18</v>
      </c>
      <c r="I435" s="720">
        <f t="shared" si="151"/>
        <v>0</v>
      </c>
      <c r="J435" s="722" t="s">
        <v>19</v>
      </c>
      <c r="K435" s="722"/>
      <c r="L435" s="722"/>
      <c r="M435" s="722">
        <f>F435*5880/3456</f>
        <v>0</v>
      </c>
      <c r="N435" s="722"/>
      <c r="O435" s="722"/>
      <c r="P435" s="722"/>
      <c r="Q435" s="722" t="s">
        <v>18</v>
      </c>
      <c r="R435" s="722"/>
      <c r="S435" s="722" t="s">
        <v>19</v>
      </c>
      <c r="T435" s="720">
        <v>9</v>
      </c>
      <c r="U435" s="722">
        <f t="shared" ref="U435:U445" si="152">E435/220*60</f>
        <v>0</v>
      </c>
      <c r="V435" s="724"/>
      <c r="W435" s="720"/>
      <c r="X435" s="725"/>
      <c r="Y435" s="736"/>
      <c r="Z435" s="727">
        <f>E435/1.21/1.143</f>
        <v>0</v>
      </c>
      <c r="AA435" s="815">
        <f>SUM(AB435/277)</f>
        <v>0</v>
      </c>
      <c r="AB435" s="728">
        <f>E435/1.21</f>
        <v>0</v>
      </c>
    </row>
    <row r="436" spans="1:28" s="728" customFormat="1" ht="51.75" outlineLevel="1" thickBot="1" x14ac:dyDescent="0.45">
      <c r="A436" s="636" t="s">
        <v>14</v>
      </c>
      <c r="B436" s="634" t="s">
        <v>858</v>
      </c>
      <c r="C436" s="720"/>
      <c r="D436" s="741">
        <f>C436*18</f>
        <v>0</v>
      </c>
      <c r="E436" s="721">
        <f>D436*0.18</f>
        <v>0</v>
      </c>
      <c r="F436" s="722">
        <f>E436*1.03*0.8/147</f>
        <v>0</v>
      </c>
      <c r="G436" s="720">
        <f t="shared" si="150"/>
        <v>0</v>
      </c>
      <c r="H436" s="722" t="s">
        <v>18</v>
      </c>
      <c r="I436" s="720">
        <f t="shared" si="151"/>
        <v>0</v>
      </c>
      <c r="J436" s="722" t="s">
        <v>19</v>
      </c>
      <c r="K436" s="722"/>
      <c r="L436" s="722"/>
      <c r="M436" s="722">
        <f>F436*5960/3456</f>
        <v>0</v>
      </c>
      <c r="N436" s="722"/>
      <c r="O436" s="722"/>
      <c r="P436" s="722"/>
      <c r="Q436" s="722" t="s">
        <v>18</v>
      </c>
      <c r="R436" s="722"/>
      <c r="S436" s="722" t="s">
        <v>19</v>
      </c>
      <c r="T436" s="720">
        <v>9</v>
      </c>
      <c r="U436" s="722">
        <f t="shared" si="152"/>
        <v>0</v>
      </c>
      <c r="V436" s="724"/>
      <c r="W436" s="720"/>
      <c r="X436" s="725"/>
      <c r="Y436" s="736"/>
      <c r="Z436" s="727">
        <f t="shared" ref="Z436:Z445" si="153">E436/1.21</f>
        <v>0</v>
      </c>
      <c r="AA436" s="815">
        <f>SUM(Z436/298.1)</f>
        <v>0</v>
      </c>
    </row>
    <row r="437" spans="1:28" ht="51.75" thickBot="1" x14ac:dyDescent="0.45">
      <c r="A437" s="319" t="s">
        <v>14</v>
      </c>
      <c r="B437" s="320" t="s">
        <v>1031</v>
      </c>
      <c r="C437" s="528"/>
      <c r="D437" s="530">
        <f>C437*22</f>
        <v>0</v>
      </c>
      <c r="E437" s="460">
        <f>D437*0.18</f>
        <v>0</v>
      </c>
      <c r="F437" s="324">
        <f>E437*1.03*0.8/147</f>
        <v>0</v>
      </c>
      <c r="G437" s="528">
        <f t="shared" si="150"/>
        <v>0</v>
      </c>
      <c r="H437" s="324" t="s">
        <v>18</v>
      </c>
      <c r="I437" s="528">
        <f t="shared" si="151"/>
        <v>0</v>
      </c>
      <c r="J437" s="324" t="s">
        <v>19</v>
      </c>
      <c r="K437" s="324"/>
      <c r="L437" s="324"/>
      <c r="M437" s="324">
        <f>F437*5960/3456</f>
        <v>0</v>
      </c>
      <c r="N437" s="324"/>
      <c r="O437" s="324"/>
      <c r="P437" s="324"/>
      <c r="Q437" s="324" t="s">
        <v>18</v>
      </c>
      <c r="R437" s="324"/>
      <c r="S437" s="324" t="s">
        <v>19</v>
      </c>
      <c r="T437" s="528">
        <v>9</v>
      </c>
      <c r="U437" s="324">
        <f t="shared" si="152"/>
        <v>0</v>
      </c>
      <c r="V437" s="676"/>
      <c r="W437" s="528"/>
      <c r="X437" s="529"/>
      <c r="Y437" s="323"/>
      <c r="Z437" s="312">
        <f t="shared" si="153"/>
        <v>0</v>
      </c>
      <c r="AA437" s="316">
        <f>SUM(Z437/298.1)</f>
        <v>0</v>
      </c>
    </row>
    <row r="438" spans="1:28" ht="77.25" thickBot="1" x14ac:dyDescent="0.45">
      <c r="A438" s="319" t="s">
        <v>14</v>
      </c>
      <c r="B438" s="320" t="s">
        <v>893</v>
      </c>
      <c r="C438" s="528"/>
      <c r="D438" s="551">
        <f>C438*18</f>
        <v>0</v>
      </c>
      <c r="E438" s="456">
        <f>D438*0.18</f>
        <v>0</v>
      </c>
      <c r="F438" s="358">
        <f>E438*1.03*0.8/147</f>
        <v>0</v>
      </c>
      <c r="G438" s="548">
        <f t="shared" si="150"/>
        <v>0</v>
      </c>
      <c r="H438" s="358" t="s">
        <v>18</v>
      </c>
      <c r="I438" s="548">
        <f t="shared" si="151"/>
        <v>0</v>
      </c>
      <c r="J438" s="358" t="s">
        <v>19</v>
      </c>
      <c r="K438" s="358"/>
      <c r="L438" s="358"/>
      <c r="M438" s="358">
        <f>F438*5960/3456</f>
        <v>0</v>
      </c>
      <c r="N438" s="324"/>
      <c r="O438" s="324"/>
      <c r="P438" s="324"/>
      <c r="Q438" s="324" t="s">
        <v>18</v>
      </c>
      <c r="R438" s="324"/>
      <c r="S438" s="324" t="s">
        <v>19</v>
      </c>
      <c r="T438" s="528">
        <v>9</v>
      </c>
      <c r="U438" s="324">
        <f t="shared" si="152"/>
        <v>0</v>
      </c>
      <c r="V438" s="676"/>
      <c r="W438" s="528"/>
      <c r="X438" s="529"/>
      <c r="Y438" s="323"/>
      <c r="Z438" s="312">
        <f t="shared" si="153"/>
        <v>0</v>
      </c>
      <c r="AA438" s="316">
        <f>SUM(Z438/298.1)</f>
        <v>0</v>
      </c>
    </row>
    <row r="439" spans="1:28" ht="51.75" thickBot="1" x14ac:dyDescent="0.45">
      <c r="A439" s="319" t="s">
        <v>14</v>
      </c>
      <c r="B439" s="369" t="s">
        <v>880</v>
      </c>
      <c r="C439" s="528"/>
      <c r="D439" s="550">
        <f>C439*18</f>
        <v>0</v>
      </c>
      <c r="E439" s="358">
        <f>D439*0.24</f>
        <v>0</v>
      </c>
      <c r="F439" s="358">
        <f>E439*0.81/147</f>
        <v>0</v>
      </c>
      <c r="G439" s="548">
        <f t="shared" si="150"/>
        <v>0</v>
      </c>
      <c r="H439" s="358" t="s">
        <v>18</v>
      </c>
      <c r="I439" s="548">
        <f t="shared" si="151"/>
        <v>0</v>
      </c>
      <c r="J439" s="358" t="s">
        <v>19</v>
      </c>
      <c r="K439" s="358"/>
      <c r="L439" s="358"/>
      <c r="M439" s="358">
        <f>F439*6125/3456</f>
        <v>0</v>
      </c>
      <c r="N439" s="358"/>
      <c r="O439" s="358"/>
      <c r="P439" s="358"/>
      <c r="Q439" s="358" t="s">
        <v>18</v>
      </c>
      <c r="R439" s="358"/>
      <c r="S439" s="358" t="s">
        <v>19</v>
      </c>
      <c r="T439" s="528">
        <v>9</v>
      </c>
      <c r="U439" s="324">
        <f t="shared" si="152"/>
        <v>0</v>
      </c>
      <c r="V439" s="676"/>
      <c r="W439" s="528"/>
      <c r="X439" s="529"/>
      <c r="Y439" s="323"/>
      <c r="Z439" s="312">
        <f t="shared" si="153"/>
        <v>0</v>
      </c>
      <c r="AA439" s="316">
        <f>SUM(Z439/298)</f>
        <v>0</v>
      </c>
    </row>
    <row r="440" spans="1:28" ht="51.75" thickBot="1" x14ac:dyDescent="0.45">
      <c r="A440" s="329" t="s">
        <v>14</v>
      </c>
      <c r="B440" s="878" t="s">
        <v>1208</v>
      </c>
      <c r="C440" s="872"/>
      <c r="D440" s="548">
        <f>C440*12</f>
        <v>0</v>
      </c>
      <c r="E440" s="456">
        <f>D440*0.3</f>
        <v>0</v>
      </c>
      <c r="F440" s="358">
        <f>E440*1.01*0.79/152</f>
        <v>0</v>
      </c>
      <c r="G440" s="549">
        <f>INT(M440)</f>
        <v>0</v>
      </c>
      <c r="H440" s="359" t="s">
        <v>18</v>
      </c>
      <c r="I440" s="549">
        <f>(M440-G440)*64</f>
        <v>0</v>
      </c>
      <c r="J440" s="359" t="s">
        <v>19</v>
      </c>
      <c r="K440" s="358"/>
      <c r="L440" s="358"/>
      <c r="M440" s="358">
        <f>F440*7696/3456</f>
        <v>0</v>
      </c>
      <c r="N440" s="461"/>
      <c r="O440" s="461"/>
      <c r="P440" s="358"/>
      <c r="Q440" s="358" t="s">
        <v>18</v>
      </c>
      <c r="R440" s="358"/>
      <c r="S440" s="358" t="s">
        <v>19</v>
      </c>
      <c r="T440" s="528">
        <v>9</v>
      </c>
      <c r="U440" s="324">
        <f t="shared" si="152"/>
        <v>0</v>
      </c>
      <c r="V440" s="676"/>
      <c r="W440" s="528"/>
      <c r="X440" s="529"/>
      <c r="Y440" s="323"/>
      <c r="Z440" s="312">
        <f>E440/1.21</f>
        <v>0</v>
      </c>
      <c r="AA440" s="316">
        <f>SUM(Z440/248)</f>
        <v>0</v>
      </c>
    </row>
    <row r="441" spans="1:28" ht="102.75" thickBot="1" x14ac:dyDescent="0.45">
      <c r="A441" s="319" t="s">
        <v>14</v>
      </c>
      <c r="B441" s="875" t="s">
        <v>1027</v>
      </c>
      <c r="C441" s="528"/>
      <c r="D441" s="567">
        <f>C441*7</f>
        <v>0</v>
      </c>
      <c r="E441" s="460">
        <f>D441*0.36</f>
        <v>0</v>
      </c>
      <c r="F441" s="324">
        <f>E441*1.03*0.8/147</f>
        <v>0</v>
      </c>
      <c r="G441" s="528">
        <f>INT(M441)</f>
        <v>0</v>
      </c>
      <c r="H441" s="324" t="s">
        <v>18</v>
      </c>
      <c r="I441" s="528">
        <f>(M441-G441)*64</f>
        <v>0</v>
      </c>
      <c r="J441" s="324" t="s">
        <v>19</v>
      </c>
      <c r="K441" s="324"/>
      <c r="L441" s="324"/>
      <c r="M441" s="324">
        <f>F441*6000/3456</f>
        <v>0</v>
      </c>
      <c r="N441" s="324"/>
      <c r="O441" s="324"/>
      <c r="P441" s="324"/>
      <c r="Q441" s="324" t="s">
        <v>18</v>
      </c>
      <c r="R441" s="324"/>
      <c r="S441" s="324" t="s">
        <v>19</v>
      </c>
      <c r="T441" s="528">
        <v>9</v>
      </c>
      <c r="U441" s="324">
        <f>E441/220*60</f>
        <v>0</v>
      </c>
      <c r="V441" s="676"/>
      <c r="W441" s="528"/>
      <c r="X441" s="529"/>
      <c r="Y441" s="323"/>
      <c r="Z441" s="312">
        <f>E441/1.21/1.143</f>
        <v>0</v>
      </c>
      <c r="AA441" s="316">
        <f>SUM(AB441/184.68)</f>
        <v>0</v>
      </c>
      <c r="AB441" s="310">
        <f>E441/1.21</f>
        <v>0</v>
      </c>
    </row>
    <row r="442" spans="1:28" ht="51.75" thickBot="1" x14ac:dyDescent="0.45">
      <c r="A442" s="319" t="s">
        <v>14</v>
      </c>
      <c r="B442" s="362" t="s">
        <v>909</v>
      </c>
      <c r="C442" s="528"/>
      <c r="D442" s="550">
        <f>C442*12</f>
        <v>0</v>
      </c>
      <c r="E442" s="358">
        <f>D442*0.36</f>
        <v>0</v>
      </c>
      <c r="F442" s="358">
        <f>E442*1.03*0.8/147</f>
        <v>0</v>
      </c>
      <c r="G442" s="548">
        <f>INT(M442)</f>
        <v>0</v>
      </c>
      <c r="H442" s="358" t="s">
        <v>18</v>
      </c>
      <c r="I442" s="548">
        <f>(M442-G442)*64</f>
        <v>0</v>
      </c>
      <c r="J442" s="358" t="s">
        <v>19</v>
      </c>
      <c r="K442" s="358"/>
      <c r="L442" s="358"/>
      <c r="M442" s="358">
        <f>F442*6000/3456</f>
        <v>0</v>
      </c>
      <c r="N442" s="358"/>
      <c r="O442" s="358"/>
      <c r="P442" s="358"/>
      <c r="Q442" s="358" t="s">
        <v>18</v>
      </c>
      <c r="R442" s="358"/>
      <c r="S442" s="358" t="s">
        <v>19</v>
      </c>
      <c r="T442" s="528">
        <v>9</v>
      </c>
      <c r="U442" s="324">
        <f>E442/220*60</f>
        <v>0</v>
      </c>
      <c r="V442" s="676"/>
      <c r="W442" s="528"/>
      <c r="X442" s="529"/>
      <c r="Y442" s="323"/>
      <c r="Z442" s="312">
        <f>E442/1.21</f>
        <v>0</v>
      </c>
      <c r="AA442" s="316">
        <f>SUM(Z442/272)</f>
        <v>0</v>
      </c>
    </row>
    <row r="443" spans="1:28" ht="51.75" thickBot="1" x14ac:dyDescent="0.45">
      <c r="A443" s="319" t="s">
        <v>14</v>
      </c>
      <c r="B443" s="362" t="s">
        <v>1004</v>
      </c>
      <c r="C443" s="528"/>
      <c r="D443" s="567">
        <f>C443*14</f>
        <v>0</v>
      </c>
      <c r="E443" s="324">
        <f>D443*0.36</f>
        <v>0</v>
      </c>
      <c r="F443" s="324">
        <f>E443*1.03*0.8/147</f>
        <v>0</v>
      </c>
      <c r="G443" s="528">
        <f>INT(M443)</f>
        <v>0</v>
      </c>
      <c r="H443" s="324" t="s">
        <v>18</v>
      </c>
      <c r="I443" s="528">
        <f>(M443-G443)*64</f>
        <v>0</v>
      </c>
      <c r="J443" s="324" t="s">
        <v>19</v>
      </c>
      <c r="K443" s="324"/>
      <c r="L443" s="324"/>
      <c r="M443" s="324">
        <f>F443*6000/3456</f>
        <v>0</v>
      </c>
      <c r="N443" s="324"/>
      <c r="O443" s="324"/>
      <c r="P443" s="324"/>
      <c r="Q443" s="324" t="s">
        <v>18</v>
      </c>
      <c r="R443" s="324"/>
      <c r="S443" s="324" t="s">
        <v>19</v>
      </c>
      <c r="T443" s="528">
        <v>9</v>
      </c>
      <c r="U443" s="324">
        <f>E443/220*60</f>
        <v>0</v>
      </c>
      <c r="V443" s="676"/>
      <c r="W443" s="528"/>
      <c r="X443" s="529"/>
      <c r="Y443" s="323"/>
      <c r="Z443" s="312">
        <f>E443/1.21</f>
        <v>0</v>
      </c>
      <c r="AA443" s="316">
        <f>SUM(Z443/272)</f>
        <v>0</v>
      </c>
    </row>
    <row r="444" spans="1:28" ht="77.25" thickBot="1" x14ac:dyDescent="0.45">
      <c r="A444" s="319" t="s">
        <v>14</v>
      </c>
      <c r="B444" s="320" t="s">
        <v>859</v>
      </c>
      <c r="C444" s="528"/>
      <c r="D444" s="551">
        <f>C444*18</f>
        <v>0</v>
      </c>
      <c r="E444" s="456">
        <f>D444*0.18</f>
        <v>0</v>
      </c>
      <c r="F444" s="358">
        <f>E444*0.84/147</f>
        <v>0</v>
      </c>
      <c r="G444" s="548">
        <f t="shared" si="150"/>
        <v>0</v>
      </c>
      <c r="H444" s="358" t="s">
        <v>18</v>
      </c>
      <c r="I444" s="548">
        <f t="shared" si="151"/>
        <v>0</v>
      </c>
      <c r="J444" s="358" t="s">
        <v>19</v>
      </c>
      <c r="K444" s="358"/>
      <c r="L444" s="358"/>
      <c r="M444" s="358">
        <f>F444*5880/3456</f>
        <v>0</v>
      </c>
      <c r="N444" s="324"/>
      <c r="O444" s="324"/>
      <c r="P444" s="324"/>
      <c r="Q444" s="324" t="s">
        <v>18</v>
      </c>
      <c r="R444" s="324"/>
      <c r="S444" s="324" t="s">
        <v>19</v>
      </c>
      <c r="T444" s="528">
        <v>9</v>
      </c>
      <c r="U444" s="324">
        <f t="shared" si="152"/>
        <v>0</v>
      </c>
      <c r="V444" s="676"/>
      <c r="W444" s="528"/>
      <c r="X444" s="529"/>
      <c r="Y444" s="323"/>
      <c r="Z444" s="312">
        <f t="shared" si="153"/>
        <v>0</v>
      </c>
      <c r="AA444" s="316">
        <f>SUM(Z444/298.1)</f>
        <v>0</v>
      </c>
    </row>
    <row r="445" spans="1:28" ht="77.25" thickBot="1" x14ac:dyDescent="0.45">
      <c r="A445" s="319" t="s">
        <v>14</v>
      </c>
      <c r="B445" s="320" t="s">
        <v>1032</v>
      </c>
      <c r="C445" s="528"/>
      <c r="D445" s="530">
        <f>C445*22</f>
        <v>0</v>
      </c>
      <c r="E445" s="460">
        <f>D445*0.18</f>
        <v>0</v>
      </c>
      <c r="F445" s="324">
        <f>E445*0.84/147</f>
        <v>0</v>
      </c>
      <c r="G445" s="528">
        <f t="shared" si="150"/>
        <v>0</v>
      </c>
      <c r="H445" s="324" t="s">
        <v>18</v>
      </c>
      <c r="I445" s="528">
        <f t="shared" si="151"/>
        <v>0</v>
      </c>
      <c r="J445" s="324" t="s">
        <v>19</v>
      </c>
      <c r="K445" s="324"/>
      <c r="L445" s="324"/>
      <c r="M445" s="324">
        <f>F445*5880/3456</f>
        <v>0</v>
      </c>
      <c r="N445" s="324"/>
      <c r="O445" s="324"/>
      <c r="P445" s="324"/>
      <c r="Q445" s="324" t="s">
        <v>18</v>
      </c>
      <c r="R445" s="324"/>
      <c r="S445" s="324" t="s">
        <v>19</v>
      </c>
      <c r="T445" s="528">
        <v>9</v>
      </c>
      <c r="U445" s="324">
        <f t="shared" si="152"/>
        <v>0</v>
      </c>
      <c r="V445" s="676"/>
      <c r="W445" s="528"/>
      <c r="X445" s="529"/>
      <c r="Y445" s="323"/>
      <c r="Z445" s="312">
        <f t="shared" si="153"/>
        <v>0</v>
      </c>
      <c r="AA445" s="316">
        <f>SUM(Z445/298.1)</f>
        <v>0</v>
      </c>
    </row>
    <row r="446" spans="1:28" ht="102.75" thickBot="1" x14ac:dyDescent="0.45">
      <c r="A446" s="319" t="s">
        <v>14</v>
      </c>
      <c r="B446" s="320" t="s">
        <v>906</v>
      </c>
      <c r="C446" s="528"/>
      <c r="D446" s="548">
        <f>C446*12</f>
        <v>0</v>
      </c>
      <c r="E446" s="456">
        <f>D446*0.5</f>
        <v>0</v>
      </c>
      <c r="F446" s="358">
        <f>E446*1.037*0.756/147</f>
        <v>0</v>
      </c>
      <c r="G446" s="548">
        <f t="shared" si="150"/>
        <v>0</v>
      </c>
      <c r="H446" s="358" t="s">
        <v>18</v>
      </c>
      <c r="I446" s="548">
        <f t="shared" si="151"/>
        <v>0</v>
      </c>
      <c r="J446" s="358" t="s">
        <v>19</v>
      </c>
      <c r="K446" s="358"/>
      <c r="L446" s="358"/>
      <c r="M446" s="358">
        <f>(F446*6760/3456)</f>
        <v>0</v>
      </c>
      <c r="N446" s="324"/>
      <c r="O446" s="324"/>
      <c r="P446" s="324"/>
      <c r="Q446" s="324" t="s">
        <v>18</v>
      </c>
      <c r="R446" s="324"/>
      <c r="S446" s="324" t="s">
        <v>19</v>
      </c>
      <c r="T446" s="528">
        <v>9</v>
      </c>
      <c r="U446" s="324">
        <f>E446/324*60</f>
        <v>0</v>
      </c>
      <c r="V446" s="676"/>
      <c r="W446" s="528"/>
      <c r="X446" s="529"/>
      <c r="Y446" s="323"/>
      <c r="Z446" s="312">
        <f>E446/1.21/1.143</f>
        <v>0</v>
      </c>
      <c r="AA446" s="316">
        <f>SUM(AB446/236)</f>
        <v>0</v>
      </c>
      <c r="AB446" s="310">
        <f>E446/1.21</f>
        <v>0</v>
      </c>
    </row>
    <row r="447" spans="1:28" ht="77.25" thickBot="1" x14ac:dyDescent="0.45">
      <c r="A447" s="319" t="s">
        <v>14</v>
      </c>
      <c r="B447" s="369" t="s">
        <v>1015</v>
      </c>
      <c r="C447" s="528"/>
      <c r="D447" s="528">
        <f>C447*12</f>
        <v>0</v>
      </c>
      <c r="E447" s="460">
        <f>D447*0.5</f>
        <v>0</v>
      </c>
      <c r="F447" s="324">
        <f>E447*1.03*0.82/147</f>
        <v>0</v>
      </c>
      <c r="G447" s="537">
        <f>INT(M447)</f>
        <v>0</v>
      </c>
      <c r="H447" s="354" t="s">
        <v>18</v>
      </c>
      <c r="I447" s="537">
        <f>(M447-G447)*64</f>
        <v>0</v>
      </c>
      <c r="J447" s="354" t="s">
        <v>19</v>
      </c>
      <c r="K447" s="324"/>
      <c r="L447" s="324"/>
      <c r="M447" s="324">
        <f>(F447*5250/3456)</f>
        <v>0</v>
      </c>
      <c r="N447" s="324"/>
      <c r="O447" s="324"/>
      <c r="P447" s="324"/>
      <c r="Q447" s="324" t="s">
        <v>18</v>
      </c>
      <c r="R447" s="324"/>
      <c r="S447" s="324" t="s">
        <v>19</v>
      </c>
      <c r="T447" s="528">
        <v>9</v>
      </c>
      <c r="U447" s="324">
        <f>E447/324*60</f>
        <v>0</v>
      </c>
      <c r="V447" s="676"/>
      <c r="W447" s="528"/>
      <c r="X447" s="529"/>
      <c r="Y447" s="323"/>
      <c r="Z447" s="312">
        <f>E447/1.21</f>
        <v>0</v>
      </c>
      <c r="AA447" s="316">
        <f>SUM(Z447/236)</f>
        <v>0</v>
      </c>
    </row>
    <row r="448" spans="1:28" ht="84.75" customHeight="1" thickBot="1" x14ac:dyDescent="0.45">
      <c r="A448" s="319" t="s">
        <v>14</v>
      </c>
      <c r="B448" s="369" t="s">
        <v>928</v>
      </c>
      <c r="C448" s="528"/>
      <c r="D448" s="548">
        <f>C448*12</f>
        <v>0</v>
      </c>
      <c r="E448" s="456">
        <f>D448*0.6</f>
        <v>0</v>
      </c>
      <c r="F448" s="358">
        <f>E448*1.03*0.82/147</f>
        <v>0</v>
      </c>
      <c r="G448" s="549">
        <f>INT(M448)</f>
        <v>0</v>
      </c>
      <c r="H448" s="359" t="s">
        <v>18</v>
      </c>
      <c r="I448" s="549">
        <f>(M448-G448)*64</f>
        <v>0</v>
      </c>
      <c r="J448" s="359" t="s">
        <v>19</v>
      </c>
      <c r="K448" s="358"/>
      <c r="L448" s="358"/>
      <c r="M448" s="358">
        <f>(F448*5250/3456)</f>
        <v>0</v>
      </c>
      <c r="N448" s="358"/>
      <c r="O448" s="358"/>
      <c r="P448" s="358"/>
      <c r="Q448" s="358" t="s">
        <v>18</v>
      </c>
      <c r="R448" s="358"/>
      <c r="S448" s="358" t="s">
        <v>19</v>
      </c>
      <c r="T448" s="528">
        <v>9</v>
      </c>
      <c r="U448" s="324">
        <f>E448/324*60</f>
        <v>0</v>
      </c>
      <c r="V448" s="676"/>
      <c r="W448" s="528"/>
      <c r="X448" s="529"/>
      <c r="Y448" s="323"/>
      <c r="Z448" s="312">
        <f>E448/1.21</f>
        <v>0</v>
      </c>
      <c r="AA448" s="316">
        <f>SUM(Z448/311.85)</f>
        <v>0</v>
      </c>
    </row>
    <row r="449" spans="1:27" ht="84.75" customHeight="1" thickBot="1" x14ac:dyDescent="0.45">
      <c r="A449" s="319" t="s">
        <v>14</v>
      </c>
      <c r="B449" s="886" t="s">
        <v>1225</v>
      </c>
      <c r="C449" s="528"/>
      <c r="D449" s="528">
        <f>C449*10</f>
        <v>0</v>
      </c>
      <c r="E449" s="460">
        <f>D449*0.3</f>
        <v>0</v>
      </c>
      <c r="F449" s="324">
        <f>E449*1.03*0.82/147</f>
        <v>0</v>
      </c>
      <c r="G449" s="537">
        <f>INT(M449)</f>
        <v>0</v>
      </c>
      <c r="H449" s="354"/>
      <c r="I449" s="537">
        <f>(M449-G449)*64</f>
        <v>0</v>
      </c>
      <c r="J449" s="354"/>
      <c r="K449" s="324"/>
      <c r="L449" s="324"/>
      <c r="M449" s="324">
        <f>(F449*4900/2880)</f>
        <v>0</v>
      </c>
      <c r="N449" s="324"/>
      <c r="O449" s="324"/>
      <c r="P449" s="324"/>
      <c r="Q449" s="324"/>
      <c r="R449" s="324"/>
      <c r="S449" s="324"/>
      <c r="T449" s="528">
        <v>9</v>
      </c>
      <c r="U449" s="324"/>
      <c r="V449" s="676"/>
      <c r="W449" s="528"/>
      <c r="X449" s="529"/>
      <c r="Y449" s="323"/>
      <c r="Z449" s="312">
        <f>E449/1.21</f>
        <v>0</v>
      </c>
      <c r="AA449" s="316">
        <f>SUM(Z449/282)</f>
        <v>0</v>
      </c>
    </row>
    <row r="450" spans="1:27" ht="102.75" thickBot="1" x14ac:dyDescent="0.45">
      <c r="A450" s="319" t="s">
        <v>14</v>
      </c>
      <c r="B450" s="362" t="s">
        <v>969</v>
      </c>
      <c r="C450" s="528"/>
      <c r="D450" s="548"/>
      <c r="E450" s="456">
        <f>C450*0.3</f>
        <v>0</v>
      </c>
      <c r="F450" s="358">
        <f>E450*1.03*0.84/147</f>
        <v>0</v>
      </c>
      <c r="G450" s="549">
        <f>INT(M450)</f>
        <v>0</v>
      </c>
      <c r="H450" s="359" t="s">
        <v>18</v>
      </c>
      <c r="I450" s="549">
        <f>(M450-G450)*64</f>
        <v>0</v>
      </c>
      <c r="J450" s="359" t="s">
        <v>19</v>
      </c>
      <c r="K450" s="358"/>
      <c r="L450" s="358"/>
      <c r="M450" s="358">
        <f>(F450*5547/3456)</f>
        <v>0</v>
      </c>
      <c r="N450" s="461"/>
      <c r="O450" s="461"/>
      <c r="P450" s="461"/>
      <c r="Q450" s="324" t="s">
        <v>18</v>
      </c>
      <c r="R450" s="324"/>
      <c r="S450" s="324" t="s">
        <v>19</v>
      </c>
      <c r="T450" s="528">
        <v>9</v>
      </c>
      <c r="U450" s="324">
        <f>E450/324*60</f>
        <v>0</v>
      </c>
      <c r="V450" s="676"/>
      <c r="W450" s="528"/>
      <c r="X450" s="529"/>
      <c r="Y450" s="323"/>
      <c r="Z450" s="312">
        <f>E450/1.21</f>
        <v>0</v>
      </c>
      <c r="AA450" s="316">
        <f>SUM(Z450/282)</f>
        <v>0</v>
      </c>
    </row>
    <row r="451" spans="1:27" thickBot="1" x14ac:dyDescent="0.45">
      <c r="A451" s="830"/>
      <c r="B451" s="332" t="s">
        <v>287</v>
      </c>
      <c r="C451" s="347"/>
      <c r="D451" s="347"/>
      <c r="E451" s="494"/>
      <c r="F451" s="348"/>
      <c r="G451" s="347"/>
      <c r="H451" s="348"/>
      <c r="I451" s="347"/>
      <c r="J451" s="348"/>
      <c r="K451" s="348"/>
      <c r="L451" s="348"/>
      <c r="M451" s="348"/>
      <c r="N451" s="348"/>
      <c r="O451" s="348"/>
      <c r="P451" s="348"/>
      <c r="Q451" s="348"/>
      <c r="R451" s="348"/>
      <c r="S451" s="348"/>
      <c r="T451" s="347"/>
      <c r="U451" s="348"/>
      <c r="V451" s="356"/>
      <c r="W451" s="348"/>
      <c r="X451" s="495"/>
      <c r="Y451" s="357"/>
    </row>
    <row r="452" spans="1:27" thickBot="1" x14ac:dyDescent="0.45">
      <c r="A452" s="830"/>
      <c r="B452" s="332" t="s">
        <v>299</v>
      </c>
      <c r="C452" s="347"/>
      <c r="D452" s="347"/>
      <c r="E452" s="494"/>
      <c r="F452" s="348"/>
      <c r="G452" s="347"/>
      <c r="H452" s="348"/>
      <c r="I452" s="347"/>
      <c r="J452" s="348"/>
      <c r="K452" s="348"/>
      <c r="L452" s="348"/>
      <c r="M452" s="348"/>
      <c r="N452" s="348"/>
      <c r="O452" s="348"/>
      <c r="P452" s="348"/>
      <c r="Q452" s="348"/>
      <c r="R452" s="348"/>
      <c r="S452" s="348"/>
      <c r="T452" s="347"/>
      <c r="U452" s="348"/>
      <c r="V452" s="356"/>
      <c r="W452" s="348"/>
      <c r="X452" s="495"/>
      <c r="Y452" s="357"/>
    </row>
    <row r="453" spans="1:27" ht="53.25" thickBot="1" x14ac:dyDescent="0.45">
      <c r="A453" s="319" t="s">
        <v>14</v>
      </c>
      <c r="B453" s="368" t="s">
        <v>866</v>
      </c>
      <c r="C453" s="853">
        <v>1000</v>
      </c>
      <c r="D453" s="626"/>
      <c r="E453" s="849">
        <f>C453*2.4</f>
        <v>2400</v>
      </c>
      <c r="F453" s="627">
        <f>E453*1.02*0.99/147</f>
        <v>16.486530612244898</v>
      </c>
      <c r="G453" s="850">
        <f>INT(M453)</f>
        <v>34</v>
      </c>
      <c r="H453" s="851" t="s">
        <v>18</v>
      </c>
      <c r="I453" s="850">
        <f>(M453-G453)*64</f>
        <v>22.204081632653015</v>
      </c>
      <c r="J453" s="851" t="s">
        <v>19</v>
      </c>
      <c r="K453" s="630"/>
      <c r="L453" s="630"/>
      <c r="M453" s="627">
        <f t="shared" ref="M453:M458" si="154">F453*6000/2880</f>
        <v>34.346938775510203</v>
      </c>
      <c r="N453" s="631"/>
      <c r="O453" s="631"/>
      <c r="P453" s="631"/>
      <c r="Q453" s="324" t="s">
        <v>18</v>
      </c>
      <c r="R453" s="324"/>
      <c r="S453" s="324" t="s">
        <v>19</v>
      </c>
      <c r="T453" s="528">
        <v>9</v>
      </c>
      <c r="U453" s="324">
        <f>E453/420*60</f>
        <v>342.85714285714289</v>
      </c>
      <c r="V453" s="676"/>
      <c r="W453" s="528"/>
      <c r="X453" s="529"/>
      <c r="Y453" s="323"/>
      <c r="Z453" s="312">
        <f>E453/1.02</f>
        <v>2352.9411764705883</v>
      </c>
      <c r="AA453" s="316">
        <f t="shared" ref="AA453:AA458" si="155">SUM(Z453/354)</f>
        <v>6.6467264872050515</v>
      </c>
    </row>
    <row r="454" spans="1:27" ht="53.25" thickBot="1" x14ac:dyDescent="0.45">
      <c r="A454" s="319" t="s">
        <v>14</v>
      </c>
      <c r="B454" s="368" t="s">
        <v>865</v>
      </c>
      <c r="C454" s="853">
        <v>1000</v>
      </c>
      <c r="D454" s="626"/>
      <c r="E454" s="849">
        <f>C454*2.4</f>
        <v>2400</v>
      </c>
      <c r="F454" s="627">
        <f>E454*1.02*0.99/147</f>
        <v>16.486530612244898</v>
      </c>
      <c r="G454" s="850">
        <f>INT(M454)</f>
        <v>34</v>
      </c>
      <c r="H454" s="851" t="s">
        <v>18</v>
      </c>
      <c r="I454" s="850">
        <f>(M454-G454)*64</f>
        <v>22.204081632653015</v>
      </c>
      <c r="J454" s="851" t="s">
        <v>19</v>
      </c>
      <c r="K454" s="630"/>
      <c r="L454" s="630"/>
      <c r="M454" s="627">
        <f t="shared" si="154"/>
        <v>34.346938775510203</v>
      </c>
      <c r="N454" s="631"/>
      <c r="O454" s="631"/>
      <c r="P454" s="631"/>
      <c r="Q454" s="324" t="s">
        <v>18</v>
      </c>
      <c r="R454" s="324"/>
      <c r="S454" s="324" t="s">
        <v>19</v>
      </c>
      <c r="T454" s="528">
        <v>9</v>
      </c>
      <c r="U454" s="324">
        <f>E454/420*60</f>
        <v>342.85714285714289</v>
      </c>
      <c r="V454" s="676"/>
      <c r="W454" s="528"/>
      <c r="X454" s="529"/>
      <c r="Y454" s="323"/>
      <c r="Z454" s="312">
        <f t="shared" ref="Z454:Z467" si="156">E454/1.02</f>
        <v>2352.9411764705883</v>
      </c>
      <c r="AA454" s="316">
        <f t="shared" si="155"/>
        <v>6.6467264872050515</v>
      </c>
    </row>
    <row r="455" spans="1:27" ht="53.25" thickBot="1" x14ac:dyDescent="0.45">
      <c r="A455" s="319" t="s">
        <v>14</v>
      </c>
      <c r="B455" s="368" t="s">
        <v>118</v>
      </c>
      <c r="C455" s="528"/>
      <c r="D455" s="528"/>
      <c r="E455" s="849">
        <f>C455*3.2</f>
        <v>0</v>
      </c>
      <c r="F455" s="627">
        <f t="shared" ref="F455:F467" si="157">E455*1.02*0.99/147</f>
        <v>0</v>
      </c>
      <c r="G455" s="850">
        <f t="shared" ref="G455:G467" si="158">INT(M455)</f>
        <v>0</v>
      </c>
      <c r="H455" s="851" t="s">
        <v>18</v>
      </c>
      <c r="I455" s="850">
        <f t="shared" ref="I455:I467" si="159">(M455-G455)*64</f>
        <v>0</v>
      </c>
      <c r="J455" s="851" t="s">
        <v>19</v>
      </c>
      <c r="K455" s="630"/>
      <c r="L455" s="630"/>
      <c r="M455" s="627">
        <f t="shared" si="154"/>
        <v>0</v>
      </c>
      <c r="N455" s="324"/>
      <c r="O455" s="324"/>
      <c r="P455" s="324"/>
      <c r="Q455" s="324" t="s">
        <v>18</v>
      </c>
      <c r="R455" s="324"/>
      <c r="S455" s="324" t="s">
        <v>19</v>
      </c>
      <c r="T455" s="528">
        <v>9</v>
      </c>
      <c r="U455" s="324">
        <f>E455/259*60</f>
        <v>0</v>
      </c>
      <c r="V455" s="676"/>
      <c r="W455" s="528"/>
      <c r="X455" s="529"/>
      <c r="Y455" s="323"/>
      <c r="Z455" s="312">
        <f t="shared" si="156"/>
        <v>0</v>
      </c>
      <c r="AA455" s="316">
        <f t="shared" si="155"/>
        <v>0</v>
      </c>
    </row>
    <row r="456" spans="1:27" ht="53.25" thickBot="1" x14ac:dyDescent="0.45">
      <c r="A456" s="319" t="s">
        <v>14</v>
      </c>
      <c r="B456" s="368" t="s">
        <v>688</v>
      </c>
      <c r="C456" s="528"/>
      <c r="D456" s="528"/>
      <c r="E456" s="849">
        <f>C456*3.2</f>
        <v>0</v>
      </c>
      <c r="F456" s="627">
        <f t="shared" si="157"/>
        <v>0</v>
      </c>
      <c r="G456" s="850">
        <f t="shared" si="158"/>
        <v>0</v>
      </c>
      <c r="H456" s="851" t="s">
        <v>18</v>
      </c>
      <c r="I456" s="850">
        <f t="shared" si="159"/>
        <v>0</v>
      </c>
      <c r="J456" s="851" t="s">
        <v>19</v>
      </c>
      <c r="K456" s="630"/>
      <c r="L456" s="630"/>
      <c r="M456" s="627">
        <f t="shared" si="154"/>
        <v>0</v>
      </c>
      <c r="N456" s="324"/>
      <c r="O456" s="324"/>
      <c r="P456" s="324"/>
      <c r="Q456" s="324" t="s">
        <v>18</v>
      </c>
      <c r="R456" s="324"/>
      <c r="S456" s="324" t="s">
        <v>19</v>
      </c>
      <c r="T456" s="528">
        <v>9</v>
      </c>
      <c r="U456" s="324">
        <f>E456/259*60</f>
        <v>0</v>
      </c>
      <c r="V456" s="676"/>
      <c r="W456" s="528"/>
      <c r="X456" s="529"/>
      <c r="Y456" s="323"/>
      <c r="Z456" s="312">
        <f t="shared" si="156"/>
        <v>0</v>
      </c>
      <c r="AA456" s="316">
        <f t="shared" si="155"/>
        <v>0</v>
      </c>
    </row>
    <row r="457" spans="1:27" ht="53.25" thickBot="1" x14ac:dyDescent="0.45">
      <c r="A457" s="319" t="s">
        <v>14</v>
      </c>
      <c r="B457" s="368" t="s">
        <v>689</v>
      </c>
      <c r="C457" s="853"/>
      <c r="D457" s="626"/>
      <c r="E457" s="849">
        <f>C457*4</f>
        <v>0</v>
      </c>
      <c r="F457" s="627">
        <f t="shared" si="157"/>
        <v>0</v>
      </c>
      <c r="G457" s="850">
        <f t="shared" si="158"/>
        <v>0</v>
      </c>
      <c r="H457" s="851" t="s">
        <v>18</v>
      </c>
      <c r="I457" s="850">
        <f t="shared" si="159"/>
        <v>0</v>
      </c>
      <c r="J457" s="851" t="s">
        <v>19</v>
      </c>
      <c r="K457" s="630"/>
      <c r="L457" s="630"/>
      <c r="M457" s="627">
        <f t="shared" si="154"/>
        <v>0</v>
      </c>
      <c r="N457" s="324"/>
      <c r="O457" s="324"/>
      <c r="P457" s="324"/>
      <c r="Q457" s="324" t="s">
        <v>18</v>
      </c>
      <c r="R457" s="324"/>
      <c r="S457" s="324" t="s">
        <v>19</v>
      </c>
      <c r="T457" s="528">
        <v>9</v>
      </c>
      <c r="U457" s="324">
        <f>E457/259*60</f>
        <v>0</v>
      </c>
      <c r="V457" s="676"/>
      <c r="W457" s="528"/>
      <c r="X457" s="529"/>
      <c r="Y457" s="323"/>
      <c r="Z457" s="312">
        <f t="shared" si="156"/>
        <v>0</v>
      </c>
      <c r="AA457" s="316">
        <f t="shared" si="155"/>
        <v>0</v>
      </c>
    </row>
    <row r="458" spans="1:27" ht="53.25" thickBot="1" x14ac:dyDescent="0.45">
      <c r="A458" s="319" t="s">
        <v>14</v>
      </c>
      <c r="B458" s="368" t="s">
        <v>240</v>
      </c>
      <c r="C458" s="853"/>
      <c r="D458" s="626"/>
      <c r="E458" s="849">
        <f>C458*4</f>
        <v>0</v>
      </c>
      <c r="F458" s="627">
        <f t="shared" si="157"/>
        <v>0</v>
      </c>
      <c r="G458" s="850">
        <f t="shared" si="158"/>
        <v>0</v>
      </c>
      <c r="H458" s="851" t="s">
        <v>18</v>
      </c>
      <c r="I458" s="850">
        <f t="shared" si="159"/>
        <v>0</v>
      </c>
      <c r="J458" s="851" t="s">
        <v>19</v>
      </c>
      <c r="K458" s="630"/>
      <c r="L458" s="630"/>
      <c r="M458" s="627">
        <f t="shared" si="154"/>
        <v>0</v>
      </c>
      <c r="N458" s="324"/>
      <c r="O458" s="324"/>
      <c r="P458" s="324"/>
      <c r="Q458" s="324" t="s">
        <v>18</v>
      </c>
      <c r="R458" s="324"/>
      <c r="S458" s="324" t="s">
        <v>19</v>
      </c>
      <c r="T458" s="528">
        <v>9</v>
      </c>
      <c r="U458" s="324">
        <f>E458/259*60</f>
        <v>0</v>
      </c>
      <c r="V458" s="676"/>
      <c r="W458" s="528"/>
      <c r="X458" s="529"/>
      <c r="Y458" s="323"/>
      <c r="Z458" s="312">
        <f t="shared" si="156"/>
        <v>0</v>
      </c>
      <c r="AA458" s="316">
        <f t="shared" si="155"/>
        <v>0</v>
      </c>
    </row>
    <row r="459" spans="1:27" ht="79.5" thickBot="1" x14ac:dyDescent="0.45">
      <c r="A459" s="319" t="s">
        <v>14</v>
      </c>
      <c r="B459" s="320" t="s">
        <v>869</v>
      </c>
      <c r="C459" s="853"/>
      <c r="D459" s="626"/>
      <c r="E459" s="849">
        <f>C459*2.4</f>
        <v>0</v>
      </c>
      <c r="F459" s="627">
        <f t="shared" si="157"/>
        <v>0</v>
      </c>
      <c r="G459" s="850">
        <f t="shared" si="158"/>
        <v>0</v>
      </c>
      <c r="H459" s="851" t="s">
        <v>18</v>
      </c>
      <c r="I459" s="850">
        <f t="shared" si="159"/>
        <v>0</v>
      </c>
      <c r="J459" s="851" t="s">
        <v>19</v>
      </c>
      <c r="K459" s="630"/>
      <c r="L459" s="630"/>
      <c r="M459" s="627">
        <f t="shared" ref="M459:M467" si="160">F459*6000/2880</f>
        <v>0</v>
      </c>
      <c r="N459" s="631"/>
      <c r="O459" s="631"/>
      <c r="P459" s="631"/>
      <c r="Q459" s="324" t="s">
        <v>18</v>
      </c>
      <c r="R459" s="324"/>
      <c r="S459" s="324" t="s">
        <v>19</v>
      </c>
      <c r="T459" s="528">
        <v>9</v>
      </c>
      <c r="U459" s="324">
        <f>E459/420*60</f>
        <v>0</v>
      </c>
      <c r="V459" s="676"/>
      <c r="W459" s="528"/>
      <c r="X459" s="529"/>
      <c r="Y459" s="360" t="s">
        <v>921</v>
      </c>
      <c r="Z459" s="312">
        <f t="shared" si="156"/>
        <v>0</v>
      </c>
      <c r="AA459" s="316">
        <f t="shared" ref="AA459:AA464" si="161">SUM(Z459/354)</f>
        <v>0</v>
      </c>
    </row>
    <row r="460" spans="1:27" ht="79.5" thickBot="1" x14ac:dyDescent="0.45">
      <c r="A460" s="319" t="s">
        <v>14</v>
      </c>
      <c r="B460" s="320" t="s">
        <v>870</v>
      </c>
      <c r="C460" s="853"/>
      <c r="D460" s="626"/>
      <c r="E460" s="849">
        <f>C460*2.4</f>
        <v>0</v>
      </c>
      <c r="F460" s="627">
        <f t="shared" si="157"/>
        <v>0</v>
      </c>
      <c r="G460" s="850">
        <f t="shared" si="158"/>
        <v>0</v>
      </c>
      <c r="H460" s="851" t="s">
        <v>18</v>
      </c>
      <c r="I460" s="850">
        <f t="shared" si="159"/>
        <v>0</v>
      </c>
      <c r="J460" s="851" t="s">
        <v>19</v>
      </c>
      <c r="K460" s="630"/>
      <c r="L460" s="630"/>
      <c r="M460" s="627">
        <f t="shared" si="160"/>
        <v>0</v>
      </c>
      <c r="N460" s="631"/>
      <c r="O460" s="631"/>
      <c r="P460" s="631"/>
      <c r="Q460" s="324" t="s">
        <v>18</v>
      </c>
      <c r="R460" s="324"/>
      <c r="S460" s="324" t="s">
        <v>19</v>
      </c>
      <c r="T460" s="528">
        <v>9</v>
      </c>
      <c r="U460" s="324">
        <f>E460/420*60</f>
        <v>0</v>
      </c>
      <c r="V460" s="676"/>
      <c r="W460" s="528"/>
      <c r="X460" s="529"/>
      <c r="Y460" s="360" t="s">
        <v>919</v>
      </c>
      <c r="Z460" s="312">
        <f t="shared" si="156"/>
        <v>0</v>
      </c>
      <c r="AA460" s="316">
        <f t="shared" si="161"/>
        <v>0</v>
      </c>
    </row>
    <row r="461" spans="1:27" ht="51.75" thickBot="1" x14ac:dyDescent="0.45">
      <c r="A461" s="319" t="s">
        <v>14</v>
      </c>
      <c r="B461" s="320" t="s">
        <v>871</v>
      </c>
      <c r="C461" s="853"/>
      <c r="D461" s="626"/>
      <c r="E461" s="849">
        <f>C461*2.4</f>
        <v>0</v>
      </c>
      <c r="F461" s="627">
        <f t="shared" si="157"/>
        <v>0</v>
      </c>
      <c r="G461" s="850">
        <f t="shared" si="158"/>
        <v>0</v>
      </c>
      <c r="H461" s="851" t="s">
        <v>18</v>
      </c>
      <c r="I461" s="850">
        <f t="shared" si="159"/>
        <v>0</v>
      </c>
      <c r="J461" s="851" t="s">
        <v>19</v>
      </c>
      <c r="K461" s="630"/>
      <c r="L461" s="630"/>
      <c r="M461" s="627">
        <f t="shared" si="160"/>
        <v>0</v>
      </c>
      <c r="N461" s="631"/>
      <c r="O461" s="631"/>
      <c r="P461" s="631"/>
      <c r="Q461" s="324" t="s">
        <v>18</v>
      </c>
      <c r="R461" s="324"/>
      <c r="S461" s="324" t="s">
        <v>19</v>
      </c>
      <c r="T461" s="528">
        <v>9</v>
      </c>
      <c r="U461" s="324">
        <f>E461/420*60</f>
        <v>0</v>
      </c>
      <c r="V461" s="676"/>
      <c r="W461" s="528"/>
      <c r="X461" s="529"/>
      <c r="Y461" s="323"/>
      <c r="Z461" s="312">
        <f t="shared" si="156"/>
        <v>0</v>
      </c>
      <c r="AA461" s="316">
        <f t="shared" si="161"/>
        <v>0</v>
      </c>
    </row>
    <row r="462" spans="1:27" ht="79.5" thickBot="1" x14ac:dyDescent="0.45">
      <c r="A462" s="319" t="s">
        <v>14</v>
      </c>
      <c r="B462" s="320" t="s">
        <v>786</v>
      </c>
      <c r="C462" s="853"/>
      <c r="D462" s="626"/>
      <c r="E462" s="849">
        <f t="shared" ref="E462:E467" si="162">C462*4</f>
        <v>0</v>
      </c>
      <c r="F462" s="627">
        <f t="shared" si="157"/>
        <v>0</v>
      </c>
      <c r="G462" s="850">
        <f t="shared" si="158"/>
        <v>0</v>
      </c>
      <c r="H462" s="851" t="s">
        <v>18</v>
      </c>
      <c r="I462" s="850">
        <f t="shared" si="159"/>
        <v>0</v>
      </c>
      <c r="J462" s="851" t="s">
        <v>19</v>
      </c>
      <c r="K462" s="630"/>
      <c r="L462" s="630"/>
      <c r="M462" s="627">
        <f t="shared" si="160"/>
        <v>0</v>
      </c>
      <c r="N462" s="324"/>
      <c r="O462" s="324"/>
      <c r="P462" s="324"/>
      <c r="Q462" s="324" t="s">
        <v>18</v>
      </c>
      <c r="R462" s="324"/>
      <c r="S462" s="324" t="s">
        <v>19</v>
      </c>
      <c r="T462" s="528">
        <v>9</v>
      </c>
      <c r="U462" s="324">
        <f t="shared" ref="U462:U467" si="163">E462/259*60</f>
        <v>0</v>
      </c>
      <c r="V462" s="676"/>
      <c r="W462" s="528"/>
      <c r="X462" s="529"/>
      <c r="Y462" s="360" t="s">
        <v>919</v>
      </c>
      <c r="Z462" s="312">
        <f t="shared" si="156"/>
        <v>0</v>
      </c>
      <c r="AA462" s="316">
        <f t="shared" si="161"/>
        <v>0</v>
      </c>
    </row>
    <row r="463" spans="1:27" ht="51.75" thickBot="1" x14ac:dyDescent="0.45">
      <c r="A463" s="319" t="s">
        <v>14</v>
      </c>
      <c r="B463" s="320" t="s">
        <v>630</v>
      </c>
      <c r="C463" s="853"/>
      <c r="D463" s="626"/>
      <c r="E463" s="849">
        <f t="shared" si="162"/>
        <v>0</v>
      </c>
      <c r="F463" s="627">
        <f t="shared" si="157"/>
        <v>0</v>
      </c>
      <c r="G463" s="850">
        <f t="shared" si="158"/>
        <v>0</v>
      </c>
      <c r="H463" s="851" t="s">
        <v>18</v>
      </c>
      <c r="I463" s="850">
        <f t="shared" si="159"/>
        <v>0</v>
      </c>
      <c r="J463" s="851" t="s">
        <v>19</v>
      </c>
      <c r="K463" s="630"/>
      <c r="L463" s="630"/>
      <c r="M463" s="627">
        <f t="shared" si="160"/>
        <v>0</v>
      </c>
      <c r="N463" s="324"/>
      <c r="O463" s="324"/>
      <c r="P463" s="324"/>
      <c r="Q463" s="324" t="s">
        <v>18</v>
      </c>
      <c r="R463" s="324"/>
      <c r="S463" s="324" t="s">
        <v>19</v>
      </c>
      <c r="T463" s="528">
        <v>9</v>
      </c>
      <c r="U463" s="324">
        <f t="shared" si="163"/>
        <v>0</v>
      </c>
      <c r="V463" s="676"/>
      <c r="W463" s="528"/>
      <c r="X463" s="529"/>
      <c r="Y463" s="323"/>
      <c r="Z463" s="312">
        <f t="shared" si="156"/>
        <v>0</v>
      </c>
      <c r="AA463" s="316">
        <f t="shared" si="161"/>
        <v>0</v>
      </c>
    </row>
    <row r="464" spans="1:27" thickBot="1" x14ac:dyDescent="0.45">
      <c r="A464" s="319" t="s">
        <v>14</v>
      </c>
      <c r="B464" s="320" t="s">
        <v>1065</v>
      </c>
      <c r="C464" s="853"/>
      <c r="D464" s="626"/>
      <c r="E464" s="849">
        <f t="shared" si="162"/>
        <v>0</v>
      </c>
      <c r="F464" s="627">
        <f t="shared" si="157"/>
        <v>0</v>
      </c>
      <c r="G464" s="850">
        <f t="shared" si="158"/>
        <v>0</v>
      </c>
      <c r="H464" s="851" t="s">
        <v>18</v>
      </c>
      <c r="I464" s="850">
        <f t="shared" si="159"/>
        <v>0</v>
      </c>
      <c r="J464" s="851" t="s">
        <v>19</v>
      </c>
      <c r="K464" s="630"/>
      <c r="L464" s="630"/>
      <c r="M464" s="627">
        <f t="shared" si="160"/>
        <v>0</v>
      </c>
      <c r="N464" s="324"/>
      <c r="O464" s="324"/>
      <c r="P464" s="324"/>
      <c r="Q464" s="324" t="s">
        <v>18</v>
      </c>
      <c r="R464" s="324"/>
      <c r="S464" s="324" t="s">
        <v>19</v>
      </c>
      <c r="T464" s="528">
        <v>9</v>
      </c>
      <c r="U464" s="324">
        <f t="shared" si="163"/>
        <v>0</v>
      </c>
      <c r="V464" s="676"/>
      <c r="W464" s="528"/>
      <c r="X464" s="529"/>
      <c r="Y464" s="323"/>
      <c r="Z464" s="312">
        <f t="shared" si="156"/>
        <v>0</v>
      </c>
      <c r="AA464" s="316">
        <f t="shared" si="161"/>
        <v>0</v>
      </c>
    </row>
    <row r="465" spans="1:28" ht="51.75" thickBot="1" x14ac:dyDescent="0.45">
      <c r="A465" s="319" t="s">
        <v>14</v>
      </c>
      <c r="B465" s="320" t="s">
        <v>818</v>
      </c>
      <c r="C465" s="853"/>
      <c r="D465" s="626"/>
      <c r="E465" s="849">
        <f t="shared" si="162"/>
        <v>0</v>
      </c>
      <c r="F465" s="627">
        <f t="shared" si="157"/>
        <v>0</v>
      </c>
      <c r="G465" s="850">
        <f t="shared" si="158"/>
        <v>0</v>
      </c>
      <c r="H465" s="851" t="s">
        <v>18</v>
      </c>
      <c r="I465" s="850">
        <f t="shared" si="159"/>
        <v>0</v>
      </c>
      <c r="J465" s="851" t="s">
        <v>19</v>
      </c>
      <c r="K465" s="630"/>
      <c r="L465" s="630"/>
      <c r="M465" s="627">
        <f t="shared" si="160"/>
        <v>0</v>
      </c>
      <c r="N465" s="324"/>
      <c r="O465" s="324"/>
      <c r="P465" s="324"/>
      <c r="Q465" s="324" t="s">
        <v>18</v>
      </c>
      <c r="R465" s="324"/>
      <c r="S465" s="324" t="s">
        <v>19</v>
      </c>
      <c r="T465" s="528">
        <v>9</v>
      </c>
      <c r="U465" s="324">
        <f t="shared" si="163"/>
        <v>0</v>
      </c>
      <c r="V465" s="676"/>
      <c r="W465" s="528"/>
      <c r="X465" s="529"/>
      <c r="Y465" s="323"/>
      <c r="Z465" s="312">
        <f>E465/1.042</f>
        <v>0</v>
      </c>
      <c r="AA465" s="316">
        <f>SUM(Z465/366.4)</f>
        <v>0</v>
      </c>
    </row>
    <row r="466" spans="1:28" thickBot="1" x14ac:dyDescent="0.45">
      <c r="A466" s="319" t="s">
        <v>14</v>
      </c>
      <c r="B466" s="320" t="s">
        <v>817</v>
      </c>
      <c r="C466" s="853"/>
      <c r="D466" s="626"/>
      <c r="E466" s="849">
        <f t="shared" si="162"/>
        <v>0</v>
      </c>
      <c r="F466" s="627">
        <f t="shared" si="157"/>
        <v>0</v>
      </c>
      <c r="G466" s="850">
        <f t="shared" si="158"/>
        <v>0</v>
      </c>
      <c r="H466" s="851" t="s">
        <v>18</v>
      </c>
      <c r="I466" s="850">
        <f t="shared" si="159"/>
        <v>0</v>
      </c>
      <c r="J466" s="851" t="s">
        <v>19</v>
      </c>
      <c r="K466" s="630"/>
      <c r="L466" s="630"/>
      <c r="M466" s="627">
        <f t="shared" si="160"/>
        <v>0</v>
      </c>
      <c r="N466" s="324"/>
      <c r="O466" s="324"/>
      <c r="P466" s="324"/>
      <c r="Q466" s="324" t="s">
        <v>18</v>
      </c>
      <c r="R466" s="324"/>
      <c r="S466" s="324" t="s">
        <v>19</v>
      </c>
      <c r="T466" s="528">
        <v>9</v>
      </c>
      <c r="U466" s="324">
        <f t="shared" si="163"/>
        <v>0</v>
      </c>
      <c r="V466" s="676"/>
      <c r="W466" s="528"/>
      <c r="X466" s="529"/>
      <c r="Y466" s="323"/>
      <c r="Z466" s="312">
        <f t="shared" si="156"/>
        <v>0</v>
      </c>
      <c r="AA466" s="316">
        <f>SUM(Z466/354)</f>
        <v>0</v>
      </c>
    </row>
    <row r="467" spans="1:28" ht="79.5" thickBot="1" x14ac:dyDescent="0.45">
      <c r="A467" s="319" t="s">
        <v>14</v>
      </c>
      <c r="B467" s="320" t="s">
        <v>631</v>
      </c>
      <c r="C467" s="853"/>
      <c r="D467" s="626"/>
      <c r="E467" s="849">
        <f t="shared" si="162"/>
        <v>0</v>
      </c>
      <c r="F467" s="627">
        <f t="shared" si="157"/>
        <v>0</v>
      </c>
      <c r="G467" s="850">
        <f t="shared" si="158"/>
        <v>0</v>
      </c>
      <c r="H467" s="851" t="s">
        <v>18</v>
      </c>
      <c r="I467" s="850">
        <f t="shared" si="159"/>
        <v>0</v>
      </c>
      <c r="J467" s="851" t="s">
        <v>19</v>
      </c>
      <c r="K467" s="630"/>
      <c r="L467" s="630"/>
      <c r="M467" s="627">
        <f t="shared" si="160"/>
        <v>0</v>
      </c>
      <c r="N467" s="324"/>
      <c r="O467" s="324"/>
      <c r="P467" s="324"/>
      <c r="Q467" s="324" t="s">
        <v>18</v>
      </c>
      <c r="R467" s="324"/>
      <c r="S467" s="324" t="s">
        <v>19</v>
      </c>
      <c r="T467" s="528">
        <v>9</v>
      </c>
      <c r="U467" s="324">
        <f t="shared" si="163"/>
        <v>0</v>
      </c>
      <c r="V467" s="676"/>
      <c r="W467" s="528"/>
      <c r="X467" s="529"/>
      <c r="Y467" s="360" t="s">
        <v>921</v>
      </c>
      <c r="Z467" s="312">
        <f t="shared" si="156"/>
        <v>0</v>
      </c>
      <c r="AA467" s="316">
        <f>SUM(Z467/354)</f>
        <v>0</v>
      </c>
    </row>
    <row r="468" spans="1:28" ht="102.75" outlineLevel="1" thickBot="1" x14ac:dyDescent="0.45">
      <c r="A468" s="319" t="s">
        <v>14</v>
      </c>
      <c r="B468" s="362" t="s">
        <v>1219</v>
      </c>
      <c r="C468" s="528"/>
      <c r="D468" s="528"/>
      <c r="E468" s="460">
        <f>C468*4</f>
        <v>0</v>
      </c>
      <c r="F468" s="324">
        <f>E468*1.02*0.99/147</f>
        <v>0</v>
      </c>
      <c r="G468" s="528">
        <f t="shared" ref="G468:G499" si="164">INT(M468)</f>
        <v>0</v>
      </c>
      <c r="H468" s="324" t="s">
        <v>18</v>
      </c>
      <c r="I468" s="528">
        <f t="shared" ref="I468:I499" si="165">(M468-G468)*64</f>
        <v>0</v>
      </c>
      <c r="J468" s="324" t="s">
        <v>19</v>
      </c>
      <c r="K468" s="324"/>
      <c r="L468" s="324"/>
      <c r="M468" s="324">
        <f>F468*5764/2880</f>
        <v>0</v>
      </c>
      <c r="N468" s="324"/>
      <c r="O468" s="324"/>
      <c r="P468" s="324"/>
      <c r="Q468" s="324" t="s">
        <v>18</v>
      </c>
      <c r="R468" s="324"/>
      <c r="S468" s="324" t="s">
        <v>19</v>
      </c>
      <c r="T468" s="528">
        <v>9</v>
      </c>
      <c r="U468" s="722">
        <f>E468/324*60</f>
        <v>0</v>
      </c>
      <c r="V468" s="676"/>
      <c r="W468" s="528"/>
      <c r="X468" s="529"/>
      <c r="Y468" s="360" t="s">
        <v>885</v>
      </c>
      <c r="Z468" s="312">
        <f>E468/1.05</f>
        <v>0</v>
      </c>
      <c r="AA468" s="316">
        <f>SUM(Z468/316.7)</f>
        <v>0</v>
      </c>
    </row>
    <row r="469" spans="1:28" ht="102.75" outlineLevel="1" thickBot="1" x14ac:dyDescent="0.45">
      <c r="A469" s="319" t="s">
        <v>14</v>
      </c>
      <c r="B469" s="362" t="s">
        <v>1220</v>
      </c>
      <c r="C469" s="528"/>
      <c r="D469" s="528"/>
      <c r="E469" s="460">
        <f>C469*4</f>
        <v>0</v>
      </c>
      <c r="F469" s="324">
        <f>E469*1.02*0.99/147</f>
        <v>0</v>
      </c>
      <c r="G469" s="528">
        <f t="shared" si="164"/>
        <v>0</v>
      </c>
      <c r="H469" s="324" t="s">
        <v>18</v>
      </c>
      <c r="I469" s="528">
        <f t="shared" si="165"/>
        <v>0</v>
      </c>
      <c r="J469" s="324" t="s">
        <v>19</v>
      </c>
      <c r="K469" s="324"/>
      <c r="L469" s="324"/>
      <c r="M469" s="324">
        <f>F469*5764/2880</f>
        <v>0</v>
      </c>
      <c r="N469" s="324"/>
      <c r="O469" s="324"/>
      <c r="P469" s="324"/>
      <c r="Q469" s="324" t="s">
        <v>18</v>
      </c>
      <c r="R469" s="324"/>
      <c r="S469" s="324" t="s">
        <v>19</v>
      </c>
      <c r="T469" s="528">
        <v>9</v>
      </c>
      <c r="U469" s="722">
        <f>E469/324*60</f>
        <v>0</v>
      </c>
      <c r="V469" s="676"/>
      <c r="W469" s="528"/>
      <c r="X469" s="529"/>
      <c r="Y469" s="360" t="s">
        <v>885</v>
      </c>
      <c r="Z469" s="312">
        <f>E469/1.05</f>
        <v>0</v>
      </c>
      <c r="AA469" s="316">
        <f>SUM(Z469/316.7)</f>
        <v>0</v>
      </c>
    </row>
    <row r="470" spans="1:28" ht="77.25" thickBot="1" x14ac:dyDescent="0.45">
      <c r="A470" s="319" t="s">
        <v>14</v>
      </c>
      <c r="B470" s="320" t="s">
        <v>840</v>
      </c>
      <c r="C470" s="528"/>
      <c r="D470" s="528"/>
      <c r="E470" s="456">
        <f>C470*4</f>
        <v>0</v>
      </c>
      <c r="F470" s="358">
        <f>E470*0.9*1.01/147</f>
        <v>0</v>
      </c>
      <c r="G470" s="548">
        <f t="shared" si="164"/>
        <v>0</v>
      </c>
      <c r="H470" s="358" t="s">
        <v>18</v>
      </c>
      <c r="I470" s="548">
        <f t="shared" si="165"/>
        <v>0</v>
      </c>
      <c r="J470" s="358" t="s">
        <v>19</v>
      </c>
      <c r="K470" s="358"/>
      <c r="L470" s="358"/>
      <c r="M470" s="358">
        <f>(F470*6533/3456)</f>
        <v>0</v>
      </c>
      <c r="N470" s="358"/>
      <c r="O470" s="358"/>
      <c r="P470" s="358"/>
      <c r="Q470" s="358" t="s">
        <v>18</v>
      </c>
      <c r="R470" s="358"/>
      <c r="S470" s="358" t="s">
        <v>19</v>
      </c>
      <c r="T470" s="528">
        <v>9</v>
      </c>
      <c r="U470" s="324">
        <f>E470/324*60</f>
        <v>0</v>
      </c>
      <c r="V470" s="676"/>
      <c r="W470" s="528"/>
      <c r="X470" s="529"/>
      <c r="Y470" s="323"/>
      <c r="Z470" s="312">
        <f>E470/1.05/1.143</f>
        <v>0</v>
      </c>
      <c r="AA470" s="316">
        <f>SUM(AB470/287.3)</f>
        <v>0</v>
      </c>
      <c r="AB470" s="310">
        <f>E470/1.05</f>
        <v>0</v>
      </c>
    </row>
    <row r="471" spans="1:28" ht="132" thickBot="1" x14ac:dyDescent="0.45">
      <c r="A471" s="319" t="s">
        <v>14</v>
      </c>
      <c r="B471" s="799" t="s">
        <v>1192</v>
      </c>
      <c r="C471" s="528"/>
      <c r="D471" s="528"/>
      <c r="E471" s="460">
        <f>C471*1.3</f>
        <v>0</v>
      </c>
      <c r="F471" s="324">
        <f>E471*1.02*1/135</f>
        <v>0</v>
      </c>
      <c r="G471" s="528">
        <f t="shared" si="164"/>
        <v>0</v>
      </c>
      <c r="H471" s="324" t="s">
        <v>18</v>
      </c>
      <c r="I471" s="528">
        <f t="shared" si="165"/>
        <v>0</v>
      </c>
      <c r="J471" s="324" t="s">
        <v>19</v>
      </c>
      <c r="K471" s="324"/>
      <c r="L471" s="324"/>
      <c r="M471" s="324">
        <f>F471*5252/2880</f>
        <v>0</v>
      </c>
      <c r="N471" s="324"/>
      <c r="O471" s="324"/>
      <c r="P471" s="324"/>
      <c r="Q471" s="324" t="s">
        <v>18</v>
      </c>
      <c r="R471" s="324"/>
      <c r="S471" s="324" t="s">
        <v>19</v>
      </c>
      <c r="T471" s="528">
        <v>9</v>
      </c>
      <c r="U471" s="324">
        <f>E471/237*60</f>
        <v>0</v>
      </c>
      <c r="V471" s="676"/>
      <c r="W471" s="528"/>
      <c r="X471" s="529"/>
      <c r="Y471" s="360" t="s">
        <v>954</v>
      </c>
      <c r="Z471" s="312">
        <f>E471/1.05/1.143</f>
        <v>0</v>
      </c>
      <c r="AA471" s="316">
        <f>SUM(AB471/287.3)</f>
        <v>0</v>
      </c>
      <c r="AB471" s="310">
        <f>E471/1.05</f>
        <v>0</v>
      </c>
    </row>
    <row r="472" spans="1:28" ht="51.75" thickBot="1" x14ac:dyDescent="0.45">
      <c r="A472" s="319" t="s">
        <v>14</v>
      </c>
      <c r="B472" s="320" t="s">
        <v>632</v>
      </c>
      <c r="C472" s="528"/>
      <c r="D472" s="528"/>
      <c r="E472" s="849">
        <f>C472*3.2</f>
        <v>0</v>
      </c>
      <c r="F472" s="627">
        <f>E472*1.02*0.99/147</f>
        <v>0</v>
      </c>
      <c r="G472" s="850">
        <f t="shared" si="164"/>
        <v>0</v>
      </c>
      <c r="H472" s="851" t="s">
        <v>18</v>
      </c>
      <c r="I472" s="850">
        <f t="shared" si="165"/>
        <v>0</v>
      </c>
      <c r="J472" s="851" t="s">
        <v>19</v>
      </c>
      <c r="K472" s="630"/>
      <c r="L472" s="630"/>
      <c r="M472" s="627">
        <f>F472*6000/2880</f>
        <v>0</v>
      </c>
      <c r="N472" s="324"/>
      <c r="O472" s="324"/>
      <c r="P472" s="324"/>
      <c r="Q472" s="324" t="s">
        <v>18</v>
      </c>
      <c r="R472" s="324"/>
      <c r="S472" s="324" t="s">
        <v>19</v>
      </c>
      <c r="T472" s="528">
        <v>9</v>
      </c>
      <c r="U472" s="324">
        <f t="shared" ref="U472:U478" si="166">E472/259*60</f>
        <v>0</v>
      </c>
      <c r="V472" s="676"/>
      <c r="W472" s="528"/>
      <c r="X472" s="529"/>
      <c r="Y472" s="323"/>
      <c r="Z472" s="312">
        <f t="shared" ref="Z472:Z478" si="167">E472/1.02</f>
        <v>0</v>
      </c>
      <c r="AA472" s="316">
        <f>SUM(Z472/354)</f>
        <v>0</v>
      </c>
    </row>
    <row r="473" spans="1:28" ht="79.5" thickBot="1" x14ac:dyDescent="0.45">
      <c r="A473" s="319" t="s">
        <v>14</v>
      </c>
      <c r="B473" s="320" t="s">
        <v>633</v>
      </c>
      <c r="C473" s="528"/>
      <c r="D473" s="528"/>
      <c r="E473" s="849">
        <f>C473*3.2</f>
        <v>0</v>
      </c>
      <c r="F473" s="627">
        <f>E473*1.02*0.99/147</f>
        <v>0</v>
      </c>
      <c r="G473" s="850">
        <f t="shared" si="164"/>
        <v>0</v>
      </c>
      <c r="H473" s="851" t="s">
        <v>18</v>
      </c>
      <c r="I473" s="850">
        <f t="shared" si="165"/>
        <v>0</v>
      </c>
      <c r="J473" s="851" t="s">
        <v>19</v>
      </c>
      <c r="K473" s="630"/>
      <c r="L473" s="630"/>
      <c r="M473" s="627">
        <f>F473*6000/2880</f>
        <v>0</v>
      </c>
      <c r="N473" s="358"/>
      <c r="O473" s="358"/>
      <c r="P473" s="358"/>
      <c r="Q473" s="358" t="s">
        <v>18</v>
      </c>
      <c r="R473" s="358"/>
      <c r="S473" s="358" t="s">
        <v>19</v>
      </c>
      <c r="T473" s="528">
        <v>9</v>
      </c>
      <c r="U473" s="324">
        <f t="shared" si="166"/>
        <v>0</v>
      </c>
      <c r="V473" s="676"/>
      <c r="W473" s="528"/>
      <c r="X473" s="529"/>
      <c r="Y473" s="360" t="s">
        <v>921</v>
      </c>
      <c r="Z473" s="312">
        <f t="shared" si="167"/>
        <v>0</v>
      </c>
      <c r="AA473" s="316">
        <f>SUM(Z473/354)</f>
        <v>0</v>
      </c>
    </row>
    <row r="474" spans="1:28" ht="79.5" thickBot="1" x14ac:dyDescent="0.45">
      <c r="A474" s="319" t="s">
        <v>14</v>
      </c>
      <c r="B474" s="320" t="s">
        <v>1066</v>
      </c>
      <c r="C474" s="528"/>
      <c r="D474" s="528"/>
      <c r="E474" s="849">
        <f>C474*3.2</f>
        <v>0</v>
      </c>
      <c r="F474" s="627">
        <f>E474*1.02*0.99/147</f>
        <v>0</v>
      </c>
      <c r="G474" s="850">
        <f t="shared" si="164"/>
        <v>0</v>
      </c>
      <c r="H474" s="851" t="s">
        <v>18</v>
      </c>
      <c r="I474" s="850">
        <f t="shared" si="165"/>
        <v>0</v>
      </c>
      <c r="J474" s="851" t="s">
        <v>19</v>
      </c>
      <c r="K474" s="630"/>
      <c r="L474" s="630"/>
      <c r="M474" s="627">
        <f>F474*6000/2880</f>
        <v>0</v>
      </c>
      <c r="N474" s="324"/>
      <c r="O474" s="324"/>
      <c r="P474" s="324"/>
      <c r="Q474" s="324" t="s">
        <v>18</v>
      </c>
      <c r="R474" s="324"/>
      <c r="S474" s="324" t="s">
        <v>19</v>
      </c>
      <c r="T474" s="528">
        <v>9</v>
      </c>
      <c r="U474" s="324">
        <f t="shared" si="166"/>
        <v>0</v>
      </c>
      <c r="V474" s="676"/>
      <c r="W474" s="528"/>
      <c r="X474" s="529"/>
      <c r="Y474" s="360" t="s">
        <v>921</v>
      </c>
      <c r="Z474" s="312">
        <f t="shared" si="167"/>
        <v>0</v>
      </c>
      <c r="AA474" s="316">
        <f>SUM(Z474/354)</f>
        <v>0</v>
      </c>
    </row>
    <row r="475" spans="1:28" ht="79.5" thickBot="1" x14ac:dyDescent="0.45">
      <c r="A475" s="319" t="s">
        <v>14</v>
      </c>
      <c r="B475" s="320" t="s">
        <v>1067</v>
      </c>
      <c r="C475" s="528"/>
      <c r="D475" s="528"/>
      <c r="E475" s="849">
        <f>C475*3.2</f>
        <v>0</v>
      </c>
      <c r="F475" s="627">
        <f>E475*1.02*0.99/147</f>
        <v>0</v>
      </c>
      <c r="G475" s="850">
        <f t="shared" si="164"/>
        <v>0</v>
      </c>
      <c r="H475" s="851" t="s">
        <v>18</v>
      </c>
      <c r="I475" s="850">
        <f t="shared" si="165"/>
        <v>0</v>
      </c>
      <c r="J475" s="851" t="s">
        <v>19</v>
      </c>
      <c r="K475" s="630"/>
      <c r="L475" s="630"/>
      <c r="M475" s="627">
        <f>F475*6000/2880</f>
        <v>0</v>
      </c>
      <c r="N475" s="324"/>
      <c r="O475" s="324"/>
      <c r="P475" s="324"/>
      <c r="Q475" s="324" t="s">
        <v>18</v>
      </c>
      <c r="R475" s="324"/>
      <c r="S475" s="324" t="s">
        <v>19</v>
      </c>
      <c r="T475" s="528">
        <v>9</v>
      </c>
      <c r="U475" s="324">
        <f t="shared" si="166"/>
        <v>0</v>
      </c>
      <c r="V475" s="676"/>
      <c r="W475" s="528"/>
      <c r="X475" s="529"/>
      <c r="Y475" s="360" t="s">
        <v>921</v>
      </c>
      <c r="Z475" s="312">
        <f t="shared" si="167"/>
        <v>0</v>
      </c>
      <c r="AA475" s="316">
        <f>SUM(Z475/354)</f>
        <v>0</v>
      </c>
    </row>
    <row r="476" spans="1:28" s="327" customFormat="1" ht="79.5" thickBot="1" x14ac:dyDescent="0.45">
      <c r="A476" s="319" t="s">
        <v>14</v>
      </c>
      <c r="B476" s="365" t="s">
        <v>839</v>
      </c>
      <c r="C476" s="553"/>
      <c r="D476" s="554"/>
      <c r="E476" s="458">
        <f>C476*4.5</f>
        <v>0</v>
      </c>
      <c r="F476" s="358">
        <f>E476*0.9*1.01/147</f>
        <v>0</v>
      </c>
      <c r="G476" s="548">
        <f t="shared" si="164"/>
        <v>0</v>
      </c>
      <c r="H476" s="358" t="s">
        <v>18</v>
      </c>
      <c r="I476" s="548">
        <f t="shared" si="165"/>
        <v>0</v>
      </c>
      <c r="J476" s="358" t="s">
        <v>19</v>
      </c>
      <c r="K476" s="358"/>
      <c r="L476" s="358"/>
      <c r="M476" s="358">
        <f>(F476*6533/3456)</f>
        <v>0</v>
      </c>
      <c r="N476" s="555"/>
      <c r="O476" s="555"/>
      <c r="P476" s="555"/>
      <c r="Q476" s="555" t="s">
        <v>18</v>
      </c>
      <c r="R476" s="555"/>
      <c r="S476" s="555" t="s">
        <v>19</v>
      </c>
      <c r="T476" s="528">
        <v>9</v>
      </c>
      <c r="U476" s="555">
        <f>E476/324*60</f>
        <v>0</v>
      </c>
      <c r="V476" s="686"/>
      <c r="W476" s="553"/>
      <c r="X476" s="555"/>
      <c r="Y476" s="367" t="s">
        <v>919</v>
      </c>
      <c r="Z476" s="312">
        <f>E476/1.02/1.143</f>
        <v>0</v>
      </c>
      <c r="AA476" s="316">
        <f>SUM(AB476/292.4)</f>
        <v>0</v>
      </c>
      <c r="AB476" s="310">
        <f>E476/1.02</f>
        <v>0</v>
      </c>
    </row>
    <row r="477" spans="1:28" ht="51.75" thickBot="1" x14ac:dyDescent="0.45">
      <c r="A477" s="319" t="s">
        <v>14</v>
      </c>
      <c r="B477" s="320" t="s">
        <v>1033</v>
      </c>
      <c r="C477" s="528"/>
      <c r="D477" s="528"/>
      <c r="E477" s="324">
        <f>C477*3.2</f>
        <v>0</v>
      </c>
      <c r="F477" s="324">
        <f>E477*1.02*0.99/147</f>
        <v>0</v>
      </c>
      <c r="G477" s="528">
        <f>INT(M477)</f>
        <v>0</v>
      </c>
      <c r="H477" s="324" t="s">
        <v>18</v>
      </c>
      <c r="I477" s="528">
        <f>(M477-G477)*64</f>
        <v>0</v>
      </c>
      <c r="J477" s="324"/>
      <c r="K477" s="324"/>
      <c r="L477" s="324"/>
      <c r="M477" s="324">
        <f>E477/0.0233/2880</f>
        <v>0</v>
      </c>
      <c r="N477" s="324"/>
      <c r="O477" s="324"/>
      <c r="P477" s="324"/>
      <c r="Q477" s="324" t="s">
        <v>18</v>
      </c>
      <c r="R477" s="324"/>
      <c r="S477" s="324" t="s">
        <v>19</v>
      </c>
      <c r="T477" s="528">
        <v>9</v>
      </c>
      <c r="U477" s="324">
        <f t="shared" si="166"/>
        <v>0</v>
      </c>
      <c r="V477" s="676"/>
      <c r="W477" s="528"/>
      <c r="X477" s="529"/>
      <c r="Y477" s="323"/>
      <c r="Z477" s="312">
        <f t="shared" si="167"/>
        <v>0</v>
      </c>
      <c r="AA477" s="316">
        <f>SUM(Z477/300.6)</f>
        <v>0</v>
      </c>
    </row>
    <row r="478" spans="1:28" ht="51.75" thickBot="1" x14ac:dyDescent="0.45">
      <c r="A478" s="319" t="s">
        <v>14</v>
      </c>
      <c r="B478" s="320" t="s">
        <v>1081</v>
      </c>
      <c r="C478" s="528"/>
      <c r="D478" s="528"/>
      <c r="E478" s="849">
        <f>C478*3.2</f>
        <v>0</v>
      </c>
      <c r="F478" s="627">
        <f>E478*1.02*0.99/147</f>
        <v>0</v>
      </c>
      <c r="G478" s="850">
        <f>INT(M478)</f>
        <v>0</v>
      </c>
      <c r="H478" s="851" t="s">
        <v>18</v>
      </c>
      <c r="I478" s="850">
        <f>(M478-G478)*64</f>
        <v>0</v>
      </c>
      <c r="J478" s="851" t="s">
        <v>19</v>
      </c>
      <c r="K478" s="630"/>
      <c r="L478" s="630"/>
      <c r="M478" s="627">
        <f>F478*6000/2880</f>
        <v>0</v>
      </c>
      <c r="N478" s="324"/>
      <c r="O478" s="324"/>
      <c r="P478" s="324"/>
      <c r="Q478" s="324" t="s">
        <v>18</v>
      </c>
      <c r="R478" s="324"/>
      <c r="S478" s="324" t="s">
        <v>19</v>
      </c>
      <c r="T478" s="528">
        <v>9</v>
      </c>
      <c r="U478" s="324">
        <f t="shared" si="166"/>
        <v>0</v>
      </c>
      <c r="V478" s="676"/>
      <c r="W478" s="528"/>
      <c r="X478" s="529"/>
      <c r="Y478" s="323"/>
      <c r="Z478" s="312">
        <f t="shared" si="167"/>
        <v>0</v>
      </c>
      <c r="AA478" s="316">
        <f>SUM(Z478/354)</f>
        <v>0</v>
      </c>
    </row>
    <row r="479" spans="1:28" s="327" customFormat="1" ht="79.5" thickBot="1" x14ac:dyDescent="0.45">
      <c r="A479" s="319" t="s">
        <v>14</v>
      </c>
      <c r="B479" s="365" t="s">
        <v>867</v>
      </c>
      <c r="C479" s="553"/>
      <c r="D479" s="554"/>
      <c r="E479" s="458">
        <f>C479*3.5</f>
        <v>0</v>
      </c>
      <c r="F479" s="358">
        <f>E479*0.9*1.01/147</f>
        <v>0</v>
      </c>
      <c r="G479" s="556">
        <f t="shared" si="164"/>
        <v>0</v>
      </c>
      <c r="H479" s="366" t="s">
        <v>18</v>
      </c>
      <c r="I479" s="556">
        <f t="shared" si="165"/>
        <v>0</v>
      </c>
      <c r="J479" s="366" t="s">
        <v>19</v>
      </c>
      <c r="K479" s="366"/>
      <c r="L479" s="366"/>
      <c r="M479" s="358">
        <f>(F479*6533/3456)</f>
        <v>0</v>
      </c>
      <c r="N479" s="555"/>
      <c r="O479" s="555"/>
      <c r="P479" s="555"/>
      <c r="Q479" s="555" t="s">
        <v>18</v>
      </c>
      <c r="R479" s="555"/>
      <c r="S479" s="555" t="s">
        <v>19</v>
      </c>
      <c r="T479" s="528">
        <v>9</v>
      </c>
      <c r="U479" s="555">
        <f>E479/324*60</f>
        <v>0</v>
      </c>
      <c r="V479" s="686"/>
      <c r="W479" s="553"/>
      <c r="X479" s="555"/>
      <c r="Y479" s="367" t="s">
        <v>919</v>
      </c>
      <c r="Z479" s="312">
        <f>E479/1.02/1.143</f>
        <v>0</v>
      </c>
      <c r="AA479" s="316">
        <f>SUM(AB479/292.4)</f>
        <v>0</v>
      </c>
      <c r="AB479" s="310">
        <f>E479/1.02</f>
        <v>0</v>
      </c>
    </row>
    <row r="480" spans="1:28" s="327" customFormat="1" ht="79.5" thickBot="1" x14ac:dyDescent="0.45">
      <c r="A480" s="319" t="s">
        <v>14</v>
      </c>
      <c r="B480" s="365" t="s">
        <v>864</v>
      </c>
      <c r="C480" s="553"/>
      <c r="D480" s="554"/>
      <c r="E480" s="458">
        <f>C480*2.5</f>
        <v>0</v>
      </c>
      <c r="F480" s="358">
        <f>E480*0.9*1.01/147</f>
        <v>0</v>
      </c>
      <c r="G480" s="556">
        <f t="shared" si="164"/>
        <v>0</v>
      </c>
      <c r="H480" s="366" t="s">
        <v>18</v>
      </c>
      <c r="I480" s="556">
        <f t="shared" si="165"/>
        <v>0</v>
      </c>
      <c r="J480" s="366" t="s">
        <v>19</v>
      </c>
      <c r="K480" s="366"/>
      <c r="L480" s="366"/>
      <c r="M480" s="358">
        <f>(F480*6533/3456)</f>
        <v>0</v>
      </c>
      <c r="N480" s="555"/>
      <c r="O480" s="555"/>
      <c r="P480" s="555"/>
      <c r="Q480" s="555" t="s">
        <v>18</v>
      </c>
      <c r="R480" s="555"/>
      <c r="S480" s="555" t="s">
        <v>19</v>
      </c>
      <c r="T480" s="528">
        <v>9</v>
      </c>
      <c r="U480" s="555">
        <f>E480/324*60</f>
        <v>0</v>
      </c>
      <c r="V480" s="686"/>
      <c r="W480" s="553"/>
      <c r="X480" s="555"/>
      <c r="Y480" s="367" t="s">
        <v>919</v>
      </c>
      <c r="Z480" s="312">
        <f>E480/1.02/1.143</f>
        <v>0</v>
      </c>
      <c r="AA480" s="316">
        <f>SUM(AB480/292.4)</f>
        <v>0</v>
      </c>
      <c r="AB480" s="310">
        <f>E480/1.02</f>
        <v>0</v>
      </c>
    </row>
    <row r="481" spans="1:28" ht="51.75" thickBot="1" x14ac:dyDescent="0.45">
      <c r="A481" s="319" t="s">
        <v>14</v>
      </c>
      <c r="B481" s="320" t="s">
        <v>872</v>
      </c>
      <c r="C481" s="853"/>
      <c r="D481" s="626"/>
      <c r="E481" s="849">
        <f>C481*2.4</f>
        <v>0</v>
      </c>
      <c r="F481" s="627">
        <f>E481*1.02*0.99/147</f>
        <v>0</v>
      </c>
      <c r="G481" s="850">
        <f t="shared" si="164"/>
        <v>0</v>
      </c>
      <c r="H481" s="851" t="s">
        <v>18</v>
      </c>
      <c r="I481" s="850">
        <f t="shared" si="165"/>
        <v>0</v>
      </c>
      <c r="J481" s="851" t="s">
        <v>19</v>
      </c>
      <c r="K481" s="630"/>
      <c r="L481" s="630"/>
      <c r="M481" s="627">
        <f>F481*6000/2880</f>
        <v>0</v>
      </c>
      <c r="N481" s="631"/>
      <c r="O481" s="631"/>
      <c r="P481" s="631"/>
      <c r="Q481" s="324" t="s">
        <v>18</v>
      </c>
      <c r="R481" s="324"/>
      <c r="S481" s="324" t="s">
        <v>19</v>
      </c>
      <c r="T481" s="528">
        <v>9</v>
      </c>
      <c r="U481" s="324">
        <f>E481/420*60</f>
        <v>0</v>
      </c>
      <c r="V481" s="676"/>
      <c r="W481" s="528"/>
      <c r="X481" s="529"/>
      <c r="Y481" s="323"/>
      <c r="Z481" s="312">
        <f>E481/1.02</f>
        <v>0</v>
      </c>
      <c r="AA481" s="316">
        <f>SUM(Z481/354)</f>
        <v>0</v>
      </c>
    </row>
    <row r="482" spans="1:28" ht="63.75" customHeight="1" thickBot="1" x14ac:dyDescent="0.45">
      <c r="A482" s="319" t="s">
        <v>14</v>
      </c>
      <c r="B482" s="802" t="s">
        <v>854</v>
      </c>
      <c r="C482" s="528"/>
      <c r="D482" s="528"/>
      <c r="E482" s="456">
        <f t="shared" ref="E482:E491" si="168">C482*1</f>
        <v>0</v>
      </c>
      <c r="F482" s="358">
        <f>E482*1.02*0.99/147</f>
        <v>0</v>
      </c>
      <c r="G482" s="548">
        <f t="shared" si="164"/>
        <v>0</v>
      </c>
      <c r="H482" s="358" t="s">
        <v>18</v>
      </c>
      <c r="I482" s="548">
        <f t="shared" si="165"/>
        <v>0</v>
      </c>
      <c r="J482" s="358" t="s">
        <v>19</v>
      </c>
      <c r="K482" s="358"/>
      <c r="L482" s="358"/>
      <c r="M482" s="358">
        <f>F482*4983/2880</f>
        <v>0</v>
      </c>
      <c r="N482" s="358"/>
      <c r="O482" s="358"/>
      <c r="P482" s="358"/>
      <c r="Q482" s="358" t="s">
        <v>18</v>
      </c>
      <c r="R482" s="358"/>
      <c r="S482" s="358" t="s">
        <v>19</v>
      </c>
      <c r="T482" s="528">
        <v>9</v>
      </c>
      <c r="U482" s="324">
        <f t="shared" ref="U482:U491" si="169">E482/420*60</f>
        <v>0</v>
      </c>
      <c r="V482" s="676"/>
      <c r="W482" s="528"/>
      <c r="X482" s="529"/>
      <c r="Y482" s="323"/>
      <c r="Z482" s="312">
        <f>E482/1.02</f>
        <v>0</v>
      </c>
      <c r="AA482" s="316">
        <f>SUM(Z482/323.2)</f>
        <v>0</v>
      </c>
    </row>
    <row r="483" spans="1:28" ht="63.75" customHeight="1" thickBot="1" x14ac:dyDescent="0.45">
      <c r="A483" s="319" t="s">
        <v>14</v>
      </c>
      <c r="B483" s="802" t="s">
        <v>1204</v>
      </c>
      <c r="C483" s="528"/>
      <c r="D483" s="528"/>
      <c r="E483" s="456">
        <f t="shared" si="168"/>
        <v>0</v>
      </c>
      <c r="F483" s="358">
        <f>E483*1.02*0.99/147</f>
        <v>0</v>
      </c>
      <c r="G483" s="548">
        <f t="shared" si="164"/>
        <v>0</v>
      </c>
      <c r="H483" s="358" t="s">
        <v>18</v>
      </c>
      <c r="I483" s="548">
        <f t="shared" si="165"/>
        <v>0</v>
      </c>
      <c r="J483" s="358" t="s">
        <v>19</v>
      </c>
      <c r="K483" s="358"/>
      <c r="L483" s="358"/>
      <c r="M483" s="358">
        <f>F483*4983/2880</f>
        <v>0</v>
      </c>
      <c r="N483" s="358"/>
      <c r="O483" s="358"/>
      <c r="P483" s="358"/>
      <c r="Q483" s="358" t="s">
        <v>18</v>
      </c>
      <c r="R483" s="358"/>
      <c r="S483" s="358" t="s">
        <v>19</v>
      </c>
      <c r="T483" s="528">
        <v>9</v>
      </c>
      <c r="U483" s="324">
        <f t="shared" si="169"/>
        <v>0</v>
      </c>
      <c r="V483" s="676"/>
      <c r="W483" s="528"/>
      <c r="X483" s="529"/>
      <c r="Y483" s="323"/>
      <c r="Z483" s="312">
        <f>E483/1.02</f>
        <v>0</v>
      </c>
      <c r="AA483" s="316">
        <f>SUM(Z483/323.2)</f>
        <v>0</v>
      </c>
    </row>
    <row r="484" spans="1:28" ht="63.75" customHeight="1" thickBot="1" x14ac:dyDescent="0.45">
      <c r="A484" s="319" t="s">
        <v>14</v>
      </c>
      <c r="B484" s="802" t="s">
        <v>902</v>
      </c>
      <c r="C484" s="528"/>
      <c r="D484" s="528"/>
      <c r="E484" s="456">
        <f t="shared" si="168"/>
        <v>0</v>
      </c>
      <c r="F484" s="358">
        <f>E484*1.02*0.99/147</f>
        <v>0</v>
      </c>
      <c r="G484" s="548">
        <f t="shared" si="164"/>
        <v>0</v>
      </c>
      <c r="H484" s="358" t="s">
        <v>18</v>
      </c>
      <c r="I484" s="548">
        <f t="shared" si="165"/>
        <v>0</v>
      </c>
      <c r="J484" s="358" t="s">
        <v>19</v>
      </c>
      <c r="K484" s="358"/>
      <c r="L484" s="358"/>
      <c r="M484" s="358">
        <f>F484*4983/2880</f>
        <v>0</v>
      </c>
      <c r="N484" s="358"/>
      <c r="O484" s="358"/>
      <c r="P484" s="358"/>
      <c r="Q484" s="358" t="s">
        <v>18</v>
      </c>
      <c r="R484" s="358"/>
      <c r="S484" s="358" t="s">
        <v>19</v>
      </c>
      <c r="T484" s="528">
        <v>9</v>
      </c>
      <c r="U484" s="324">
        <f t="shared" si="169"/>
        <v>0</v>
      </c>
      <c r="V484" s="676"/>
      <c r="W484" s="528"/>
      <c r="X484" s="529"/>
      <c r="Y484" s="711"/>
      <c r="Z484" s="312">
        <f>E484/1.02</f>
        <v>0</v>
      </c>
      <c r="AA484" s="316">
        <f>SUM(Z484/323.2)</f>
        <v>0</v>
      </c>
    </row>
    <row r="485" spans="1:28" ht="63.75" customHeight="1" thickBot="1" x14ac:dyDescent="0.45">
      <c r="A485" s="319" t="s">
        <v>14</v>
      </c>
      <c r="B485" s="802" t="s">
        <v>1206</v>
      </c>
      <c r="C485" s="528"/>
      <c r="D485" s="528"/>
      <c r="E485" s="456">
        <f t="shared" si="168"/>
        <v>0</v>
      </c>
      <c r="F485" s="358">
        <f>E485*1.02*0.99/147</f>
        <v>0</v>
      </c>
      <c r="G485" s="548">
        <f t="shared" si="164"/>
        <v>0</v>
      </c>
      <c r="H485" s="358" t="s">
        <v>18</v>
      </c>
      <c r="I485" s="548">
        <f t="shared" si="165"/>
        <v>0</v>
      </c>
      <c r="J485" s="358" t="s">
        <v>19</v>
      </c>
      <c r="K485" s="358"/>
      <c r="L485" s="358"/>
      <c r="M485" s="358">
        <f>F485*4983/2880</f>
        <v>0</v>
      </c>
      <c r="N485" s="358"/>
      <c r="O485" s="358"/>
      <c r="P485" s="358"/>
      <c r="Q485" s="358" t="s">
        <v>18</v>
      </c>
      <c r="R485" s="358"/>
      <c r="S485" s="358" t="s">
        <v>19</v>
      </c>
      <c r="T485" s="528">
        <v>9</v>
      </c>
      <c r="U485" s="324">
        <f t="shared" si="169"/>
        <v>0</v>
      </c>
      <c r="V485" s="676"/>
      <c r="W485" s="528"/>
      <c r="X485" s="529"/>
      <c r="Y485" s="711"/>
      <c r="Z485" s="312">
        <f>E485/1.02</f>
        <v>0</v>
      </c>
      <c r="AA485" s="316">
        <f>SUM(Z485/323.2)</f>
        <v>0</v>
      </c>
    </row>
    <row r="486" spans="1:28" ht="63.75" customHeight="1" thickBot="1" x14ac:dyDescent="0.45">
      <c r="A486" s="319" t="s">
        <v>14</v>
      </c>
      <c r="B486" s="802" t="s">
        <v>900</v>
      </c>
      <c r="C486" s="528"/>
      <c r="D486" s="554"/>
      <c r="E486" s="458">
        <f t="shared" si="168"/>
        <v>0</v>
      </c>
      <c r="F486" s="358">
        <f>E486*0.9*1.01/147</f>
        <v>0</v>
      </c>
      <c r="G486" s="556">
        <f t="shared" si="164"/>
        <v>0</v>
      </c>
      <c r="H486" s="366" t="s">
        <v>18</v>
      </c>
      <c r="I486" s="556">
        <f t="shared" si="165"/>
        <v>0</v>
      </c>
      <c r="J486" s="366" t="s">
        <v>19</v>
      </c>
      <c r="K486" s="366"/>
      <c r="L486" s="366"/>
      <c r="M486" s="358">
        <f>(F486*6533/3456)</f>
        <v>0</v>
      </c>
      <c r="N486" s="366"/>
      <c r="O486" s="366"/>
      <c r="P486" s="366"/>
      <c r="Q486" s="366" t="s">
        <v>18</v>
      </c>
      <c r="R486" s="366"/>
      <c r="S486" s="366" t="s">
        <v>19</v>
      </c>
      <c r="T486" s="528">
        <v>9</v>
      </c>
      <c r="U486" s="324">
        <f t="shared" si="169"/>
        <v>0</v>
      </c>
      <c r="V486" s="676"/>
      <c r="W486" s="528"/>
      <c r="X486" s="529"/>
      <c r="Y486" s="367"/>
      <c r="Z486" s="312">
        <f>E486/1.02/1.143</f>
        <v>0</v>
      </c>
      <c r="AA486" s="316">
        <f>SUM(AB486/292.4)</f>
        <v>0</v>
      </c>
      <c r="AB486" s="310">
        <f>E486/1.02</f>
        <v>0</v>
      </c>
    </row>
    <row r="487" spans="1:28" ht="63.75" customHeight="1" thickBot="1" x14ac:dyDescent="0.45">
      <c r="A487" s="319" t="s">
        <v>14</v>
      </c>
      <c r="B487" s="802" t="s">
        <v>901</v>
      </c>
      <c r="C487" s="528"/>
      <c r="D487" s="554"/>
      <c r="E487" s="458">
        <f t="shared" si="168"/>
        <v>0</v>
      </c>
      <c r="F487" s="358">
        <f>E487*0.9*1.01/147</f>
        <v>0</v>
      </c>
      <c r="G487" s="556">
        <f t="shared" si="164"/>
        <v>0</v>
      </c>
      <c r="H487" s="366" t="s">
        <v>18</v>
      </c>
      <c r="I487" s="556">
        <f t="shared" si="165"/>
        <v>0</v>
      </c>
      <c r="J487" s="366" t="s">
        <v>19</v>
      </c>
      <c r="K487" s="366"/>
      <c r="L487" s="366"/>
      <c r="M487" s="358">
        <f>(F487*6533/3456)</f>
        <v>0</v>
      </c>
      <c r="N487" s="366"/>
      <c r="O487" s="366"/>
      <c r="P487" s="366"/>
      <c r="Q487" s="366" t="s">
        <v>18</v>
      </c>
      <c r="R487" s="366"/>
      <c r="S487" s="366" t="s">
        <v>19</v>
      </c>
      <c r="T487" s="528">
        <v>9</v>
      </c>
      <c r="U487" s="324">
        <f t="shared" si="169"/>
        <v>0</v>
      </c>
      <c r="V487" s="676"/>
      <c r="W487" s="528"/>
      <c r="X487" s="529"/>
      <c r="Y487" s="367"/>
      <c r="Z487" s="312">
        <f>E487/1.02/1.143</f>
        <v>0</v>
      </c>
      <c r="AA487" s="316">
        <f>SUM(AB487/292.4)</f>
        <v>0</v>
      </c>
      <c r="AB487" s="310">
        <f>E487/1.02</f>
        <v>0</v>
      </c>
    </row>
    <row r="488" spans="1:28" ht="51.75" thickBot="1" x14ac:dyDescent="0.45">
      <c r="A488" s="319" t="s">
        <v>14</v>
      </c>
      <c r="B488" s="802" t="s">
        <v>915</v>
      </c>
      <c r="C488" s="528"/>
      <c r="D488" s="528"/>
      <c r="E488" s="456">
        <f t="shared" si="168"/>
        <v>0</v>
      </c>
      <c r="F488" s="358">
        <f>E488*1.02*0.99/147</f>
        <v>0</v>
      </c>
      <c r="G488" s="548">
        <f t="shared" si="164"/>
        <v>0</v>
      </c>
      <c r="H488" s="358" t="s">
        <v>18</v>
      </c>
      <c r="I488" s="548">
        <f t="shared" si="165"/>
        <v>0</v>
      </c>
      <c r="J488" s="358" t="s">
        <v>19</v>
      </c>
      <c r="K488" s="358"/>
      <c r="L488" s="358"/>
      <c r="M488" s="358">
        <f>F488*4983/2880</f>
        <v>0</v>
      </c>
      <c r="N488" s="358"/>
      <c r="O488" s="358"/>
      <c r="P488" s="358"/>
      <c r="Q488" s="358" t="s">
        <v>18</v>
      </c>
      <c r="R488" s="358"/>
      <c r="S488" s="358" t="s">
        <v>19</v>
      </c>
      <c r="T488" s="528">
        <v>9</v>
      </c>
      <c r="U488" s="324">
        <f t="shared" si="169"/>
        <v>0</v>
      </c>
      <c r="V488" s="676"/>
      <c r="W488" s="528"/>
      <c r="X488" s="529"/>
      <c r="Y488" s="360"/>
      <c r="Z488" s="312">
        <f>E488/1.02</f>
        <v>0</v>
      </c>
      <c r="AA488" s="316">
        <f>SUM(Z488/323.2)</f>
        <v>0</v>
      </c>
    </row>
    <row r="489" spans="1:28" ht="51.75" thickBot="1" x14ac:dyDescent="0.45">
      <c r="A489" s="319" t="s">
        <v>14</v>
      </c>
      <c r="B489" s="802" t="s">
        <v>1205</v>
      </c>
      <c r="C489" s="528"/>
      <c r="D489" s="528"/>
      <c r="E489" s="456">
        <f t="shared" si="168"/>
        <v>0</v>
      </c>
      <c r="F489" s="358">
        <f>E489*1.02*0.99/147</f>
        <v>0</v>
      </c>
      <c r="G489" s="548">
        <f t="shared" si="164"/>
        <v>0</v>
      </c>
      <c r="H489" s="358" t="s">
        <v>18</v>
      </c>
      <c r="I489" s="548">
        <f t="shared" si="165"/>
        <v>0</v>
      </c>
      <c r="J489" s="358" t="s">
        <v>19</v>
      </c>
      <c r="K489" s="358"/>
      <c r="L489" s="358"/>
      <c r="M489" s="358">
        <f>F489*4983/2880</f>
        <v>0</v>
      </c>
      <c r="N489" s="358"/>
      <c r="O489" s="358"/>
      <c r="P489" s="358"/>
      <c r="Q489" s="358" t="s">
        <v>18</v>
      </c>
      <c r="R489" s="358"/>
      <c r="S489" s="358" t="s">
        <v>19</v>
      </c>
      <c r="T489" s="528">
        <v>9</v>
      </c>
      <c r="U489" s="324">
        <f t="shared" si="169"/>
        <v>0</v>
      </c>
      <c r="V489" s="676"/>
      <c r="W489" s="528"/>
      <c r="X489" s="529"/>
      <c r="Y489" s="360"/>
      <c r="Z489" s="312">
        <f>E489/1.02</f>
        <v>0</v>
      </c>
      <c r="AA489" s="316">
        <f>SUM(Z489/323.2)</f>
        <v>0</v>
      </c>
    </row>
    <row r="490" spans="1:28" ht="51.75" thickBot="1" x14ac:dyDescent="0.45">
      <c r="A490" s="319" t="s">
        <v>14</v>
      </c>
      <c r="B490" s="802" t="s">
        <v>916</v>
      </c>
      <c r="C490" s="528"/>
      <c r="D490" s="525"/>
      <c r="E490" s="456">
        <f t="shared" si="168"/>
        <v>0</v>
      </c>
      <c r="F490" s="358">
        <f>E490*1.02*0.99/147</f>
        <v>0</v>
      </c>
      <c r="G490" s="548">
        <f t="shared" si="164"/>
        <v>0</v>
      </c>
      <c r="H490" s="358" t="s">
        <v>18</v>
      </c>
      <c r="I490" s="548">
        <f t="shared" si="165"/>
        <v>0</v>
      </c>
      <c r="J490" s="358" t="s">
        <v>19</v>
      </c>
      <c r="K490" s="358"/>
      <c r="L490" s="358"/>
      <c r="M490" s="358">
        <f>F490*6391/2880</f>
        <v>0</v>
      </c>
      <c r="N490" s="358"/>
      <c r="O490" s="358"/>
      <c r="P490" s="358"/>
      <c r="Q490" s="358" t="s">
        <v>18</v>
      </c>
      <c r="R490" s="358"/>
      <c r="S490" s="358" t="s">
        <v>19</v>
      </c>
      <c r="T490" s="528">
        <v>9</v>
      </c>
      <c r="U490" s="324">
        <f t="shared" si="169"/>
        <v>0</v>
      </c>
      <c r="V490" s="676"/>
      <c r="W490" s="528"/>
      <c r="X490" s="529"/>
      <c r="Y490" s="711"/>
      <c r="Z490" s="312">
        <f>E490/1.02</f>
        <v>0</v>
      </c>
      <c r="AA490" s="316">
        <f>SUM(Z490/323.2)</f>
        <v>0</v>
      </c>
    </row>
    <row r="491" spans="1:28" ht="51.75" thickBot="1" x14ac:dyDescent="0.45">
      <c r="A491" s="319" t="s">
        <v>14</v>
      </c>
      <c r="B491" s="802" t="s">
        <v>1064</v>
      </c>
      <c r="C491" s="528"/>
      <c r="D491" s="525"/>
      <c r="E491" s="545">
        <f t="shared" si="168"/>
        <v>0</v>
      </c>
      <c r="F491" s="461">
        <f>E491*1.02*0.99/147</f>
        <v>0</v>
      </c>
      <c r="G491" s="525">
        <f t="shared" si="164"/>
        <v>0</v>
      </c>
      <c r="H491" s="461" t="s">
        <v>18</v>
      </c>
      <c r="I491" s="525">
        <f t="shared" si="165"/>
        <v>0</v>
      </c>
      <c r="J491" s="461" t="s">
        <v>19</v>
      </c>
      <c r="K491" s="461"/>
      <c r="L491" s="461"/>
      <c r="M491" s="461">
        <f>F491*6391/2880</f>
        <v>0</v>
      </c>
      <c r="N491" s="461"/>
      <c r="O491" s="461"/>
      <c r="P491" s="324"/>
      <c r="Q491" s="324" t="s">
        <v>18</v>
      </c>
      <c r="R491" s="324"/>
      <c r="S491" s="324" t="s">
        <v>19</v>
      </c>
      <c r="T491" s="528">
        <v>9</v>
      </c>
      <c r="U491" s="324">
        <f t="shared" si="169"/>
        <v>0</v>
      </c>
      <c r="V491" s="676"/>
      <c r="W491" s="528"/>
      <c r="X491" s="529"/>
      <c r="Y491" s="711"/>
      <c r="Z491" s="312">
        <f>E491/1.02</f>
        <v>0</v>
      </c>
      <c r="AA491" s="316">
        <f>SUM(Z491/323.2)</f>
        <v>0</v>
      </c>
    </row>
    <row r="492" spans="1:28" ht="51.75" thickBot="1" x14ac:dyDescent="0.45">
      <c r="A492" s="319" t="s">
        <v>14</v>
      </c>
      <c r="B492" s="320" t="s">
        <v>873</v>
      </c>
      <c r="C492" s="853"/>
      <c r="D492" s="626"/>
      <c r="E492" s="849">
        <f>C492*2.4</f>
        <v>0</v>
      </c>
      <c r="F492" s="627">
        <f>E492*1.02*0.99/147</f>
        <v>0</v>
      </c>
      <c r="G492" s="850">
        <f t="shared" si="164"/>
        <v>0</v>
      </c>
      <c r="H492" s="851" t="s">
        <v>18</v>
      </c>
      <c r="I492" s="850">
        <f t="shared" si="165"/>
        <v>0</v>
      </c>
      <c r="J492" s="851" t="s">
        <v>19</v>
      </c>
      <c r="K492" s="630"/>
      <c r="L492" s="630"/>
      <c r="M492" s="627">
        <f>F492*6000/2880</f>
        <v>0</v>
      </c>
      <c r="N492" s="631"/>
      <c r="O492" s="631"/>
      <c r="P492" s="631"/>
      <c r="Q492" s="324" t="s">
        <v>18</v>
      </c>
      <c r="R492" s="324"/>
      <c r="S492" s="324" t="s">
        <v>19</v>
      </c>
      <c r="T492" s="528">
        <v>9</v>
      </c>
      <c r="U492" s="324">
        <f>E492/259*60</f>
        <v>0</v>
      </c>
      <c r="V492" s="676"/>
      <c r="W492" s="528"/>
      <c r="X492" s="529"/>
      <c r="Y492" s="323"/>
      <c r="Z492" s="312">
        <f>E492/1.042</f>
        <v>0</v>
      </c>
      <c r="AA492" s="316">
        <f>SUM(Z492/366.4)</f>
        <v>0</v>
      </c>
    </row>
    <row r="493" spans="1:28" s="327" customFormat="1" ht="79.5" thickBot="1" x14ac:dyDescent="0.45">
      <c r="A493" s="319" t="s">
        <v>14</v>
      </c>
      <c r="B493" s="365" t="s">
        <v>841</v>
      </c>
      <c r="C493" s="553"/>
      <c r="D493" s="554"/>
      <c r="E493" s="458">
        <f>C493*4.5</f>
        <v>0</v>
      </c>
      <c r="F493" s="358">
        <f>E493*0.9*1.01/147</f>
        <v>0</v>
      </c>
      <c r="G493" s="548">
        <f t="shared" si="164"/>
        <v>0</v>
      </c>
      <c r="H493" s="358" t="s">
        <v>18</v>
      </c>
      <c r="I493" s="548">
        <f t="shared" si="165"/>
        <v>0</v>
      </c>
      <c r="J493" s="358" t="s">
        <v>19</v>
      </c>
      <c r="K493" s="358"/>
      <c r="L493" s="358"/>
      <c r="M493" s="358">
        <f>(F493*6533/3456)</f>
        <v>0</v>
      </c>
      <c r="N493" s="555"/>
      <c r="O493" s="555"/>
      <c r="P493" s="555"/>
      <c r="Q493" s="555" t="s">
        <v>18</v>
      </c>
      <c r="R493" s="555"/>
      <c r="S493" s="555" t="s">
        <v>19</v>
      </c>
      <c r="T493" s="528">
        <v>9</v>
      </c>
      <c r="U493" s="555">
        <f>E493/324*60</f>
        <v>0</v>
      </c>
      <c r="V493" s="686"/>
      <c r="W493" s="553"/>
      <c r="X493" s="555"/>
      <c r="Y493" s="367" t="s">
        <v>919</v>
      </c>
      <c r="Z493" s="312">
        <f>E493/1.02/1.143</f>
        <v>0</v>
      </c>
      <c r="AA493" s="316">
        <f>SUM(AB493/292.4)</f>
        <v>0</v>
      </c>
      <c r="AB493" s="310">
        <f>E493/1.02</f>
        <v>0</v>
      </c>
    </row>
    <row r="494" spans="1:28" s="327" customFormat="1" ht="53.25" thickBot="1" x14ac:dyDescent="0.45">
      <c r="A494" s="319" t="s">
        <v>14</v>
      </c>
      <c r="B494" s="365" t="s">
        <v>903</v>
      </c>
      <c r="C494" s="553"/>
      <c r="D494" s="554"/>
      <c r="E494" s="458">
        <f>C494*4.5</f>
        <v>0</v>
      </c>
      <c r="F494" s="358">
        <f>E494*0.9*1.01/147</f>
        <v>0</v>
      </c>
      <c r="G494" s="548">
        <f t="shared" si="164"/>
        <v>0</v>
      </c>
      <c r="H494" s="358" t="s">
        <v>18</v>
      </c>
      <c r="I494" s="548">
        <f t="shared" si="165"/>
        <v>0</v>
      </c>
      <c r="J494" s="358" t="s">
        <v>19</v>
      </c>
      <c r="K494" s="358"/>
      <c r="L494" s="358"/>
      <c r="M494" s="358">
        <f>(F494*6533/3456)</f>
        <v>0</v>
      </c>
      <c r="N494" s="555"/>
      <c r="O494" s="555"/>
      <c r="P494" s="555"/>
      <c r="Q494" s="555" t="s">
        <v>18</v>
      </c>
      <c r="R494" s="555"/>
      <c r="S494" s="555" t="s">
        <v>19</v>
      </c>
      <c r="T494" s="528">
        <v>9</v>
      </c>
      <c r="U494" s="555">
        <f>E494/324*60</f>
        <v>0</v>
      </c>
      <c r="V494" s="686"/>
      <c r="W494" s="553"/>
      <c r="X494" s="555"/>
      <c r="Y494" s="367"/>
      <c r="Z494" s="312">
        <f>E494/1.02/1.143</f>
        <v>0</v>
      </c>
      <c r="AA494" s="316">
        <f>SUM(AB494/261.6)</f>
        <v>0</v>
      </c>
      <c r="AB494" s="310">
        <f>E494/1.02</f>
        <v>0</v>
      </c>
    </row>
    <row r="495" spans="1:28" s="327" customFormat="1" ht="53.25" thickBot="1" x14ac:dyDescent="0.45">
      <c r="A495" s="319" t="s">
        <v>14</v>
      </c>
      <c r="B495" s="419" t="s">
        <v>914</v>
      </c>
      <c r="C495" s="553"/>
      <c r="D495" s="554"/>
      <c r="E495" s="458">
        <f>C495*4.5</f>
        <v>0</v>
      </c>
      <c r="F495" s="358">
        <f>E495*0.9*1.01/147</f>
        <v>0</v>
      </c>
      <c r="G495" s="548">
        <f t="shared" si="164"/>
        <v>0</v>
      </c>
      <c r="H495" s="358" t="s">
        <v>18</v>
      </c>
      <c r="I495" s="548">
        <f t="shared" si="165"/>
        <v>0</v>
      </c>
      <c r="J495" s="358" t="s">
        <v>19</v>
      </c>
      <c r="K495" s="358"/>
      <c r="L495" s="358"/>
      <c r="M495" s="358">
        <f>(F495*6533/3456)</f>
        <v>0</v>
      </c>
      <c r="N495" s="555"/>
      <c r="O495" s="555"/>
      <c r="P495" s="555"/>
      <c r="Q495" s="555" t="s">
        <v>18</v>
      </c>
      <c r="R495" s="555"/>
      <c r="S495" s="555" t="s">
        <v>19</v>
      </c>
      <c r="T495" s="528">
        <v>9</v>
      </c>
      <c r="U495" s="555">
        <f>E495/324*60</f>
        <v>0</v>
      </c>
      <c r="V495" s="686"/>
      <c r="W495" s="553"/>
      <c r="X495" s="555"/>
      <c r="Y495" s="367"/>
      <c r="Z495" s="312">
        <f>E495/1.02/1.143</f>
        <v>0</v>
      </c>
      <c r="AA495" s="316">
        <f>SUM(AB495/261.6)</f>
        <v>0</v>
      </c>
      <c r="AB495" s="310">
        <f>E495/1.02</f>
        <v>0</v>
      </c>
    </row>
    <row r="496" spans="1:28" ht="51.75" thickBot="1" x14ac:dyDescent="0.45">
      <c r="A496" s="319" t="s">
        <v>14</v>
      </c>
      <c r="B496" s="320" t="s">
        <v>849</v>
      </c>
      <c r="C496" s="528"/>
      <c r="D496" s="528"/>
      <c r="E496" s="849">
        <f>C496*3.2</f>
        <v>0</v>
      </c>
      <c r="F496" s="627">
        <f>E496*1.02*0.99/147</f>
        <v>0</v>
      </c>
      <c r="G496" s="850">
        <f t="shared" si="164"/>
        <v>0</v>
      </c>
      <c r="H496" s="851" t="s">
        <v>18</v>
      </c>
      <c r="I496" s="850">
        <f t="shared" si="165"/>
        <v>0</v>
      </c>
      <c r="J496" s="851" t="s">
        <v>19</v>
      </c>
      <c r="K496" s="630"/>
      <c r="L496" s="630"/>
      <c r="M496" s="627">
        <f>F496*6000/2880</f>
        <v>0</v>
      </c>
      <c r="N496" s="358"/>
      <c r="O496" s="358"/>
      <c r="P496" s="358"/>
      <c r="Q496" s="358" t="s">
        <v>18</v>
      </c>
      <c r="R496" s="358"/>
      <c r="S496" s="358" t="s">
        <v>19</v>
      </c>
      <c r="T496" s="528">
        <v>9</v>
      </c>
      <c r="U496" s="324">
        <f>E496/259*60</f>
        <v>0</v>
      </c>
      <c r="V496" s="676"/>
      <c r="W496" s="528"/>
      <c r="X496" s="529"/>
      <c r="Y496" s="323"/>
      <c r="Z496" s="312">
        <f>E496/1.1</f>
        <v>0</v>
      </c>
      <c r="AA496" s="316">
        <f>SUM(Z496/354)</f>
        <v>0</v>
      </c>
    </row>
    <row r="497" spans="1:28" s="327" customFormat="1" ht="79.5" thickBot="1" x14ac:dyDescent="0.45">
      <c r="A497" s="319" t="s">
        <v>14</v>
      </c>
      <c r="B497" s="365" t="s">
        <v>853</v>
      </c>
      <c r="C497" s="553"/>
      <c r="D497" s="554"/>
      <c r="E497" s="458">
        <f>C497*3.5</f>
        <v>0</v>
      </c>
      <c r="F497" s="358">
        <f>E497*0.9*1.01/147</f>
        <v>0</v>
      </c>
      <c r="G497" s="548">
        <f t="shared" si="164"/>
        <v>0</v>
      </c>
      <c r="H497" s="358" t="s">
        <v>18</v>
      </c>
      <c r="I497" s="548">
        <f t="shared" si="165"/>
        <v>0</v>
      </c>
      <c r="J497" s="358" t="s">
        <v>19</v>
      </c>
      <c r="K497" s="358"/>
      <c r="L497" s="358"/>
      <c r="M497" s="358">
        <f>(F497*6533/3456)</f>
        <v>0</v>
      </c>
      <c r="N497" s="366"/>
      <c r="O497" s="366"/>
      <c r="P497" s="366"/>
      <c r="Q497" s="366" t="s">
        <v>18</v>
      </c>
      <c r="R497" s="366"/>
      <c r="S497" s="366" t="s">
        <v>19</v>
      </c>
      <c r="T497" s="528">
        <v>9</v>
      </c>
      <c r="U497" s="555">
        <f>E497/324*60</f>
        <v>0</v>
      </c>
      <c r="V497" s="686"/>
      <c r="W497" s="553"/>
      <c r="X497" s="555"/>
      <c r="Y497" s="367" t="s">
        <v>919</v>
      </c>
      <c r="Z497" s="312">
        <f>E497/1.02/1.143</f>
        <v>0</v>
      </c>
      <c r="AA497" s="316">
        <f>SUM(AB497/292.4)</f>
        <v>0</v>
      </c>
      <c r="AB497" s="310">
        <f>E497/1.02</f>
        <v>0</v>
      </c>
    </row>
    <row r="498" spans="1:28" ht="51.75" thickBot="1" x14ac:dyDescent="0.45">
      <c r="A498" s="319" t="s">
        <v>14</v>
      </c>
      <c r="B498" s="320" t="s">
        <v>855</v>
      </c>
      <c r="C498" s="853"/>
      <c r="D498" s="626"/>
      <c r="E498" s="849">
        <f>C498*4</f>
        <v>0</v>
      </c>
      <c r="F498" s="627">
        <f>E498*1.02*0.99/147</f>
        <v>0</v>
      </c>
      <c r="G498" s="850">
        <f t="shared" si="164"/>
        <v>0</v>
      </c>
      <c r="H498" s="851" t="s">
        <v>18</v>
      </c>
      <c r="I498" s="850">
        <f t="shared" si="165"/>
        <v>0</v>
      </c>
      <c r="J498" s="851" t="s">
        <v>19</v>
      </c>
      <c r="K498" s="630"/>
      <c r="L498" s="630"/>
      <c r="M498" s="627">
        <f>F498*6000/2880</f>
        <v>0</v>
      </c>
      <c r="N498" s="358"/>
      <c r="O498" s="358"/>
      <c r="P498" s="358"/>
      <c r="Q498" s="358" t="s">
        <v>18</v>
      </c>
      <c r="R498" s="358"/>
      <c r="S498" s="358" t="s">
        <v>19</v>
      </c>
      <c r="T498" s="528">
        <v>9</v>
      </c>
      <c r="U498" s="324">
        <f>E498/259*60</f>
        <v>0</v>
      </c>
      <c r="V498" s="676"/>
      <c r="W498" s="528"/>
      <c r="X498" s="529"/>
      <c r="Y498" s="323"/>
      <c r="Z498" s="312">
        <f>E498/1.1</f>
        <v>0</v>
      </c>
      <c r="AA498" s="316">
        <f>SUM(Z498/366.4)</f>
        <v>0</v>
      </c>
    </row>
    <row r="499" spans="1:28" ht="51.75" thickBot="1" x14ac:dyDescent="0.45">
      <c r="A499" s="319" t="s">
        <v>14</v>
      </c>
      <c r="B499" s="320" t="s">
        <v>874</v>
      </c>
      <c r="C499" s="528"/>
      <c r="D499" s="528"/>
      <c r="E499" s="456">
        <f>C499*2.5</f>
        <v>0</v>
      </c>
      <c r="F499" s="358">
        <f>E499*1.03*0.9/147</f>
        <v>0</v>
      </c>
      <c r="G499" s="548">
        <f t="shared" si="164"/>
        <v>0</v>
      </c>
      <c r="H499" s="358" t="s">
        <v>18</v>
      </c>
      <c r="I499" s="548">
        <f t="shared" si="165"/>
        <v>0</v>
      </c>
      <c r="J499" s="358" t="s">
        <v>19</v>
      </c>
      <c r="K499" s="358"/>
      <c r="L499" s="358"/>
      <c r="M499" s="358">
        <f>F499*4983/2880</f>
        <v>0</v>
      </c>
      <c r="N499" s="358"/>
      <c r="O499" s="358"/>
      <c r="P499" s="358"/>
      <c r="Q499" s="358" t="s">
        <v>18</v>
      </c>
      <c r="R499" s="358"/>
      <c r="S499" s="358" t="s">
        <v>19</v>
      </c>
      <c r="T499" s="528">
        <v>9</v>
      </c>
      <c r="U499" s="324">
        <f>E499/259*60</f>
        <v>0</v>
      </c>
      <c r="V499" s="676"/>
      <c r="W499" s="528"/>
      <c r="X499" s="529"/>
      <c r="Y499" s="323"/>
      <c r="Z499" s="312">
        <f>E499/1.1</f>
        <v>0</v>
      </c>
      <c r="AA499" s="316">
        <f>SUM(Z499/366.4)</f>
        <v>0</v>
      </c>
    </row>
    <row r="500" spans="1:28" ht="102.75" thickBot="1" x14ac:dyDescent="0.45">
      <c r="A500" s="319" t="s">
        <v>14</v>
      </c>
      <c r="B500" s="320" t="s">
        <v>918</v>
      </c>
      <c r="C500" s="528"/>
      <c r="D500" s="528"/>
      <c r="E500" s="456">
        <f>C500*4</f>
        <v>0</v>
      </c>
      <c r="F500" s="358">
        <f>E500*1.02*0.99/147</f>
        <v>0</v>
      </c>
      <c r="G500" s="548">
        <f>INT(M500)</f>
        <v>0</v>
      </c>
      <c r="H500" s="358" t="s">
        <v>18</v>
      </c>
      <c r="I500" s="548">
        <f>(M500-G500)*64</f>
        <v>0</v>
      </c>
      <c r="J500" s="358" t="s">
        <v>19</v>
      </c>
      <c r="K500" s="358"/>
      <c r="L500" s="358"/>
      <c r="M500" s="358">
        <f>F500*4983/2880</f>
        <v>0</v>
      </c>
      <c r="N500" s="358"/>
      <c r="O500" s="358"/>
      <c r="P500" s="358"/>
      <c r="Q500" s="358" t="s">
        <v>18</v>
      </c>
      <c r="R500" s="358"/>
      <c r="S500" s="358" t="s">
        <v>19</v>
      </c>
      <c r="T500" s="528">
        <v>9</v>
      </c>
      <c r="U500" s="324">
        <f>E500/259*60</f>
        <v>0</v>
      </c>
      <c r="V500" s="676"/>
      <c r="W500" s="528"/>
      <c r="X500" s="529"/>
      <c r="Y500" s="323"/>
      <c r="Z500" s="312">
        <f>E500/1.063</f>
        <v>0</v>
      </c>
      <c r="AA500" s="316">
        <f>SUM(Z500/316.7)</f>
        <v>0</v>
      </c>
    </row>
    <row r="501" spans="1:28" thickBot="1" x14ac:dyDescent="0.45">
      <c r="A501" s="830"/>
      <c r="B501" s="332" t="s">
        <v>286</v>
      </c>
      <c r="C501" s="347"/>
      <c r="D501" s="347"/>
      <c r="E501" s="494"/>
      <c r="F501" s="348"/>
      <c r="G501" s="347"/>
      <c r="H501" s="348"/>
      <c r="I501" s="347"/>
      <c r="J501" s="348"/>
      <c r="K501" s="348"/>
      <c r="L501" s="348"/>
      <c r="M501" s="348"/>
      <c r="N501" s="348"/>
      <c r="O501" s="348"/>
      <c r="P501" s="348"/>
      <c r="Q501" s="348"/>
      <c r="R501" s="348"/>
      <c r="S501" s="348"/>
      <c r="T501" s="347"/>
      <c r="U501" s="348"/>
      <c r="V501" s="356"/>
      <c r="W501" s="348"/>
      <c r="X501" s="495"/>
      <c r="Y501" s="357"/>
    </row>
    <row r="502" spans="1:28" ht="53.25" thickBot="1" x14ac:dyDescent="0.45">
      <c r="A502" s="319" t="s">
        <v>14</v>
      </c>
      <c r="B502" s="319" t="s">
        <v>999</v>
      </c>
      <c r="C502" s="528"/>
      <c r="D502" s="551">
        <f>C502*16</f>
        <v>0</v>
      </c>
      <c r="E502" s="456">
        <f t="shared" ref="E502:E509" si="170">D502*0.25</f>
        <v>0</v>
      </c>
      <c r="F502" s="358">
        <f t="shared" ref="F502:F509" si="171">E502*0.99*1.03/147</f>
        <v>0</v>
      </c>
      <c r="G502" s="548">
        <f t="shared" ref="G502:G511" si="172">INT(M502)</f>
        <v>0</v>
      </c>
      <c r="H502" s="358" t="s">
        <v>18</v>
      </c>
      <c r="I502" s="548">
        <f t="shared" ref="I502:I511" si="173">(M502-G502)*64</f>
        <v>0</v>
      </c>
      <c r="J502" s="358" t="s">
        <v>19</v>
      </c>
      <c r="K502" s="358"/>
      <c r="L502" s="358"/>
      <c r="M502" s="358">
        <f t="shared" ref="M502:M509" si="174">(F502*6989)/2880</f>
        <v>0</v>
      </c>
      <c r="N502" s="358"/>
      <c r="O502" s="358"/>
      <c r="P502" s="358"/>
      <c r="Q502" s="358" t="s">
        <v>18</v>
      </c>
      <c r="R502" s="358"/>
      <c r="S502" s="358" t="s">
        <v>19</v>
      </c>
      <c r="T502" s="528">
        <v>9</v>
      </c>
      <c r="U502" s="324">
        <f>E502/403*60</f>
        <v>0</v>
      </c>
      <c r="V502" s="676"/>
      <c r="W502" s="528"/>
      <c r="X502" s="529"/>
      <c r="Y502" s="323"/>
      <c r="Z502" s="312">
        <f t="shared" ref="Z502:Z538" si="175">E502/1.02</f>
        <v>0</v>
      </c>
      <c r="AA502" s="316">
        <f t="shared" ref="AA502:AA512" si="176">SUM(Z502/260.8)</f>
        <v>0</v>
      </c>
    </row>
    <row r="503" spans="1:28" ht="53.25" thickBot="1" x14ac:dyDescent="0.45">
      <c r="A503" s="319" t="s">
        <v>14</v>
      </c>
      <c r="B503" s="368" t="s">
        <v>690</v>
      </c>
      <c r="C503" s="528"/>
      <c r="D503" s="551">
        <f>C503*16</f>
        <v>0</v>
      </c>
      <c r="E503" s="456">
        <f t="shared" si="170"/>
        <v>0</v>
      </c>
      <c r="F503" s="358">
        <f t="shared" si="171"/>
        <v>0</v>
      </c>
      <c r="G503" s="548">
        <f t="shared" si="172"/>
        <v>0</v>
      </c>
      <c r="H503" s="358" t="s">
        <v>18</v>
      </c>
      <c r="I503" s="548">
        <f t="shared" si="173"/>
        <v>0</v>
      </c>
      <c r="J503" s="358" t="s">
        <v>19</v>
      </c>
      <c r="K503" s="358"/>
      <c r="L503" s="358"/>
      <c r="M503" s="358">
        <f t="shared" si="174"/>
        <v>0</v>
      </c>
      <c r="N503" s="358"/>
      <c r="O503" s="358"/>
      <c r="P503" s="358"/>
      <c r="Q503" s="358" t="s">
        <v>18</v>
      </c>
      <c r="R503" s="358"/>
      <c r="S503" s="358" t="s">
        <v>19</v>
      </c>
      <c r="T503" s="528">
        <v>9</v>
      </c>
      <c r="U503" s="324">
        <f>E503/390*60</f>
        <v>0</v>
      </c>
      <c r="V503" s="676"/>
      <c r="W503" s="528"/>
      <c r="X503" s="529"/>
      <c r="Y503" s="323"/>
      <c r="Z503" s="312">
        <f t="shared" si="175"/>
        <v>0</v>
      </c>
      <c r="AA503" s="316">
        <f t="shared" si="176"/>
        <v>0</v>
      </c>
    </row>
    <row r="504" spans="1:28" ht="53.25" thickBot="1" x14ac:dyDescent="0.45">
      <c r="A504" s="319" t="s">
        <v>14</v>
      </c>
      <c r="B504" s="368" t="s">
        <v>687</v>
      </c>
      <c r="C504" s="528"/>
      <c r="D504" s="551">
        <f>C504*16</f>
        <v>0</v>
      </c>
      <c r="E504" s="456">
        <f t="shared" si="170"/>
        <v>0</v>
      </c>
      <c r="F504" s="358">
        <f t="shared" si="171"/>
        <v>0</v>
      </c>
      <c r="G504" s="548">
        <f t="shared" si="172"/>
        <v>0</v>
      </c>
      <c r="H504" s="358" t="s">
        <v>18</v>
      </c>
      <c r="I504" s="548">
        <f t="shared" si="173"/>
        <v>0</v>
      </c>
      <c r="J504" s="358" t="s">
        <v>19</v>
      </c>
      <c r="K504" s="358"/>
      <c r="L504" s="358"/>
      <c r="M504" s="358">
        <f t="shared" si="174"/>
        <v>0</v>
      </c>
      <c r="N504" s="358"/>
      <c r="O504" s="358"/>
      <c r="P504" s="358"/>
      <c r="Q504" s="358" t="s">
        <v>18</v>
      </c>
      <c r="R504" s="358"/>
      <c r="S504" s="358" t="s">
        <v>19</v>
      </c>
      <c r="T504" s="528">
        <v>9</v>
      </c>
      <c r="U504" s="324">
        <f>E504/390*60</f>
        <v>0</v>
      </c>
      <c r="V504" s="676"/>
      <c r="W504" s="528"/>
      <c r="X504" s="529"/>
      <c r="Y504" s="323"/>
      <c r="Z504" s="312">
        <f t="shared" si="175"/>
        <v>0</v>
      </c>
      <c r="AA504" s="316">
        <f t="shared" si="176"/>
        <v>0</v>
      </c>
    </row>
    <row r="505" spans="1:28" ht="79.5" thickBot="1" x14ac:dyDescent="0.45">
      <c r="A505" s="319" t="s">
        <v>14</v>
      </c>
      <c r="B505" s="320" t="s">
        <v>1000</v>
      </c>
      <c r="C505" s="528"/>
      <c r="D505" s="551">
        <f>C505*16</f>
        <v>0</v>
      </c>
      <c r="E505" s="456">
        <f t="shared" si="170"/>
        <v>0</v>
      </c>
      <c r="F505" s="358">
        <f t="shared" si="171"/>
        <v>0</v>
      </c>
      <c r="G505" s="548">
        <f t="shared" si="172"/>
        <v>0</v>
      </c>
      <c r="H505" s="358" t="s">
        <v>18</v>
      </c>
      <c r="I505" s="548">
        <f t="shared" si="173"/>
        <v>0</v>
      </c>
      <c r="J505" s="358" t="s">
        <v>19</v>
      </c>
      <c r="K505" s="358"/>
      <c r="L505" s="358"/>
      <c r="M505" s="358">
        <f t="shared" si="174"/>
        <v>0</v>
      </c>
      <c r="N505" s="358"/>
      <c r="O505" s="358"/>
      <c r="P505" s="358"/>
      <c r="Q505" s="358" t="s">
        <v>18</v>
      </c>
      <c r="R505" s="358"/>
      <c r="S505" s="358" t="s">
        <v>19</v>
      </c>
      <c r="T505" s="528">
        <v>9</v>
      </c>
      <c r="U505" s="324">
        <f>E505/403*60</f>
        <v>0</v>
      </c>
      <c r="V505" s="676"/>
      <c r="W505" s="528"/>
      <c r="X505" s="529"/>
      <c r="Y505" s="360" t="s">
        <v>921</v>
      </c>
      <c r="Z505" s="312">
        <f t="shared" si="175"/>
        <v>0</v>
      </c>
      <c r="AA505" s="316">
        <f t="shared" si="176"/>
        <v>0</v>
      </c>
    </row>
    <row r="506" spans="1:28" ht="53.25" thickBot="1" x14ac:dyDescent="0.45">
      <c r="A506" s="319" t="s">
        <v>14</v>
      </c>
      <c r="B506" s="368" t="s">
        <v>235</v>
      </c>
      <c r="C506" s="528"/>
      <c r="D506" s="551">
        <f>C506*14</f>
        <v>0</v>
      </c>
      <c r="E506" s="456">
        <f t="shared" si="170"/>
        <v>0</v>
      </c>
      <c r="F506" s="358">
        <f t="shared" si="171"/>
        <v>0</v>
      </c>
      <c r="G506" s="548">
        <f t="shared" si="172"/>
        <v>0</v>
      </c>
      <c r="H506" s="358" t="s">
        <v>18</v>
      </c>
      <c r="I506" s="548">
        <f t="shared" si="173"/>
        <v>0</v>
      </c>
      <c r="J506" s="358" t="s">
        <v>19</v>
      </c>
      <c r="K506" s="358"/>
      <c r="L506" s="358"/>
      <c r="M506" s="358">
        <f t="shared" si="174"/>
        <v>0</v>
      </c>
      <c r="N506" s="324"/>
      <c r="O506" s="324"/>
      <c r="P506" s="324"/>
      <c r="Q506" s="324" t="s">
        <v>18</v>
      </c>
      <c r="R506" s="324"/>
      <c r="S506" s="324" t="s">
        <v>19</v>
      </c>
      <c r="T506" s="528">
        <v>9</v>
      </c>
      <c r="U506" s="324">
        <f>E506/390*60</f>
        <v>0</v>
      </c>
      <c r="V506" s="676"/>
      <c r="W506" s="528"/>
      <c r="X506" s="529"/>
      <c r="Y506" s="323"/>
      <c r="Z506" s="312">
        <f t="shared" si="175"/>
        <v>0</v>
      </c>
      <c r="AA506" s="316">
        <f t="shared" si="176"/>
        <v>0</v>
      </c>
    </row>
    <row r="507" spans="1:28" ht="53.25" thickBot="1" x14ac:dyDescent="0.45">
      <c r="A507" s="319" t="s">
        <v>14</v>
      </c>
      <c r="B507" s="368" t="s">
        <v>237</v>
      </c>
      <c r="C507" s="528"/>
      <c r="D507" s="551">
        <f>C507*14</f>
        <v>0</v>
      </c>
      <c r="E507" s="456">
        <f t="shared" si="170"/>
        <v>0</v>
      </c>
      <c r="F507" s="358">
        <f t="shared" si="171"/>
        <v>0</v>
      </c>
      <c r="G507" s="548">
        <f t="shared" si="172"/>
        <v>0</v>
      </c>
      <c r="H507" s="358" t="s">
        <v>18</v>
      </c>
      <c r="I507" s="548">
        <f t="shared" si="173"/>
        <v>0</v>
      </c>
      <c r="J507" s="358" t="s">
        <v>19</v>
      </c>
      <c r="K507" s="358"/>
      <c r="L507" s="358"/>
      <c r="M507" s="358">
        <f t="shared" si="174"/>
        <v>0</v>
      </c>
      <c r="N507" s="324"/>
      <c r="O507" s="324"/>
      <c r="P507" s="324"/>
      <c r="Q507" s="324" t="s">
        <v>18</v>
      </c>
      <c r="R507" s="324"/>
      <c r="S507" s="324" t="s">
        <v>19</v>
      </c>
      <c r="T507" s="528">
        <v>9</v>
      </c>
      <c r="U507" s="324">
        <f>E507/390*60</f>
        <v>0</v>
      </c>
      <c r="V507" s="676"/>
      <c r="W507" s="528"/>
      <c r="X507" s="529"/>
      <c r="Y507" s="323"/>
      <c r="Z507" s="312">
        <f t="shared" si="175"/>
        <v>0</v>
      </c>
      <c r="AA507" s="316">
        <f t="shared" si="176"/>
        <v>0</v>
      </c>
    </row>
    <row r="508" spans="1:28" ht="51.75" thickBot="1" x14ac:dyDescent="0.45">
      <c r="A508" s="319" t="s">
        <v>14</v>
      </c>
      <c r="B508" s="362" t="s">
        <v>635</v>
      </c>
      <c r="C508" s="528"/>
      <c r="D508" s="551">
        <f>C508*14</f>
        <v>0</v>
      </c>
      <c r="E508" s="456">
        <f t="shared" si="170"/>
        <v>0</v>
      </c>
      <c r="F508" s="358">
        <f t="shared" si="171"/>
        <v>0</v>
      </c>
      <c r="G508" s="548">
        <f t="shared" si="172"/>
        <v>0</v>
      </c>
      <c r="H508" s="358" t="s">
        <v>18</v>
      </c>
      <c r="I508" s="548">
        <f t="shared" si="173"/>
        <v>0</v>
      </c>
      <c r="J508" s="358" t="s">
        <v>19</v>
      </c>
      <c r="K508" s="358"/>
      <c r="L508" s="358"/>
      <c r="M508" s="358">
        <f t="shared" si="174"/>
        <v>0</v>
      </c>
      <c r="N508" s="324"/>
      <c r="O508" s="324"/>
      <c r="P508" s="324"/>
      <c r="Q508" s="324" t="s">
        <v>18</v>
      </c>
      <c r="R508" s="324"/>
      <c r="S508" s="324" t="s">
        <v>19</v>
      </c>
      <c r="T508" s="528">
        <v>9</v>
      </c>
      <c r="U508" s="324">
        <f>E508/390*60</f>
        <v>0</v>
      </c>
      <c r="V508" s="676"/>
      <c r="W508" s="528"/>
      <c r="X508" s="529"/>
      <c r="Y508" s="323"/>
      <c r="Z508" s="312">
        <f t="shared" si="175"/>
        <v>0</v>
      </c>
      <c r="AA508" s="316">
        <f t="shared" si="176"/>
        <v>0</v>
      </c>
    </row>
    <row r="509" spans="1:28" ht="79.5" thickBot="1" x14ac:dyDescent="0.45">
      <c r="A509" s="319" t="s">
        <v>14</v>
      </c>
      <c r="B509" s="362" t="s">
        <v>785</v>
      </c>
      <c r="C509" s="528"/>
      <c r="D509" s="551">
        <f>C509*14</f>
        <v>0</v>
      </c>
      <c r="E509" s="456">
        <f t="shared" si="170"/>
        <v>0</v>
      </c>
      <c r="F509" s="358">
        <f t="shared" si="171"/>
        <v>0</v>
      </c>
      <c r="G509" s="548">
        <f t="shared" si="172"/>
        <v>0</v>
      </c>
      <c r="H509" s="358" t="s">
        <v>18</v>
      </c>
      <c r="I509" s="548">
        <f t="shared" si="173"/>
        <v>0</v>
      </c>
      <c r="J509" s="358" t="s">
        <v>19</v>
      </c>
      <c r="K509" s="358"/>
      <c r="L509" s="358"/>
      <c r="M509" s="358">
        <f t="shared" si="174"/>
        <v>0</v>
      </c>
      <c r="N509" s="324"/>
      <c r="O509" s="324"/>
      <c r="P509" s="324"/>
      <c r="Q509" s="324" t="s">
        <v>18</v>
      </c>
      <c r="R509" s="324"/>
      <c r="S509" s="324" t="s">
        <v>19</v>
      </c>
      <c r="T509" s="528">
        <v>9</v>
      </c>
      <c r="U509" s="324">
        <f>E509/390*60</f>
        <v>0</v>
      </c>
      <c r="V509" s="676"/>
      <c r="W509" s="528"/>
      <c r="X509" s="529"/>
      <c r="Y509" s="360" t="s">
        <v>921</v>
      </c>
      <c r="Z509" s="312">
        <f t="shared" si="175"/>
        <v>0</v>
      </c>
      <c r="AA509" s="316">
        <f t="shared" si="176"/>
        <v>0</v>
      </c>
    </row>
    <row r="510" spans="1:28" ht="79.5" thickBot="1" x14ac:dyDescent="0.45">
      <c r="A510" s="319" t="s">
        <v>14</v>
      </c>
      <c r="B510" s="320" t="s">
        <v>637</v>
      </c>
      <c r="C510" s="528"/>
      <c r="D510" s="528">
        <f>C510*12</f>
        <v>0</v>
      </c>
      <c r="E510" s="460">
        <f>D510*0.25</f>
        <v>0</v>
      </c>
      <c r="F510" s="324">
        <f>E510*1.05*0.99/135</f>
        <v>0</v>
      </c>
      <c r="G510" s="528">
        <f t="shared" si="172"/>
        <v>0</v>
      </c>
      <c r="H510" s="324" t="s">
        <v>18</v>
      </c>
      <c r="I510" s="528">
        <f t="shared" si="173"/>
        <v>0</v>
      </c>
      <c r="J510" s="324" t="s">
        <v>19</v>
      </c>
      <c r="K510" s="324"/>
      <c r="L510" s="324"/>
      <c r="M510" s="324">
        <f>(F510*6253)/2880</f>
        <v>0</v>
      </c>
      <c r="N510" s="324"/>
      <c r="O510" s="324"/>
      <c r="P510" s="324"/>
      <c r="Q510" s="324" t="s">
        <v>18</v>
      </c>
      <c r="R510" s="324"/>
      <c r="S510" s="324" t="s">
        <v>19</v>
      </c>
      <c r="T510" s="528">
        <v>9</v>
      </c>
      <c r="U510" s="324">
        <f>E510/226*60</f>
        <v>0</v>
      </c>
      <c r="V510" s="676"/>
      <c r="W510" s="528"/>
      <c r="X510" s="529"/>
      <c r="Y510" s="360" t="s">
        <v>950</v>
      </c>
      <c r="Z510" s="312">
        <f t="shared" si="175"/>
        <v>0</v>
      </c>
      <c r="AA510" s="316">
        <f t="shared" si="176"/>
        <v>0</v>
      </c>
    </row>
    <row r="511" spans="1:28" ht="79.5" thickBot="1" x14ac:dyDescent="0.45">
      <c r="A511" s="319" t="s">
        <v>14</v>
      </c>
      <c r="B511" s="320" t="s">
        <v>773</v>
      </c>
      <c r="C511" s="528"/>
      <c r="D511" s="528">
        <f>C511*6</f>
        <v>0</v>
      </c>
      <c r="E511" s="460">
        <f>D511*0.25</f>
        <v>0</v>
      </c>
      <c r="F511" s="324">
        <f>E511*1.05*0.99/135</f>
        <v>0</v>
      </c>
      <c r="G511" s="528">
        <f t="shared" si="172"/>
        <v>0</v>
      </c>
      <c r="H511" s="324" t="s">
        <v>18</v>
      </c>
      <c r="I511" s="528">
        <f t="shared" si="173"/>
        <v>0</v>
      </c>
      <c r="J511" s="324" t="s">
        <v>19</v>
      </c>
      <c r="K511" s="324"/>
      <c r="L511" s="324"/>
      <c r="M511" s="324">
        <f>(F511*6253)/2880</f>
        <v>0</v>
      </c>
      <c r="N511" s="324"/>
      <c r="O511" s="324"/>
      <c r="P511" s="324"/>
      <c r="Q511" s="324" t="s">
        <v>18</v>
      </c>
      <c r="R511" s="324"/>
      <c r="S511" s="324" t="s">
        <v>19</v>
      </c>
      <c r="T511" s="528">
        <v>9</v>
      </c>
      <c r="U511" s="324">
        <f>E511/226*60</f>
        <v>0</v>
      </c>
      <c r="V511" s="676"/>
      <c r="W511" s="528"/>
      <c r="X511" s="529"/>
      <c r="Y511" s="360" t="s">
        <v>950</v>
      </c>
      <c r="Z511" s="312">
        <f t="shared" si="175"/>
        <v>0</v>
      </c>
      <c r="AA511" s="316">
        <f t="shared" si="176"/>
        <v>0</v>
      </c>
    </row>
    <row r="512" spans="1:28" ht="79.5" outlineLevel="1" thickBot="1" x14ac:dyDescent="0.45">
      <c r="A512" s="319" t="s">
        <v>14</v>
      </c>
      <c r="B512" s="799" t="s">
        <v>1214</v>
      </c>
      <c r="C512" s="528"/>
      <c r="D512" s="528">
        <f>C512*14</f>
        <v>0</v>
      </c>
      <c r="E512" s="460">
        <f>D512*0.25</f>
        <v>0</v>
      </c>
      <c r="F512" s="324">
        <f>E512*1.05*0.99/135</f>
        <v>0</v>
      </c>
      <c r="G512" s="528">
        <f t="shared" ref="G512:G533" si="177">INT(M512)</f>
        <v>0</v>
      </c>
      <c r="H512" s="324" t="s">
        <v>18</v>
      </c>
      <c r="I512" s="528">
        <f t="shared" ref="I512:I533" si="178">(M512-G512)*64</f>
        <v>0</v>
      </c>
      <c r="J512" s="324" t="s">
        <v>19</v>
      </c>
      <c r="K512" s="324"/>
      <c r="L512" s="324"/>
      <c r="M512" s="324">
        <f>(F512*6253)/2880</f>
        <v>0</v>
      </c>
      <c r="N512" s="324"/>
      <c r="O512" s="324"/>
      <c r="P512" s="324"/>
      <c r="Q512" s="324" t="s">
        <v>18</v>
      </c>
      <c r="R512" s="324"/>
      <c r="S512" s="324" t="s">
        <v>19</v>
      </c>
      <c r="T512" s="528">
        <v>9</v>
      </c>
      <c r="U512" s="722">
        <f>E512/226*60</f>
        <v>0</v>
      </c>
      <c r="V512" s="676"/>
      <c r="W512" s="528"/>
      <c r="X512" s="529"/>
      <c r="Y512" s="360" t="s">
        <v>950</v>
      </c>
      <c r="Z512" s="312">
        <f t="shared" si="175"/>
        <v>0</v>
      </c>
      <c r="AA512" s="316">
        <f t="shared" si="176"/>
        <v>0</v>
      </c>
    </row>
    <row r="513" spans="1:28" ht="51.75" thickBot="1" x14ac:dyDescent="0.45">
      <c r="A513" s="319" t="s">
        <v>14</v>
      </c>
      <c r="B513" s="362" t="s">
        <v>1037</v>
      </c>
      <c r="C513" s="528"/>
      <c r="D513" s="548">
        <f>C513*16</f>
        <v>0</v>
      </c>
      <c r="E513" s="456">
        <f>D513*0.27</f>
        <v>0</v>
      </c>
      <c r="F513" s="358">
        <f t="shared" ref="F513:F523" si="179">E513*0.99*1.03/147</f>
        <v>0</v>
      </c>
      <c r="G513" s="548">
        <f t="shared" ref="G513:G520" si="180">INT(M513)</f>
        <v>0</v>
      </c>
      <c r="H513" s="358" t="s">
        <v>18</v>
      </c>
      <c r="I513" s="548">
        <f t="shared" ref="I513:I520" si="181">(M513-G513)*64</f>
        <v>0</v>
      </c>
      <c r="J513" s="358" t="s">
        <v>19</v>
      </c>
      <c r="K513" s="358"/>
      <c r="L513" s="358"/>
      <c r="M513" s="358">
        <f>(F513*6391)/2880</f>
        <v>0</v>
      </c>
      <c r="N513" s="358"/>
      <c r="O513" s="358"/>
      <c r="P513" s="358"/>
      <c r="Q513" s="358" t="s">
        <v>18</v>
      </c>
      <c r="R513" s="358"/>
      <c r="S513" s="358" t="s">
        <v>19</v>
      </c>
      <c r="T513" s="528">
        <v>9</v>
      </c>
      <c r="U513" s="324">
        <f t="shared" ref="U513:U520" si="182">E513/403*60</f>
        <v>0</v>
      </c>
      <c r="V513" s="676"/>
      <c r="W513" s="528"/>
      <c r="X513" s="529"/>
      <c r="Y513" s="323"/>
      <c r="Z513" s="312">
        <f t="shared" si="175"/>
        <v>0</v>
      </c>
      <c r="AA513" s="316">
        <f>SUM(Z513/285.7)</f>
        <v>0</v>
      </c>
    </row>
    <row r="514" spans="1:28" ht="79.5" thickBot="1" x14ac:dyDescent="0.45">
      <c r="A514" s="319" t="s">
        <v>14</v>
      </c>
      <c r="B514" s="369" t="s">
        <v>1038</v>
      </c>
      <c r="C514" s="528"/>
      <c r="D514" s="548">
        <f>C514*16</f>
        <v>0</v>
      </c>
      <c r="E514" s="456">
        <f>D514*0.27</f>
        <v>0</v>
      </c>
      <c r="F514" s="358">
        <f t="shared" si="179"/>
        <v>0</v>
      </c>
      <c r="G514" s="548">
        <f t="shared" si="180"/>
        <v>0</v>
      </c>
      <c r="H514" s="358" t="s">
        <v>18</v>
      </c>
      <c r="I514" s="548">
        <f t="shared" si="181"/>
        <v>0</v>
      </c>
      <c r="J514" s="358" t="s">
        <v>19</v>
      </c>
      <c r="K514" s="358"/>
      <c r="L514" s="358"/>
      <c r="M514" s="358">
        <f>(F514*6391)/2880</f>
        <v>0</v>
      </c>
      <c r="N514" s="358"/>
      <c r="O514" s="358"/>
      <c r="P514" s="358"/>
      <c r="Q514" s="358" t="s">
        <v>18</v>
      </c>
      <c r="R514" s="358"/>
      <c r="S514" s="358" t="s">
        <v>19</v>
      </c>
      <c r="T514" s="528">
        <v>9</v>
      </c>
      <c r="U514" s="324">
        <f t="shared" si="182"/>
        <v>0</v>
      </c>
      <c r="V514" s="676"/>
      <c r="W514" s="528"/>
      <c r="X514" s="529"/>
      <c r="Y514" s="360" t="s">
        <v>921</v>
      </c>
      <c r="Z514" s="312">
        <f t="shared" si="175"/>
        <v>0</v>
      </c>
      <c r="AA514" s="316">
        <f>SUM(Z514/285.7)</f>
        <v>0</v>
      </c>
    </row>
    <row r="515" spans="1:28" ht="53.25" thickBot="1" x14ac:dyDescent="0.45">
      <c r="A515" s="319" t="s">
        <v>14</v>
      </c>
      <c r="B515" s="319" t="s">
        <v>684</v>
      </c>
      <c r="C515" s="528"/>
      <c r="D515" s="548">
        <f t="shared" ref="D515:D520" si="183">C515*12</f>
        <v>0</v>
      </c>
      <c r="E515" s="456">
        <f t="shared" ref="E515:E520" si="184">D515*0.3</f>
        <v>0</v>
      </c>
      <c r="F515" s="358">
        <f t="shared" si="179"/>
        <v>0</v>
      </c>
      <c r="G515" s="548">
        <f t="shared" si="180"/>
        <v>0</v>
      </c>
      <c r="H515" s="358" t="s">
        <v>18</v>
      </c>
      <c r="I515" s="548">
        <f t="shared" si="181"/>
        <v>0</v>
      </c>
      <c r="J515" s="358" t="s">
        <v>19</v>
      </c>
      <c r="K515" s="358"/>
      <c r="L515" s="358"/>
      <c r="M515" s="358">
        <f>(F515*5880)/2880</f>
        <v>0</v>
      </c>
      <c r="N515" s="324"/>
      <c r="O515" s="324"/>
      <c r="P515" s="324"/>
      <c r="Q515" s="324" t="s">
        <v>18</v>
      </c>
      <c r="R515" s="324"/>
      <c r="S515" s="324" t="s">
        <v>19</v>
      </c>
      <c r="T515" s="528">
        <v>9</v>
      </c>
      <c r="U515" s="324">
        <f t="shared" si="182"/>
        <v>0</v>
      </c>
      <c r="V515" s="676"/>
      <c r="W515" s="528"/>
      <c r="X515" s="529"/>
      <c r="Y515" s="323"/>
      <c r="Z515" s="312">
        <f t="shared" si="175"/>
        <v>0</v>
      </c>
      <c r="AA515" s="316">
        <f>SUM(Z515/310.5)</f>
        <v>0</v>
      </c>
    </row>
    <row r="516" spans="1:28" ht="79.5" thickBot="1" x14ac:dyDescent="0.45">
      <c r="A516" s="319" t="s">
        <v>14</v>
      </c>
      <c r="B516" s="319" t="s">
        <v>685</v>
      </c>
      <c r="C516" s="528"/>
      <c r="D516" s="548">
        <f t="shared" si="183"/>
        <v>0</v>
      </c>
      <c r="E516" s="456">
        <f t="shared" si="184"/>
        <v>0</v>
      </c>
      <c r="F516" s="358">
        <f t="shared" si="179"/>
        <v>0</v>
      </c>
      <c r="G516" s="548">
        <f t="shared" si="180"/>
        <v>0</v>
      </c>
      <c r="H516" s="358" t="s">
        <v>18</v>
      </c>
      <c r="I516" s="548">
        <f t="shared" si="181"/>
        <v>0</v>
      </c>
      <c r="J516" s="358" t="s">
        <v>19</v>
      </c>
      <c r="K516" s="358"/>
      <c r="L516" s="358"/>
      <c r="M516" s="358">
        <f>(F516*5880)/2880</f>
        <v>0</v>
      </c>
      <c r="N516" s="324"/>
      <c r="O516" s="324"/>
      <c r="P516" s="324"/>
      <c r="Q516" s="324" t="s">
        <v>18</v>
      </c>
      <c r="R516" s="324"/>
      <c r="S516" s="324" t="s">
        <v>19</v>
      </c>
      <c r="T516" s="528">
        <v>9</v>
      </c>
      <c r="U516" s="324">
        <f t="shared" si="182"/>
        <v>0</v>
      </c>
      <c r="V516" s="676"/>
      <c r="W516" s="528"/>
      <c r="X516" s="529"/>
      <c r="Y516" s="360" t="s">
        <v>921</v>
      </c>
      <c r="Z516" s="312">
        <f t="shared" si="175"/>
        <v>0</v>
      </c>
      <c r="AA516" s="316">
        <f>SUM(Z516/310.5)</f>
        <v>0</v>
      </c>
    </row>
    <row r="517" spans="1:28" ht="79.5" thickBot="1" x14ac:dyDescent="0.45">
      <c r="A517" s="319" t="s">
        <v>14</v>
      </c>
      <c r="B517" s="854" t="s">
        <v>1196</v>
      </c>
      <c r="C517" s="528"/>
      <c r="D517" s="548">
        <f>C517*14</f>
        <v>0</v>
      </c>
      <c r="E517" s="456">
        <f t="shared" si="184"/>
        <v>0</v>
      </c>
      <c r="F517" s="358">
        <f t="shared" si="179"/>
        <v>0</v>
      </c>
      <c r="G517" s="548">
        <f t="shared" si="180"/>
        <v>0</v>
      </c>
      <c r="H517" s="358" t="s">
        <v>18</v>
      </c>
      <c r="I517" s="548">
        <f t="shared" si="181"/>
        <v>0</v>
      </c>
      <c r="J517" s="358" t="s">
        <v>19</v>
      </c>
      <c r="K517" s="358"/>
      <c r="L517" s="358"/>
      <c r="M517" s="358">
        <f>(F517*5880)/2880</f>
        <v>0</v>
      </c>
      <c r="N517" s="324"/>
      <c r="O517" s="324"/>
      <c r="P517" s="324"/>
      <c r="Q517" s="324" t="s">
        <v>18</v>
      </c>
      <c r="R517" s="324"/>
      <c r="S517" s="324" t="s">
        <v>19</v>
      </c>
      <c r="T517" s="528">
        <v>9</v>
      </c>
      <c r="U517" s="324">
        <f t="shared" si="182"/>
        <v>0</v>
      </c>
      <c r="V517" s="676"/>
      <c r="W517" s="528"/>
      <c r="X517" s="529"/>
      <c r="Y517" s="360" t="s">
        <v>921</v>
      </c>
      <c r="Z517" s="312">
        <f t="shared" si="175"/>
        <v>0</v>
      </c>
      <c r="AA517" s="316">
        <f>SUM(Z517/310.5)</f>
        <v>0</v>
      </c>
    </row>
    <row r="518" spans="1:28" ht="79.5" thickBot="1" x14ac:dyDescent="0.45">
      <c r="A518" s="319" t="s">
        <v>14</v>
      </c>
      <c r="B518" s="862" t="s">
        <v>1197</v>
      </c>
      <c r="C518" s="853"/>
      <c r="D518" s="856">
        <f>C518*16</f>
        <v>0</v>
      </c>
      <c r="E518" s="629">
        <f t="shared" si="184"/>
        <v>0</v>
      </c>
      <c r="F518" s="857">
        <f>E518*0.9*1.01/147</f>
        <v>0</v>
      </c>
      <c r="G518" s="858">
        <f>INT(M518)</f>
        <v>0</v>
      </c>
      <c r="H518" s="366"/>
      <c r="I518" s="859">
        <f t="shared" si="181"/>
        <v>0</v>
      </c>
      <c r="J518" s="860" t="s">
        <v>19</v>
      </c>
      <c r="K518" s="860"/>
      <c r="L518" s="860"/>
      <c r="M518" s="861">
        <f>F518*6533/3456</f>
        <v>0</v>
      </c>
      <c r="N518" s="860"/>
      <c r="O518" s="860"/>
      <c r="P518" s="860"/>
      <c r="Q518" s="324" t="s">
        <v>18</v>
      </c>
      <c r="R518" s="324"/>
      <c r="S518" s="324" t="s">
        <v>19</v>
      </c>
      <c r="T518" s="528">
        <v>9</v>
      </c>
      <c r="U518" s="324">
        <f t="shared" si="182"/>
        <v>0</v>
      </c>
      <c r="V518" s="676"/>
      <c r="W518" s="528"/>
      <c r="X518" s="529"/>
      <c r="Y518" s="360" t="s">
        <v>921</v>
      </c>
      <c r="Z518" s="312">
        <f>E518/1.02/1.143</f>
        <v>0</v>
      </c>
      <c r="AA518" s="316">
        <f>SUM(AB518/256.5)</f>
        <v>0</v>
      </c>
      <c r="AB518" s="310">
        <f>E518/1.02</f>
        <v>0</v>
      </c>
    </row>
    <row r="519" spans="1:28" ht="53.25" thickBot="1" x14ac:dyDescent="0.45">
      <c r="A519" s="319" t="s">
        <v>14</v>
      </c>
      <c r="B519" s="368" t="s">
        <v>686</v>
      </c>
      <c r="C519" s="528"/>
      <c r="D519" s="548">
        <f t="shared" si="183"/>
        <v>0</v>
      </c>
      <c r="E519" s="456">
        <f t="shared" si="184"/>
        <v>0</v>
      </c>
      <c r="F519" s="358">
        <f t="shared" si="179"/>
        <v>0</v>
      </c>
      <c r="G519" s="548">
        <f t="shared" si="180"/>
        <v>0</v>
      </c>
      <c r="H519" s="358" t="s">
        <v>18</v>
      </c>
      <c r="I519" s="548">
        <f t="shared" si="181"/>
        <v>0</v>
      </c>
      <c r="J519" s="358" t="s">
        <v>19</v>
      </c>
      <c r="K519" s="358"/>
      <c r="L519" s="358"/>
      <c r="M519" s="358">
        <f>(F519*5880)/2880</f>
        <v>0</v>
      </c>
      <c r="N519" s="324"/>
      <c r="O519" s="324"/>
      <c r="P519" s="324"/>
      <c r="Q519" s="324" t="s">
        <v>18</v>
      </c>
      <c r="R519" s="324"/>
      <c r="S519" s="324" t="s">
        <v>19</v>
      </c>
      <c r="T519" s="528">
        <v>9</v>
      </c>
      <c r="U519" s="324">
        <f t="shared" si="182"/>
        <v>0</v>
      </c>
      <c r="V519" s="676"/>
      <c r="W519" s="528"/>
      <c r="X519" s="529"/>
      <c r="Y519" s="323"/>
      <c r="Z519" s="312">
        <f t="shared" si="175"/>
        <v>0</v>
      </c>
      <c r="AA519" s="316">
        <f>SUM(Z519/310.5)</f>
        <v>0</v>
      </c>
    </row>
    <row r="520" spans="1:28" ht="53.25" thickBot="1" x14ac:dyDescent="0.45">
      <c r="A520" s="319" t="s">
        <v>14</v>
      </c>
      <c r="B520" s="368" t="s">
        <v>691</v>
      </c>
      <c r="C520" s="528"/>
      <c r="D520" s="548">
        <f t="shared" si="183"/>
        <v>0</v>
      </c>
      <c r="E520" s="456">
        <f t="shared" si="184"/>
        <v>0</v>
      </c>
      <c r="F520" s="358">
        <f t="shared" si="179"/>
        <v>0</v>
      </c>
      <c r="G520" s="548">
        <f t="shared" si="180"/>
        <v>0</v>
      </c>
      <c r="H520" s="358" t="s">
        <v>18</v>
      </c>
      <c r="I520" s="548">
        <f t="shared" si="181"/>
        <v>0</v>
      </c>
      <c r="J520" s="358" t="s">
        <v>19</v>
      </c>
      <c r="K520" s="358"/>
      <c r="L520" s="358"/>
      <c r="M520" s="358">
        <f>(F520*5880)/2880</f>
        <v>0</v>
      </c>
      <c r="N520" s="324"/>
      <c r="O520" s="324"/>
      <c r="P520" s="324"/>
      <c r="Q520" s="324" t="s">
        <v>18</v>
      </c>
      <c r="R520" s="324"/>
      <c r="S520" s="324" t="s">
        <v>19</v>
      </c>
      <c r="T520" s="528">
        <v>9</v>
      </c>
      <c r="U520" s="324">
        <f t="shared" si="182"/>
        <v>0</v>
      </c>
      <c r="V520" s="676"/>
      <c r="W520" s="528"/>
      <c r="X520" s="529"/>
      <c r="Y520" s="323"/>
      <c r="Z520" s="312">
        <f t="shared" si="175"/>
        <v>0</v>
      </c>
      <c r="AA520" s="316">
        <f>SUM(Z520/310.5)</f>
        <v>0</v>
      </c>
    </row>
    <row r="521" spans="1:28" ht="77.25" thickBot="1" x14ac:dyDescent="0.45">
      <c r="A521" s="319" t="s">
        <v>14</v>
      </c>
      <c r="B521" s="344" t="s">
        <v>1167</v>
      </c>
      <c r="C521" s="528"/>
      <c r="D521" s="551">
        <f>C521*16</f>
        <v>0</v>
      </c>
      <c r="E521" s="456">
        <f t="shared" ref="E521:E534" si="185">D521*0.25</f>
        <v>0</v>
      </c>
      <c r="F521" s="358">
        <f t="shared" si="179"/>
        <v>0</v>
      </c>
      <c r="G521" s="548">
        <f t="shared" si="177"/>
        <v>0</v>
      </c>
      <c r="H521" s="358" t="s">
        <v>18</v>
      </c>
      <c r="I521" s="548">
        <f t="shared" si="178"/>
        <v>0</v>
      </c>
      <c r="J521" s="358" t="s">
        <v>19</v>
      </c>
      <c r="K521" s="358"/>
      <c r="L521" s="358"/>
      <c r="M521" s="358">
        <f t="shared" ref="M521:M537" si="186">(F521*6989)/2880</f>
        <v>0</v>
      </c>
      <c r="N521" s="324"/>
      <c r="O521" s="324"/>
      <c r="P521" s="324"/>
      <c r="Q521" s="324" t="s">
        <v>18</v>
      </c>
      <c r="R521" s="324"/>
      <c r="S521" s="324" t="s">
        <v>19</v>
      </c>
      <c r="T521" s="528">
        <v>9</v>
      </c>
      <c r="U521" s="324">
        <f>E521/259*60</f>
        <v>0</v>
      </c>
      <c r="V521" s="676"/>
      <c r="W521" s="528"/>
      <c r="X521" s="529"/>
      <c r="Y521" s="323"/>
      <c r="Z521" s="312">
        <f t="shared" si="175"/>
        <v>0</v>
      </c>
      <c r="AA521" s="316">
        <f t="shared" ref="AA521:AA537" si="187">SUM(Z521/260.8)</f>
        <v>0</v>
      </c>
    </row>
    <row r="522" spans="1:28" ht="77.25" thickBot="1" x14ac:dyDescent="0.45">
      <c r="A522" s="319" t="s">
        <v>14</v>
      </c>
      <c r="B522" s="344" t="s">
        <v>1168</v>
      </c>
      <c r="C522" s="528"/>
      <c r="D522" s="551">
        <f>C522*16</f>
        <v>0</v>
      </c>
      <c r="E522" s="456">
        <f t="shared" si="185"/>
        <v>0</v>
      </c>
      <c r="F522" s="358">
        <f t="shared" si="179"/>
        <v>0</v>
      </c>
      <c r="G522" s="548">
        <f t="shared" si="177"/>
        <v>0</v>
      </c>
      <c r="H522" s="358" t="s">
        <v>18</v>
      </c>
      <c r="I522" s="548">
        <f t="shared" si="178"/>
        <v>0</v>
      </c>
      <c r="J522" s="358" t="s">
        <v>19</v>
      </c>
      <c r="K522" s="358"/>
      <c r="L522" s="358"/>
      <c r="M522" s="358">
        <f t="shared" si="186"/>
        <v>0</v>
      </c>
      <c r="N522" s="324"/>
      <c r="O522" s="324"/>
      <c r="P522" s="324"/>
      <c r="Q522" s="324" t="s">
        <v>18</v>
      </c>
      <c r="R522" s="324"/>
      <c r="S522" s="324" t="s">
        <v>19</v>
      </c>
      <c r="T522" s="528">
        <v>9</v>
      </c>
      <c r="U522" s="324">
        <f>E522/259*60</f>
        <v>0</v>
      </c>
      <c r="V522" s="676"/>
      <c r="W522" s="528"/>
      <c r="X522" s="529"/>
      <c r="Y522" s="323"/>
      <c r="Z522" s="312">
        <f t="shared" si="175"/>
        <v>0</v>
      </c>
      <c r="AA522" s="316">
        <f t="shared" si="187"/>
        <v>0</v>
      </c>
    </row>
    <row r="523" spans="1:28" ht="77.25" thickBot="1" x14ac:dyDescent="0.45">
      <c r="A523" s="319" t="s">
        <v>14</v>
      </c>
      <c r="B523" s="344" t="s">
        <v>1169</v>
      </c>
      <c r="C523" s="528"/>
      <c r="D523" s="551">
        <f>C523*16</f>
        <v>0</v>
      </c>
      <c r="E523" s="456">
        <f t="shared" si="185"/>
        <v>0</v>
      </c>
      <c r="F523" s="358">
        <f t="shared" si="179"/>
        <v>0</v>
      </c>
      <c r="G523" s="548">
        <f t="shared" si="177"/>
        <v>0</v>
      </c>
      <c r="H523" s="358" t="s">
        <v>18</v>
      </c>
      <c r="I523" s="548">
        <f t="shared" si="178"/>
        <v>0</v>
      </c>
      <c r="J523" s="358" t="s">
        <v>19</v>
      </c>
      <c r="K523" s="358"/>
      <c r="L523" s="358"/>
      <c r="M523" s="358">
        <f t="shared" si="186"/>
        <v>0</v>
      </c>
      <c r="N523" s="324"/>
      <c r="O523" s="324"/>
      <c r="P523" s="324"/>
      <c r="Q523" s="324" t="s">
        <v>18</v>
      </c>
      <c r="R523" s="324"/>
      <c r="S523" s="324" t="s">
        <v>19</v>
      </c>
      <c r="T523" s="528">
        <v>9</v>
      </c>
      <c r="U523" s="324">
        <f>E523/403*60</f>
        <v>0</v>
      </c>
      <c r="V523" s="676"/>
      <c r="W523" s="528"/>
      <c r="X523" s="529"/>
      <c r="Y523" s="323"/>
      <c r="Z523" s="312">
        <f t="shared" si="175"/>
        <v>0</v>
      </c>
      <c r="AA523" s="316">
        <f t="shared" si="187"/>
        <v>0</v>
      </c>
    </row>
    <row r="524" spans="1:28" ht="77.25" thickBot="1" x14ac:dyDescent="0.45">
      <c r="A524" s="319" t="s">
        <v>14</v>
      </c>
      <c r="B524" s="344" t="s">
        <v>789</v>
      </c>
      <c r="C524" s="528"/>
      <c r="D524" s="551">
        <f t="shared" ref="D524:D534" si="188">C524*12</f>
        <v>0</v>
      </c>
      <c r="E524" s="456">
        <f t="shared" si="185"/>
        <v>0</v>
      </c>
      <c r="F524" s="358">
        <f t="shared" ref="F524:F534" si="189">E524*0.99*1.03/147</f>
        <v>0</v>
      </c>
      <c r="G524" s="548">
        <f t="shared" si="177"/>
        <v>0</v>
      </c>
      <c r="H524" s="358" t="s">
        <v>18</v>
      </c>
      <c r="I524" s="548">
        <f t="shared" si="178"/>
        <v>0</v>
      </c>
      <c r="J524" s="358" t="s">
        <v>19</v>
      </c>
      <c r="K524" s="358"/>
      <c r="L524" s="358"/>
      <c r="M524" s="358">
        <f t="shared" si="186"/>
        <v>0</v>
      </c>
      <c r="N524" s="324"/>
      <c r="O524" s="324"/>
      <c r="P524" s="324"/>
      <c r="Q524" s="324" t="s">
        <v>18</v>
      </c>
      <c r="R524" s="324"/>
      <c r="S524" s="324" t="s">
        <v>19</v>
      </c>
      <c r="T524" s="528">
        <v>9</v>
      </c>
      <c r="U524" s="324">
        <f>E524/259*60</f>
        <v>0</v>
      </c>
      <c r="V524" s="676"/>
      <c r="W524" s="528"/>
      <c r="X524" s="529"/>
      <c r="Y524" s="323"/>
      <c r="Z524" s="312">
        <f t="shared" si="175"/>
        <v>0</v>
      </c>
      <c r="AA524" s="316">
        <f t="shared" si="187"/>
        <v>0</v>
      </c>
    </row>
    <row r="525" spans="1:28" ht="77.25" thickBot="1" x14ac:dyDescent="0.45">
      <c r="A525" s="319" t="s">
        <v>14</v>
      </c>
      <c r="B525" s="344" t="s">
        <v>790</v>
      </c>
      <c r="C525" s="528"/>
      <c r="D525" s="551">
        <f t="shared" si="188"/>
        <v>0</v>
      </c>
      <c r="E525" s="456">
        <f t="shared" si="185"/>
        <v>0</v>
      </c>
      <c r="F525" s="358">
        <f t="shared" si="189"/>
        <v>0</v>
      </c>
      <c r="G525" s="548">
        <f t="shared" si="177"/>
        <v>0</v>
      </c>
      <c r="H525" s="358" t="s">
        <v>18</v>
      </c>
      <c r="I525" s="548">
        <f t="shared" si="178"/>
        <v>0</v>
      </c>
      <c r="J525" s="358" t="s">
        <v>19</v>
      </c>
      <c r="K525" s="358"/>
      <c r="L525" s="358"/>
      <c r="M525" s="358">
        <f t="shared" si="186"/>
        <v>0</v>
      </c>
      <c r="N525" s="324"/>
      <c r="O525" s="324"/>
      <c r="P525" s="324"/>
      <c r="Q525" s="324" t="s">
        <v>18</v>
      </c>
      <c r="R525" s="324"/>
      <c r="S525" s="324" t="s">
        <v>19</v>
      </c>
      <c r="T525" s="528">
        <v>9</v>
      </c>
      <c r="U525" s="324">
        <f>E525/259*60</f>
        <v>0</v>
      </c>
      <c r="V525" s="676"/>
      <c r="W525" s="528"/>
      <c r="X525" s="529"/>
      <c r="Y525" s="323"/>
      <c r="Z525" s="312">
        <f t="shared" si="175"/>
        <v>0</v>
      </c>
      <c r="AA525" s="316">
        <f t="shared" si="187"/>
        <v>0</v>
      </c>
    </row>
    <row r="526" spans="1:28" ht="51.75" thickBot="1" x14ac:dyDescent="0.45">
      <c r="A526" s="319" t="s">
        <v>14</v>
      </c>
      <c r="B526" s="344" t="s">
        <v>702</v>
      </c>
      <c r="C526" s="528"/>
      <c r="D526" s="551">
        <f t="shared" si="188"/>
        <v>0</v>
      </c>
      <c r="E526" s="456">
        <f t="shared" si="185"/>
        <v>0</v>
      </c>
      <c r="F526" s="358">
        <f t="shared" si="189"/>
        <v>0</v>
      </c>
      <c r="G526" s="548">
        <f t="shared" si="177"/>
        <v>0</v>
      </c>
      <c r="H526" s="358" t="s">
        <v>18</v>
      </c>
      <c r="I526" s="548">
        <f t="shared" si="178"/>
        <v>0</v>
      </c>
      <c r="J526" s="358" t="s">
        <v>19</v>
      </c>
      <c r="K526" s="358"/>
      <c r="L526" s="358"/>
      <c r="M526" s="358">
        <f t="shared" si="186"/>
        <v>0</v>
      </c>
      <c r="N526" s="324"/>
      <c r="O526" s="324"/>
      <c r="P526" s="324"/>
      <c r="Q526" s="324" t="s">
        <v>18</v>
      </c>
      <c r="R526" s="324"/>
      <c r="S526" s="324" t="s">
        <v>19</v>
      </c>
      <c r="T526" s="528">
        <v>9</v>
      </c>
      <c r="U526" s="324">
        <f t="shared" ref="U526:U537" si="190">E526/403*60</f>
        <v>0</v>
      </c>
      <c r="V526" s="676"/>
      <c r="W526" s="528"/>
      <c r="X526" s="529"/>
      <c r="Y526" s="323"/>
      <c r="Z526" s="312">
        <f t="shared" si="175"/>
        <v>0</v>
      </c>
      <c r="AA526" s="316">
        <f t="shared" si="187"/>
        <v>0</v>
      </c>
    </row>
    <row r="527" spans="1:28" ht="77.25" thickBot="1" x14ac:dyDescent="0.45">
      <c r="A527" s="319" t="s">
        <v>14</v>
      </c>
      <c r="B527" s="344" t="s">
        <v>1075</v>
      </c>
      <c r="C527" s="528"/>
      <c r="D527" s="530">
        <f>C527*16</f>
        <v>0</v>
      </c>
      <c r="E527" s="460">
        <f t="shared" si="185"/>
        <v>0</v>
      </c>
      <c r="F527" s="324">
        <f t="shared" si="189"/>
        <v>0</v>
      </c>
      <c r="G527" s="528">
        <f t="shared" si="177"/>
        <v>0</v>
      </c>
      <c r="H527" s="324" t="s">
        <v>18</v>
      </c>
      <c r="I527" s="528">
        <f t="shared" si="178"/>
        <v>0</v>
      </c>
      <c r="J527" s="324" t="s">
        <v>19</v>
      </c>
      <c r="K527" s="324"/>
      <c r="L527" s="324"/>
      <c r="M527" s="324">
        <f t="shared" si="186"/>
        <v>0</v>
      </c>
      <c r="N527" s="324"/>
      <c r="O527" s="324"/>
      <c r="P527" s="324"/>
      <c r="Q527" s="324" t="s">
        <v>18</v>
      </c>
      <c r="R527" s="324"/>
      <c r="S527" s="324" t="s">
        <v>19</v>
      </c>
      <c r="T527" s="528">
        <v>9</v>
      </c>
      <c r="U527" s="324">
        <f>E527/259*60</f>
        <v>0</v>
      </c>
      <c r="V527" s="676"/>
      <c r="W527" s="528"/>
      <c r="X527" s="529"/>
      <c r="Y527" s="323"/>
      <c r="Z527" s="312">
        <f t="shared" si="175"/>
        <v>0</v>
      </c>
      <c r="AA527" s="316">
        <f t="shared" si="187"/>
        <v>0</v>
      </c>
    </row>
    <row r="528" spans="1:28" ht="77.25" thickBot="1" x14ac:dyDescent="0.45">
      <c r="A528" s="319" t="s">
        <v>14</v>
      </c>
      <c r="B528" s="344" t="s">
        <v>1076</v>
      </c>
      <c r="C528" s="528"/>
      <c r="D528" s="530">
        <f>C528*16</f>
        <v>0</v>
      </c>
      <c r="E528" s="460">
        <f t="shared" si="185"/>
        <v>0</v>
      </c>
      <c r="F528" s="324">
        <f t="shared" si="189"/>
        <v>0</v>
      </c>
      <c r="G528" s="528">
        <f t="shared" si="177"/>
        <v>0</v>
      </c>
      <c r="H528" s="324" t="s">
        <v>18</v>
      </c>
      <c r="I528" s="528">
        <f t="shared" si="178"/>
        <v>0</v>
      </c>
      <c r="J528" s="324" t="s">
        <v>19</v>
      </c>
      <c r="K528" s="324"/>
      <c r="L528" s="324"/>
      <c r="M528" s="324">
        <f t="shared" si="186"/>
        <v>0</v>
      </c>
      <c r="N528" s="324"/>
      <c r="O528" s="324"/>
      <c r="P528" s="324"/>
      <c r="Q528" s="324" t="s">
        <v>18</v>
      </c>
      <c r="R528" s="324"/>
      <c r="S528" s="324" t="s">
        <v>19</v>
      </c>
      <c r="T528" s="528">
        <v>9</v>
      </c>
      <c r="U528" s="324">
        <f>E528/259*60</f>
        <v>0</v>
      </c>
      <c r="V528" s="676"/>
      <c r="W528" s="528"/>
      <c r="X528" s="529"/>
      <c r="Y528" s="323"/>
      <c r="Z528" s="312">
        <f t="shared" si="175"/>
        <v>0</v>
      </c>
      <c r="AA528" s="316">
        <f t="shared" si="187"/>
        <v>0</v>
      </c>
    </row>
    <row r="529" spans="1:28" ht="51.75" thickBot="1" x14ac:dyDescent="0.45">
      <c r="A529" s="319" t="s">
        <v>14</v>
      </c>
      <c r="B529" s="344" t="s">
        <v>1077</v>
      </c>
      <c r="C529" s="528"/>
      <c r="D529" s="530">
        <f>C529*16</f>
        <v>0</v>
      </c>
      <c r="E529" s="460">
        <f t="shared" si="185"/>
        <v>0</v>
      </c>
      <c r="F529" s="324">
        <f t="shared" si="189"/>
        <v>0</v>
      </c>
      <c r="G529" s="528">
        <f t="shared" si="177"/>
        <v>0</v>
      </c>
      <c r="H529" s="324" t="s">
        <v>18</v>
      </c>
      <c r="I529" s="528">
        <f t="shared" si="178"/>
        <v>0</v>
      </c>
      <c r="J529" s="324" t="s">
        <v>19</v>
      </c>
      <c r="K529" s="324"/>
      <c r="L529" s="324"/>
      <c r="M529" s="324">
        <f t="shared" si="186"/>
        <v>0</v>
      </c>
      <c r="N529" s="324"/>
      <c r="O529" s="324"/>
      <c r="P529" s="324"/>
      <c r="Q529" s="324" t="s">
        <v>18</v>
      </c>
      <c r="R529" s="324"/>
      <c r="S529" s="324" t="s">
        <v>19</v>
      </c>
      <c r="T529" s="528">
        <v>9</v>
      </c>
      <c r="U529" s="324">
        <f>E529/403*60</f>
        <v>0</v>
      </c>
      <c r="V529" s="676"/>
      <c r="W529" s="528"/>
      <c r="X529" s="529"/>
      <c r="Y529" s="323"/>
      <c r="Z529" s="312">
        <f t="shared" si="175"/>
        <v>0</v>
      </c>
      <c r="AA529" s="316">
        <f t="shared" si="187"/>
        <v>0</v>
      </c>
    </row>
    <row r="530" spans="1:28" ht="79.5" thickBot="1" x14ac:dyDescent="0.45">
      <c r="A530" s="319" t="s">
        <v>14</v>
      </c>
      <c r="B530" s="371" t="s">
        <v>823</v>
      </c>
      <c r="C530" s="528"/>
      <c r="D530" s="551">
        <f t="shared" si="188"/>
        <v>0</v>
      </c>
      <c r="E530" s="456">
        <f t="shared" si="185"/>
        <v>0</v>
      </c>
      <c r="F530" s="358">
        <f t="shared" si="189"/>
        <v>0</v>
      </c>
      <c r="G530" s="548">
        <f t="shared" si="177"/>
        <v>0</v>
      </c>
      <c r="H530" s="358" t="s">
        <v>18</v>
      </c>
      <c r="I530" s="548">
        <f t="shared" si="178"/>
        <v>0</v>
      </c>
      <c r="J530" s="358" t="s">
        <v>19</v>
      </c>
      <c r="K530" s="358"/>
      <c r="L530" s="358"/>
      <c r="M530" s="358">
        <f t="shared" si="186"/>
        <v>0</v>
      </c>
      <c r="N530" s="324"/>
      <c r="O530" s="324"/>
      <c r="P530" s="324"/>
      <c r="Q530" s="324" t="s">
        <v>18</v>
      </c>
      <c r="R530" s="324"/>
      <c r="S530" s="324" t="s">
        <v>19</v>
      </c>
      <c r="T530" s="528">
        <v>9</v>
      </c>
      <c r="U530" s="324">
        <f t="shared" si="190"/>
        <v>0</v>
      </c>
      <c r="V530" s="676"/>
      <c r="W530" s="528"/>
      <c r="X530" s="529"/>
      <c r="Y530" s="360" t="s">
        <v>919</v>
      </c>
      <c r="Z530" s="312">
        <f t="shared" si="175"/>
        <v>0</v>
      </c>
      <c r="AA530" s="316">
        <f t="shared" si="187"/>
        <v>0</v>
      </c>
    </row>
    <row r="531" spans="1:28" ht="51.75" thickBot="1" x14ac:dyDescent="0.45">
      <c r="A531" s="319" t="s">
        <v>14</v>
      </c>
      <c r="B531" s="371" t="s">
        <v>824</v>
      </c>
      <c r="C531" s="528"/>
      <c r="D531" s="551">
        <f t="shared" si="188"/>
        <v>0</v>
      </c>
      <c r="E531" s="456">
        <f t="shared" si="185"/>
        <v>0</v>
      </c>
      <c r="F531" s="358">
        <f t="shared" si="189"/>
        <v>0</v>
      </c>
      <c r="G531" s="548">
        <f t="shared" si="177"/>
        <v>0</v>
      </c>
      <c r="H531" s="358" t="s">
        <v>18</v>
      </c>
      <c r="I531" s="548">
        <f t="shared" si="178"/>
        <v>0</v>
      </c>
      <c r="J531" s="358" t="s">
        <v>19</v>
      </c>
      <c r="K531" s="358"/>
      <c r="L531" s="358"/>
      <c r="M531" s="358">
        <f t="shared" si="186"/>
        <v>0</v>
      </c>
      <c r="N531" s="324"/>
      <c r="O531" s="324"/>
      <c r="P531" s="324"/>
      <c r="Q531" s="324" t="s">
        <v>18</v>
      </c>
      <c r="R531" s="324"/>
      <c r="S531" s="324" t="s">
        <v>19</v>
      </c>
      <c r="T531" s="528">
        <v>9</v>
      </c>
      <c r="U531" s="324">
        <f t="shared" si="190"/>
        <v>0</v>
      </c>
      <c r="V531" s="676"/>
      <c r="W531" s="528"/>
      <c r="X531" s="529"/>
      <c r="Y531" s="323"/>
      <c r="Z531" s="312">
        <f t="shared" si="175"/>
        <v>0</v>
      </c>
      <c r="AA531" s="316">
        <f t="shared" si="187"/>
        <v>0</v>
      </c>
    </row>
    <row r="532" spans="1:28" ht="79.5" thickBot="1" x14ac:dyDescent="0.45">
      <c r="A532" s="319" t="s">
        <v>14</v>
      </c>
      <c r="B532" s="344" t="s">
        <v>1006</v>
      </c>
      <c r="C532" s="528"/>
      <c r="D532" s="530">
        <f>C532*16</f>
        <v>0</v>
      </c>
      <c r="E532" s="460">
        <f t="shared" si="185"/>
        <v>0</v>
      </c>
      <c r="F532" s="324">
        <f t="shared" si="189"/>
        <v>0</v>
      </c>
      <c r="G532" s="528">
        <f t="shared" si="177"/>
        <v>0</v>
      </c>
      <c r="H532" s="324" t="s">
        <v>18</v>
      </c>
      <c r="I532" s="528">
        <f t="shared" si="178"/>
        <v>0</v>
      </c>
      <c r="J532" s="324" t="s">
        <v>19</v>
      </c>
      <c r="K532" s="324"/>
      <c r="L532" s="324"/>
      <c r="M532" s="324">
        <f t="shared" si="186"/>
        <v>0</v>
      </c>
      <c r="N532" s="324"/>
      <c r="O532" s="324"/>
      <c r="P532" s="324"/>
      <c r="Q532" s="324" t="s">
        <v>18</v>
      </c>
      <c r="R532" s="324"/>
      <c r="S532" s="324" t="s">
        <v>19</v>
      </c>
      <c r="T532" s="528">
        <v>9</v>
      </c>
      <c r="U532" s="324">
        <f t="shared" si="190"/>
        <v>0</v>
      </c>
      <c r="V532" s="676"/>
      <c r="W532" s="528"/>
      <c r="X532" s="529"/>
      <c r="Y532" s="360" t="s">
        <v>919</v>
      </c>
      <c r="Z532" s="312">
        <f t="shared" si="175"/>
        <v>0</v>
      </c>
      <c r="AA532" s="316">
        <f t="shared" si="187"/>
        <v>0</v>
      </c>
    </row>
    <row r="533" spans="1:28" ht="79.5" thickBot="1" x14ac:dyDescent="0.45">
      <c r="A533" s="319" t="s">
        <v>14</v>
      </c>
      <c r="B533" s="344" t="s">
        <v>1007</v>
      </c>
      <c r="C533" s="528"/>
      <c r="D533" s="530">
        <f>C533*16</f>
        <v>0</v>
      </c>
      <c r="E533" s="460">
        <f t="shared" si="185"/>
        <v>0</v>
      </c>
      <c r="F533" s="324">
        <f t="shared" si="189"/>
        <v>0</v>
      </c>
      <c r="G533" s="528">
        <f t="shared" si="177"/>
        <v>0</v>
      </c>
      <c r="H533" s="324" t="s">
        <v>18</v>
      </c>
      <c r="I533" s="528">
        <f t="shared" si="178"/>
        <v>0</v>
      </c>
      <c r="J533" s="324" t="s">
        <v>19</v>
      </c>
      <c r="K533" s="324"/>
      <c r="L533" s="324"/>
      <c r="M533" s="324">
        <f t="shared" si="186"/>
        <v>0</v>
      </c>
      <c r="N533" s="324"/>
      <c r="O533" s="324"/>
      <c r="P533" s="324"/>
      <c r="Q533" s="324" t="s">
        <v>18</v>
      </c>
      <c r="R533" s="324"/>
      <c r="S533" s="324" t="s">
        <v>19</v>
      </c>
      <c r="T533" s="528">
        <v>9</v>
      </c>
      <c r="U533" s="324">
        <f t="shared" si="190"/>
        <v>0</v>
      </c>
      <c r="V533" s="676"/>
      <c r="W533" s="528"/>
      <c r="X533" s="529"/>
      <c r="Y533" s="360" t="s">
        <v>921</v>
      </c>
      <c r="Z533" s="312">
        <f t="shared" si="175"/>
        <v>0</v>
      </c>
      <c r="AA533" s="316">
        <f t="shared" si="187"/>
        <v>0</v>
      </c>
    </row>
    <row r="534" spans="1:28" ht="79.5" thickBot="1" x14ac:dyDescent="0.45">
      <c r="A534" s="319" t="s">
        <v>14</v>
      </c>
      <c r="B534" s="344" t="s">
        <v>703</v>
      </c>
      <c r="C534" s="528"/>
      <c r="D534" s="551">
        <f t="shared" si="188"/>
        <v>0</v>
      </c>
      <c r="E534" s="456">
        <f t="shared" si="185"/>
        <v>0</v>
      </c>
      <c r="F534" s="358">
        <f t="shared" si="189"/>
        <v>0</v>
      </c>
      <c r="G534" s="548">
        <f t="shared" ref="G534:G557" si="191">INT(M534)</f>
        <v>0</v>
      </c>
      <c r="H534" s="358" t="s">
        <v>18</v>
      </c>
      <c r="I534" s="548">
        <f t="shared" ref="I534:I557" si="192">(M534-G534)*64</f>
        <v>0</v>
      </c>
      <c r="J534" s="358" t="s">
        <v>19</v>
      </c>
      <c r="K534" s="358"/>
      <c r="L534" s="358"/>
      <c r="M534" s="358">
        <f t="shared" si="186"/>
        <v>0</v>
      </c>
      <c r="N534" s="324"/>
      <c r="O534" s="324"/>
      <c r="P534" s="324"/>
      <c r="Q534" s="324" t="s">
        <v>18</v>
      </c>
      <c r="R534" s="324"/>
      <c r="S534" s="324" t="s">
        <v>19</v>
      </c>
      <c r="T534" s="528">
        <v>9</v>
      </c>
      <c r="U534" s="324">
        <f t="shared" si="190"/>
        <v>0</v>
      </c>
      <c r="V534" s="676"/>
      <c r="W534" s="528"/>
      <c r="X534" s="529"/>
      <c r="Y534" s="360" t="s">
        <v>921</v>
      </c>
      <c r="Z534" s="312">
        <f t="shared" si="175"/>
        <v>0</v>
      </c>
      <c r="AA534" s="316">
        <f t="shared" si="187"/>
        <v>0</v>
      </c>
    </row>
    <row r="535" spans="1:28" ht="51.75" thickBot="1" x14ac:dyDescent="0.45">
      <c r="A535" s="319" t="s">
        <v>14</v>
      </c>
      <c r="B535" s="344" t="s">
        <v>798</v>
      </c>
      <c r="C535" s="528"/>
      <c r="D535" s="548">
        <f>C535*28</f>
        <v>0</v>
      </c>
      <c r="E535" s="456">
        <f>D535*0.125</f>
        <v>0</v>
      </c>
      <c r="F535" s="358">
        <f>E535*0.99*1.03/147</f>
        <v>0</v>
      </c>
      <c r="G535" s="548">
        <f>INT(M535)</f>
        <v>0</v>
      </c>
      <c r="H535" s="358" t="s">
        <v>18</v>
      </c>
      <c r="I535" s="548">
        <f>(M535-G535)*64</f>
        <v>0</v>
      </c>
      <c r="J535" s="358" t="s">
        <v>19</v>
      </c>
      <c r="K535" s="358"/>
      <c r="L535" s="358"/>
      <c r="M535" s="358">
        <f t="shared" si="186"/>
        <v>0</v>
      </c>
      <c r="N535" s="324"/>
      <c r="O535" s="324"/>
      <c r="P535" s="324"/>
      <c r="Q535" s="324" t="s">
        <v>18</v>
      </c>
      <c r="R535" s="324"/>
      <c r="S535" s="324" t="s">
        <v>19</v>
      </c>
      <c r="T535" s="528">
        <v>9</v>
      </c>
      <c r="U535" s="324">
        <f t="shared" si="190"/>
        <v>0</v>
      </c>
      <c r="V535" s="676"/>
      <c r="W535" s="528"/>
      <c r="X535" s="529"/>
      <c r="Y535" s="323"/>
      <c r="Z535" s="312">
        <f t="shared" si="175"/>
        <v>0</v>
      </c>
      <c r="AA535" s="316">
        <f t="shared" si="187"/>
        <v>0</v>
      </c>
    </row>
    <row r="536" spans="1:28" ht="79.5" thickBot="1" x14ac:dyDescent="0.45">
      <c r="A536" s="319" t="s">
        <v>14</v>
      </c>
      <c r="B536" s="370" t="s">
        <v>787</v>
      </c>
      <c r="C536" s="528"/>
      <c r="D536" s="548">
        <f>C536*28</f>
        <v>0</v>
      </c>
      <c r="E536" s="456">
        <f>D536*0.125</f>
        <v>0</v>
      </c>
      <c r="F536" s="358">
        <f>E536*0.99*1.03/147</f>
        <v>0</v>
      </c>
      <c r="G536" s="548">
        <f>INT(M536)</f>
        <v>0</v>
      </c>
      <c r="H536" s="358" t="s">
        <v>18</v>
      </c>
      <c r="I536" s="548">
        <f>(M536-G536)*64</f>
        <v>0</v>
      </c>
      <c r="J536" s="358" t="s">
        <v>19</v>
      </c>
      <c r="K536" s="358"/>
      <c r="L536" s="358"/>
      <c r="M536" s="358">
        <f t="shared" si="186"/>
        <v>0</v>
      </c>
      <c r="N536" s="324"/>
      <c r="O536" s="324"/>
      <c r="P536" s="324"/>
      <c r="Q536" s="324" t="s">
        <v>18</v>
      </c>
      <c r="R536" s="324"/>
      <c r="S536" s="324" t="s">
        <v>19</v>
      </c>
      <c r="T536" s="528">
        <v>9</v>
      </c>
      <c r="U536" s="324">
        <f t="shared" si="190"/>
        <v>0</v>
      </c>
      <c r="V536" s="676"/>
      <c r="W536" s="528"/>
      <c r="X536" s="529"/>
      <c r="Y536" s="323"/>
      <c r="Z536" s="312">
        <f t="shared" si="175"/>
        <v>0</v>
      </c>
      <c r="AA536" s="316">
        <f t="shared" si="187"/>
        <v>0</v>
      </c>
    </row>
    <row r="537" spans="1:28" ht="79.5" thickBot="1" x14ac:dyDescent="0.45">
      <c r="A537" s="319" t="s">
        <v>14</v>
      </c>
      <c r="B537" s="370" t="s">
        <v>788</v>
      </c>
      <c r="C537" s="528"/>
      <c r="D537" s="548">
        <f>C537*28</f>
        <v>0</v>
      </c>
      <c r="E537" s="456">
        <f>D537*0.125</f>
        <v>0</v>
      </c>
      <c r="F537" s="358">
        <f>E537*0.99*1.03/147</f>
        <v>0</v>
      </c>
      <c r="G537" s="548">
        <f>INT(M537)</f>
        <v>0</v>
      </c>
      <c r="H537" s="358" t="s">
        <v>18</v>
      </c>
      <c r="I537" s="548">
        <f>(M537-G537)*64</f>
        <v>0</v>
      </c>
      <c r="J537" s="358" t="s">
        <v>19</v>
      </c>
      <c r="K537" s="358"/>
      <c r="L537" s="358"/>
      <c r="M537" s="358">
        <f t="shared" si="186"/>
        <v>0</v>
      </c>
      <c r="N537" s="324"/>
      <c r="O537" s="324"/>
      <c r="P537" s="324"/>
      <c r="Q537" s="324" t="s">
        <v>18</v>
      </c>
      <c r="R537" s="324"/>
      <c r="S537" s="324" t="s">
        <v>19</v>
      </c>
      <c r="T537" s="528">
        <v>9</v>
      </c>
      <c r="U537" s="324">
        <f t="shared" si="190"/>
        <v>0</v>
      </c>
      <c r="V537" s="676"/>
      <c r="W537" s="528"/>
      <c r="X537" s="529"/>
      <c r="Y537" s="323"/>
      <c r="Z537" s="312">
        <f t="shared" si="175"/>
        <v>0</v>
      </c>
      <c r="AA537" s="316">
        <f t="shared" si="187"/>
        <v>0</v>
      </c>
    </row>
    <row r="538" spans="1:28" ht="51.75" thickBot="1" x14ac:dyDescent="0.45">
      <c r="A538" s="319" t="s">
        <v>14</v>
      </c>
      <c r="B538" s="320" t="s">
        <v>781</v>
      </c>
      <c r="C538" s="528"/>
      <c r="D538" s="548">
        <f>C538*10</f>
        <v>0</v>
      </c>
      <c r="E538" s="456">
        <f>D538*0.18</f>
        <v>0</v>
      </c>
      <c r="F538" s="358">
        <f>E538*0.99*1.03/147</f>
        <v>0</v>
      </c>
      <c r="G538" s="548">
        <f>INT(M538)</f>
        <v>0</v>
      </c>
      <c r="H538" s="358" t="s">
        <v>18</v>
      </c>
      <c r="I538" s="548">
        <f>(M538-G538)*64</f>
        <v>0</v>
      </c>
      <c r="J538" s="358" t="s">
        <v>19</v>
      </c>
      <c r="K538" s="358"/>
      <c r="L538" s="358"/>
      <c r="M538" s="358">
        <f>(F538*6400)/2880</f>
        <v>0</v>
      </c>
      <c r="N538" s="324"/>
      <c r="O538" s="324"/>
      <c r="P538" s="324"/>
      <c r="Q538" s="324" t="s">
        <v>18</v>
      </c>
      <c r="R538" s="324"/>
      <c r="S538" s="324" t="s">
        <v>19</v>
      </c>
      <c r="T538" s="528">
        <v>9</v>
      </c>
      <c r="U538" s="324">
        <f>E538/237*60</f>
        <v>0</v>
      </c>
      <c r="V538" s="676"/>
      <c r="W538" s="528"/>
      <c r="X538" s="529"/>
      <c r="Y538" s="323"/>
      <c r="Z538" s="312">
        <f t="shared" si="175"/>
        <v>0</v>
      </c>
      <c r="AA538" s="316">
        <f>SUM(Z538/285.7)</f>
        <v>0</v>
      </c>
    </row>
    <row r="539" spans="1:28" s="728" customFormat="1" ht="158.25" outlineLevel="1" thickBot="1" x14ac:dyDescent="0.45">
      <c r="A539" s="636" t="s">
        <v>14</v>
      </c>
      <c r="B539" s="635" t="s">
        <v>1041</v>
      </c>
      <c r="C539" s="720"/>
      <c r="D539" s="720">
        <f>C539*12</f>
        <v>0</v>
      </c>
      <c r="E539" s="721">
        <f t="shared" ref="E539:E545" si="193">D539*0.25</f>
        <v>0</v>
      </c>
      <c r="F539" s="722">
        <f t="shared" ref="F539:F545" si="194">E539*0.9*1.01/147</f>
        <v>0</v>
      </c>
      <c r="G539" s="720">
        <f>INT(M539)</f>
        <v>0</v>
      </c>
      <c r="H539" s="722" t="s">
        <v>18</v>
      </c>
      <c r="I539" s="720">
        <f>(M539-G539)*64</f>
        <v>0</v>
      </c>
      <c r="J539" s="722" t="s">
        <v>19</v>
      </c>
      <c r="K539" s="722"/>
      <c r="L539" s="722"/>
      <c r="M539" s="722">
        <f>(F539*6533/3456)</f>
        <v>0</v>
      </c>
      <c r="N539" s="722"/>
      <c r="O539" s="722"/>
      <c r="P539" s="722"/>
      <c r="Q539" s="722" t="s">
        <v>18</v>
      </c>
      <c r="R539" s="722"/>
      <c r="S539" s="722" t="s">
        <v>19</v>
      </c>
      <c r="T539" s="720">
        <v>9</v>
      </c>
      <c r="U539" s="324">
        <f t="shared" ref="U539:U546" si="195">E539/390*60</f>
        <v>0</v>
      </c>
      <c r="V539" s="724"/>
      <c r="W539" s="720"/>
      <c r="X539" s="725"/>
      <c r="Y539" s="749" t="s">
        <v>920</v>
      </c>
      <c r="Z539" s="727">
        <f t="shared" ref="Z539:Z545" si="196">E539/1.02/1.143</f>
        <v>0</v>
      </c>
      <c r="AA539" s="815">
        <f>SUM(AB539/256.5)</f>
        <v>0</v>
      </c>
      <c r="AB539" s="728">
        <f t="shared" ref="AB539:AB545" si="197">E539/1.02</f>
        <v>0</v>
      </c>
    </row>
    <row r="540" spans="1:28" ht="79.5" thickBot="1" x14ac:dyDescent="0.45">
      <c r="A540" s="319" t="s">
        <v>14</v>
      </c>
      <c r="B540" s="362" t="s">
        <v>828</v>
      </c>
      <c r="C540" s="528"/>
      <c r="D540" s="557">
        <f>C540*12</f>
        <v>0</v>
      </c>
      <c r="E540" s="457">
        <f t="shared" si="193"/>
        <v>0</v>
      </c>
      <c r="F540" s="359">
        <f t="shared" si="194"/>
        <v>0</v>
      </c>
      <c r="G540" s="558">
        <f t="shared" si="191"/>
        <v>0</v>
      </c>
      <c r="H540" s="366" t="s">
        <v>18</v>
      </c>
      <c r="I540" s="556">
        <f t="shared" si="192"/>
        <v>0</v>
      </c>
      <c r="J540" s="366" t="s">
        <v>19</v>
      </c>
      <c r="K540" s="366"/>
      <c r="L540" s="366"/>
      <c r="M540" s="366">
        <f t="shared" ref="M540:M545" si="198">(F540*7777/3456)</f>
        <v>0</v>
      </c>
      <c r="N540" s="366"/>
      <c r="O540" s="366"/>
      <c r="P540" s="366"/>
      <c r="Q540" s="358" t="s">
        <v>18</v>
      </c>
      <c r="R540" s="358"/>
      <c r="S540" s="358" t="s">
        <v>19</v>
      </c>
      <c r="T540" s="528">
        <v>9</v>
      </c>
      <c r="U540" s="324">
        <f t="shared" si="195"/>
        <v>0</v>
      </c>
      <c r="V540" s="676"/>
      <c r="W540" s="528"/>
      <c r="X540" s="529"/>
      <c r="Y540" s="660" t="s">
        <v>919</v>
      </c>
      <c r="Z540" s="312">
        <f t="shared" si="196"/>
        <v>0</v>
      </c>
      <c r="AA540" s="316">
        <f t="shared" ref="AA540:AA545" si="199">SUM(AB540/215.5)</f>
        <v>0</v>
      </c>
      <c r="AB540" s="310">
        <f t="shared" si="197"/>
        <v>0</v>
      </c>
    </row>
    <row r="541" spans="1:28" ht="79.5" thickBot="1" x14ac:dyDescent="0.45">
      <c r="A541" s="319" t="s">
        <v>14</v>
      </c>
      <c r="B541" s="362" t="s">
        <v>1017</v>
      </c>
      <c r="C541" s="528"/>
      <c r="D541" s="557">
        <f>C541*12</f>
        <v>0</v>
      </c>
      <c r="E541" s="457">
        <f t="shared" si="193"/>
        <v>0</v>
      </c>
      <c r="F541" s="359">
        <f t="shared" si="194"/>
        <v>0</v>
      </c>
      <c r="G541" s="558">
        <f t="shared" si="191"/>
        <v>0</v>
      </c>
      <c r="H541" s="366" t="s">
        <v>18</v>
      </c>
      <c r="I541" s="556">
        <f t="shared" si="192"/>
        <v>0</v>
      </c>
      <c r="J541" s="366" t="s">
        <v>19</v>
      </c>
      <c r="K541" s="366"/>
      <c r="L541" s="366"/>
      <c r="M541" s="366">
        <f t="shared" si="198"/>
        <v>0</v>
      </c>
      <c r="N541" s="366"/>
      <c r="O541" s="366"/>
      <c r="P541" s="366"/>
      <c r="Q541" s="358" t="s">
        <v>18</v>
      </c>
      <c r="R541" s="358"/>
      <c r="S541" s="358" t="s">
        <v>19</v>
      </c>
      <c r="T541" s="528">
        <v>9</v>
      </c>
      <c r="U541" s="324">
        <f t="shared" si="195"/>
        <v>0</v>
      </c>
      <c r="V541" s="676"/>
      <c r="W541" s="528"/>
      <c r="X541" s="529"/>
      <c r="Y541" s="665" t="s">
        <v>919</v>
      </c>
      <c r="Z541" s="312">
        <f t="shared" si="196"/>
        <v>0</v>
      </c>
      <c r="AA541" s="316">
        <f t="shared" si="199"/>
        <v>0</v>
      </c>
      <c r="AB541" s="310">
        <f t="shared" si="197"/>
        <v>0</v>
      </c>
    </row>
    <row r="542" spans="1:28" ht="79.5" thickBot="1" x14ac:dyDescent="0.45">
      <c r="A542" s="319" t="s">
        <v>14</v>
      </c>
      <c r="B542" s="362" t="s">
        <v>1073</v>
      </c>
      <c r="C542" s="528"/>
      <c r="D542" s="709">
        <f>C542*16</f>
        <v>0</v>
      </c>
      <c r="E542" s="496">
        <f t="shared" si="193"/>
        <v>0</v>
      </c>
      <c r="F542" s="354">
        <f t="shared" si="194"/>
        <v>0</v>
      </c>
      <c r="G542" s="710">
        <f>INT(M542)</f>
        <v>0</v>
      </c>
      <c r="H542" s="555" t="s">
        <v>18</v>
      </c>
      <c r="I542" s="553">
        <f>(M542-G542)*64</f>
        <v>0</v>
      </c>
      <c r="J542" s="555" t="s">
        <v>19</v>
      </c>
      <c r="K542" s="555"/>
      <c r="L542" s="555"/>
      <c r="M542" s="555">
        <f t="shared" si="198"/>
        <v>0</v>
      </c>
      <c r="N542" s="555"/>
      <c r="O542" s="555"/>
      <c r="P542" s="555"/>
      <c r="Q542" s="324" t="s">
        <v>18</v>
      </c>
      <c r="R542" s="324"/>
      <c r="S542" s="324" t="s">
        <v>19</v>
      </c>
      <c r="T542" s="528">
        <v>9</v>
      </c>
      <c r="U542" s="324">
        <f t="shared" si="195"/>
        <v>0</v>
      </c>
      <c r="V542" s="676"/>
      <c r="W542" s="528"/>
      <c r="X542" s="529"/>
      <c r="Y542" s="668" t="s">
        <v>919</v>
      </c>
      <c r="Z542" s="312">
        <f t="shared" si="196"/>
        <v>0</v>
      </c>
      <c r="AA542" s="316">
        <f t="shared" si="199"/>
        <v>0</v>
      </c>
      <c r="AB542" s="310">
        <f t="shared" si="197"/>
        <v>0</v>
      </c>
    </row>
    <row r="543" spans="1:28" ht="79.5" thickBot="1" x14ac:dyDescent="0.45">
      <c r="A543" s="319" t="s">
        <v>14</v>
      </c>
      <c r="B543" s="362" t="s">
        <v>1074</v>
      </c>
      <c r="C543" s="528"/>
      <c r="D543" s="709">
        <f>C543*16</f>
        <v>0</v>
      </c>
      <c r="E543" s="496">
        <f t="shared" si="193"/>
        <v>0</v>
      </c>
      <c r="F543" s="354">
        <f t="shared" si="194"/>
        <v>0</v>
      </c>
      <c r="G543" s="710">
        <f>INT(M543)</f>
        <v>0</v>
      </c>
      <c r="H543" s="555" t="s">
        <v>18</v>
      </c>
      <c r="I543" s="553">
        <f>(M543-G543)*64</f>
        <v>0</v>
      </c>
      <c r="J543" s="555" t="s">
        <v>19</v>
      </c>
      <c r="K543" s="555"/>
      <c r="L543" s="555"/>
      <c r="M543" s="555">
        <f t="shared" si="198"/>
        <v>0</v>
      </c>
      <c r="N543" s="555"/>
      <c r="O543" s="555"/>
      <c r="P543" s="555"/>
      <c r="Q543" s="324" t="s">
        <v>18</v>
      </c>
      <c r="R543" s="324"/>
      <c r="S543" s="324" t="s">
        <v>19</v>
      </c>
      <c r="T543" s="528">
        <v>9</v>
      </c>
      <c r="U543" s="324">
        <f t="shared" si="195"/>
        <v>0</v>
      </c>
      <c r="V543" s="676"/>
      <c r="W543" s="528"/>
      <c r="X543" s="529"/>
      <c r="Y543" s="660" t="s">
        <v>919</v>
      </c>
      <c r="Z543" s="312">
        <f t="shared" si="196"/>
        <v>0</v>
      </c>
      <c r="AA543" s="316">
        <f t="shared" si="199"/>
        <v>0</v>
      </c>
      <c r="AB543" s="310">
        <f t="shared" si="197"/>
        <v>0</v>
      </c>
    </row>
    <row r="544" spans="1:28" ht="79.5" thickBot="1" x14ac:dyDescent="0.45">
      <c r="A544" s="319" t="s">
        <v>14</v>
      </c>
      <c r="B544" s="362" t="s">
        <v>1184</v>
      </c>
      <c r="C544" s="528"/>
      <c r="D544" s="551">
        <f>C544*16</f>
        <v>0</v>
      </c>
      <c r="E544" s="457">
        <f t="shared" si="193"/>
        <v>0</v>
      </c>
      <c r="F544" s="359">
        <f t="shared" si="194"/>
        <v>0</v>
      </c>
      <c r="G544" s="558">
        <f t="shared" si="191"/>
        <v>0</v>
      </c>
      <c r="H544" s="366" t="s">
        <v>18</v>
      </c>
      <c r="I544" s="556">
        <f t="shared" si="192"/>
        <v>0</v>
      </c>
      <c r="J544" s="366" t="s">
        <v>19</v>
      </c>
      <c r="K544" s="366"/>
      <c r="L544" s="366"/>
      <c r="M544" s="366">
        <f t="shared" si="198"/>
        <v>0</v>
      </c>
      <c r="N544" s="366"/>
      <c r="O544" s="366"/>
      <c r="P544" s="366"/>
      <c r="Q544" s="358" t="s">
        <v>18</v>
      </c>
      <c r="R544" s="358"/>
      <c r="S544" s="358" t="s">
        <v>19</v>
      </c>
      <c r="T544" s="528">
        <v>9</v>
      </c>
      <c r="U544" s="324">
        <f t="shared" si="195"/>
        <v>0</v>
      </c>
      <c r="V544" s="676"/>
      <c r="W544" s="528"/>
      <c r="X544" s="529"/>
      <c r="Y544" s="659" t="s">
        <v>919</v>
      </c>
      <c r="Z544" s="312">
        <f t="shared" si="196"/>
        <v>0</v>
      </c>
      <c r="AA544" s="316">
        <f t="shared" si="199"/>
        <v>0</v>
      </c>
      <c r="AB544" s="310">
        <f t="shared" si="197"/>
        <v>0</v>
      </c>
    </row>
    <row r="545" spans="1:28" ht="79.5" thickBot="1" x14ac:dyDescent="0.45">
      <c r="A545" s="319" t="s">
        <v>14</v>
      </c>
      <c r="B545" s="362" t="s">
        <v>856</v>
      </c>
      <c r="C545" s="528"/>
      <c r="D545" s="551">
        <f>C545*16</f>
        <v>0</v>
      </c>
      <c r="E545" s="457">
        <f t="shared" si="193"/>
        <v>0</v>
      </c>
      <c r="F545" s="359">
        <f t="shared" si="194"/>
        <v>0</v>
      </c>
      <c r="G545" s="558">
        <f>INT(M545)</f>
        <v>0</v>
      </c>
      <c r="H545" s="366" t="s">
        <v>18</v>
      </c>
      <c r="I545" s="556">
        <f>(M545-G545)*64</f>
        <v>0</v>
      </c>
      <c r="J545" s="366" t="s">
        <v>19</v>
      </c>
      <c r="K545" s="366"/>
      <c r="L545" s="366"/>
      <c r="M545" s="366">
        <f t="shared" si="198"/>
        <v>0</v>
      </c>
      <c r="N545" s="366"/>
      <c r="O545" s="366"/>
      <c r="P545" s="366"/>
      <c r="Q545" s="358" t="s">
        <v>18</v>
      </c>
      <c r="R545" s="358"/>
      <c r="S545" s="358" t="s">
        <v>19</v>
      </c>
      <c r="T545" s="528">
        <v>9</v>
      </c>
      <c r="U545" s="324">
        <f t="shared" si="195"/>
        <v>0</v>
      </c>
      <c r="V545" s="676"/>
      <c r="W545" s="528"/>
      <c r="X545" s="529"/>
      <c r="Y545" s="367" t="s">
        <v>919</v>
      </c>
      <c r="Z545" s="312">
        <f t="shared" si="196"/>
        <v>0</v>
      </c>
      <c r="AA545" s="316">
        <f t="shared" si="199"/>
        <v>0</v>
      </c>
      <c r="AB545" s="310">
        <f t="shared" si="197"/>
        <v>0</v>
      </c>
    </row>
    <row r="546" spans="1:28" ht="79.5" thickBot="1" x14ac:dyDescent="0.45">
      <c r="A546" s="319" t="s">
        <v>14</v>
      </c>
      <c r="B546" s="802" t="s">
        <v>1207</v>
      </c>
      <c r="C546" s="528"/>
      <c r="D546" s="550">
        <f>C546*12</f>
        <v>0</v>
      </c>
      <c r="E546" s="456">
        <f>D546*0.27</f>
        <v>0</v>
      </c>
      <c r="F546" s="358">
        <f>E546*0.87*1.01/151</f>
        <v>0</v>
      </c>
      <c r="G546" s="358">
        <f>INT(M546)</f>
        <v>0</v>
      </c>
      <c r="H546" s="358" t="s">
        <v>18</v>
      </c>
      <c r="I546" s="548">
        <f>(M546-G546)*64</f>
        <v>0</v>
      </c>
      <c r="J546" s="358" t="s">
        <v>19</v>
      </c>
      <c r="K546" s="358"/>
      <c r="L546" s="358"/>
      <c r="M546" s="358">
        <f>F546*7889/3456</f>
        <v>0</v>
      </c>
      <c r="N546" s="461"/>
      <c r="O546" s="461"/>
      <c r="P546" s="366"/>
      <c r="Q546" s="358" t="s">
        <v>18</v>
      </c>
      <c r="R546" s="358"/>
      <c r="S546" s="358" t="s">
        <v>19</v>
      </c>
      <c r="T546" s="528">
        <v>9</v>
      </c>
      <c r="U546" s="324">
        <f t="shared" si="195"/>
        <v>0</v>
      </c>
      <c r="V546" s="676"/>
      <c r="W546" s="528"/>
      <c r="X546" s="529"/>
      <c r="Y546" s="367" t="s">
        <v>919</v>
      </c>
      <c r="Z546" s="312">
        <f>E546/1.051/1.143</f>
        <v>0</v>
      </c>
      <c r="AA546" s="316">
        <f>SUM(AB546/230.85)</f>
        <v>0</v>
      </c>
      <c r="AB546" s="310">
        <f>E546/1.051</f>
        <v>0</v>
      </c>
    </row>
    <row r="547" spans="1:28" ht="79.5" thickBot="1" x14ac:dyDescent="0.45">
      <c r="A547" s="319" t="s">
        <v>14</v>
      </c>
      <c r="B547" s="802" t="s">
        <v>1221</v>
      </c>
      <c r="C547" s="528"/>
      <c r="D547" s="550">
        <f>C547*7</f>
        <v>0</v>
      </c>
      <c r="E547" s="456">
        <f>D547*0.27</f>
        <v>0</v>
      </c>
      <c r="F547" s="358">
        <f>E547*0.87*1.01/151</f>
        <v>0</v>
      </c>
      <c r="G547" s="358">
        <f>INT(M547)</f>
        <v>0</v>
      </c>
      <c r="H547" s="358" t="s">
        <v>18</v>
      </c>
      <c r="I547" s="548">
        <f>(M547-G547)*64</f>
        <v>0</v>
      </c>
      <c r="J547" s="358" t="s">
        <v>19</v>
      </c>
      <c r="K547" s="358"/>
      <c r="L547" s="358"/>
      <c r="M547" s="358">
        <f>F547*7889/3456</f>
        <v>0</v>
      </c>
      <c r="N547" s="461"/>
      <c r="O547" s="461"/>
      <c r="P547" s="366"/>
      <c r="Q547" s="358" t="s">
        <v>18</v>
      </c>
      <c r="R547" s="358"/>
      <c r="S547" s="358" t="s">
        <v>19</v>
      </c>
      <c r="T547" s="528">
        <v>9</v>
      </c>
      <c r="U547" s="324">
        <f>E547/390*60</f>
        <v>0</v>
      </c>
      <c r="V547" s="676"/>
      <c r="W547" s="528"/>
      <c r="X547" s="529"/>
      <c r="Y547" s="367" t="s">
        <v>919</v>
      </c>
      <c r="Z547" s="312">
        <f>E547/1.051/1.143</f>
        <v>0</v>
      </c>
      <c r="AA547" s="316">
        <f>SUM(AB547/230.85)</f>
        <v>0</v>
      </c>
      <c r="AB547" s="310">
        <f>E547/1.051</f>
        <v>0</v>
      </c>
    </row>
    <row r="548" spans="1:28" ht="51.75" thickBot="1" x14ac:dyDescent="0.45">
      <c r="A548" s="319" t="s">
        <v>14</v>
      </c>
      <c r="B548" s="371" t="s">
        <v>860</v>
      </c>
      <c r="C548" s="528"/>
      <c r="D548" s="548">
        <f>C548*12</f>
        <v>0</v>
      </c>
      <c r="E548" s="456">
        <f>D548*0.2</f>
        <v>0</v>
      </c>
      <c r="F548" s="358">
        <f>E548*0.99*1.03/147</f>
        <v>0</v>
      </c>
      <c r="G548" s="548">
        <f t="shared" si="191"/>
        <v>0</v>
      </c>
      <c r="H548" s="358" t="s">
        <v>18</v>
      </c>
      <c r="I548" s="548">
        <f t="shared" si="192"/>
        <v>0</v>
      </c>
      <c r="J548" s="358" t="s">
        <v>19</v>
      </c>
      <c r="K548" s="358"/>
      <c r="L548" s="358"/>
      <c r="M548" s="358">
        <f>(F548*8655)/2880</f>
        <v>0</v>
      </c>
      <c r="N548" s="358"/>
      <c r="O548" s="358"/>
      <c r="P548" s="358"/>
      <c r="Q548" s="358" t="s">
        <v>18</v>
      </c>
      <c r="R548" s="358"/>
      <c r="S548" s="358" t="s">
        <v>19</v>
      </c>
      <c r="T548" s="528">
        <v>9</v>
      </c>
      <c r="U548" s="324">
        <f>E548/403*60</f>
        <v>0</v>
      </c>
      <c r="V548" s="676"/>
      <c r="W548" s="528"/>
      <c r="X548" s="529"/>
      <c r="Y548" s="323"/>
      <c r="Z548" s="312">
        <f t="shared" ref="Z548:Z559" si="200">E548/1.02</f>
        <v>0</v>
      </c>
      <c r="AA548" s="316">
        <f>SUM(Z548/204.9)</f>
        <v>0</v>
      </c>
    </row>
    <row r="549" spans="1:28" ht="51.75" thickBot="1" x14ac:dyDescent="0.45">
      <c r="A549" s="319" t="s">
        <v>14</v>
      </c>
      <c r="B549" s="371" t="s">
        <v>861</v>
      </c>
      <c r="C549" s="528"/>
      <c r="D549" s="548">
        <f>C549*12</f>
        <v>0</v>
      </c>
      <c r="E549" s="456">
        <f>D549*0.2</f>
        <v>0</v>
      </c>
      <c r="F549" s="358">
        <f>E549*0.99*1.03/147</f>
        <v>0</v>
      </c>
      <c r="G549" s="548">
        <f t="shared" si="191"/>
        <v>0</v>
      </c>
      <c r="H549" s="358" t="s">
        <v>18</v>
      </c>
      <c r="I549" s="548">
        <f t="shared" si="192"/>
        <v>0</v>
      </c>
      <c r="J549" s="358" t="s">
        <v>19</v>
      </c>
      <c r="K549" s="358"/>
      <c r="L549" s="358"/>
      <c r="M549" s="358">
        <f>(F549*8655)/2880</f>
        <v>0</v>
      </c>
      <c r="N549" s="358"/>
      <c r="O549" s="358"/>
      <c r="P549" s="358"/>
      <c r="Q549" s="358" t="s">
        <v>18</v>
      </c>
      <c r="R549" s="358"/>
      <c r="S549" s="358" t="s">
        <v>19</v>
      </c>
      <c r="T549" s="528">
        <v>9</v>
      </c>
      <c r="U549" s="324">
        <f>E549/403*60</f>
        <v>0</v>
      </c>
      <c r="V549" s="676"/>
      <c r="W549" s="528"/>
      <c r="X549" s="529"/>
      <c r="Y549" s="323"/>
      <c r="Z549" s="312">
        <f t="shared" si="200"/>
        <v>0</v>
      </c>
      <c r="AA549" s="316">
        <f>SUM(Z549/204.9)</f>
        <v>0</v>
      </c>
    </row>
    <row r="550" spans="1:28" s="728" customFormat="1" ht="79.5" outlineLevel="1" thickBot="1" x14ac:dyDescent="0.45">
      <c r="A550" s="636" t="s">
        <v>14</v>
      </c>
      <c r="B550" s="635" t="s">
        <v>1042</v>
      </c>
      <c r="C550" s="720"/>
      <c r="D550" s="741">
        <f>C550*12</f>
        <v>0</v>
      </c>
      <c r="E550" s="721">
        <f>D550*0.25</f>
        <v>0</v>
      </c>
      <c r="F550" s="722">
        <f>E550*0.99*1.02/147</f>
        <v>0</v>
      </c>
      <c r="G550" s="720">
        <f t="shared" si="191"/>
        <v>0</v>
      </c>
      <c r="H550" s="722" t="s">
        <v>18</v>
      </c>
      <c r="I550" s="720">
        <f t="shared" si="192"/>
        <v>0</v>
      </c>
      <c r="J550" s="722" t="s">
        <v>19</v>
      </c>
      <c r="K550" s="722"/>
      <c r="L550" s="722"/>
      <c r="M550" s="722">
        <f>(F550*5880)/3456</f>
        <v>0</v>
      </c>
      <c r="N550" s="722"/>
      <c r="O550" s="722"/>
      <c r="P550" s="722"/>
      <c r="Q550" s="722" t="s">
        <v>18</v>
      </c>
      <c r="R550" s="722"/>
      <c r="S550" s="722" t="s">
        <v>19</v>
      </c>
      <c r="T550" s="720">
        <v>9</v>
      </c>
      <c r="U550" s="324">
        <f>E550/390*60</f>
        <v>0</v>
      </c>
      <c r="V550" s="724"/>
      <c r="W550" s="720"/>
      <c r="X550" s="725"/>
      <c r="Y550" s="736" t="s">
        <v>889</v>
      </c>
      <c r="Z550" s="727">
        <f t="shared" si="200"/>
        <v>0</v>
      </c>
      <c r="AA550" s="815">
        <f>SUM(Z550/310.5)</f>
        <v>0</v>
      </c>
    </row>
    <row r="551" spans="1:28" ht="53.25" thickBot="1" x14ac:dyDescent="0.45">
      <c r="A551" s="319" t="s">
        <v>14</v>
      </c>
      <c r="B551" s="368" t="s">
        <v>807</v>
      </c>
      <c r="C551" s="528"/>
      <c r="D551" s="551">
        <f>C551*8</f>
        <v>0</v>
      </c>
      <c r="E551" s="456">
        <f>D551*0.34</f>
        <v>0</v>
      </c>
      <c r="F551" s="358">
        <f>E551*0.99*1.01/147</f>
        <v>0</v>
      </c>
      <c r="G551" s="548">
        <f t="shared" si="191"/>
        <v>0</v>
      </c>
      <c r="H551" s="358" t="s">
        <v>18</v>
      </c>
      <c r="I551" s="548">
        <f t="shared" si="192"/>
        <v>0</v>
      </c>
      <c r="J551" s="358" t="s">
        <v>19</v>
      </c>
      <c r="K551" s="358"/>
      <c r="L551" s="358"/>
      <c r="M551" s="358">
        <f>(F551*5250)/2880</f>
        <v>0</v>
      </c>
      <c r="N551" s="358"/>
      <c r="O551" s="358"/>
      <c r="P551" s="358"/>
      <c r="Q551" s="358" t="s">
        <v>18</v>
      </c>
      <c r="R551" s="358"/>
      <c r="S551" s="358" t="s">
        <v>19</v>
      </c>
      <c r="T551" s="528">
        <v>9</v>
      </c>
      <c r="U551" s="324"/>
      <c r="V551" s="676"/>
      <c r="W551" s="528"/>
      <c r="X551" s="529"/>
      <c r="Y551" s="323"/>
      <c r="Z551" s="312">
        <f t="shared" si="200"/>
        <v>0</v>
      </c>
      <c r="AA551" s="316">
        <f>SUM(Z551/347.8)</f>
        <v>0</v>
      </c>
    </row>
    <row r="552" spans="1:28" ht="53.25" thickBot="1" x14ac:dyDescent="0.45">
      <c r="A552" s="319" t="s">
        <v>14</v>
      </c>
      <c r="B552" s="368" t="s">
        <v>808</v>
      </c>
      <c r="C552" s="528"/>
      <c r="D552" s="551">
        <f>C552*8</f>
        <v>0</v>
      </c>
      <c r="E552" s="456">
        <f>D552*0.34</f>
        <v>0</v>
      </c>
      <c r="F552" s="358">
        <f>E552*0.99*1.01/147</f>
        <v>0</v>
      </c>
      <c r="G552" s="548">
        <f t="shared" si="191"/>
        <v>0</v>
      </c>
      <c r="H552" s="358" t="s">
        <v>18</v>
      </c>
      <c r="I552" s="548">
        <f t="shared" si="192"/>
        <v>0</v>
      </c>
      <c r="J552" s="358" t="s">
        <v>19</v>
      </c>
      <c r="K552" s="358"/>
      <c r="L552" s="358"/>
      <c r="M552" s="358">
        <f>(F552*5250)/2880</f>
        <v>0</v>
      </c>
      <c r="N552" s="358"/>
      <c r="O552" s="358"/>
      <c r="P552" s="358"/>
      <c r="Q552" s="358" t="s">
        <v>18</v>
      </c>
      <c r="R552" s="358"/>
      <c r="S552" s="358" t="s">
        <v>19</v>
      </c>
      <c r="T552" s="528">
        <v>9</v>
      </c>
      <c r="U552" s="324"/>
      <c r="V552" s="676"/>
      <c r="W552" s="528"/>
      <c r="X552" s="529"/>
      <c r="Y552" s="323"/>
      <c r="Z552" s="312">
        <f t="shared" si="200"/>
        <v>0</v>
      </c>
      <c r="AA552" s="316">
        <f>SUM(Z552/347.8)</f>
        <v>0</v>
      </c>
    </row>
    <row r="553" spans="1:28" ht="79.5" thickBot="1" x14ac:dyDescent="0.45">
      <c r="A553" s="319" t="s">
        <v>14</v>
      </c>
      <c r="B553" s="362" t="s">
        <v>810</v>
      </c>
      <c r="C553" s="528"/>
      <c r="D553" s="551">
        <f>C553*8</f>
        <v>0</v>
      </c>
      <c r="E553" s="456">
        <f>D553*0.34</f>
        <v>0</v>
      </c>
      <c r="F553" s="358">
        <f>E553*0.99*1.01/147</f>
        <v>0</v>
      </c>
      <c r="G553" s="548">
        <f t="shared" si="191"/>
        <v>0</v>
      </c>
      <c r="H553" s="358" t="s">
        <v>18</v>
      </c>
      <c r="I553" s="548">
        <f t="shared" si="192"/>
        <v>0</v>
      </c>
      <c r="J553" s="358" t="s">
        <v>19</v>
      </c>
      <c r="K553" s="358"/>
      <c r="L553" s="358"/>
      <c r="M553" s="358">
        <f>(F553*5250)/2880</f>
        <v>0</v>
      </c>
      <c r="N553" s="358"/>
      <c r="O553" s="358"/>
      <c r="P553" s="358"/>
      <c r="Q553" s="358" t="s">
        <v>18</v>
      </c>
      <c r="R553" s="358"/>
      <c r="S553" s="358" t="s">
        <v>19</v>
      </c>
      <c r="T553" s="528">
        <v>9</v>
      </c>
      <c r="U553" s="324"/>
      <c r="V553" s="676"/>
      <c r="W553" s="528"/>
      <c r="X553" s="529"/>
      <c r="Y553" s="360" t="s">
        <v>921</v>
      </c>
      <c r="Z553" s="312">
        <f t="shared" si="200"/>
        <v>0</v>
      </c>
      <c r="AA553" s="316">
        <f>SUM(Z553/347.8)</f>
        <v>0</v>
      </c>
    </row>
    <row r="554" spans="1:28" ht="51.75" thickBot="1" x14ac:dyDescent="0.45">
      <c r="A554" s="319" t="s">
        <v>14</v>
      </c>
      <c r="B554" s="362" t="s">
        <v>812</v>
      </c>
      <c r="C554" s="528"/>
      <c r="D554" s="551">
        <f>C554*15</f>
        <v>0</v>
      </c>
      <c r="E554" s="456">
        <f>D554*0.18</f>
        <v>0</v>
      </c>
      <c r="F554" s="358">
        <f>E554*0.99*1.03/147</f>
        <v>0</v>
      </c>
      <c r="G554" s="548">
        <f t="shared" si="191"/>
        <v>0</v>
      </c>
      <c r="H554" s="358" t="s">
        <v>18</v>
      </c>
      <c r="I554" s="548">
        <f t="shared" si="192"/>
        <v>0</v>
      </c>
      <c r="J554" s="358" t="s">
        <v>19</v>
      </c>
      <c r="K554" s="358"/>
      <c r="L554" s="358"/>
      <c r="M554" s="358">
        <f>(F554*6450)/2880</f>
        <v>0</v>
      </c>
      <c r="N554" s="358"/>
      <c r="O554" s="358"/>
      <c r="P554" s="358"/>
      <c r="Q554" s="358" t="s">
        <v>18</v>
      </c>
      <c r="R554" s="358"/>
      <c r="S554" s="358" t="s">
        <v>19</v>
      </c>
      <c r="T554" s="528">
        <v>9</v>
      </c>
      <c r="U554" s="324">
        <f>E554/237*60</f>
        <v>0</v>
      </c>
      <c r="V554" s="676"/>
      <c r="W554" s="528"/>
      <c r="X554" s="529"/>
      <c r="Y554" s="323"/>
      <c r="Z554" s="312">
        <f t="shared" si="200"/>
        <v>0</v>
      </c>
      <c r="AA554" s="316">
        <f>SUM(Z554/285.7)</f>
        <v>0</v>
      </c>
    </row>
    <row r="555" spans="1:28" ht="51.75" thickBot="1" x14ac:dyDescent="0.45">
      <c r="A555" s="319" t="s">
        <v>14</v>
      </c>
      <c r="B555" s="362" t="s">
        <v>826</v>
      </c>
      <c r="C555" s="528"/>
      <c r="D555" s="551">
        <f t="shared" ref="D555:D564" si="201">C555*12</f>
        <v>0</v>
      </c>
      <c r="E555" s="456">
        <f>D555*0.5</f>
        <v>0</v>
      </c>
      <c r="F555" s="358">
        <f>E555*1.02*0.99/147</f>
        <v>0</v>
      </c>
      <c r="G555" s="548">
        <f t="shared" si="191"/>
        <v>0</v>
      </c>
      <c r="H555" s="358" t="s">
        <v>18</v>
      </c>
      <c r="I555" s="548">
        <f t="shared" si="192"/>
        <v>0</v>
      </c>
      <c r="J555" s="358" t="s">
        <v>19</v>
      </c>
      <c r="K555" s="358"/>
      <c r="L555" s="358"/>
      <c r="M555" s="358">
        <f>(F555*5257)/2880</f>
        <v>0</v>
      </c>
      <c r="N555" s="358"/>
      <c r="O555" s="358"/>
      <c r="P555" s="358"/>
      <c r="Q555" s="358" t="s">
        <v>18</v>
      </c>
      <c r="R555" s="358"/>
      <c r="S555" s="358" t="s">
        <v>19</v>
      </c>
      <c r="T555" s="528">
        <v>9</v>
      </c>
      <c r="U555" s="324"/>
      <c r="V555" s="676"/>
      <c r="W555" s="528"/>
      <c r="X555" s="529"/>
      <c r="Y555" s="711"/>
      <c r="Z555" s="312">
        <f t="shared" si="200"/>
        <v>0</v>
      </c>
      <c r="AA555" s="316">
        <f>SUM(Z555/323)</f>
        <v>0</v>
      </c>
    </row>
    <row r="556" spans="1:28" ht="84.75" customHeight="1" thickBot="1" x14ac:dyDescent="0.45">
      <c r="A556" s="319" t="s">
        <v>14</v>
      </c>
      <c r="B556" s="362" t="s">
        <v>904</v>
      </c>
      <c r="C556" s="528"/>
      <c r="D556" s="569">
        <f t="shared" si="201"/>
        <v>0</v>
      </c>
      <c r="E556" s="458">
        <f>D556*0.55</f>
        <v>0</v>
      </c>
      <c r="F556" s="358">
        <f>E556*0.9*1.01/147</f>
        <v>0</v>
      </c>
      <c r="G556" s="556">
        <f t="shared" si="191"/>
        <v>0</v>
      </c>
      <c r="H556" s="366" t="s">
        <v>18</v>
      </c>
      <c r="I556" s="556">
        <f t="shared" si="192"/>
        <v>0</v>
      </c>
      <c r="J556" s="366" t="s">
        <v>19</v>
      </c>
      <c r="K556" s="366"/>
      <c r="L556" s="366"/>
      <c r="M556" s="570">
        <f>(F556*5300/3456)</f>
        <v>0</v>
      </c>
      <c r="N556" s="366"/>
      <c r="O556" s="366"/>
      <c r="P556" s="366"/>
      <c r="Q556" s="366" t="s">
        <v>18</v>
      </c>
      <c r="R556" s="366"/>
      <c r="S556" s="366" t="s">
        <v>19</v>
      </c>
      <c r="T556" s="528">
        <v>9</v>
      </c>
      <c r="U556" s="324"/>
      <c r="V556" s="676"/>
      <c r="W556" s="528"/>
      <c r="X556" s="529"/>
      <c r="Y556" s="658"/>
      <c r="Z556" s="312">
        <f>E556/1.02/1.143</f>
        <v>0</v>
      </c>
      <c r="AA556" s="316">
        <f>SUM(AB556/323)</f>
        <v>0</v>
      </c>
      <c r="AB556" s="310">
        <f>E556/1.02</f>
        <v>0</v>
      </c>
    </row>
    <row r="557" spans="1:28" ht="84.75" customHeight="1" thickBot="1" x14ac:dyDescent="0.45">
      <c r="A557" s="319" t="s">
        <v>14</v>
      </c>
      <c r="B557" s="362" t="s">
        <v>905</v>
      </c>
      <c r="C557" s="528"/>
      <c r="D557" s="569">
        <f t="shared" si="201"/>
        <v>0</v>
      </c>
      <c r="E557" s="458">
        <f>D557*0.55</f>
        <v>0</v>
      </c>
      <c r="F557" s="358">
        <f>E557*0.9*1.01/147</f>
        <v>0</v>
      </c>
      <c r="G557" s="556">
        <f t="shared" si="191"/>
        <v>0</v>
      </c>
      <c r="H557" s="366" t="s">
        <v>18</v>
      </c>
      <c r="I557" s="556">
        <f t="shared" si="192"/>
        <v>0</v>
      </c>
      <c r="J557" s="366" t="s">
        <v>19</v>
      </c>
      <c r="K557" s="366"/>
      <c r="L557" s="366"/>
      <c r="M557" s="570">
        <f>(F557*5300/3456)</f>
        <v>0</v>
      </c>
      <c r="N557" s="366"/>
      <c r="O557" s="366"/>
      <c r="P557" s="366"/>
      <c r="Q557" s="366" t="s">
        <v>18</v>
      </c>
      <c r="R557" s="366"/>
      <c r="S557" s="366" t="s">
        <v>19</v>
      </c>
      <c r="T557" s="528">
        <v>9</v>
      </c>
      <c r="U557" s="324"/>
      <c r="V557" s="676"/>
      <c r="W557" s="528"/>
      <c r="X557" s="529"/>
      <c r="Y557" s="660"/>
      <c r="Z557" s="312">
        <f>E557/1.02/1.143</f>
        <v>0</v>
      </c>
      <c r="AA557" s="316">
        <f>SUM(AB557/323)</f>
        <v>0</v>
      </c>
      <c r="AB557" s="310">
        <f>E557/1.02</f>
        <v>0</v>
      </c>
    </row>
    <row r="558" spans="1:28" ht="51.75" thickBot="1" x14ac:dyDescent="0.45">
      <c r="A558" s="319" t="s">
        <v>14</v>
      </c>
      <c r="B558" s="344" t="s">
        <v>846</v>
      </c>
      <c r="C558" s="528"/>
      <c r="D558" s="551">
        <f t="shared" si="201"/>
        <v>0</v>
      </c>
      <c r="E558" s="456">
        <f t="shared" ref="E558:E564" si="202">D558*0.25</f>
        <v>0</v>
      </c>
      <c r="F558" s="358">
        <f t="shared" ref="F558:F564" si="203">E558*0.99*1.03/147</f>
        <v>0</v>
      </c>
      <c r="G558" s="548">
        <f t="shared" ref="G558:G570" si="204">INT(M558)</f>
        <v>0</v>
      </c>
      <c r="H558" s="358" t="s">
        <v>18</v>
      </c>
      <c r="I558" s="548">
        <f t="shared" ref="I558:I570" si="205">(M558-G558)*64</f>
        <v>0</v>
      </c>
      <c r="J558" s="358" t="s">
        <v>19</v>
      </c>
      <c r="K558" s="358"/>
      <c r="L558" s="358"/>
      <c r="M558" s="358">
        <f t="shared" ref="M558:M563" si="206">(F558*6989)/2880</f>
        <v>0</v>
      </c>
      <c r="N558" s="358"/>
      <c r="O558" s="358"/>
      <c r="P558" s="358"/>
      <c r="Q558" s="358" t="s">
        <v>18</v>
      </c>
      <c r="R558" s="358"/>
      <c r="S558" s="358" t="s">
        <v>19</v>
      </c>
      <c r="T558" s="528">
        <v>9</v>
      </c>
      <c r="U558" s="324">
        <f t="shared" ref="U558:U564" si="207">E558/403*60</f>
        <v>0</v>
      </c>
      <c r="V558" s="676"/>
      <c r="W558" s="528"/>
      <c r="X558" s="529"/>
      <c r="Y558" s="323"/>
      <c r="Z558" s="312">
        <f t="shared" si="200"/>
        <v>0</v>
      </c>
      <c r="AA558" s="316">
        <f t="shared" ref="AA558:AA564" si="208">SUM(Z558/260.8)</f>
        <v>0</v>
      </c>
    </row>
    <row r="559" spans="1:28" ht="51.75" thickBot="1" x14ac:dyDescent="0.45">
      <c r="A559" s="319" t="s">
        <v>14</v>
      </c>
      <c r="B559" s="344" t="s">
        <v>847</v>
      </c>
      <c r="C559" s="528"/>
      <c r="D559" s="551">
        <f t="shared" si="201"/>
        <v>0</v>
      </c>
      <c r="E559" s="456">
        <f t="shared" si="202"/>
        <v>0</v>
      </c>
      <c r="F559" s="358">
        <f t="shared" si="203"/>
        <v>0</v>
      </c>
      <c r="G559" s="548">
        <f t="shared" si="204"/>
        <v>0</v>
      </c>
      <c r="H559" s="358" t="s">
        <v>18</v>
      </c>
      <c r="I559" s="548">
        <f t="shared" si="205"/>
        <v>0</v>
      </c>
      <c r="J559" s="358" t="s">
        <v>19</v>
      </c>
      <c r="K559" s="358"/>
      <c r="L559" s="358"/>
      <c r="M559" s="358">
        <f t="shared" si="206"/>
        <v>0</v>
      </c>
      <c r="N559" s="358"/>
      <c r="O559" s="358"/>
      <c r="P559" s="358"/>
      <c r="Q559" s="358" t="s">
        <v>18</v>
      </c>
      <c r="R559" s="358"/>
      <c r="S559" s="358" t="s">
        <v>19</v>
      </c>
      <c r="T559" s="528">
        <v>9</v>
      </c>
      <c r="U559" s="324">
        <f t="shared" si="207"/>
        <v>0</v>
      </c>
      <c r="V559" s="676"/>
      <c r="W559" s="528"/>
      <c r="X559" s="529"/>
      <c r="Y559" s="323"/>
      <c r="Z559" s="312">
        <f t="shared" si="200"/>
        <v>0</v>
      </c>
      <c r="AA559" s="316">
        <f t="shared" si="208"/>
        <v>0</v>
      </c>
    </row>
    <row r="560" spans="1:28" ht="51.75" thickBot="1" x14ac:dyDescent="0.45">
      <c r="A560" s="319" t="s">
        <v>14</v>
      </c>
      <c r="B560" s="344" t="s">
        <v>848</v>
      </c>
      <c r="C560" s="528"/>
      <c r="D560" s="551">
        <f t="shared" si="201"/>
        <v>0</v>
      </c>
      <c r="E560" s="456">
        <f t="shared" si="202"/>
        <v>0</v>
      </c>
      <c r="F560" s="358">
        <f t="shared" si="203"/>
        <v>0</v>
      </c>
      <c r="G560" s="548">
        <f t="shared" si="204"/>
        <v>0</v>
      </c>
      <c r="H560" s="358" t="s">
        <v>18</v>
      </c>
      <c r="I560" s="548">
        <f t="shared" si="205"/>
        <v>0</v>
      </c>
      <c r="J560" s="358" t="s">
        <v>19</v>
      </c>
      <c r="K560" s="358"/>
      <c r="L560" s="358"/>
      <c r="M560" s="358">
        <f t="shared" si="206"/>
        <v>0</v>
      </c>
      <c r="N560" s="358"/>
      <c r="O560" s="358"/>
      <c r="P560" s="358"/>
      <c r="Q560" s="358" t="s">
        <v>18</v>
      </c>
      <c r="R560" s="358"/>
      <c r="S560" s="358" t="s">
        <v>19</v>
      </c>
      <c r="T560" s="528">
        <v>9</v>
      </c>
      <c r="U560" s="324">
        <f t="shared" si="207"/>
        <v>0</v>
      </c>
      <c r="V560" s="676"/>
      <c r="W560" s="528"/>
      <c r="X560" s="529"/>
      <c r="Y560" s="323"/>
      <c r="Z560" s="312">
        <f>E560/1.1</f>
        <v>0</v>
      </c>
      <c r="AA560" s="316">
        <f t="shared" si="208"/>
        <v>0</v>
      </c>
    </row>
    <row r="561" spans="1:29" ht="51.75" thickBot="1" x14ac:dyDescent="0.45">
      <c r="A561" s="319" t="s">
        <v>14</v>
      </c>
      <c r="B561" s="879" t="s">
        <v>1211</v>
      </c>
      <c r="C561" s="528"/>
      <c r="D561" s="551">
        <f>C561*14</f>
        <v>0</v>
      </c>
      <c r="E561" s="456">
        <f t="shared" si="202"/>
        <v>0</v>
      </c>
      <c r="F561" s="358">
        <f t="shared" si="203"/>
        <v>0</v>
      </c>
      <c r="G561" s="548">
        <f t="shared" si="204"/>
        <v>0</v>
      </c>
      <c r="H561" s="358" t="s">
        <v>18</v>
      </c>
      <c r="I561" s="548">
        <f t="shared" si="205"/>
        <v>0</v>
      </c>
      <c r="J561" s="358" t="s">
        <v>19</v>
      </c>
      <c r="K561" s="358"/>
      <c r="L561" s="358"/>
      <c r="M561" s="358">
        <f t="shared" si="206"/>
        <v>0</v>
      </c>
      <c r="N561" s="358"/>
      <c r="O561" s="358"/>
      <c r="P561" s="358"/>
      <c r="Q561" s="358" t="s">
        <v>18</v>
      </c>
      <c r="R561" s="358"/>
      <c r="S561" s="358" t="s">
        <v>19</v>
      </c>
      <c r="T561" s="528">
        <v>9</v>
      </c>
      <c r="U561" s="324">
        <f t="shared" si="207"/>
        <v>0</v>
      </c>
      <c r="V561" s="676"/>
      <c r="W561" s="528"/>
      <c r="X561" s="529"/>
      <c r="Y561" s="323"/>
      <c r="Z561" s="312">
        <f>E561/1.02</f>
        <v>0</v>
      </c>
      <c r="AA561" s="316">
        <f t="shared" si="208"/>
        <v>0</v>
      </c>
    </row>
    <row r="562" spans="1:29" ht="51.75" thickBot="1" x14ac:dyDescent="0.45">
      <c r="A562" s="319" t="s">
        <v>14</v>
      </c>
      <c r="B562" s="879" t="s">
        <v>1213</v>
      </c>
      <c r="C562" s="528"/>
      <c r="D562" s="551">
        <f>C562*14</f>
        <v>0</v>
      </c>
      <c r="E562" s="456">
        <f t="shared" si="202"/>
        <v>0</v>
      </c>
      <c r="F562" s="358">
        <f t="shared" si="203"/>
        <v>0</v>
      </c>
      <c r="G562" s="548">
        <f t="shared" si="204"/>
        <v>0</v>
      </c>
      <c r="H562" s="358" t="s">
        <v>18</v>
      </c>
      <c r="I562" s="548">
        <f t="shared" si="205"/>
        <v>0</v>
      </c>
      <c r="J562" s="358" t="s">
        <v>19</v>
      </c>
      <c r="K562" s="358"/>
      <c r="L562" s="358"/>
      <c r="M562" s="358">
        <f t="shared" si="206"/>
        <v>0</v>
      </c>
      <c r="N562" s="358"/>
      <c r="O562" s="358"/>
      <c r="P562" s="358"/>
      <c r="Q562" s="358" t="s">
        <v>18</v>
      </c>
      <c r="R562" s="358"/>
      <c r="S562" s="358" t="s">
        <v>19</v>
      </c>
      <c r="T562" s="528">
        <v>9</v>
      </c>
      <c r="U562" s="324">
        <f t="shared" si="207"/>
        <v>0</v>
      </c>
      <c r="V562" s="676"/>
      <c r="W562" s="528"/>
      <c r="X562" s="529"/>
      <c r="Y562" s="323"/>
      <c r="Z562" s="312">
        <f>E562/1.02</f>
        <v>0</v>
      </c>
      <c r="AA562" s="316">
        <f t="shared" si="208"/>
        <v>0</v>
      </c>
    </row>
    <row r="563" spans="1:29" ht="51.75" thickBot="1" x14ac:dyDescent="0.45">
      <c r="A563" s="319" t="s">
        <v>14</v>
      </c>
      <c r="B563" s="879" t="s">
        <v>1212</v>
      </c>
      <c r="C563" s="528"/>
      <c r="D563" s="551">
        <f>C563*14</f>
        <v>0</v>
      </c>
      <c r="E563" s="456">
        <f t="shared" si="202"/>
        <v>0</v>
      </c>
      <c r="F563" s="358">
        <f t="shared" si="203"/>
        <v>0</v>
      </c>
      <c r="G563" s="548">
        <f t="shared" si="204"/>
        <v>0</v>
      </c>
      <c r="H563" s="358" t="s">
        <v>18</v>
      </c>
      <c r="I563" s="548">
        <f t="shared" si="205"/>
        <v>0</v>
      </c>
      <c r="J563" s="358" t="s">
        <v>19</v>
      </c>
      <c r="K563" s="358"/>
      <c r="L563" s="358"/>
      <c r="M563" s="358">
        <f t="shared" si="206"/>
        <v>0</v>
      </c>
      <c r="N563" s="358"/>
      <c r="O563" s="358"/>
      <c r="P563" s="358"/>
      <c r="Q563" s="358" t="s">
        <v>18</v>
      </c>
      <c r="R563" s="358"/>
      <c r="S563" s="358" t="s">
        <v>19</v>
      </c>
      <c r="T563" s="528">
        <v>9</v>
      </c>
      <c r="U563" s="324">
        <f t="shared" si="207"/>
        <v>0</v>
      </c>
      <c r="V563" s="676"/>
      <c r="W563" s="528"/>
      <c r="X563" s="529"/>
      <c r="Y563" s="323"/>
      <c r="Z563" s="312">
        <f>E563/1.1</f>
        <v>0</v>
      </c>
      <c r="AA563" s="316">
        <f t="shared" si="208"/>
        <v>0</v>
      </c>
    </row>
    <row r="564" spans="1:29" ht="77.25" thickBot="1" x14ac:dyDescent="0.45">
      <c r="A564" s="319" t="s">
        <v>14</v>
      </c>
      <c r="B564" s="344" t="s">
        <v>910</v>
      </c>
      <c r="C564" s="528"/>
      <c r="D564" s="548">
        <f t="shared" si="201"/>
        <v>0</v>
      </c>
      <c r="E564" s="456">
        <f t="shared" si="202"/>
        <v>0</v>
      </c>
      <c r="F564" s="358">
        <f t="shared" si="203"/>
        <v>0</v>
      </c>
      <c r="G564" s="548">
        <f t="shared" si="204"/>
        <v>0</v>
      </c>
      <c r="H564" s="358" t="s">
        <v>18</v>
      </c>
      <c r="I564" s="548">
        <f t="shared" si="205"/>
        <v>0</v>
      </c>
      <c r="J564" s="358" t="s">
        <v>19</v>
      </c>
      <c r="K564" s="358"/>
      <c r="L564" s="358"/>
      <c r="M564" s="358">
        <f>(F564*7000)/2880</f>
        <v>0</v>
      </c>
      <c r="N564" s="358"/>
      <c r="O564" s="358"/>
      <c r="P564" s="358"/>
      <c r="Q564" s="358" t="s">
        <v>18</v>
      </c>
      <c r="R564" s="358"/>
      <c r="S564" s="358" t="s">
        <v>19</v>
      </c>
      <c r="T564" s="528">
        <v>9</v>
      </c>
      <c r="U564" s="324">
        <f t="shared" si="207"/>
        <v>0</v>
      </c>
      <c r="V564" s="676"/>
      <c r="W564" s="528"/>
      <c r="X564" s="529"/>
      <c r="Y564" s="323"/>
      <c r="Z564" s="312">
        <f>E564/1.1</f>
        <v>0</v>
      </c>
      <c r="AA564" s="316">
        <f t="shared" si="208"/>
        <v>0</v>
      </c>
    </row>
    <row r="565" spans="1:29" ht="53.25" thickBot="1" x14ac:dyDescent="0.45">
      <c r="A565" s="319" t="s">
        <v>14</v>
      </c>
      <c r="B565" s="320" t="s">
        <v>1021</v>
      </c>
      <c r="C565" s="528"/>
      <c r="D565" s="530">
        <f>C565*22</f>
        <v>0</v>
      </c>
      <c r="E565" s="460">
        <f>D565*0.13</f>
        <v>0</v>
      </c>
      <c r="F565" s="324">
        <f t="shared" ref="F565:F570" si="209">E565*0.99*1.02/170</f>
        <v>0</v>
      </c>
      <c r="G565" s="324">
        <f t="shared" si="204"/>
        <v>0</v>
      </c>
      <c r="H565" s="324" t="s">
        <v>18</v>
      </c>
      <c r="I565" s="528">
        <f t="shared" si="205"/>
        <v>0</v>
      </c>
      <c r="J565" s="324" t="s">
        <v>19</v>
      </c>
      <c r="K565" s="324"/>
      <c r="L565" s="324"/>
      <c r="M565" s="324">
        <f t="shared" ref="M565:M570" si="210">(F565*8500)/3456</f>
        <v>0</v>
      </c>
      <c r="N565" s="324"/>
      <c r="O565" s="324"/>
      <c r="P565" s="324"/>
      <c r="Q565" s="324" t="s">
        <v>18</v>
      </c>
      <c r="R565" s="324"/>
      <c r="S565" s="324" t="s">
        <v>19</v>
      </c>
      <c r="T565" s="528">
        <v>9</v>
      </c>
      <c r="U565" s="324">
        <f t="shared" ref="U565:U570" si="211">E565/237*60</f>
        <v>0</v>
      </c>
      <c r="V565" s="676"/>
      <c r="W565" s="528"/>
      <c r="X565" s="529"/>
      <c r="Y565" s="323" t="s">
        <v>1022</v>
      </c>
      <c r="Z565" s="312">
        <f t="shared" ref="Z565:Z570" si="212">E565/1.026</f>
        <v>0</v>
      </c>
      <c r="AA565" s="316">
        <f>SUM(Z565/273)</f>
        <v>0</v>
      </c>
    </row>
    <row r="566" spans="1:29" ht="53.25" thickBot="1" x14ac:dyDescent="0.45">
      <c r="A566" s="319" t="s">
        <v>14</v>
      </c>
      <c r="B566" s="799" t="s">
        <v>1223</v>
      </c>
      <c r="C566" s="528"/>
      <c r="D566" s="530">
        <f>C566*12</f>
        <v>0</v>
      </c>
      <c r="E566" s="460">
        <f>D566*0.13</f>
        <v>0</v>
      </c>
      <c r="F566" s="324">
        <f t="shared" si="209"/>
        <v>0</v>
      </c>
      <c r="G566" s="324">
        <f t="shared" si="204"/>
        <v>0</v>
      </c>
      <c r="H566" s="324" t="s">
        <v>18</v>
      </c>
      <c r="I566" s="528">
        <f t="shared" si="205"/>
        <v>0</v>
      </c>
      <c r="J566" s="324" t="s">
        <v>19</v>
      </c>
      <c r="K566" s="324"/>
      <c r="L566" s="324"/>
      <c r="M566" s="324">
        <f t="shared" si="210"/>
        <v>0</v>
      </c>
      <c r="N566" s="324"/>
      <c r="O566" s="324"/>
      <c r="P566" s="324"/>
      <c r="Q566" s="324" t="s">
        <v>18</v>
      </c>
      <c r="R566" s="324"/>
      <c r="S566" s="324" t="s">
        <v>19</v>
      </c>
      <c r="T566" s="528">
        <v>9</v>
      </c>
      <c r="U566" s="324">
        <f t="shared" si="211"/>
        <v>0</v>
      </c>
      <c r="V566" s="676"/>
      <c r="W566" s="528"/>
      <c r="X566" s="529"/>
      <c r="Y566" s="323" t="s">
        <v>1022</v>
      </c>
      <c r="Z566" s="312">
        <f t="shared" si="212"/>
        <v>0</v>
      </c>
      <c r="AA566" s="316">
        <f>SUM(Z566/273)</f>
        <v>0</v>
      </c>
    </row>
    <row r="567" spans="1:29" ht="53.25" thickBot="1" x14ac:dyDescent="0.45">
      <c r="A567" s="319" t="s">
        <v>14</v>
      </c>
      <c r="B567" s="320" t="s">
        <v>1023</v>
      </c>
      <c r="C567" s="528"/>
      <c r="D567" s="530">
        <f>C567*8</f>
        <v>0</v>
      </c>
      <c r="E567" s="460">
        <f>D567*0.16</f>
        <v>0</v>
      </c>
      <c r="F567" s="324">
        <f t="shared" si="209"/>
        <v>0</v>
      </c>
      <c r="G567" s="324">
        <f t="shared" si="204"/>
        <v>0</v>
      </c>
      <c r="H567" s="324" t="s">
        <v>18</v>
      </c>
      <c r="I567" s="528">
        <f t="shared" si="205"/>
        <v>0</v>
      </c>
      <c r="J567" s="324" t="s">
        <v>19</v>
      </c>
      <c r="K567" s="324"/>
      <c r="L567" s="324"/>
      <c r="M567" s="324">
        <f t="shared" si="210"/>
        <v>0</v>
      </c>
      <c r="N567" s="324"/>
      <c r="O567" s="324"/>
      <c r="P567" s="324"/>
      <c r="Q567" s="324" t="s">
        <v>18</v>
      </c>
      <c r="R567" s="324"/>
      <c r="S567" s="324" t="s">
        <v>19</v>
      </c>
      <c r="T567" s="528">
        <v>9</v>
      </c>
      <c r="U567" s="324">
        <f t="shared" si="211"/>
        <v>0</v>
      </c>
      <c r="V567" s="676"/>
      <c r="W567" s="528"/>
      <c r="X567" s="529"/>
      <c r="Y567" s="323" t="s">
        <v>1022</v>
      </c>
      <c r="Z567" s="312">
        <f t="shared" si="212"/>
        <v>0</v>
      </c>
      <c r="AA567" s="316">
        <f>SUM(Z567/248)</f>
        <v>0</v>
      </c>
    </row>
    <row r="568" spans="1:29" ht="53.25" thickBot="1" x14ac:dyDescent="0.45">
      <c r="A568" s="319" t="s">
        <v>14</v>
      </c>
      <c r="B568" s="320" t="s">
        <v>1195</v>
      </c>
      <c r="C568" s="528"/>
      <c r="D568" s="551">
        <f>C568*12</f>
        <v>0</v>
      </c>
      <c r="E568" s="456">
        <f>D568*0.16</f>
        <v>0</v>
      </c>
      <c r="F568" s="358">
        <f t="shared" si="209"/>
        <v>0</v>
      </c>
      <c r="G568" s="358">
        <f t="shared" si="204"/>
        <v>0</v>
      </c>
      <c r="H568" s="358" t="s">
        <v>18</v>
      </c>
      <c r="I568" s="548">
        <f t="shared" si="205"/>
        <v>0</v>
      </c>
      <c r="J568" s="358" t="s">
        <v>19</v>
      </c>
      <c r="K568" s="358"/>
      <c r="L568" s="358"/>
      <c r="M568" s="358">
        <f t="shared" si="210"/>
        <v>0</v>
      </c>
      <c r="N568" s="324"/>
      <c r="O568" s="324"/>
      <c r="P568" s="324"/>
      <c r="Q568" s="324" t="s">
        <v>18</v>
      </c>
      <c r="R568" s="324"/>
      <c r="S568" s="324" t="s">
        <v>19</v>
      </c>
      <c r="T568" s="528">
        <v>9</v>
      </c>
      <c r="U568" s="324">
        <f t="shared" si="211"/>
        <v>0</v>
      </c>
      <c r="V568" s="676"/>
      <c r="W568" s="528"/>
      <c r="X568" s="529"/>
      <c r="Y568" s="323" t="s">
        <v>1022</v>
      </c>
      <c r="Z568" s="312">
        <f t="shared" si="212"/>
        <v>0</v>
      </c>
      <c r="AA568" s="316">
        <f>SUM(Z568/248)</f>
        <v>0</v>
      </c>
    </row>
    <row r="569" spans="1:29" ht="53.25" thickBot="1" x14ac:dyDescent="0.45">
      <c r="A569" s="319" t="s">
        <v>14</v>
      </c>
      <c r="B569" s="799" t="s">
        <v>1215</v>
      </c>
      <c r="C569" s="528"/>
      <c r="D569" s="551">
        <f>C569*10</f>
        <v>0</v>
      </c>
      <c r="E569" s="456">
        <f>D569*0.16</f>
        <v>0</v>
      </c>
      <c r="F569" s="358">
        <f t="shared" si="209"/>
        <v>0</v>
      </c>
      <c r="G569" s="358">
        <f t="shared" si="204"/>
        <v>0</v>
      </c>
      <c r="H569" s="358" t="s">
        <v>18</v>
      </c>
      <c r="I569" s="548">
        <f t="shared" si="205"/>
        <v>0</v>
      </c>
      <c r="J569" s="358" t="s">
        <v>19</v>
      </c>
      <c r="K569" s="358"/>
      <c r="L569" s="358"/>
      <c r="M569" s="358">
        <f t="shared" si="210"/>
        <v>0</v>
      </c>
      <c r="N569" s="324"/>
      <c r="O569" s="324"/>
      <c r="P569" s="324"/>
      <c r="Q569" s="324" t="s">
        <v>18</v>
      </c>
      <c r="R569" s="324"/>
      <c r="S569" s="324" t="s">
        <v>19</v>
      </c>
      <c r="T569" s="528">
        <v>9</v>
      </c>
      <c r="U569" s="324">
        <f t="shared" si="211"/>
        <v>0</v>
      </c>
      <c r="V569" s="676"/>
      <c r="W569" s="528"/>
      <c r="X569" s="529"/>
      <c r="Y569" s="323" t="s">
        <v>1022</v>
      </c>
      <c r="Z569" s="312">
        <f t="shared" si="212"/>
        <v>0</v>
      </c>
      <c r="AA569" s="316">
        <f>SUM(Z569/248)</f>
        <v>0</v>
      </c>
    </row>
    <row r="570" spans="1:29" ht="77.25" thickBot="1" x14ac:dyDescent="0.45">
      <c r="A570" s="319" t="s">
        <v>14</v>
      </c>
      <c r="B570" s="320" t="s">
        <v>1182</v>
      </c>
      <c r="C570" s="528"/>
      <c r="D570" s="530">
        <f>C570*10</f>
        <v>0</v>
      </c>
      <c r="E570" s="460">
        <f>D570*0.26</f>
        <v>0</v>
      </c>
      <c r="F570" s="324">
        <f t="shared" si="209"/>
        <v>0</v>
      </c>
      <c r="G570" s="324">
        <f t="shared" si="204"/>
        <v>0</v>
      </c>
      <c r="H570" s="324" t="s">
        <v>18</v>
      </c>
      <c r="I570" s="528">
        <f t="shared" si="205"/>
        <v>0</v>
      </c>
      <c r="J570" s="324" t="s">
        <v>19</v>
      </c>
      <c r="K570" s="324"/>
      <c r="L570" s="324"/>
      <c r="M570" s="324">
        <f t="shared" si="210"/>
        <v>0</v>
      </c>
      <c r="N570" s="324"/>
      <c r="O570" s="324"/>
      <c r="P570" s="324"/>
      <c r="Q570" s="324" t="s">
        <v>18</v>
      </c>
      <c r="R570" s="324"/>
      <c r="S570" s="324" t="s">
        <v>19</v>
      </c>
      <c r="T570" s="528">
        <v>9</v>
      </c>
      <c r="U570" s="324">
        <f t="shared" si="211"/>
        <v>0</v>
      </c>
      <c r="V570" s="676"/>
      <c r="W570" s="528"/>
      <c r="X570" s="529"/>
      <c r="Y570" s="323" t="s">
        <v>1022</v>
      </c>
      <c r="Z570" s="312">
        <f t="shared" si="212"/>
        <v>0</v>
      </c>
      <c r="AA570" s="316">
        <f>SUM(Z570/273)</f>
        <v>0</v>
      </c>
    </row>
    <row r="571" spans="1:29" thickBot="1" x14ac:dyDescent="0.45">
      <c r="A571" s="319"/>
      <c r="B571" s="319"/>
      <c r="C571" s="528"/>
      <c r="D571" s="528"/>
      <c r="E571" s="460"/>
      <c r="F571" s="324"/>
      <c r="G571" s="528"/>
      <c r="H571" s="324"/>
      <c r="I571" s="528"/>
      <c r="J571" s="324"/>
      <c r="K571" s="324"/>
      <c r="L571" s="324"/>
      <c r="M571" s="324"/>
      <c r="N571" s="324"/>
      <c r="O571" s="324"/>
      <c r="P571" s="324"/>
      <c r="Q571" s="324"/>
      <c r="R571" s="324"/>
      <c r="S571" s="324"/>
      <c r="T571" s="528"/>
      <c r="U571" s="324"/>
      <c r="V571" s="676"/>
      <c r="W571" s="528"/>
      <c r="X571" s="529"/>
      <c r="Y571" s="323"/>
    </row>
    <row r="572" spans="1:29" thickBot="1" x14ac:dyDescent="0.45">
      <c r="A572" s="319"/>
      <c r="B572" s="319"/>
      <c r="C572" s="528"/>
      <c r="D572" s="528"/>
      <c r="E572" s="460"/>
      <c r="F572" s="324"/>
      <c r="G572" s="528"/>
      <c r="H572" s="324"/>
      <c r="I572" s="528"/>
      <c r="J572" s="324"/>
      <c r="K572" s="324"/>
      <c r="L572" s="324"/>
      <c r="M572" s="324"/>
      <c r="N572" s="324"/>
      <c r="O572" s="324"/>
      <c r="P572" s="324"/>
      <c r="Q572" s="324"/>
      <c r="R572" s="324"/>
      <c r="S572" s="324"/>
      <c r="T572" s="528"/>
      <c r="U572" s="324"/>
      <c r="V572" s="676"/>
      <c r="W572" s="528"/>
      <c r="X572" s="529"/>
      <c r="Y572" s="323"/>
    </row>
    <row r="573" spans="1:29" ht="333" thickBot="1" x14ac:dyDescent="0.45">
      <c r="A573" s="829"/>
      <c r="B573" s="304" t="s">
        <v>119</v>
      </c>
      <c r="C573" s="537"/>
      <c r="D573" s="537"/>
      <c r="E573" s="499">
        <v>160</v>
      </c>
      <c r="F573" s="538"/>
      <c r="G573" s="528"/>
      <c r="H573" s="324"/>
      <c r="I573" s="528"/>
      <c r="J573" s="324"/>
      <c r="K573" s="324"/>
      <c r="L573" s="324"/>
      <c r="M573" s="324"/>
      <c r="N573" s="324"/>
      <c r="O573" s="324"/>
      <c r="P573" s="324"/>
      <c r="Q573" s="324"/>
      <c r="R573" s="324"/>
      <c r="S573" s="324"/>
      <c r="T573" s="528"/>
      <c r="U573" s="324"/>
      <c r="V573" s="676"/>
      <c r="W573" s="528"/>
      <c r="X573" s="529"/>
      <c r="Y573" s="397" t="s">
        <v>1049</v>
      </c>
      <c r="AA573" s="916" t="s">
        <v>1050</v>
      </c>
      <c r="AB573" s="916"/>
      <c r="AC573" s="916"/>
    </row>
    <row r="574" spans="1:29" thickBot="1" x14ac:dyDescent="0.45">
      <c r="A574" s="829"/>
      <c r="B574" s="332" t="s">
        <v>120</v>
      </c>
      <c r="C574" s="537"/>
      <c r="D574" s="537"/>
      <c r="E574" s="496">
        <f>SUM(E382:E570)</f>
        <v>8800</v>
      </c>
      <c r="F574" s="496">
        <f>SUM(F382:F570)</f>
        <v>52.760816326530609</v>
      </c>
      <c r="G574" s="528"/>
      <c r="H574" s="324"/>
      <c r="I574" s="528"/>
      <c r="J574" s="324"/>
      <c r="K574" s="324"/>
      <c r="L574" s="324"/>
      <c r="M574" s="324"/>
      <c r="N574" s="324"/>
      <c r="O574" s="324"/>
      <c r="P574" s="324"/>
      <c r="Q574" s="324"/>
      <c r="R574" s="324"/>
      <c r="S574" s="324"/>
      <c r="T574" s="528"/>
      <c r="U574" s="324"/>
      <c r="V574" s="676"/>
      <c r="W574" s="528"/>
      <c r="X574" s="529"/>
      <c r="Y574" s="323"/>
    </row>
    <row r="575" spans="1:29" thickBot="1" x14ac:dyDescent="0.45">
      <c r="A575" s="829"/>
      <c r="B575" s="332" t="s">
        <v>121</v>
      </c>
      <c r="C575" s="537"/>
      <c r="D575" s="537"/>
      <c r="E575" s="496">
        <f>E574+E376</f>
        <v>8800</v>
      </c>
      <c r="F575" s="354"/>
      <c r="G575" s="528"/>
      <c r="H575" s="324"/>
      <c r="I575" s="528"/>
      <c r="J575" s="324"/>
      <c r="K575" s="324"/>
      <c r="L575" s="324"/>
      <c r="M575" s="324"/>
      <c r="N575" s="324"/>
      <c r="O575" s="324"/>
      <c r="P575" s="324"/>
      <c r="Q575" s="324"/>
      <c r="R575" s="324"/>
      <c r="S575" s="324"/>
      <c r="T575" s="528"/>
      <c r="U575" s="324"/>
      <c r="V575" s="676"/>
      <c r="W575" s="528"/>
      <c r="X575" s="529"/>
      <c r="Y575" s="323"/>
    </row>
    <row r="576" spans="1:29" thickBot="1" x14ac:dyDescent="0.45">
      <c r="A576" s="829"/>
      <c r="B576" s="329"/>
      <c r="C576" s="539"/>
      <c r="D576" s="539"/>
      <c r="E576" s="502"/>
      <c r="F576" s="333"/>
      <c r="G576" s="539"/>
      <c r="H576" s="333"/>
      <c r="I576" s="539"/>
      <c r="J576" s="333"/>
      <c r="K576" s="333"/>
      <c r="L576" s="333"/>
      <c r="M576" s="333"/>
      <c r="N576" s="333"/>
      <c r="O576" s="333"/>
      <c r="P576" s="333"/>
      <c r="Q576" s="333"/>
      <c r="R576" s="333"/>
      <c r="S576" s="333"/>
      <c r="T576" s="539"/>
      <c r="U576" s="333"/>
      <c r="V576" s="681"/>
      <c r="W576" s="539"/>
      <c r="X576" s="333"/>
      <c r="Y576" s="323"/>
    </row>
    <row r="577" spans="1:28" thickBot="1" x14ac:dyDescent="0.45">
      <c r="A577" s="829"/>
      <c r="B577" s="329"/>
      <c r="C577" s="539"/>
      <c r="D577" s="539"/>
      <c r="E577" s="502"/>
      <c r="F577" s="333"/>
      <c r="G577" s="539"/>
      <c r="H577" s="333"/>
      <c r="I577" s="539"/>
      <c r="J577" s="333"/>
      <c r="K577" s="333"/>
      <c r="L577" s="333"/>
      <c r="M577" s="333"/>
      <c r="N577" s="333"/>
      <c r="O577" s="333"/>
      <c r="P577" s="333"/>
      <c r="Q577" s="333"/>
      <c r="R577" s="333"/>
      <c r="S577" s="333"/>
      <c r="T577" s="539"/>
      <c r="U577" s="333"/>
      <c r="V577" s="681"/>
      <c r="W577" s="539"/>
      <c r="X577" s="333"/>
      <c r="Y577" s="323"/>
    </row>
    <row r="578" spans="1:28" thickBot="1" x14ac:dyDescent="0.45">
      <c r="A578" s="829"/>
      <c r="B578" s="305" t="s">
        <v>938</v>
      </c>
      <c r="C578" s="559"/>
      <c r="D578" s="559"/>
      <c r="E578" s="510"/>
      <c r="F578" s="471"/>
      <c r="G578" s="559"/>
      <c r="H578" s="471"/>
      <c r="I578" s="559"/>
      <c r="J578" s="471"/>
      <c r="K578" s="471"/>
      <c r="L578" s="471"/>
      <c r="M578" s="471"/>
      <c r="N578" s="471"/>
      <c r="O578" s="471"/>
      <c r="P578" s="471"/>
      <c r="Q578" s="471"/>
      <c r="R578" s="471"/>
      <c r="S578" s="471"/>
      <c r="T578" s="559"/>
      <c r="U578" s="471"/>
      <c r="V578" s="687"/>
      <c r="W578" s="471"/>
      <c r="X578" s="471"/>
      <c r="Y578" s="373"/>
    </row>
    <row r="579" spans="1:28" thickBot="1" x14ac:dyDescent="0.45">
      <c r="A579" s="829"/>
      <c r="B579" s="642" t="s">
        <v>1165</v>
      </c>
      <c r="C579" s="539"/>
      <c r="D579" s="539"/>
      <c r="E579" s="502"/>
      <c r="F579" s="333"/>
      <c r="G579" s="539"/>
      <c r="H579" s="333"/>
      <c r="I579" s="539"/>
      <c r="J579" s="333"/>
      <c r="K579" s="333"/>
      <c r="L579" s="333"/>
      <c r="M579" s="333"/>
      <c r="N579" s="333"/>
      <c r="O579" s="333"/>
      <c r="P579" s="333"/>
      <c r="Q579" s="333"/>
      <c r="R579" s="333"/>
      <c r="S579" s="333"/>
      <c r="T579" s="539"/>
      <c r="U579" s="333"/>
      <c r="V579" s="681"/>
      <c r="W579" s="539"/>
      <c r="X579" s="333"/>
      <c r="Y579" s="323"/>
    </row>
    <row r="580" spans="1:28" thickBot="1" x14ac:dyDescent="0.45">
      <c r="A580" s="829"/>
      <c r="B580" s="304" t="s">
        <v>878</v>
      </c>
      <c r="C580" s="528"/>
      <c r="D580" s="528"/>
      <c r="E580" s="460"/>
      <c r="F580" s="324"/>
      <c r="G580" s="528"/>
      <c r="H580" s="324"/>
      <c r="I580" s="528"/>
      <c r="J580" s="324"/>
      <c r="K580" s="324"/>
      <c r="L580" s="324"/>
      <c r="M580" s="324"/>
      <c r="N580" s="324"/>
      <c r="O580" s="324"/>
      <c r="P580" s="324"/>
      <c r="Q580" s="324"/>
      <c r="R580" s="324"/>
      <c r="S580" s="324"/>
      <c r="T580" s="528"/>
      <c r="U580" s="324"/>
      <c r="V580" s="676"/>
      <c r="W580" s="528"/>
      <c r="X580" s="529"/>
      <c r="Y580" s="323"/>
    </row>
    <row r="581" spans="1:28" thickBot="1" x14ac:dyDescent="0.45">
      <c r="A581" s="829"/>
      <c r="B581" s="642" t="s">
        <v>1091</v>
      </c>
      <c r="C581" s="539"/>
      <c r="D581" s="539"/>
      <c r="E581" s="502"/>
      <c r="F581" s="333"/>
      <c r="G581" s="539"/>
      <c r="H581" s="333"/>
      <c r="I581" s="539"/>
      <c r="J581" s="333"/>
      <c r="K581" s="333"/>
      <c r="L581" s="333"/>
      <c r="M581" s="333"/>
      <c r="N581" s="333"/>
      <c r="O581" s="333"/>
      <c r="P581" s="333"/>
      <c r="Q581" s="333"/>
      <c r="R581" s="333"/>
      <c r="S581" s="333"/>
      <c r="T581" s="539"/>
      <c r="U581" s="333"/>
      <c r="V581" s="681"/>
      <c r="W581" s="539"/>
      <c r="X581" s="333"/>
      <c r="Y581" s="323"/>
    </row>
    <row r="582" spans="1:28" thickBot="1" x14ac:dyDescent="0.45">
      <c r="A582" s="829"/>
      <c r="B582" s="642" t="s">
        <v>1092</v>
      </c>
      <c r="C582" s="539"/>
      <c r="D582" s="539"/>
      <c r="E582" s="502"/>
      <c r="F582" s="333"/>
      <c r="G582" s="539"/>
      <c r="H582" s="333"/>
      <c r="I582" s="539"/>
      <c r="J582" s="333"/>
      <c r="K582" s="333"/>
      <c r="L582" s="333"/>
      <c r="M582" s="333"/>
      <c r="N582" s="333"/>
      <c r="O582" s="333"/>
      <c r="P582" s="333"/>
      <c r="Q582" s="333"/>
      <c r="R582" s="333"/>
      <c r="S582" s="333"/>
      <c r="T582" s="539"/>
      <c r="U582" s="333"/>
      <c r="V582" s="681"/>
      <c r="W582" s="539"/>
      <c r="X582" s="333"/>
      <c r="Y582" s="323"/>
    </row>
    <row r="583" spans="1:28" thickBot="1" x14ac:dyDescent="0.45">
      <c r="A583" s="831">
        <v>1</v>
      </c>
      <c r="B583" s="305" t="s">
        <v>948</v>
      </c>
      <c r="C583" s="539"/>
      <c r="D583" s="539"/>
      <c r="E583" s="502"/>
      <c r="F583" s="333"/>
      <c r="G583" s="539"/>
      <c r="H583" s="333"/>
      <c r="I583" s="539"/>
      <c r="J583" s="333"/>
      <c r="K583" s="333"/>
      <c r="L583" s="333"/>
      <c r="M583" s="333"/>
      <c r="N583" s="333"/>
      <c r="O583" s="333"/>
      <c r="P583" s="333"/>
      <c r="Q583" s="333"/>
      <c r="R583" s="333"/>
      <c r="S583" s="333"/>
      <c r="T583" s="539"/>
      <c r="U583" s="333"/>
      <c r="V583" s="681"/>
      <c r="W583" s="333"/>
      <c r="X583" s="333"/>
      <c r="Y583" s="374"/>
    </row>
    <row r="584" spans="1:28" ht="105.75" thickBot="1" x14ac:dyDescent="0.45">
      <c r="A584" s="319" t="s">
        <v>14</v>
      </c>
      <c r="B584" s="320" t="s">
        <v>618</v>
      </c>
      <c r="C584" s="528"/>
      <c r="D584" s="525">
        <f>C584*10</f>
        <v>0</v>
      </c>
      <c r="E584" s="545">
        <f>D584*0.25</f>
        <v>0</v>
      </c>
      <c r="F584" s="461">
        <f>E584*1.15*0.82/173</f>
        <v>0</v>
      </c>
      <c r="G584" s="525">
        <f t="shared" ref="G584:G590" si="213">INT(M584)</f>
        <v>0</v>
      </c>
      <c r="H584" s="461" t="s">
        <v>18</v>
      </c>
      <c r="I584" s="525">
        <f t="shared" ref="I584:I590" si="214">(M584-G584)*64</f>
        <v>0</v>
      </c>
      <c r="J584" s="461" t="s">
        <v>19</v>
      </c>
      <c r="K584" s="461"/>
      <c r="L584" s="461"/>
      <c r="M584" s="461">
        <f>(F584*7863)/3456</f>
        <v>0</v>
      </c>
      <c r="N584" s="461"/>
      <c r="O584" s="461"/>
      <c r="P584" s="461"/>
      <c r="Q584" s="324" t="s">
        <v>18</v>
      </c>
      <c r="R584" s="324"/>
      <c r="S584" s="324" t="s">
        <v>19</v>
      </c>
      <c r="T584" s="528">
        <v>9</v>
      </c>
      <c r="U584" s="324">
        <f>E584/272*60</f>
        <v>0</v>
      </c>
      <c r="V584" s="676"/>
      <c r="W584" s="528"/>
      <c r="X584" s="529"/>
      <c r="Y584" s="351" t="s">
        <v>922</v>
      </c>
      <c r="Z584" s="312">
        <f>E584/1.23</f>
        <v>0</v>
      </c>
      <c r="AA584" s="316">
        <f>SUM(Z584/260.8)</f>
        <v>0</v>
      </c>
    </row>
    <row r="585" spans="1:28" ht="105.75" thickBot="1" x14ac:dyDescent="0.45">
      <c r="A585" s="319" t="s">
        <v>14</v>
      </c>
      <c r="B585" s="320" t="s">
        <v>619</v>
      </c>
      <c r="C585" s="528"/>
      <c r="D585" s="525">
        <f>C585*10</f>
        <v>0</v>
      </c>
      <c r="E585" s="545">
        <f>D585*0.25</f>
        <v>0</v>
      </c>
      <c r="F585" s="461">
        <f>E585*1.15*0.82/173</f>
        <v>0</v>
      </c>
      <c r="G585" s="525">
        <f t="shared" si="213"/>
        <v>0</v>
      </c>
      <c r="H585" s="461" t="s">
        <v>18</v>
      </c>
      <c r="I585" s="525">
        <f t="shared" si="214"/>
        <v>0</v>
      </c>
      <c r="J585" s="461" t="s">
        <v>19</v>
      </c>
      <c r="K585" s="461"/>
      <c r="L585" s="461"/>
      <c r="M585" s="461">
        <f>(F585*7863)/3456</f>
        <v>0</v>
      </c>
      <c r="N585" s="461"/>
      <c r="O585" s="461"/>
      <c r="P585" s="461"/>
      <c r="Q585" s="324" t="s">
        <v>18</v>
      </c>
      <c r="R585" s="324"/>
      <c r="S585" s="324" t="s">
        <v>19</v>
      </c>
      <c r="T585" s="528">
        <v>9</v>
      </c>
      <c r="U585" s="324">
        <f>E585/272*60</f>
        <v>0</v>
      </c>
      <c r="V585" s="676"/>
      <c r="W585" s="528"/>
      <c r="X585" s="529"/>
      <c r="Y585" s="351" t="s">
        <v>922</v>
      </c>
      <c r="Z585" s="312">
        <f>E585/1.21</f>
        <v>0</v>
      </c>
      <c r="AA585" s="316">
        <f>SUM(Z585/260.8)</f>
        <v>0</v>
      </c>
    </row>
    <row r="586" spans="1:28" ht="105.75" thickBot="1" x14ac:dyDescent="0.45">
      <c r="A586" s="319" t="s">
        <v>14</v>
      </c>
      <c r="B586" s="320" t="s">
        <v>813</v>
      </c>
      <c r="C586" s="528"/>
      <c r="D586" s="525">
        <f>C586*10</f>
        <v>0</v>
      </c>
      <c r="E586" s="545">
        <f>D586*0.2</f>
        <v>0</v>
      </c>
      <c r="F586" s="461">
        <f>E586*1.15*0.82/173</f>
        <v>0</v>
      </c>
      <c r="G586" s="525">
        <f t="shared" si="213"/>
        <v>0</v>
      </c>
      <c r="H586" s="461" t="s">
        <v>18</v>
      </c>
      <c r="I586" s="525">
        <f t="shared" si="214"/>
        <v>0</v>
      </c>
      <c r="J586" s="461" t="s">
        <v>19</v>
      </c>
      <c r="K586" s="461"/>
      <c r="L586" s="461"/>
      <c r="M586" s="461">
        <f>(F586*9600)/3456</f>
        <v>0</v>
      </c>
      <c r="N586" s="461"/>
      <c r="O586" s="461"/>
      <c r="P586" s="461"/>
      <c r="Q586" s="324" t="s">
        <v>18</v>
      </c>
      <c r="R586" s="324"/>
      <c r="S586" s="324" t="s">
        <v>19</v>
      </c>
      <c r="T586" s="528">
        <v>9</v>
      </c>
      <c r="U586" s="324">
        <f>E586/207*60</f>
        <v>0</v>
      </c>
      <c r="V586" s="676"/>
      <c r="W586" s="528"/>
      <c r="X586" s="529"/>
      <c r="Y586" s="351" t="s">
        <v>922</v>
      </c>
      <c r="Z586" s="312">
        <f>E586/1.21</f>
        <v>0</v>
      </c>
      <c r="AA586" s="316">
        <f>SUM(Z586/223.6)</f>
        <v>0</v>
      </c>
    </row>
    <row r="587" spans="1:28" ht="105.75" thickBot="1" x14ac:dyDescent="0.45">
      <c r="A587" s="319" t="s">
        <v>14</v>
      </c>
      <c r="B587" s="320" t="s">
        <v>911</v>
      </c>
      <c r="C587" s="528"/>
      <c r="D587" s="525">
        <f>C587*10</f>
        <v>0</v>
      </c>
      <c r="E587" s="545">
        <f>D587*0.2</f>
        <v>0</v>
      </c>
      <c r="F587" s="461">
        <f>E587*1.15*0.82/173</f>
        <v>0</v>
      </c>
      <c r="G587" s="525">
        <f t="shared" si="213"/>
        <v>0</v>
      </c>
      <c r="H587" s="461" t="s">
        <v>18</v>
      </c>
      <c r="I587" s="525">
        <f t="shared" si="214"/>
        <v>0</v>
      </c>
      <c r="J587" s="461" t="s">
        <v>19</v>
      </c>
      <c r="K587" s="461"/>
      <c r="L587" s="461"/>
      <c r="M587" s="461">
        <f>(F587*9600)/3456</f>
        <v>0</v>
      </c>
      <c r="N587" s="461"/>
      <c r="O587" s="461"/>
      <c r="P587" s="461"/>
      <c r="Q587" s="324" t="s">
        <v>18</v>
      </c>
      <c r="R587" s="324"/>
      <c r="S587" s="324" t="s">
        <v>19</v>
      </c>
      <c r="T587" s="528">
        <v>9</v>
      </c>
      <c r="U587" s="324">
        <f>E587/207*60</f>
        <v>0</v>
      </c>
      <c r="V587" s="676"/>
      <c r="W587" s="528"/>
      <c r="X587" s="529"/>
      <c r="Y587" s="351" t="s">
        <v>922</v>
      </c>
      <c r="Z587" s="312">
        <f>E587/1.21</f>
        <v>0</v>
      </c>
      <c r="AA587" s="316">
        <f>SUM(Z587/223.6)</f>
        <v>0</v>
      </c>
    </row>
    <row r="588" spans="1:28" ht="105.75" thickBot="1" x14ac:dyDescent="0.45">
      <c r="A588" s="319" t="s">
        <v>14</v>
      </c>
      <c r="B588" s="320" t="s">
        <v>620</v>
      </c>
      <c r="C588" s="528"/>
      <c r="D588" s="528">
        <f>C588*12</f>
        <v>0</v>
      </c>
      <c r="E588" s="460">
        <f>D588*0.255</f>
        <v>0</v>
      </c>
      <c r="F588" s="324">
        <f>E588*1.03*1.05/173</f>
        <v>0</v>
      </c>
      <c r="G588" s="528">
        <f t="shared" si="213"/>
        <v>0</v>
      </c>
      <c r="H588" s="324" t="s">
        <v>18</v>
      </c>
      <c r="I588" s="528">
        <f t="shared" si="214"/>
        <v>0</v>
      </c>
      <c r="J588" s="324" t="s">
        <v>19</v>
      </c>
      <c r="K588" s="324"/>
      <c r="L588" s="324"/>
      <c r="M588" s="324">
        <f>(F588*7673)/2880</f>
        <v>0</v>
      </c>
      <c r="N588" s="324"/>
      <c r="O588" s="324"/>
      <c r="P588" s="324"/>
      <c r="Q588" s="324" t="s">
        <v>18</v>
      </c>
      <c r="R588" s="324"/>
      <c r="S588" s="324" t="s">
        <v>19</v>
      </c>
      <c r="T588" s="528">
        <v>9</v>
      </c>
      <c r="U588" s="324">
        <f>E588/272*60</f>
        <v>0</v>
      </c>
      <c r="V588" s="676"/>
      <c r="W588" s="528"/>
      <c r="X588" s="529"/>
      <c r="Y588" s="351" t="s">
        <v>922</v>
      </c>
      <c r="Z588" s="312">
        <f>E588/1.05</f>
        <v>0</v>
      </c>
      <c r="AA588" s="316">
        <f>SUM(Z588/298)</f>
        <v>0</v>
      </c>
    </row>
    <row r="589" spans="1:28" ht="105.75" thickBot="1" x14ac:dyDescent="0.45">
      <c r="A589" s="319" t="s">
        <v>14</v>
      </c>
      <c r="B589" s="320" t="s">
        <v>621</v>
      </c>
      <c r="C589" s="528"/>
      <c r="D589" s="528">
        <f>C589*12</f>
        <v>0</v>
      </c>
      <c r="E589" s="460">
        <f>D589*0.255</f>
        <v>0</v>
      </c>
      <c r="F589" s="324">
        <f>E589*1.03*1.05/173</f>
        <v>0</v>
      </c>
      <c r="G589" s="528">
        <f t="shared" si="213"/>
        <v>0</v>
      </c>
      <c r="H589" s="324" t="s">
        <v>18</v>
      </c>
      <c r="I589" s="528">
        <f t="shared" si="214"/>
        <v>0</v>
      </c>
      <c r="J589" s="324" t="s">
        <v>19</v>
      </c>
      <c r="K589" s="324"/>
      <c r="L589" s="324"/>
      <c r="M589" s="324">
        <f>(F589*7673)/2880</f>
        <v>0</v>
      </c>
      <c r="N589" s="324"/>
      <c r="O589" s="324"/>
      <c r="P589" s="324"/>
      <c r="Q589" s="324" t="s">
        <v>18</v>
      </c>
      <c r="R589" s="324"/>
      <c r="S589" s="324" t="s">
        <v>19</v>
      </c>
      <c r="T589" s="528">
        <v>9</v>
      </c>
      <c r="U589" s="324">
        <f>E589/272*60</f>
        <v>0</v>
      </c>
      <c r="V589" s="676"/>
      <c r="W589" s="528"/>
      <c r="X589" s="529"/>
      <c r="Y589" s="351" t="s">
        <v>922</v>
      </c>
      <c r="Z589" s="312">
        <f>E589/1.05</f>
        <v>0</v>
      </c>
      <c r="AA589" s="316">
        <f>SUM(Z589/298)</f>
        <v>0</v>
      </c>
    </row>
    <row r="590" spans="1:28" ht="105.75" thickBot="1" x14ac:dyDescent="0.45">
      <c r="A590" s="319" t="s">
        <v>14</v>
      </c>
      <c r="B590" s="320" t="s">
        <v>622</v>
      </c>
      <c r="C590" s="528"/>
      <c r="D590" s="528">
        <f>C590*12</f>
        <v>0</v>
      </c>
      <c r="E590" s="460">
        <f>D590*0.255</f>
        <v>0</v>
      </c>
      <c r="F590" s="324">
        <f>E590*1.03*1.05/173</f>
        <v>0</v>
      </c>
      <c r="G590" s="528">
        <f t="shared" si="213"/>
        <v>0</v>
      </c>
      <c r="H590" s="324" t="s">
        <v>18</v>
      </c>
      <c r="I590" s="528">
        <f t="shared" si="214"/>
        <v>0</v>
      </c>
      <c r="J590" s="324" t="s">
        <v>19</v>
      </c>
      <c r="K590" s="324"/>
      <c r="L590" s="324"/>
      <c r="M590" s="324">
        <f>(F590*7673)/2880</f>
        <v>0</v>
      </c>
      <c r="N590" s="324"/>
      <c r="O590" s="324"/>
      <c r="P590" s="324"/>
      <c r="Q590" s="324" t="s">
        <v>18</v>
      </c>
      <c r="R590" s="324"/>
      <c r="S590" s="324" t="s">
        <v>19</v>
      </c>
      <c r="T590" s="528">
        <v>9</v>
      </c>
      <c r="U590" s="324">
        <f>E590/272*60</f>
        <v>0</v>
      </c>
      <c r="V590" s="676"/>
      <c r="W590" s="528"/>
      <c r="X590" s="529"/>
      <c r="Y590" s="351" t="s">
        <v>922</v>
      </c>
      <c r="Z590" s="312">
        <f>E590/1.05</f>
        <v>0</v>
      </c>
      <c r="AA590" s="316">
        <f>SUM(Z590/298)</f>
        <v>0</v>
      </c>
    </row>
    <row r="591" spans="1:28" thickBot="1" x14ac:dyDescent="0.45">
      <c r="A591" s="318">
        <v>2</v>
      </c>
      <c r="B591" s="305" t="s">
        <v>949</v>
      </c>
      <c r="C591" s="539"/>
      <c r="D591" s="539"/>
      <c r="E591" s="502"/>
      <c r="F591" s="333"/>
      <c r="G591" s="539"/>
      <c r="H591" s="333"/>
      <c r="I591" s="539"/>
      <c r="J591" s="333"/>
      <c r="K591" s="333"/>
      <c r="L591" s="333"/>
      <c r="M591" s="333"/>
      <c r="N591" s="333"/>
      <c r="O591" s="333"/>
      <c r="P591" s="333"/>
      <c r="Q591" s="333"/>
      <c r="R591" s="333"/>
      <c r="S591" s="333"/>
      <c r="T591" s="539"/>
      <c r="U591" s="333"/>
      <c r="V591" s="681"/>
      <c r="W591" s="333"/>
      <c r="X591" s="333"/>
      <c r="Y591" s="374"/>
    </row>
    <row r="592" spans="1:28" ht="77.25" outlineLevel="1" thickBot="1" x14ac:dyDescent="0.45">
      <c r="A592" s="319" t="s">
        <v>14</v>
      </c>
      <c r="B592" s="320" t="s">
        <v>624</v>
      </c>
      <c r="C592" s="528"/>
      <c r="D592" s="530">
        <f>C592*10</f>
        <v>0</v>
      </c>
      <c r="E592" s="460">
        <f>D592*0.2</f>
        <v>0</v>
      </c>
      <c r="F592" s="324">
        <f>E592*0.97*0.8/19.6</f>
        <v>0</v>
      </c>
      <c r="G592" s="528">
        <f t="shared" ref="G592:G597" si="215">INT(M592)</f>
        <v>0</v>
      </c>
      <c r="H592" s="324" t="s">
        <v>18</v>
      </c>
      <c r="I592" s="528">
        <f t="shared" ref="I592:I597" si="216">(M592-G592)*64</f>
        <v>0</v>
      </c>
      <c r="J592" s="324" t="s">
        <v>19</v>
      </c>
      <c r="K592" s="324"/>
      <c r="L592" s="324"/>
      <c r="M592" s="324">
        <f>(F592*1087/3456)</f>
        <v>0</v>
      </c>
      <c r="N592" s="324"/>
      <c r="O592" s="324"/>
      <c r="P592" s="324"/>
      <c r="Q592" s="324" t="s">
        <v>18</v>
      </c>
      <c r="R592" s="324"/>
      <c r="S592" s="324" t="s">
        <v>19</v>
      </c>
      <c r="T592" s="528">
        <v>6</v>
      </c>
      <c r="U592" s="324">
        <f t="shared" ref="U592:U597" si="217">E592/259*60</f>
        <v>0</v>
      </c>
      <c r="V592" s="676"/>
      <c r="W592" s="528"/>
      <c r="X592" s="529"/>
      <c r="Y592" s="323"/>
      <c r="Z592" s="312">
        <f>E592/1.21/1.143</f>
        <v>0</v>
      </c>
      <c r="AA592" s="316">
        <f>SUM(AB592/215.5)</f>
        <v>0</v>
      </c>
      <c r="AB592" s="310">
        <f>E592/1.21</f>
        <v>0</v>
      </c>
    </row>
    <row r="593" spans="1:28" ht="77.25" outlineLevel="1" thickBot="1" x14ac:dyDescent="0.45">
      <c r="A593" s="319" t="s">
        <v>14</v>
      </c>
      <c r="B593" s="320" t="s">
        <v>625</v>
      </c>
      <c r="C593" s="528"/>
      <c r="D593" s="530">
        <f>C593*10</f>
        <v>0</v>
      </c>
      <c r="E593" s="460">
        <f>D593*0.2</f>
        <v>0</v>
      </c>
      <c r="F593" s="324">
        <f>E593*0.97*0.8/19.6</f>
        <v>0</v>
      </c>
      <c r="G593" s="528">
        <f t="shared" si="215"/>
        <v>0</v>
      </c>
      <c r="H593" s="324" t="s">
        <v>18</v>
      </c>
      <c r="I593" s="528">
        <f t="shared" si="216"/>
        <v>0</v>
      </c>
      <c r="J593" s="324" t="s">
        <v>19</v>
      </c>
      <c r="K593" s="324"/>
      <c r="L593" s="324"/>
      <c r="M593" s="324">
        <f>(F593*1087/3456)</f>
        <v>0</v>
      </c>
      <c r="N593" s="324"/>
      <c r="O593" s="324"/>
      <c r="P593" s="324"/>
      <c r="Q593" s="324" t="s">
        <v>18</v>
      </c>
      <c r="R593" s="324"/>
      <c r="S593" s="324" t="s">
        <v>19</v>
      </c>
      <c r="T593" s="528">
        <v>6</v>
      </c>
      <c r="U593" s="324">
        <f t="shared" si="217"/>
        <v>0</v>
      </c>
      <c r="V593" s="676"/>
      <c r="W593" s="528"/>
      <c r="X593" s="529"/>
      <c r="Y593" s="323"/>
      <c r="Z593" s="312">
        <f>E593/1.21/1.143</f>
        <v>0</v>
      </c>
      <c r="AA593" s="316">
        <f>SUM(AB593/215.5)</f>
        <v>0</v>
      </c>
      <c r="AB593" s="310">
        <f>E593/1.21</f>
        <v>0</v>
      </c>
    </row>
    <row r="594" spans="1:28" ht="77.25" outlineLevel="1" thickBot="1" x14ac:dyDescent="0.45">
      <c r="A594" s="319" t="s">
        <v>14</v>
      </c>
      <c r="B594" s="343" t="s">
        <v>626</v>
      </c>
      <c r="C594" s="528"/>
      <c r="D594" s="530">
        <f>C594*10</f>
        <v>0</v>
      </c>
      <c r="E594" s="460">
        <f>D594*0.2</f>
        <v>0</v>
      </c>
      <c r="F594" s="324">
        <f>E594*0.97*0.8/19.6</f>
        <v>0</v>
      </c>
      <c r="G594" s="528">
        <f t="shared" si="215"/>
        <v>0</v>
      </c>
      <c r="H594" s="324" t="s">
        <v>18</v>
      </c>
      <c r="I594" s="528">
        <f t="shared" si="216"/>
        <v>0</v>
      </c>
      <c r="J594" s="324" t="s">
        <v>19</v>
      </c>
      <c r="K594" s="324"/>
      <c r="L594" s="324"/>
      <c r="M594" s="324">
        <f>(F594*1087/3456)</f>
        <v>0</v>
      </c>
      <c r="N594" s="324"/>
      <c r="O594" s="324"/>
      <c r="P594" s="324"/>
      <c r="Q594" s="324" t="s">
        <v>18</v>
      </c>
      <c r="R594" s="324"/>
      <c r="S594" s="324" t="s">
        <v>19</v>
      </c>
      <c r="T594" s="528">
        <v>6</v>
      </c>
      <c r="U594" s="324">
        <f t="shared" si="217"/>
        <v>0</v>
      </c>
      <c r="V594" s="676"/>
      <c r="W594" s="528"/>
      <c r="X594" s="529"/>
      <c r="Y594" s="323"/>
      <c r="Z594" s="312">
        <f>E594/1.21/1.143</f>
        <v>0</v>
      </c>
      <c r="AA594" s="316">
        <f>SUM(AB594/215.5)</f>
        <v>0</v>
      </c>
      <c r="AB594" s="310">
        <f>E594/1.21</f>
        <v>0</v>
      </c>
    </row>
    <row r="595" spans="1:28" ht="77.25" thickBot="1" x14ac:dyDescent="0.45">
      <c r="A595" s="319" t="s">
        <v>14</v>
      </c>
      <c r="B595" s="320" t="s">
        <v>894</v>
      </c>
      <c r="C595" s="528"/>
      <c r="D595" s="532">
        <f>C595*12</f>
        <v>0</v>
      </c>
      <c r="E595" s="472">
        <f>D595*0.27</f>
        <v>0</v>
      </c>
      <c r="F595" s="472">
        <f>E595*1.03*0.87/19.3</f>
        <v>0</v>
      </c>
      <c r="G595" s="531">
        <f t="shared" si="215"/>
        <v>0</v>
      </c>
      <c r="H595" s="472" t="s">
        <v>18</v>
      </c>
      <c r="I595" s="531">
        <f t="shared" si="216"/>
        <v>0</v>
      </c>
      <c r="J595" s="472" t="s">
        <v>19</v>
      </c>
      <c r="K595" s="472"/>
      <c r="L595" s="472"/>
      <c r="M595" s="472">
        <f>(F595*877/2880)</f>
        <v>0</v>
      </c>
      <c r="N595" s="472"/>
      <c r="O595" s="461"/>
      <c r="P595" s="461"/>
      <c r="Q595" s="461" t="s">
        <v>18</v>
      </c>
      <c r="R595" s="461"/>
      <c r="S595" s="461" t="s">
        <v>19</v>
      </c>
      <c r="T595" s="528">
        <v>6</v>
      </c>
      <c r="U595" s="324">
        <f t="shared" si="217"/>
        <v>0</v>
      </c>
      <c r="V595" s="676"/>
      <c r="W595" s="528"/>
      <c r="X595" s="529"/>
      <c r="Y595" s="323"/>
      <c r="Z595" s="312">
        <f>E595/1.134</f>
        <v>0</v>
      </c>
      <c r="AA595" s="316">
        <f>SUM(Z595/134.6)</f>
        <v>0</v>
      </c>
      <c r="AB595" s="352" t="s">
        <v>852</v>
      </c>
    </row>
    <row r="596" spans="1:28" ht="77.25" thickBot="1" x14ac:dyDescent="0.45">
      <c r="A596" s="319" t="s">
        <v>14</v>
      </c>
      <c r="B596" s="320" t="s">
        <v>1005</v>
      </c>
      <c r="C596" s="528"/>
      <c r="D596" s="530">
        <f>C596*1</f>
        <v>0</v>
      </c>
      <c r="E596" s="546">
        <f>D596*0.65</f>
        <v>0</v>
      </c>
      <c r="F596" s="546">
        <f>E596*1.03*0.87/19.3</f>
        <v>0</v>
      </c>
      <c r="G596" s="639">
        <f t="shared" si="215"/>
        <v>0</v>
      </c>
      <c r="H596" s="546" t="s">
        <v>18</v>
      </c>
      <c r="I596" s="639">
        <f t="shared" si="216"/>
        <v>0</v>
      </c>
      <c r="J596" s="546" t="s">
        <v>19</v>
      </c>
      <c r="K596" s="546"/>
      <c r="L596" s="546"/>
      <c r="M596" s="546">
        <f>(F596*877/2880)</f>
        <v>0</v>
      </c>
      <c r="N596" s="546"/>
      <c r="O596" s="324"/>
      <c r="P596" s="324"/>
      <c r="Q596" s="324" t="s">
        <v>18</v>
      </c>
      <c r="R596" s="324"/>
      <c r="S596" s="324" t="s">
        <v>19</v>
      </c>
      <c r="T596" s="528">
        <v>6</v>
      </c>
      <c r="U596" s="324">
        <f t="shared" si="217"/>
        <v>0</v>
      </c>
      <c r="V596" s="676"/>
      <c r="W596" s="528"/>
      <c r="X596" s="529"/>
      <c r="Y596" s="323"/>
      <c r="Z596" s="312">
        <f>E596/1.134</f>
        <v>0</v>
      </c>
      <c r="AA596" s="316">
        <f>SUM(Z596/134.6)</f>
        <v>0</v>
      </c>
      <c r="AB596" s="352" t="s">
        <v>852</v>
      </c>
    </row>
    <row r="597" spans="1:28" ht="102.75" thickBot="1" x14ac:dyDescent="0.45">
      <c r="A597" s="319" t="s">
        <v>14</v>
      </c>
      <c r="B597" s="320" t="s">
        <v>843</v>
      </c>
      <c r="C597" s="528"/>
      <c r="D597" s="530"/>
      <c r="E597" s="472">
        <f>C597*2</f>
        <v>0</v>
      </c>
      <c r="F597" s="472">
        <f>E597*1.03*0.87/19.3</f>
        <v>0</v>
      </c>
      <c r="G597" s="531">
        <f t="shared" si="215"/>
        <v>0</v>
      </c>
      <c r="H597" s="472" t="s">
        <v>18</v>
      </c>
      <c r="I597" s="531">
        <f t="shared" si="216"/>
        <v>0</v>
      </c>
      <c r="J597" s="472" t="s">
        <v>19</v>
      </c>
      <c r="K597" s="472"/>
      <c r="L597" s="472"/>
      <c r="M597" s="472">
        <f>(F597*877/2880)</f>
        <v>0</v>
      </c>
      <c r="N597" s="472"/>
      <c r="O597" s="461"/>
      <c r="P597" s="461"/>
      <c r="Q597" s="461" t="s">
        <v>18</v>
      </c>
      <c r="R597" s="461"/>
      <c r="S597" s="461" t="s">
        <v>19</v>
      </c>
      <c r="T597" s="528">
        <v>6</v>
      </c>
      <c r="U597" s="324">
        <f t="shared" si="217"/>
        <v>0</v>
      </c>
      <c r="V597" s="676"/>
      <c r="W597" s="528"/>
      <c r="X597" s="529"/>
      <c r="Y597" s="323"/>
      <c r="Z597" s="312">
        <f>E597/1.134</f>
        <v>0</v>
      </c>
      <c r="AA597" s="316">
        <f>SUM(Z597/134.6)</f>
        <v>0</v>
      </c>
      <c r="AB597" s="352" t="s">
        <v>852</v>
      </c>
    </row>
    <row r="598" spans="1:28" thickBot="1" x14ac:dyDescent="0.45">
      <c r="A598" s="329"/>
      <c r="B598" s="353"/>
      <c r="C598" s="547"/>
      <c r="D598" s="537"/>
      <c r="E598" s="496"/>
      <c r="F598" s="354"/>
      <c r="G598" s="537"/>
      <c r="H598" s="354"/>
      <c r="I598" s="537"/>
      <c r="J598" s="354"/>
      <c r="K598" s="354"/>
      <c r="L598" s="354"/>
      <c r="M598" s="354"/>
      <c r="N598" s="354"/>
      <c r="O598" s="354"/>
      <c r="P598" s="354"/>
      <c r="Q598" s="354"/>
      <c r="R598" s="354"/>
      <c r="S598" s="354"/>
      <c r="T598" s="528"/>
      <c r="U598" s="354"/>
      <c r="V598" s="676"/>
      <c r="W598" s="528"/>
      <c r="X598" s="529"/>
      <c r="Y598" s="323"/>
    </row>
    <row r="599" spans="1:28" thickBot="1" x14ac:dyDescent="0.45">
      <c r="A599" s="319"/>
      <c r="B599" s="346"/>
      <c r="C599" s="537"/>
      <c r="D599" s="537"/>
      <c r="E599" s="496"/>
      <c r="F599" s="354"/>
      <c r="G599" s="537"/>
      <c r="H599" s="354"/>
      <c r="I599" s="537"/>
      <c r="J599" s="354"/>
      <c r="K599" s="354"/>
      <c r="L599" s="354"/>
      <c r="M599" s="354"/>
      <c r="N599" s="354"/>
      <c r="O599" s="354"/>
      <c r="P599" s="354"/>
      <c r="Q599" s="354"/>
      <c r="R599" s="354"/>
      <c r="S599" s="354"/>
      <c r="T599" s="528"/>
      <c r="U599" s="354"/>
      <c r="V599" s="676"/>
      <c r="W599" s="528"/>
      <c r="X599" s="529"/>
      <c r="Y599" s="323"/>
    </row>
    <row r="600" spans="1:28" ht="213.75" customHeight="1" thickBot="1" x14ac:dyDescent="0.45">
      <c r="A600" s="829"/>
      <c r="B600" s="304" t="s">
        <v>639</v>
      </c>
      <c r="C600" s="537"/>
      <c r="D600" s="537"/>
      <c r="E600" s="500">
        <v>65</v>
      </c>
      <c r="F600" s="538"/>
      <c r="G600" s="528"/>
      <c r="H600" s="324"/>
      <c r="I600" s="528"/>
      <c r="J600" s="324"/>
      <c r="K600" s="324"/>
      <c r="L600" s="324"/>
      <c r="M600" s="324"/>
      <c r="N600" s="324"/>
      <c r="O600" s="324"/>
      <c r="P600" s="324"/>
      <c r="Q600" s="324"/>
      <c r="R600" s="324"/>
      <c r="S600" s="324"/>
      <c r="T600" s="528"/>
      <c r="U600" s="324"/>
      <c r="V600" s="676"/>
      <c r="W600" s="528"/>
      <c r="X600" s="529"/>
      <c r="Y600" s="323" t="s">
        <v>1047</v>
      </c>
      <c r="Z600" s="901" t="s">
        <v>1048</v>
      </c>
      <c r="AA600" s="902"/>
      <c r="AB600" s="902"/>
    </row>
    <row r="601" spans="1:28" thickBot="1" x14ac:dyDescent="0.45">
      <c r="A601" s="829"/>
      <c r="B601" s="304" t="s">
        <v>640</v>
      </c>
      <c r="C601" s="499"/>
      <c r="D601" s="499"/>
      <c r="E601" s="503">
        <v>43</v>
      </c>
      <c r="F601" s="538"/>
      <c r="G601" s="528"/>
      <c r="H601" s="324"/>
      <c r="I601" s="528"/>
      <c r="J601" s="324"/>
      <c r="K601" s="324"/>
      <c r="L601" s="324"/>
      <c r="M601" s="324"/>
      <c r="N601" s="324"/>
      <c r="O601" s="324"/>
      <c r="P601" s="324"/>
      <c r="Q601" s="324"/>
      <c r="R601" s="324"/>
      <c r="S601" s="324"/>
      <c r="T601" s="528"/>
      <c r="U601" s="324"/>
      <c r="V601" s="676"/>
      <c r="W601" s="528"/>
      <c r="X601" s="529"/>
      <c r="Y601" s="323"/>
    </row>
    <row r="602" spans="1:28" thickBot="1" x14ac:dyDescent="0.45">
      <c r="A602" s="829"/>
      <c r="B602" s="332" t="s">
        <v>638</v>
      </c>
      <c r="C602" s="537"/>
      <c r="D602" s="537"/>
      <c r="E602" s="496">
        <f>SUM(E584:E590)</f>
        <v>0</v>
      </c>
      <c r="F602" s="354">
        <f>SUM(F584:F590)</f>
        <v>0</v>
      </c>
      <c r="G602" s="528"/>
      <c r="H602" s="324"/>
      <c r="I602" s="528"/>
      <c r="J602" s="324"/>
      <c r="K602" s="324"/>
      <c r="L602" s="324"/>
      <c r="M602" s="324"/>
      <c r="N602" s="324"/>
      <c r="O602" s="324"/>
      <c r="P602" s="324"/>
      <c r="Q602" s="324"/>
      <c r="R602" s="324"/>
      <c r="S602" s="324"/>
      <c r="T602" s="528"/>
      <c r="U602" s="324"/>
      <c r="V602" s="676"/>
      <c r="W602" s="528"/>
      <c r="X602" s="529"/>
      <c r="Y602" s="323"/>
    </row>
    <row r="603" spans="1:28" thickBot="1" x14ac:dyDescent="0.45">
      <c r="A603" s="829"/>
      <c r="B603" s="332" t="s">
        <v>641</v>
      </c>
      <c r="C603" s="537"/>
      <c r="D603" s="537"/>
      <c r="E603" s="496">
        <f>SUM(E592:E597)</f>
        <v>0</v>
      </c>
      <c r="F603" s="354">
        <f>SUM(F592:F597)</f>
        <v>0</v>
      </c>
      <c r="G603" s="528"/>
      <c r="H603" s="324"/>
      <c r="I603" s="528"/>
      <c r="J603" s="324"/>
      <c r="K603" s="324"/>
      <c r="L603" s="324"/>
      <c r="M603" s="324"/>
      <c r="N603" s="324"/>
      <c r="O603" s="324"/>
      <c r="P603" s="324"/>
      <c r="Q603" s="324"/>
      <c r="R603" s="324"/>
      <c r="S603" s="324"/>
      <c r="T603" s="528"/>
      <c r="U603" s="324"/>
      <c r="V603" s="676"/>
      <c r="W603" s="528"/>
      <c r="X603" s="529"/>
      <c r="Y603" s="323"/>
    </row>
    <row r="604" spans="1:28" thickBot="1" x14ac:dyDescent="0.45">
      <c r="A604" s="829"/>
      <c r="B604" s="332" t="s">
        <v>121</v>
      </c>
      <c r="C604" s="537"/>
      <c r="D604" s="537"/>
      <c r="E604" s="496">
        <f>E602+E603</f>
        <v>0</v>
      </c>
      <c r="F604" s="354">
        <f>F602+F603</f>
        <v>0</v>
      </c>
      <c r="G604" s="528"/>
      <c r="H604" s="324"/>
      <c r="I604" s="528"/>
      <c r="J604" s="324"/>
      <c r="K604" s="324"/>
      <c r="L604" s="324"/>
      <c r="M604" s="324"/>
      <c r="N604" s="324"/>
      <c r="O604" s="324"/>
      <c r="P604" s="324"/>
      <c r="Q604" s="324"/>
      <c r="R604" s="324"/>
      <c r="S604" s="324"/>
      <c r="T604" s="528"/>
      <c r="U604" s="324"/>
      <c r="V604" s="676"/>
      <c r="W604" s="528"/>
      <c r="X604" s="529"/>
      <c r="Y604" s="323"/>
    </row>
    <row r="605" spans="1:28" thickBot="1" x14ac:dyDescent="0.45">
      <c r="A605" s="829"/>
      <c r="B605" s="319"/>
      <c r="C605" s="528"/>
      <c r="D605" s="528"/>
      <c r="E605" s="460"/>
      <c r="F605" s="324"/>
      <c r="G605" s="528"/>
      <c r="H605" s="324"/>
      <c r="I605" s="528"/>
      <c r="J605" s="324"/>
      <c r="K605" s="324"/>
      <c r="L605" s="324"/>
      <c r="M605" s="324"/>
      <c r="N605" s="324"/>
      <c r="O605" s="324"/>
      <c r="P605" s="324"/>
      <c r="Q605" s="324"/>
      <c r="R605" s="324"/>
      <c r="S605" s="324"/>
      <c r="T605" s="528"/>
      <c r="U605" s="324"/>
      <c r="V605" s="676"/>
      <c r="W605" s="528"/>
      <c r="X605" s="529"/>
      <c r="Y605" s="323"/>
    </row>
    <row r="606" spans="1:28" thickBot="1" x14ac:dyDescent="0.45">
      <c r="A606" s="829"/>
      <c r="B606" s="319"/>
      <c r="C606" s="528"/>
      <c r="D606" s="528"/>
      <c r="E606" s="460"/>
      <c r="F606" s="324"/>
      <c r="G606" s="528"/>
      <c r="H606" s="324"/>
      <c r="I606" s="528"/>
      <c r="J606" s="324"/>
      <c r="K606" s="324"/>
      <c r="L606" s="324"/>
      <c r="M606" s="324"/>
      <c r="N606" s="324"/>
      <c r="O606" s="324"/>
      <c r="P606" s="324"/>
      <c r="Q606" s="324"/>
      <c r="R606" s="324"/>
      <c r="S606" s="324"/>
      <c r="T606" s="528"/>
      <c r="U606" s="324"/>
      <c r="V606" s="676"/>
      <c r="W606" s="528"/>
      <c r="X606" s="529"/>
      <c r="Y606" s="323"/>
    </row>
    <row r="607" spans="1:28" thickBot="1" x14ac:dyDescent="0.45">
      <c r="A607" s="829"/>
      <c r="B607" s="302" t="s">
        <v>289</v>
      </c>
      <c r="C607" s="347"/>
      <c r="D607" s="347"/>
      <c r="E607" s="494"/>
      <c r="F607" s="348"/>
      <c r="G607" s="347"/>
      <c r="H607" s="348"/>
      <c r="I607" s="347"/>
      <c r="J607" s="348"/>
      <c r="K607" s="348"/>
      <c r="L607" s="348"/>
      <c r="M607" s="348"/>
      <c r="N607" s="348"/>
      <c r="O607" s="348"/>
      <c r="P607" s="348"/>
      <c r="Q607" s="348"/>
      <c r="R607" s="348"/>
      <c r="S607" s="348"/>
      <c r="T607" s="347"/>
      <c r="U607" s="348"/>
      <c r="V607" s="356"/>
      <c r="W607" s="348"/>
      <c r="X607" s="495"/>
      <c r="Y607" s="349"/>
    </row>
    <row r="608" spans="1:28" thickBot="1" x14ac:dyDescent="0.45">
      <c r="A608" s="830"/>
      <c r="B608" s="332" t="s">
        <v>285</v>
      </c>
      <c r="C608" s="347"/>
      <c r="D608" s="347"/>
      <c r="E608" s="494"/>
      <c r="F608" s="348"/>
      <c r="G608" s="347"/>
      <c r="H608" s="348"/>
      <c r="I608" s="347"/>
      <c r="J608" s="348"/>
      <c r="K608" s="348"/>
      <c r="L608" s="348"/>
      <c r="M608" s="348"/>
      <c r="N608" s="348"/>
      <c r="O608" s="348"/>
      <c r="P608" s="348"/>
      <c r="Q608" s="348"/>
      <c r="R608" s="348"/>
      <c r="S608" s="348"/>
      <c r="T608" s="347"/>
      <c r="U608" s="348"/>
      <c r="V608" s="356"/>
      <c r="W608" s="348"/>
      <c r="X608" s="495"/>
      <c r="Y608" s="357"/>
    </row>
    <row r="609" spans="1:29" thickBot="1" x14ac:dyDescent="0.45">
      <c r="A609" s="830"/>
      <c r="B609" s="332" t="s">
        <v>299</v>
      </c>
      <c r="C609" s="347"/>
      <c r="D609" s="347"/>
      <c r="E609" s="494"/>
      <c r="F609" s="348"/>
      <c r="G609" s="347"/>
      <c r="H609" s="348"/>
      <c r="I609" s="347"/>
      <c r="J609" s="348"/>
      <c r="K609" s="348"/>
      <c r="L609" s="348"/>
      <c r="M609" s="348"/>
      <c r="N609" s="348"/>
      <c r="O609" s="348"/>
      <c r="P609" s="348"/>
      <c r="Q609" s="348"/>
      <c r="R609" s="348"/>
      <c r="S609" s="348"/>
      <c r="T609" s="347"/>
      <c r="U609" s="348"/>
      <c r="V609" s="356"/>
      <c r="W609" s="348"/>
      <c r="X609" s="495"/>
      <c r="Y609" s="357"/>
    </row>
    <row r="610" spans="1:29" s="453" customFormat="1" ht="210.75" thickBot="1" x14ac:dyDescent="0.45">
      <c r="A610" s="319" t="s">
        <v>14</v>
      </c>
      <c r="B610" s="480" t="s">
        <v>1045</v>
      </c>
      <c r="C610" s="525"/>
      <c r="D610" s="626"/>
      <c r="E610" s="358">
        <f>C610*2</f>
        <v>0</v>
      </c>
      <c r="F610" s="627">
        <f>E610*1.03*0.85/147</f>
        <v>0</v>
      </c>
      <c r="G610" s="628">
        <f>INT(M610)</f>
        <v>0</v>
      </c>
      <c r="H610" s="359"/>
      <c r="I610" s="628">
        <f>(M610-G610)*64</f>
        <v>0</v>
      </c>
      <c r="J610" s="629"/>
      <c r="K610" s="630"/>
      <c r="L610" s="630"/>
      <c r="M610" s="627">
        <f>F610*147/0.57/64</f>
        <v>0</v>
      </c>
      <c r="N610" s="631"/>
      <c r="O610" s="631"/>
      <c r="P610" s="631"/>
      <c r="Q610" s="324" t="s">
        <v>18</v>
      </c>
      <c r="R610" s="324"/>
      <c r="S610" s="324" t="s">
        <v>19</v>
      </c>
      <c r="T610" s="528">
        <v>9</v>
      </c>
      <c r="U610" s="461"/>
      <c r="V610" s="688"/>
      <c r="W610" s="525"/>
      <c r="X610" s="560"/>
      <c r="Y610" s="451" t="s">
        <v>1087</v>
      </c>
      <c r="Z610" s="312">
        <f>E610/1.03564/1.16291/1.10009</f>
        <v>0</v>
      </c>
      <c r="AA610" s="316">
        <f>SUM(AB610/132)</f>
        <v>0</v>
      </c>
      <c r="AB610" s="310">
        <f>E610/1.03564/1.16291</f>
        <v>0</v>
      </c>
      <c r="AC610" s="453" t="s">
        <v>1057</v>
      </c>
    </row>
    <row r="611" spans="1:29" s="453" customFormat="1" ht="210.75" thickBot="1" x14ac:dyDescent="0.45">
      <c r="A611" s="319" t="s">
        <v>14</v>
      </c>
      <c r="B611" s="480" t="s">
        <v>1044</v>
      </c>
      <c r="C611" s="525"/>
      <c r="D611" s="626"/>
      <c r="E611" s="358">
        <f>C611*2</f>
        <v>0</v>
      </c>
      <c r="F611" s="627">
        <f>E611*1.03*0.82/147</f>
        <v>0</v>
      </c>
      <c r="G611" s="628">
        <f>INT(M611)</f>
        <v>0</v>
      </c>
      <c r="H611" s="359"/>
      <c r="I611" s="628">
        <f>(M611-G611)*64</f>
        <v>0</v>
      </c>
      <c r="J611" s="629" t="s">
        <v>19</v>
      </c>
      <c r="K611" s="630"/>
      <c r="L611" s="630"/>
      <c r="M611" s="627">
        <f>F611*147/0.46/64</f>
        <v>0</v>
      </c>
      <c r="N611" s="631"/>
      <c r="O611" s="631"/>
      <c r="P611" s="631"/>
      <c r="Q611" s="324" t="s">
        <v>18</v>
      </c>
      <c r="R611" s="324"/>
      <c r="S611" s="324" t="s">
        <v>19</v>
      </c>
      <c r="T611" s="528">
        <v>9</v>
      </c>
      <c r="U611" s="461"/>
      <c r="V611" s="688"/>
      <c r="W611" s="525"/>
      <c r="X611" s="560"/>
      <c r="Y611" s="451" t="s">
        <v>1087</v>
      </c>
      <c r="Z611" s="312">
        <f>E611/1.23221</f>
        <v>0</v>
      </c>
      <c r="AA611" s="316">
        <f>SUM(Z611/132)</f>
        <v>0</v>
      </c>
      <c r="AB611" s="310"/>
      <c r="AC611" s="453" t="s">
        <v>1058</v>
      </c>
    </row>
    <row r="612" spans="1:29" s="453" customFormat="1" ht="210.75" thickBot="1" x14ac:dyDescent="0.45">
      <c r="A612" s="319" t="s">
        <v>14</v>
      </c>
      <c r="B612" s="480" t="s">
        <v>1083</v>
      </c>
      <c r="C612" s="525"/>
      <c r="D612" s="626"/>
      <c r="E612" s="358">
        <f>C612*0.4</f>
        <v>0</v>
      </c>
      <c r="F612" s="627">
        <f>E612*1.03*0.85/147</f>
        <v>0</v>
      </c>
      <c r="G612" s="628">
        <f>INT(M612)</f>
        <v>0</v>
      </c>
      <c r="H612" s="359"/>
      <c r="I612" s="628">
        <f>(M612-G612)*64</f>
        <v>0</v>
      </c>
      <c r="J612" s="629"/>
      <c r="K612" s="630"/>
      <c r="L612" s="630"/>
      <c r="M612" s="627">
        <f>F612*147/0.57/64</f>
        <v>0</v>
      </c>
      <c r="N612" s="631"/>
      <c r="O612" s="631"/>
      <c r="P612" s="631"/>
      <c r="Q612" s="324" t="s">
        <v>18</v>
      </c>
      <c r="R612" s="324"/>
      <c r="S612" s="324" t="s">
        <v>19</v>
      </c>
      <c r="T612" s="528">
        <v>9</v>
      </c>
      <c r="U612" s="461"/>
      <c r="V612" s="688"/>
      <c r="W612" s="525"/>
      <c r="X612" s="560"/>
      <c r="Y612" s="451" t="s">
        <v>1087</v>
      </c>
      <c r="Z612" s="312">
        <f>E612/1.03564/1.16291/1.10009</f>
        <v>0</v>
      </c>
      <c r="AA612" s="316">
        <f>SUM(AB612/132)</f>
        <v>0</v>
      </c>
      <c r="AB612" s="310">
        <f>E612/1.03564/1.16291</f>
        <v>0</v>
      </c>
      <c r="AC612" s="453" t="s">
        <v>1057</v>
      </c>
    </row>
    <row r="613" spans="1:29" s="453" customFormat="1" ht="210.75" thickBot="1" x14ac:dyDescent="0.45">
      <c r="A613" s="319" t="s">
        <v>14</v>
      </c>
      <c r="B613" s="480" t="s">
        <v>1084</v>
      </c>
      <c r="C613" s="525"/>
      <c r="D613" s="626"/>
      <c r="E613" s="358">
        <f>C613*0.4</f>
        <v>0</v>
      </c>
      <c r="F613" s="627">
        <f>E613*1.03*0.82/147</f>
        <v>0</v>
      </c>
      <c r="G613" s="628">
        <f>INT(M613)</f>
        <v>0</v>
      </c>
      <c r="H613" s="359"/>
      <c r="I613" s="628">
        <f>(M613-G613)*64</f>
        <v>0</v>
      </c>
      <c r="J613" s="629" t="s">
        <v>19</v>
      </c>
      <c r="K613" s="630"/>
      <c r="L613" s="630"/>
      <c r="M613" s="627">
        <f>F613*147/0.46/64</f>
        <v>0</v>
      </c>
      <c r="N613" s="631"/>
      <c r="O613" s="631"/>
      <c r="P613" s="631"/>
      <c r="Q613" s="324" t="s">
        <v>18</v>
      </c>
      <c r="R613" s="324"/>
      <c r="S613" s="324" t="s">
        <v>19</v>
      </c>
      <c r="T613" s="528">
        <v>9</v>
      </c>
      <c r="U613" s="461"/>
      <c r="V613" s="688"/>
      <c r="W613" s="525"/>
      <c r="X613" s="560"/>
      <c r="Y613" s="451" t="s">
        <v>1087</v>
      </c>
      <c r="Z613" s="312">
        <f>E613/1.23221</f>
        <v>0</v>
      </c>
      <c r="AA613" s="316">
        <f>SUM(Z613/132)</f>
        <v>0</v>
      </c>
      <c r="AB613" s="310"/>
      <c r="AC613" s="453" t="s">
        <v>1058</v>
      </c>
    </row>
    <row r="614" spans="1:29" ht="102.75" thickBot="1" x14ac:dyDescent="0.45">
      <c r="A614" s="319" t="s">
        <v>14</v>
      </c>
      <c r="B614" s="320" t="s">
        <v>939</v>
      </c>
      <c r="C614" s="528"/>
      <c r="D614" s="530"/>
      <c r="E614" s="456">
        <f>C614*4</f>
        <v>0</v>
      </c>
      <c r="F614" s="358">
        <f t="shared" ref="F614:F619" si="218">E614*1.01*0.72/147</f>
        <v>0</v>
      </c>
      <c r="G614" s="548">
        <f t="shared" ref="G614:G619" si="219">INT(M614)</f>
        <v>0</v>
      </c>
      <c r="H614" s="358" t="s">
        <v>18</v>
      </c>
      <c r="I614" s="548">
        <f t="shared" ref="I614:I619" si="220">(M614-G614)*64</f>
        <v>0</v>
      </c>
      <c r="J614" s="358" t="s">
        <v>19</v>
      </c>
      <c r="K614" s="358"/>
      <c r="L614" s="358"/>
      <c r="M614" s="358">
        <f t="shared" ref="M614:M619" si="221">(F614*6035/3456)</f>
        <v>0</v>
      </c>
      <c r="N614" s="324"/>
      <c r="O614" s="324"/>
      <c r="P614" s="324"/>
      <c r="Q614" s="324" t="s">
        <v>18</v>
      </c>
      <c r="R614" s="324"/>
      <c r="S614" s="324" t="s">
        <v>19</v>
      </c>
      <c r="T614" s="528">
        <v>9</v>
      </c>
      <c r="U614" s="324">
        <f>E614/324*60</f>
        <v>0</v>
      </c>
      <c r="V614" s="676"/>
      <c r="W614" s="528"/>
      <c r="X614" s="529"/>
      <c r="Y614" s="323"/>
      <c r="Z614" s="312">
        <f t="shared" ref="Z614:Z622" si="222">E614/1.21/1.143</f>
        <v>0</v>
      </c>
      <c r="AA614" s="316">
        <f t="shared" ref="AA614:AA619" si="223">SUM(AB614/287.3)</f>
        <v>0</v>
      </c>
      <c r="AB614" s="310">
        <f t="shared" ref="AB614:AB619" si="224">E614/1.21</f>
        <v>0</v>
      </c>
    </row>
    <row r="615" spans="1:29" ht="77.25" thickBot="1" x14ac:dyDescent="0.45">
      <c r="A615" s="319" t="s">
        <v>14</v>
      </c>
      <c r="B615" s="320" t="s">
        <v>940</v>
      </c>
      <c r="C615" s="528"/>
      <c r="D615" s="530"/>
      <c r="E615" s="456">
        <f>C615*4</f>
        <v>0</v>
      </c>
      <c r="F615" s="358">
        <f t="shared" si="218"/>
        <v>0</v>
      </c>
      <c r="G615" s="548">
        <f t="shared" si="219"/>
        <v>0</v>
      </c>
      <c r="H615" s="358" t="s">
        <v>18</v>
      </c>
      <c r="I615" s="548">
        <f t="shared" si="220"/>
        <v>0</v>
      </c>
      <c r="J615" s="358" t="s">
        <v>19</v>
      </c>
      <c r="K615" s="358"/>
      <c r="L615" s="358"/>
      <c r="M615" s="358">
        <f t="shared" si="221"/>
        <v>0</v>
      </c>
      <c r="N615" s="324"/>
      <c r="O615" s="324"/>
      <c r="P615" s="324"/>
      <c r="Q615" s="324" t="s">
        <v>18</v>
      </c>
      <c r="R615" s="324"/>
      <c r="S615" s="324" t="s">
        <v>19</v>
      </c>
      <c r="T615" s="528">
        <v>9</v>
      </c>
      <c r="U615" s="324">
        <f>E615/324*60</f>
        <v>0</v>
      </c>
      <c r="V615" s="676"/>
      <c r="W615" s="528"/>
      <c r="X615" s="529"/>
      <c r="Y615" s="323"/>
      <c r="Z615" s="312">
        <f t="shared" si="222"/>
        <v>0</v>
      </c>
      <c r="AA615" s="316">
        <f t="shared" si="223"/>
        <v>0</v>
      </c>
      <c r="AB615" s="310">
        <f t="shared" si="224"/>
        <v>0</v>
      </c>
    </row>
    <row r="616" spans="1:29" ht="77.25" thickBot="1" x14ac:dyDescent="0.45">
      <c r="A616" s="319" t="s">
        <v>14</v>
      </c>
      <c r="B616" s="320" t="s">
        <v>744</v>
      </c>
      <c r="C616" s="528"/>
      <c r="D616" s="528"/>
      <c r="E616" s="456">
        <f>C616*4</f>
        <v>0</v>
      </c>
      <c r="F616" s="358">
        <f t="shared" si="218"/>
        <v>0</v>
      </c>
      <c r="G616" s="548">
        <f t="shared" si="219"/>
        <v>0</v>
      </c>
      <c r="H616" s="358" t="s">
        <v>18</v>
      </c>
      <c r="I616" s="548">
        <f t="shared" si="220"/>
        <v>0</v>
      </c>
      <c r="J616" s="358" t="s">
        <v>19</v>
      </c>
      <c r="K616" s="358"/>
      <c r="L616" s="358"/>
      <c r="M616" s="358">
        <f t="shared" si="221"/>
        <v>0</v>
      </c>
      <c r="N616" s="324"/>
      <c r="O616" s="324"/>
      <c r="P616" s="324"/>
      <c r="Q616" s="324" t="s">
        <v>18</v>
      </c>
      <c r="R616" s="324"/>
      <c r="S616" s="324" t="s">
        <v>19</v>
      </c>
      <c r="T616" s="528">
        <v>9</v>
      </c>
      <c r="U616" s="324">
        <f t="shared" ref="U616:U621" si="225">E616/324*60</f>
        <v>0</v>
      </c>
      <c r="V616" s="676"/>
      <c r="W616" s="528"/>
      <c r="X616" s="529"/>
      <c r="Y616" s="323"/>
      <c r="Z616" s="312">
        <f t="shared" si="222"/>
        <v>0</v>
      </c>
      <c r="AA616" s="316">
        <f>SUM(AB616/347.8)</f>
        <v>0</v>
      </c>
      <c r="AB616" s="310">
        <f t="shared" si="224"/>
        <v>0</v>
      </c>
    </row>
    <row r="617" spans="1:29" ht="77.25" thickBot="1" x14ac:dyDescent="0.45">
      <c r="A617" s="319" t="s">
        <v>14</v>
      </c>
      <c r="B617" s="320" t="s">
        <v>941</v>
      </c>
      <c r="C617" s="528"/>
      <c r="D617" s="528"/>
      <c r="E617" s="456">
        <f>C617*2.5</f>
        <v>0</v>
      </c>
      <c r="F617" s="358">
        <f t="shared" si="218"/>
        <v>0</v>
      </c>
      <c r="G617" s="548">
        <f t="shared" si="219"/>
        <v>0</v>
      </c>
      <c r="H617" s="358" t="s">
        <v>18</v>
      </c>
      <c r="I617" s="548">
        <f t="shared" si="220"/>
        <v>0</v>
      </c>
      <c r="J617" s="358" t="s">
        <v>19</v>
      </c>
      <c r="K617" s="358"/>
      <c r="L617" s="358"/>
      <c r="M617" s="358">
        <f t="shared" si="221"/>
        <v>0</v>
      </c>
      <c r="N617" s="324"/>
      <c r="O617" s="324"/>
      <c r="P617" s="324"/>
      <c r="Q617" s="324" t="s">
        <v>18</v>
      </c>
      <c r="R617" s="324"/>
      <c r="S617" s="324" t="s">
        <v>19</v>
      </c>
      <c r="T617" s="528">
        <v>9</v>
      </c>
      <c r="U617" s="324">
        <f t="shared" si="225"/>
        <v>0</v>
      </c>
      <c r="V617" s="676"/>
      <c r="W617" s="528"/>
      <c r="X617" s="529"/>
      <c r="Y617" s="323"/>
      <c r="Z617" s="312">
        <f t="shared" si="222"/>
        <v>0</v>
      </c>
      <c r="AA617" s="316">
        <f t="shared" si="223"/>
        <v>0</v>
      </c>
      <c r="AB617" s="310">
        <f t="shared" si="224"/>
        <v>0</v>
      </c>
    </row>
    <row r="618" spans="1:29" ht="77.25" thickBot="1" x14ac:dyDescent="0.45">
      <c r="A618" s="319" t="s">
        <v>14</v>
      </c>
      <c r="B618" s="320" t="s">
        <v>746</v>
      </c>
      <c r="C618" s="528">
        <v>1000</v>
      </c>
      <c r="D618" s="528"/>
      <c r="E618" s="456">
        <f>C618*4</f>
        <v>4000</v>
      </c>
      <c r="F618" s="358">
        <f t="shared" si="218"/>
        <v>19.787755102040816</v>
      </c>
      <c r="G618" s="548">
        <f t="shared" si="219"/>
        <v>34</v>
      </c>
      <c r="H618" s="358" t="s">
        <v>18</v>
      </c>
      <c r="I618" s="548">
        <f t="shared" si="220"/>
        <v>35.464852607709417</v>
      </c>
      <c r="J618" s="358" t="s">
        <v>19</v>
      </c>
      <c r="K618" s="358"/>
      <c r="L618" s="358"/>
      <c r="M618" s="358">
        <f t="shared" si="221"/>
        <v>34.55413832199546</v>
      </c>
      <c r="N618" s="324"/>
      <c r="O618" s="324"/>
      <c r="P618" s="324"/>
      <c r="Q618" s="324" t="s">
        <v>18</v>
      </c>
      <c r="R618" s="324"/>
      <c r="S618" s="324" t="s">
        <v>19</v>
      </c>
      <c r="T618" s="528">
        <v>9</v>
      </c>
      <c r="U618" s="324">
        <f t="shared" si="225"/>
        <v>740.74074074074076</v>
      </c>
      <c r="V618" s="676"/>
      <c r="W618" s="528"/>
      <c r="X618" s="529"/>
      <c r="Y618" s="323"/>
      <c r="Z618" s="312">
        <f t="shared" si="222"/>
        <v>2892.2004584137726</v>
      </c>
      <c r="AA618" s="316">
        <f t="shared" si="223"/>
        <v>11.506387483351695</v>
      </c>
      <c r="AB618" s="310">
        <f t="shared" si="224"/>
        <v>3305.7851239669421</v>
      </c>
    </row>
    <row r="619" spans="1:29" ht="77.25" thickBot="1" x14ac:dyDescent="0.45">
      <c r="A619" s="319" t="s">
        <v>14</v>
      </c>
      <c r="B619" s="320" t="s">
        <v>747</v>
      </c>
      <c r="C619" s="528"/>
      <c r="D619" s="528"/>
      <c r="E619" s="456">
        <f>C619*2.5</f>
        <v>0</v>
      </c>
      <c r="F619" s="358">
        <f t="shared" si="218"/>
        <v>0</v>
      </c>
      <c r="G619" s="548">
        <f t="shared" si="219"/>
        <v>0</v>
      </c>
      <c r="H619" s="358" t="s">
        <v>18</v>
      </c>
      <c r="I619" s="548">
        <f t="shared" si="220"/>
        <v>0</v>
      </c>
      <c r="J619" s="358" t="s">
        <v>19</v>
      </c>
      <c r="K619" s="358"/>
      <c r="L619" s="358"/>
      <c r="M619" s="358">
        <f t="shared" si="221"/>
        <v>0</v>
      </c>
      <c r="N619" s="324"/>
      <c r="O619" s="324"/>
      <c r="P619" s="324"/>
      <c r="Q619" s="324" t="s">
        <v>18</v>
      </c>
      <c r="R619" s="324"/>
      <c r="S619" s="324" t="s">
        <v>19</v>
      </c>
      <c r="T619" s="528">
        <v>9</v>
      </c>
      <c r="U619" s="324">
        <f t="shared" si="225"/>
        <v>0</v>
      </c>
      <c r="V619" s="676"/>
      <c r="W619" s="528"/>
      <c r="X619" s="529"/>
      <c r="Y619" s="323"/>
      <c r="Z619" s="312">
        <f t="shared" si="222"/>
        <v>0</v>
      </c>
      <c r="AA619" s="316">
        <f t="shared" si="223"/>
        <v>0</v>
      </c>
      <c r="AB619" s="310">
        <f t="shared" si="224"/>
        <v>0</v>
      </c>
    </row>
    <row r="620" spans="1:29" ht="51.75" thickBot="1" x14ac:dyDescent="0.45">
      <c r="A620" s="319" t="s">
        <v>14</v>
      </c>
      <c r="B620" s="320" t="s">
        <v>748</v>
      </c>
      <c r="C620" s="528"/>
      <c r="D620" s="528"/>
      <c r="E620" s="456">
        <f>C620*2.5</f>
        <v>0</v>
      </c>
      <c r="F620" s="358">
        <f>E620*1.03*0.82/147</f>
        <v>0</v>
      </c>
      <c r="G620" s="549">
        <f t="shared" ref="G620:G647" si="226">INT(M620)</f>
        <v>0</v>
      </c>
      <c r="H620" s="359" t="s">
        <v>18</v>
      </c>
      <c r="I620" s="549">
        <f t="shared" ref="I620:I647" si="227">(M620-G620)*64</f>
        <v>0</v>
      </c>
      <c r="J620" s="359" t="s">
        <v>19</v>
      </c>
      <c r="K620" s="358"/>
      <c r="L620" s="358"/>
      <c r="M620" s="358">
        <f>(F620*5547/3456)</f>
        <v>0</v>
      </c>
      <c r="N620" s="324"/>
      <c r="O620" s="324"/>
      <c r="P620" s="324"/>
      <c r="Q620" s="324" t="s">
        <v>18</v>
      </c>
      <c r="R620" s="324"/>
      <c r="S620" s="324" t="s">
        <v>19</v>
      </c>
      <c r="T620" s="528">
        <v>9</v>
      </c>
      <c r="U620" s="324">
        <f t="shared" si="225"/>
        <v>0</v>
      </c>
      <c r="V620" s="676"/>
      <c r="W620" s="528"/>
      <c r="X620" s="529"/>
      <c r="Y620" s="323"/>
      <c r="Z620" s="312">
        <f>E620/1.21</f>
        <v>0</v>
      </c>
      <c r="AA620" s="316">
        <f>SUM(Z620/347.8)</f>
        <v>0</v>
      </c>
    </row>
    <row r="621" spans="1:29" ht="77.25" thickBot="1" x14ac:dyDescent="0.45">
      <c r="A621" s="319" t="s">
        <v>14</v>
      </c>
      <c r="B621" s="320" t="s">
        <v>749</v>
      </c>
      <c r="C621" s="528"/>
      <c r="D621" s="528"/>
      <c r="E621" s="456">
        <f>C621*4</f>
        <v>0</v>
      </c>
      <c r="F621" s="358">
        <f>E621*1.03*0.82/147</f>
        <v>0</v>
      </c>
      <c r="G621" s="548">
        <f t="shared" si="226"/>
        <v>0</v>
      </c>
      <c r="H621" s="358" t="s">
        <v>18</v>
      </c>
      <c r="I621" s="548">
        <f t="shared" si="227"/>
        <v>0</v>
      </c>
      <c r="J621" s="358" t="s">
        <v>19</v>
      </c>
      <c r="K621" s="358"/>
      <c r="L621" s="358"/>
      <c r="M621" s="358">
        <f>(F621*5547/3456)</f>
        <v>0</v>
      </c>
      <c r="N621" s="324"/>
      <c r="O621" s="324"/>
      <c r="P621" s="324"/>
      <c r="Q621" s="324" t="s">
        <v>18</v>
      </c>
      <c r="R621" s="324"/>
      <c r="S621" s="324" t="s">
        <v>19</v>
      </c>
      <c r="T621" s="528">
        <v>9</v>
      </c>
      <c r="U621" s="324">
        <f t="shared" si="225"/>
        <v>0</v>
      </c>
      <c r="V621" s="685"/>
      <c r="W621" s="528"/>
      <c r="X621" s="529"/>
      <c r="Y621" s="323"/>
      <c r="Z621" s="312">
        <f>E621/1.21</f>
        <v>0</v>
      </c>
      <c r="AA621" s="316">
        <f>SUM(Z621/347.8)</f>
        <v>0</v>
      </c>
    </row>
    <row r="622" spans="1:29" s="728" customFormat="1" ht="79.5" outlineLevel="1" thickBot="1" x14ac:dyDescent="0.45">
      <c r="A622" s="636" t="s">
        <v>14</v>
      </c>
      <c r="B622" s="634" t="s">
        <v>750</v>
      </c>
      <c r="C622" s="720"/>
      <c r="D622" s="720">
        <f>C622*144</f>
        <v>0</v>
      </c>
      <c r="E622" s="721">
        <f>D622*0.025</f>
        <v>0</v>
      </c>
      <c r="F622" s="722">
        <f>E622*1.008*0.72/147</f>
        <v>0</v>
      </c>
      <c r="G622" s="720">
        <f t="shared" si="226"/>
        <v>0</v>
      </c>
      <c r="H622" s="722" t="s">
        <v>18</v>
      </c>
      <c r="I622" s="720">
        <f t="shared" si="227"/>
        <v>0</v>
      </c>
      <c r="J622" s="722" t="s">
        <v>19</v>
      </c>
      <c r="K622" s="722"/>
      <c r="L622" s="722"/>
      <c r="M622" s="722">
        <f>(F622*8166/3456)</f>
        <v>0</v>
      </c>
      <c r="N622" s="722"/>
      <c r="O622" s="722"/>
      <c r="P622" s="722"/>
      <c r="Q622" s="722" t="s">
        <v>18</v>
      </c>
      <c r="R622" s="722"/>
      <c r="S622" s="722" t="s">
        <v>19</v>
      </c>
      <c r="T622" s="720">
        <v>9</v>
      </c>
      <c r="U622" s="722">
        <f>E622/259*60</f>
        <v>0</v>
      </c>
      <c r="V622" s="724"/>
      <c r="W622" s="720"/>
      <c r="X622" s="725"/>
      <c r="Y622" s="737" t="s">
        <v>921</v>
      </c>
      <c r="Z622" s="727">
        <f t="shared" si="222"/>
        <v>0</v>
      </c>
      <c r="AA622" s="815">
        <f>SUM(AB622/215.5)</f>
        <v>0</v>
      </c>
      <c r="AB622" s="728">
        <f>E622/1.21</f>
        <v>0</v>
      </c>
    </row>
    <row r="623" spans="1:29" ht="77.25" thickBot="1" x14ac:dyDescent="0.45">
      <c r="A623" s="319" t="s">
        <v>14</v>
      </c>
      <c r="B623" s="320" t="s">
        <v>1149</v>
      </c>
      <c r="C623" s="528"/>
      <c r="D623" s="528"/>
      <c r="E623" s="456">
        <f>C623*4</f>
        <v>0</v>
      </c>
      <c r="F623" s="358">
        <f>E623*1.03*0.82/147</f>
        <v>0</v>
      </c>
      <c r="G623" s="548">
        <f t="shared" si="226"/>
        <v>0</v>
      </c>
      <c r="H623" s="358" t="s">
        <v>18</v>
      </c>
      <c r="I623" s="548">
        <f t="shared" si="227"/>
        <v>0</v>
      </c>
      <c r="J623" s="358" t="s">
        <v>19</v>
      </c>
      <c r="K623" s="358"/>
      <c r="L623" s="358"/>
      <c r="M623" s="358">
        <f>(F623*5547/3456)</f>
        <v>0</v>
      </c>
      <c r="N623" s="324"/>
      <c r="O623" s="324"/>
      <c r="P623" s="324"/>
      <c r="Q623" s="324" t="s">
        <v>18</v>
      </c>
      <c r="R623" s="324"/>
      <c r="S623" s="324" t="s">
        <v>19</v>
      </c>
      <c r="T623" s="528">
        <v>9</v>
      </c>
      <c r="U623" s="324">
        <f t="shared" ref="U623:U629" si="228">E623/324*60</f>
        <v>0</v>
      </c>
      <c r="V623" s="676"/>
      <c r="W623" s="528"/>
      <c r="X623" s="529"/>
      <c r="Y623" s="323"/>
      <c r="Z623" s="312">
        <f t="shared" ref="Z623:Z629" si="229">E623/1.21</f>
        <v>0</v>
      </c>
      <c r="AA623" s="316">
        <f>SUM(Z623/347.8)</f>
        <v>0</v>
      </c>
    </row>
    <row r="624" spans="1:29" ht="77.25" outlineLevel="1" thickBot="1" x14ac:dyDescent="0.45">
      <c r="A624" s="319" t="s">
        <v>14</v>
      </c>
      <c r="B624" s="799" t="s">
        <v>1209</v>
      </c>
      <c r="C624" s="528"/>
      <c r="D624" s="528"/>
      <c r="E624" s="456">
        <f>C624*4</f>
        <v>0</v>
      </c>
      <c r="F624" s="358">
        <f>E624*1.03*0.82/147</f>
        <v>0</v>
      </c>
      <c r="G624" s="548">
        <f t="shared" si="226"/>
        <v>0</v>
      </c>
      <c r="H624" s="358" t="s">
        <v>18</v>
      </c>
      <c r="I624" s="548">
        <f t="shared" si="227"/>
        <v>0</v>
      </c>
      <c r="J624" s="358" t="s">
        <v>19</v>
      </c>
      <c r="K624" s="358"/>
      <c r="L624" s="358"/>
      <c r="M624" s="358">
        <f>(F624*5547/3456)</f>
        <v>0</v>
      </c>
      <c r="N624" s="324"/>
      <c r="O624" s="324"/>
      <c r="P624" s="324"/>
      <c r="Q624" s="324" t="s">
        <v>18</v>
      </c>
      <c r="R624" s="324"/>
      <c r="S624" s="324" t="s">
        <v>19</v>
      </c>
      <c r="T624" s="528">
        <v>9</v>
      </c>
      <c r="U624" s="324">
        <f>E624/324*60</f>
        <v>0</v>
      </c>
      <c r="V624" s="676"/>
      <c r="W624" s="528"/>
      <c r="X624" s="529"/>
      <c r="Y624" s="323"/>
      <c r="Z624" s="312">
        <f t="shared" si="229"/>
        <v>0</v>
      </c>
      <c r="AA624" s="316">
        <f>SUM(Z624/341.6)</f>
        <v>0</v>
      </c>
    </row>
    <row r="625" spans="1:29" ht="102.75" thickBot="1" x14ac:dyDescent="0.45">
      <c r="A625" s="319" t="s">
        <v>14</v>
      </c>
      <c r="B625" s="320" t="s">
        <v>751</v>
      </c>
      <c r="C625" s="528"/>
      <c r="D625" s="528"/>
      <c r="E625" s="456">
        <f>C625*4</f>
        <v>0</v>
      </c>
      <c r="F625" s="358">
        <f>E625*1.01*0.72/147</f>
        <v>0</v>
      </c>
      <c r="G625" s="548">
        <f t="shared" ref="G625:G630" si="230">INT(M625)</f>
        <v>0</v>
      </c>
      <c r="H625" s="358" t="s">
        <v>18</v>
      </c>
      <c r="I625" s="548">
        <f t="shared" ref="I625:I630" si="231">(M625-G625)*64</f>
        <v>0</v>
      </c>
      <c r="J625" s="358" t="s">
        <v>19</v>
      </c>
      <c r="K625" s="358"/>
      <c r="L625" s="358"/>
      <c r="M625" s="358">
        <f>(F625*6035/3456)</f>
        <v>0</v>
      </c>
      <c r="N625" s="324"/>
      <c r="O625" s="324"/>
      <c r="P625" s="324"/>
      <c r="Q625" s="324" t="s">
        <v>18</v>
      </c>
      <c r="R625" s="324"/>
      <c r="S625" s="324" t="s">
        <v>19</v>
      </c>
      <c r="T625" s="528">
        <v>9</v>
      </c>
      <c r="U625" s="324">
        <f t="shared" si="228"/>
        <v>0</v>
      </c>
      <c r="V625" s="676"/>
      <c r="W625" s="528"/>
      <c r="X625" s="529"/>
      <c r="Y625" s="323"/>
      <c r="Z625" s="312">
        <f>E625/1.21/1.143</f>
        <v>0</v>
      </c>
      <c r="AA625" s="316">
        <f>SUM(AB625/287.3)</f>
        <v>0</v>
      </c>
      <c r="AB625" s="310">
        <f>E625/1.21</f>
        <v>0</v>
      </c>
    </row>
    <row r="626" spans="1:29" ht="77.25" thickBot="1" x14ac:dyDescent="0.45">
      <c r="A626" s="319" t="s">
        <v>14</v>
      </c>
      <c r="B626" s="343" t="s">
        <v>752</v>
      </c>
      <c r="C626" s="528"/>
      <c r="D626" s="528"/>
      <c r="E626" s="457">
        <f>C626*3</f>
        <v>0</v>
      </c>
      <c r="F626" s="358">
        <f>E626*1.03*0.82/147</f>
        <v>0</v>
      </c>
      <c r="G626" s="549">
        <f t="shared" si="230"/>
        <v>0</v>
      </c>
      <c r="H626" s="359" t="s">
        <v>18</v>
      </c>
      <c r="I626" s="549">
        <f t="shared" si="231"/>
        <v>0</v>
      </c>
      <c r="J626" s="359" t="s">
        <v>19</v>
      </c>
      <c r="K626" s="358"/>
      <c r="L626" s="358"/>
      <c r="M626" s="358">
        <f>(F626*5547/3456)</f>
        <v>0</v>
      </c>
      <c r="N626" s="324"/>
      <c r="O626" s="324"/>
      <c r="P626" s="324"/>
      <c r="Q626" s="324" t="s">
        <v>18</v>
      </c>
      <c r="R626" s="324"/>
      <c r="S626" s="324" t="s">
        <v>19</v>
      </c>
      <c r="T626" s="528">
        <v>9</v>
      </c>
      <c r="U626" s="324">
        <f t="shared" si="228"/>
        <v>0</v>
      </c>
      <c r="V626" s="676"/>
      <c r="W626" s="528"/>
      <c r="X626" s="529"/>
      <c r="Y626" s="323"/>
      <c r="Z626" s="312">
        <f t="shared" si="229"/>
        <v>0</v>
      </c>
      <c r="AA626" s="316">
        <f>SUM(Z626/341.6)</f>
        <v>0</v>
      </c>
    </row>
    <row r="627" spans="1:29" ht="77.25" thickBot="1" x14ac:dyDescent="0.45">
      <c r="A627" s="319" t="s">
        <v>14</v>
      </c>
      <c r="B627" s="344" t="s">
        <v>879</v>
      </c>
      <c r="C627" s="528"/>
      <c r="D627" s="528"/>
      <c r="E627" s="457">
        <f>C627*3</f>
        <v>0</v>
      </c>
      <c r="F627" s="358">
        <f>E627*1.03*0.82/147</f>
        <v>0</v>
      </c>
      <c r="G627" s="549">
        <f t="shared" si="230"/>
        <v>0</v>
      </c>
      <c r="H627" s="359" t="s">
        <v>18</v>
      </c>
      <c r="I627" s="549">
        <f t="shared" si="231"/>
        <v>0</v>
      </c>
      <c r="J627" s="359" t="s">
        <v>19</v>
      </c>
      <c r="K627" s="358"/>
      <c r="L627" s="358"/>
      <c r="M627" s="358">
        <f>(F627*5547/3456)</f>
        <v>0</v>
      </c>
      <c r="N627" s="324"/>
      <c r="O627" s="324"/>
      <c r="P627" s="324"/>
      <c r="Q627" s="324" t="s">
        <v>18</v>
      </c>
      <c r="R627" s="324"/>
      <c r="S627" s="324" t="s">
        <v>19</v>
      </c>
      <c r="T627" s="528">
        <v>9</v>
      </c>
      <c r="U627" s="324">
        <f t="shared" si="228"/>
        <v>0</v>
      </c>
      <c r="V627" s="676"/>
      <c r="W627" s="528"/>
      <c r="X627" s="529"/>
      <c r="Y627" s="323"/>
      <c r="Z627" s="312">
        <f t="shared" si="229"/>
        <v>0</v>
      </c>
      <c r="AA627" s="316">
        <f>SUM(Z627/347.8)</f>
        <v>0</v>
      </c>
    </row>
    <row r="628" spans="1:29" ht="51.75" thickBot="1" x14ac:dyDescent="0.45">
      <c r="A628" s="319" t="s">
        <v>14</v>
      </c>
      <c r="B628" s="320" t="s">
        <v>753</v>
      </c>
      <c r="C628" s="528"/>
      <c r="D628" s="528"/>
      <c r="E628" s="456">
        <f>C628*2.5</f>
        <v>0</v>
      </c>
      <c r="F628" s="358">
        <f>E628*1.03*0.84/147</f>
        <v>0</v>
      </c>
      <c r="G628" s="548">
        <f t="shared" si="230"/>
        <v>0</v>
      </c>
      <c r="H628" s="358" t="s">
        <v>18</v>
      </c>
      <c r="I628" s="548">
        <f t="shared" si="231"/>
        <v>0</v>
      </c>
      <c r="J628" s="358" t="s">
        <v>19</v>
      </c>
      <c r="K628" s="358"/>
      <c r="L628" s="358"/>
      <c r="M628" s="358">
        <f>(F628*5547/3456)</f>
        <v>0</v>
      </c>
      <c r="N628" s="324"/>
      <c r="O628" s="324"/>
      <c r="P628" s="324"/>
      <c r="Q628" s="324" t="s">
        <v>18</v>
      </c>
      <c r="R628" s="324"/>
      <c r="S628" s="324" t="s">
        <v>19</v>
      </c>
      <c r="T628" s="528">
        <v>9</v>
      </c>
      <c r="U628" s="324">
        <f t="shared" si="228"/>
        <v>0</v>
      </c>
      <c r="V628" s="676"/>
      <c r="W628" s="528"/>
      <c r="X628" s="529"/>
      <c r="Y628" s="323"/>
      <c r="Z628" s="312">
        <f t="shared" si="229"/>
        <v>0</v>
      </c>
      <c r="AA628" s="316">
        <f>SUM(Z628/347.8)</f>
        <v>0</v>
      </c>
    </row>
    <row r="629" spans="1:29" ht="77.25" thickBot="1" x14ac:dyDescent="0.45">
      <c r="A629" s="319" t="s">
        <v>14</v>
      </c>
      <c r="B629" s="320" t="s">
        <v>761</v>
      </c>
      <c r="C629" s="528"/>
      <c r="D629" s="528"/>
      <c r="E629" s="456">
        <f>C629*4</f>
        <v>0</v>
      </c>
      <c r="F629" s="358">
        <f>E629*1.03*0.84/147</f>
        <v>0</v>
      </c>
      <c r="G629" s="548">
        <f t="shared" si="230"/>
        <v>0</v>
      </c>
      <c r="H629" s="358" t="s">
        <v>18</v>
      </c>
      <c r="I629" s="548">
        <f t="shared" si="231"/>
        <v>0</v>
      </c>
      <c r="J629" s="358" t="s">
        <v>19</v>
      </c>
      <c r="K629" s="358"/>
      <c r="L629" s="358"/>
      <c r="M629" s="358">
        <f>(F629*5547/3456)</f>
        <v>0</v>
      </c>
      <c r="N629" s="324"/>
      <c r="O629" s="324"/>
      <c r="P629" s="324"/>
      <c r="Q629" s="324" t="s">
        <v>18</v>
      </c>
      <c r="R629" s="324"/>
      <c r="S629" s="324" t="s">
        <v>19</v>
      </c>
      <c r="T629" s="528">
        <v>9</v>
      </c>
      <c r="U629" s="324">
        <f t="shared" si="228"/>
        <v>0</v>
      </c>
      <c r="V629" s="676"/>
      <c r="W629" s="528"/>
      <c r="X629" s="529"/>
      <c r="Y629" s="323"/>
      <c r="Z629" s="312">
        <f t="shared" si="229"/>
        <v>0</v>
      </c>
      <c r="AA629" s="316">
        <f>SUM(Z629/347.8)</f>
        <v>0</v>
      </c>
    </row>
    <row r="630" spans="1:29" ht="77.25" thickBot="1" x14ac:dyDescent="0.45">
      <c r="A630" s="319" t="s">
        <v>14</v>
      </c>
      <c r="B630" s="361" t="s">
        <v>755</v>
      </c>
      <c r="C630" s="528"/>
      <c r="D630" s="528"/>
      <c r="E630" s="456">
        <f>C630*4</f>
        <v>0</v>
      </c>
      <c r="F630" s="358">
        <f>E630*1.01*0.756/147</f>
        <v>0</v>
      </c>
      <c r="G630" s="548">
        <f t="shared" si="230"/>
        <v>0</v>
      </c>
      <c r="H630" s="358" t="s">
        <v>18</v>
      </c>
      <c r="I630" s="548">
        <f t="shared" si="231"/>
        <v>0</v>
      </c>
      <c r="J630" s="358" t="s">
        <v>19</v>
      </c>
      <c r="K630" s="358"/>
      <c r="L630" s="358"/>
      <c r="M630" s="358">
        <f>(F630*6035/3456)</f>
        <v>0</v>
      </c>
      <c r="N630" s="324"/>
      <c r="O630" s="324"/>
      <c r="P630" s="324"/>
      <c r="Q630" s="324" t="s">
        <v>18</v>
      </c>
      <c r="R630" s="324"/>
      <c r="S630" s="324" t="s">
        <v>19</v>
      </c>
      <c r="T630" s="528">
        <v>9</v>
      </c>
      <c r="U630" s="324">
        <f t="shared" ref="U630:U647" si="232">E630/324*60</f>
        <v>0</v>
      </c>
      <c r="V630" s="676"/>
      <c r="W630" s="528"/>
      <c r="X630" s="529"/>
      <c r="Y630" s="323"/>
      <c r="Z630" s="312">
        <f>E630/1.21/1.143</f>
        <v>0</v>
      </c>
      <c r="AA630" s="316">
        <f>SUM(AB630/287.3)</f>
        <v>0</v>
      </c>
      <c r="AB630" s="310">
        <f>E630/1.21</f>
        <v>0</v>
      </c>
    </row>
    <row r="631" spans="1:29" ht="77.25" thickBot="1" x14ac:dyDescent="0.45">
      <c r="A631" s="319" t="s">
        <v>14</v>
      </c>
      <c r="B631" s="320" t="s">
        <v>756</v>
      </c>
      <c r="C631" s="528"/>
      <c r="D631" s="528"/>
      <c r="E631" s="456">
        <f>C631*2.5</f>
        <v>0</v>
      </c>
      <c r="F631" s="358">
        <f>E631*1.01*0.756/147</f>
        <v>0</v>
      </c>
      <c r="G631" s="548">
        <f t="shared" si="226"/>
        <v>0</v>
      </c>
      <c r="H631" s="358" t="s">
        <v>18</v>
      </c>
      <c r="I631" s="548">
        <f t="shared" si="227"/>
        <v>0</v>
      </c>
      <c r="J631" s="358" t="s">
        <v>19</v>
      </c>
      <c r="K631" s="358"/>
      <c r="L631" s="358"/>
      <c r="M631" s="358">
        <f>(F631*6035/3456)</f>
        <v>0</v>
      </c>
      <c r="N631" s="324"/>
      <c r="O631" s="324"/>
      <c r="P631" s="324"/>
      <c r="Q631" s="324" t="s">
        <v>18</v>
      </c>
      <c r="R631" s="324"/>
      <c r="S631" s="324" t="s">
        <v>19</v>
      </c>
      <c r="T631" s="528">
        <v>9</v>
      </c>
      <c r="U631" s="324">
        <f t="shared" si="232"/>
        <v>0</v>
      </c>
      <c r="V631" s="676"/>
      <c r="W631" s="528"/>
      <c r="X631" s="529"/>
      <c r="Y631" s="323"/>
      <c r="Z631" s="312">
        <f>E631/1.21/1.143</f>
        <v>0</v>
      </c>
      <c r="AA631" s="316">
        <f>SUM(AB631/287.3)</f>
        <v>0</v>
      </c>
      <c r="AB631" s="310">
        <f>E631/1.21</f>
        <v>0</v>
      </c>
    </row>
    <row r="632" spans="1:29" ht="77.25" thickBot="1" x14ac:dyDescent="0.45">
      <c r="A632" s="319" t="s">
        <v>14</v>
      </c>
      <c r="B632" s="320" t="s">
        <v>762</v>
      </c>
      <c r="C632" s="528"/>
      <c r="D632" s="528"/>
      <c r="E632" s="456">
        <f>C632*2.5</f>
        <v>0</v>
      </c>
      <c r="F632" s="358">
        <f>E632*1.01*0.756/147</f>
        <v>0</v>
      </c>
      <c r="G632" s="548">
        <f t="shared" si="226"/>
        <v>0</v>
      </c>
      <c r="H632" s="358" t="s">
        <v>18</v>
      </c>
      <c r="I632" s="548">
        <f t="shared" si="227"/>
        <v>0</v>
      </c>
      <c r="J632" s="358" t="s">
        <v>19</v>
      </c>
      <c r="K632" s="358"/>
      <c r="L632" s="358"/>
      <c r="M632" s="358">
        <f>(F632*6035/3456)</f>
        <v>0</v>
      </c>
      <c r="N632" s="324"/>
      <c r="O632" s="324"/>
      <c r="P632" s="324"/>
      <c r="Q632" s="324" t="s">
        <v>18</v>
      </c>
      <c r="R632" s="324"/>
      <c r="S632" s="324" t="s">
        <v>19</v>
      </c>
      <c r="T632" s="528">
        <v>9</v>
      </c>
      <c r="U632" s="324">
        <f t="shared" si="232"/>
        <v>0</v>
      </c>
      <c r="V632" s="676"/>
      <c r="W632" s="528"/>
      <c r="X632" s="529"/>
      <c r="Y632" s="323"/>
      <c r="Z632" s="312">
        <f>E632/1.21/1.143</f>
        <v>0</v>
      </c>
      <c r="AA632" s="316">
        <f>SUM(AB632/287.3)</f>
        <v>0</v>
      </c>
      <c r="AB632" s="310">
        <f>E632/1.21</f>
        <v>0</v>
      </c>
    </row>
    <row r="633" spans="1:29" ht="77.25" thickBot="1" x14ac:dyDescent="0.45">
      <c r="A633" s="319" t="s">
        <v>14</v>
      </c>
      <c r="B633" s="320" t="s">
        <v>758</v>
      </c>
      <c r="C633" s="528"/>
      <c r="D633" s="528"/>
      <c r="E633" s="456">
        <f>C633*4</f>
        <v>0</v>
      </c>
      <c r="F633" s="358">
        <f>E633*1.03*0.84/147</f>
        <v>0</v>
      </c>
      <c r="G633" s="548">
        <f t="shared" si="226"/>
        <v>0</v>
      </c>
      <c r="H633" s="358" t="s">
        <v>18</v>
      </c>
      <c r="I633" s="548">
        <f t="shared" si="227"/>
        <v>0</v>
      </c>
      <c r="J633" s="358" t="s">
        <v>19</v>
      </c>
      <c r="K633" s="358"/>
      <c r="L633" s="358"/>
      <c r="M633" s="358">
        <f>(F633*5068/3456)</f>
        <v>0</v>
      </c>
      <c r="N633" s="324"/>
      <c r="O633" s="324"/>
      <c r="P633" s="324"/>
      <c r="Q633" s="324" t="s">
        <v>18</v>
      </c>
      <c r="R633" s="324"/>
      <c r="S633" s="324" t="s">
        <v>19</v>
      </c>
      <c r="T633" s="528">
        <v>9</v>
      </c>
      <c r="U633" s="324">
        <f t="shared" si="232"/>
        <v>0</v>
      </c>
      <c r="V633" s="676"/>
      <c r="W633" s="528"/>
      <c r="X633" s="529"/>
      <c r="Y633" s="323"/>
      <c r="Z633" s="312">
        <f>E633/1.21</f>
        <v>0</v>
      </c>
      <c r="AA633" s="316">
        <f>SUM(Z633/347.8)</f>
        <v>0</v>
      </c>
    </row>
    <row r="634" spans="1:29" ht="77.25" thickBot="1" x14ac:dyDescent="0.45">
      <c r="A634" s="319" t="s">
        <v>14</v>
      </c>
      <c r="B634" s="799" t="s">
        <v>1186</v>
      </c>
      <c r="C634" s="528"/>
      <c r="D634" s="528"/>
      <c r="E634" s="456">
        <f>C634*1.7</f>
        <v>0</v>
      </c>
      <c r="F634" s="324">
        <f>E634*1.03*0.84/147</f>
        <v>0</v>
      </c>
      <c r="G634" s="548">
        <f t="shared" si="226"/>
        <v>0</v>
      </c>
      <c r="H634" s="358" t="s">
        <v>18</v>
      </c>
      <c r="I634" s="548">
        <f t="shared" si="227"/>
        <v>0</v>
      </c>
      <c r="J634" s="358" t="s">
        <v>19</v>
      </c>
      <c r="K634" s="358"/>
      <c r="L634" s="358"/>
      <c r="M634" s="358">
        <f>(F634*5068/3456)</f>
        <v>0</v>
      </c>
      <c r="N634" s="324"/>
      <c r="O634" s="324"/>
      <c r="P634" s="324"/>
      <c r="Q634" s="324" t="s">
        <v>18</v>
      </c>
      <c r="R634" s="324"/>
      <c r="S634" s="324" t="s">
        <v>19</v>
      </c>
      <c r="T634" s="528">
        <v>9</v>
      </c>
      <c r="U634" s="324">
        <f t="shared" si="232"/>
        <v>0</v>
      </c>
      <c r="V634" s="676"/>
      <c r="W634" s="528"/>
      <c r="X634" s="529"/>
      <c r="Y634" s="323"/>
      <c r="Z634" s="312">
        <f>E634/1.21</f>
        <v>0</v>
      </c>
      <c r="AA634" s="316">
        <f>SUM(Z634/347.8)</f>
        <v>0</v>
      </c>
    </row>
    <row r="635" spans="1:29" ht="77.25" thickBot="1" x14ac:dyDescent="0.45">
      <c r="A635" s="319" t="s">
        <v>14</v>
      </c>
      <c r="B635" s="802" t="s">
        <v>1185</v>
      </c>
      <c r="C635" s="528"/>
      <c r="D635" s="528"/>
      <c r="E635" s="456">
        <f>C635*1</f>
        <v>0</v>
      </c>
      <c r="F635" s="358">
        <f>E635*1.03*0.84/147</f>
        <v>0</v>
      </c>
      <c r="G635" s="549">
        <f t="shared" si="226"/>
        <v>0</v>
      </c>
      <c r="H635" s="359" t="s">
        <v>18</v>
      </c>
      <c r="I635" s="549">
        <f t="shared" si="227"/>
        <v>0</v>
      </c>
      <c r="J635" s="359" t="s">
        <v>19</v>
      </c>
      <c r="K635" s="358"/>
      <c r="L635" s="358"/>
      <c r="M635" s="358">
        <f>(F635*5068/3456)</f>
        <v>0</v>
      </c>
      <c r="N635" s="324"/>
      <c r="O635" s="324"/>
      <c r="P635" s="324"/>
      <c r="Q635" s="324" t="s">
        <v>18</v>
      </c>
      <c r="R635" s="324"/>
      <c r="S635" s="324" t="s">
        <v>19</v>
      </c>
      <c r="T635" s="528">
        <v>9</v>
      </c>
      <c r="U635" s="324">
        <f t="shared" si="232"/>
        <v>0</v>
      </c>
      <c r="V635" s="676"/>
      <c r="W635" s="528"/>
      <c r="X635" s="529"/>
      <c r="Y635" s="323"/>
      <c r="Z635" s="312">
        <f>E635/1.21</f>
        <v>0</v>
      </c>
      <c r="AA635" s="316">
        <f>SUM(Z635/285.7)</f>
        <v>0</v>
      </c>
    </row>
    <row r="636" spans="1:29" ht="77.25" thickBot="1" x14ac:dyDescent="0.45">
      <c r="A636" s="319" t="s">
        <v>14</v>
      </c>
      <c r="B636" s="802" t="s">
        <v>1187</v>
      </c>
      <c r="C636" s="528"/>
      <c r="D636" s="528"/>
      <c r="E636" s="456">
        <f>C636*1.7</f>
        <v>0</v>
      </c>
      <c r="F636" s="358">
        <f>E636*1.03*0.84/147</f>
        <v>0</v>
      </c>
      <c r="G636" s="549">
        <f t="shared" si="226"/>
        <v>0</v>
      </c>
      <c r="H636" s="359" t="s">
        <v>18</v>
      </c>
      <c r="I636" s="549">
        <f t="shared" si="227"/>
        <v>0</v>
      </c>
      <c r="J636" s="359" t="s">
        <v>19</v>
      </c>
      <c r="K636" s="358"/>
      <c r="L636" s="358"/>
      <c r="M636" s="358">
        <f>(F636*5068/3456)</f>
        <v>0</v>
      </c>
      <c r="N636" s="324"/>
      <c r="O636" s="324"/>
      <c r="P636" s="324"/>
      <c r="Q636" s="324" t="s">
        <v>18</v>
      </c>
      <c r="R636" s="324"/>
      <c r="S636" s="324" t="s">
        <v>19</v>
      </c>
      <c r="T636" s="528">
        <v>9</v>
      </c>
      <c r="U636" s="324">
        <f t="shared" si="232"/>
        <v>0</v>
      </c>
      <c r="V636" s="676"/>
      <c r="W636" s="528"/>
      <c r="X636" s="529"/>
      <c r="Y636" s="323"/>
      <c r="Z636" s="312">
        <f>E636/1.21/1.143</f>
        <v>0</v>
      </c>
      <c r="AA636" s="316">
        <f>SUM(AB636/287.3)</f>
        <v>0</v>
      </c>
      <c r="AB636" s="310">
        <f>E636/1.21</f>
        <v>0</v>
      </c>
    </row>
    <row r="637" spans="1:29" ht="77.25" thickBot="1" x14ac:dyDescent="0.45">
      <c r="A637" s="319" t="s">
        <v>14</v>
      </c>
      <c r="B637" s="802" t="s">
        <v>896</v>
      </c>
      <c r="C637" s="528"/>
      <c r="D637" s="528"/>
      <c r="E637" s="456">
        <f>C637*1.2</f>
        <v>0</v>
      </c>
      <c r="F637" s="358">
        <f>E637*1.01*0.72/147</f>
        <v>0</v>
      </c>
      <c r="G637" s="548">
        <f t="shared" si="226"/>
        <v>0</v>
      </c>
      <c r="H637" s="358" t="s">
        <v>18</v>
      </c>
      <c r="I637" s="548">
        <f t="shared" si="227"/>
        <v>0</v>
      </c>
      <c r="J637" s="358" t="s">
        <v>19</v>
      </c>
      <c r="K637" s="358"/>
      <c r="L637" s="358"/>
      <c r="M637" s="358">
        <f>(F637*6035/3456)</f>
        <v>0</v>
      </c>
      <c r="N637" s="358"/>
      <c r="O637" s="358"/>
      <c r="P637" s="358"/>
      <c r="Q637" s="358" t="s">
        <v>18</v>
      </c>
      <c r="R637" s="358"/>
      <c r="S637" s="358" t="s">
        <v>19</v>
      </c>
      <c r="T637" s="528">
        <v>9</v>
      </c>
      <c r="U637" s="324">
        <f t="shared" si="232"/>
        <v>0</v>
      </c>
      <c r="V637" s="685"/>
      <c r="W637" s="528"/>
      <c r="X637" s="529"/>
      <c r="Y637" s="323"/>
      <c r="Z637" s="312">
        <f>E637/1.21/1.143</f>
        <v>0</v>
      </c>
      <c r="AA637" s="316">
        <f>SUM(AB637/271.89)</f>
        <v>0</v>
      </c>
      <c r="AB637" s="310">
        <f>E637/1.21</f>
        <v>0</v>
      </c>
      <c r="AC637" s="643"/>
    </row>
    <row r="638" spans="1:29" ht="77.25" thickBot="1" x14ac:dyDescent="0.45">
      <c r="A638" s="319" t="s">
        <v>14</v>
      </c>
      <c r="B638" s="802" t="s">
        <v>1082</v>
      </c>
      <c r="C638" s="528"/>
      <c r="D638" s="528"/>
      <c r="E638" s="460">
        <f>C638*1.2</f>
        <v>0</v>
      </c>
      <c r="F638" s="324">
        <f>E638*1.01*0.72/147</f>
        <v>0</v>
      </c>
      <c r="G638" s="528">
        <f t="shared" si="226"/>
        <v>0</v>
      </c>
      <c r="H638" s="324" t="s">
        <v>18</v>
      </c>
      <c r="I638" s="528">
        <f t="shared" si="227"/>
        <v>0</v>
      </c>
      <c r="J638" s="324" t="s">
        <v>19</v>
      </c>
      <c r="K638" s="324"/>
      <c r="L638" s="324"/>
      <c r="M638" s="324">
        <f>(F638*6035/3456)</f>
        <v>0</v>
      </c>
      <c r="N638" s="324"/>
      <c r="O638" s="324"/>
      <c r="P638" s="324"/>
      <c r="Q638" s="324" t="s">
        <v>18</v>
      </c>
      <c r="R638" s="324"/>
      <c r="S638" s="324" t="s">
        <v>19</v>
      </c>
      <c r="T638" s="528">
        <v>9</v>
      </c>
      <c r="U638" s="324">
        <f t="shared" si="232"/>
        <v>0</v>
      </c>
      <c r="V638" s="685"/>
      <c r="W638" s="528"/>
      <c r="X638" s="529"/>
      <c r="Y638" s="323"/>
      <c r="Z638" s="312">
        <f>E638/1.21/1.143</f>
        <v>0</v>
      </c>
      <c r="AA638" s="316">
        <f>SUM(AB638/271.89)</f>
        <v>0</v>
      </c>
      <c r="AB638" s="310">
        <f>E638/1.21</f>
        <v>0</v>
      </c>
      <c r="AC638" s="643"/>
    </row>
    <row r="639" spans="1:29" ht="51.75" thickBot="1" x14ac:dyDescent="0.45">
      <c r="A639" s="319" t="s">
        <v>14</v>
      </c>
      <c r="B639" s="802" t="s">
        <v>897</v>
      </c>
      <c r="C639" s="528"/>
      <c r="D639" s="528"/>
      <c r="E639" s="456">
        <f>C639*1.2</f>
        <v>0</v>
      </c>
      <c r="F639" s="358">
        <f>E639*1.03*0.82/147</f>
        <v>0</v>
      </c>
      <c r="G639" s="549">
        <f t="shared" si="226"/>
        <v>0</v>
      </c>
      <c r="H639" s="359" t="s">
        <v>18</v>
      </c>
      <c r="I639" s="549">
        <f t="shared" si="227"/>
        <v>0</v>
      </c>
      <c r="J639" s="359" t="s">
        <v>19</v>
      </c>
      <c r="K639" s="358"/>
      <c r="L639" s="358"/>
      <c r="M639" s="358">
        <f>(F639*5547/3456)</f>
        <v>0</v>
      </c>
      <c r="N639" s="358"/>
      <c r="O639" s="358"/>
      <c r="P639" s="358"/>
      <c r="Q639" s="358" t="s">
        <v>18</v>
      </c>
      <c r="R639" s="358"/>
      <c r="S639" s="358" t="s">
        <v>19</v>
      </c>
      <c r="T639" s="528">
        <v>9</v>
      </c>
      <c r="U639" s="324">
        <f t="shared" si="232"/>
        <v>0</v>
      </c>
      <c r="V639" s="685"/>
      <c r="W639" s="528"/>
      <c r="X639" s="529"/>
      <c r="Y639" s="323"/>
      <c r="Z639" s="312">
        <f>E639/1.21</f>
        <v>0</v>
      </c>
      <c r="AA639" s="316">
        <f>SUM(Z639/300.5)</f>
        <v>0</v>
      </c>
    </row>
    <row r="640" spans="1:29" ht="77.25" thickBot="1" x14ac:dyDescent="0.45">
      <c r="A640" s="319" t="s">
        <v>14</v>
      </c>
      <c r="B640" s="802" t="s">
        <v>1203</v>
      </c>
      <c r="C640" s="528"/>
      <c r="D640" s="528"/>
      <c r="E640" s="456">
        <f>C640*1.2</f>
        <v>0</v>
      </c>
      <c r="F640" s="358">
        <f>E640*1.03*0.82/147</f>
        <v>0</v>
      </c>
      <c r="G640" s="549">
        <f t="shared" si="226"/>
        <v>0</v>
      </c>
      <c r="H640" s="359" t="s">
        <v>18</v>
      </c>
      <c r="I640" s="549">
        <f t="shared" si="227"/>
        <v>0</v>
      </c>
      <c r="J640" s="359" t="s">
        <v>19</v>
      </c>
      <c r="K640" s="358"/>
      <c r="L640" s="358"/>
      <c r="M640" s="358">
        <f>(F640*5547/3456)</f>
        <v>0</v>
      </c>
      <c r="N640" s="358"/>
      <c r="O640" s="358"/>
      <c r="P640" s="358"/>
      <c r="Q640" s="358" t="s">
        <v>18</v>
      </c>
      <c r="R640" s="358"/>
      <c r="S640" s="358" t="s">
        <v>19</v>
      </c>
      <c r="T640" s="528">
        <v>9</v>
      </c>
      <c r="U640" s="324">
        <f t="shared" si="232"/>
        <v>0</v>
      </c>
      <c r="V640" s="685"/>
      <c r="W640" s="528"/>
      <c r="X640" s="529"/>
      <c r="Y640" s="323"/>
      <c r="Z640" s="312">
        <f>E640/1.21</f>
        <v>0</v>
      </c>
      <c r="AA640" s="316">
        <f>SUM(Z640/300.5)</f>
        <v>0</v>
      </c>
    </row>
    <row r="641" spans="1:29" ht="77.25" thickBot="1" x14ac:dyDescent="0.45">
      <c r="A641" s="319" t="s">
        <v>14</v>
      </c>
      <c r="B641" s="802" t="s">
        <v>1010</v>
      </c>
      <c r="C641" s="528"/>
      <c r="D641" s="528"/>
      <c r="E641" s="460">
        <f>C641*2</f>
        <v>0</v>
      </c>
      <c r="F641" s="324">
        <f>E641*1.01*0.72/147</f>
        <v>0</v>
      </c>
      <c r="G641" s="528">
        <f t="shared" si="226"/>
        <v>0</v>
      </c>
      <c r="H641" s="324" t="s">
        <v>18</v>
      </c>
      <c r="I641" s="528">
        <f t="shared" si="227"/>
        <v>0</v>
      </c>
      <c r="J641" s="324" t="s">
        <v>19</v>
      </c>
      <c r="K641" s="324"/>
      <c r="L641" s="324"/>
      <c r="M641" s="324">
        <f>(F641*6035/3456)</f>
        <v>0</v>
      </c>
      <c r="N641" s="324"/>
      <c r="O641" s="324"/>
      <c r="P641" s="324"/>
      <c r="Q641" s="324" t="s">
        <v>18</v>
      </c>
      <c r="R641" s="324"/>
      <c r="S641" s="324" t="s">
        <v>19</v>
      </c>
      <c r="T641" s="528">
        <v>9</v>
      </c>
      <c r="U641" s="324">
        <f t="shared" si="232"/>
        <v>0</v>
      </c>
      <c r="V641" s="685"/>
      <c r="W641" s="528"/>
      <c r="X641" s="529"/>
      <c r="Y641" s="323"/>
      <c r="Z641" s="312">
        <f>E641/1.21/1.143</f>
        <v>0</v>
      </c>
      <c r="AA641" s="316">
        <f>SUM(AB641/271.89)</f>
        <v>0</v>
      </c>
      <c r="AB641" s="310">
        <f>E641/1.21</f>
        <v>0</v>
      </c>
      <c r="AC641" s="643"/>
    </row>
    <row r="642" spans="1:29" ht="77.25" thickBot="1" x14ac:dyDescent="0.45">
      <c r="A642" s="319" t="s">
        <v>14</v>
      </c>
      <c r="B642" s="802" t="s">
        <v>1011</v>
      </c>
      <c r="C642" s="528"/>
      <c r="D642" s="528"/>
      <c r="E642" s="460">
        <f>C642*2</f>
        <v>0</v>
      </c>
      <c r="F642" s="324">
        <f>E642*1.01*0.72/147</f>
        <v>0</v>
      </c>
      <c r="G642" s="528">
        <f t="shared" si="226"/>
        <v>0</v>
      </c>
      <c r="H642" s="324" t="s">
        <v>18</v>
      </c>
      <c r="I642" s="528">
        <f t="shared" si="227"/>
        <v>0</v>
      </c>
      <c r="J642" s="324" t="s">
        <v>19</v>
      </c>
      <c r="K642" s="324"/>
      <c r="L642" s="324"/>
      <c r="M642" s="324">
        <f>(F642*6035/3456)</f>
        <v>0</v>
      </c>
      <c r="N642" s="324"/>
      <c r="O642" s="324"/>
      <c r="P642" s="324"/>
      <c r="Q642" s="324" t="s">
        <v>18</v>
      </c>
      <c r="R642" s="324"/>
      <c r="S642" s="324" t="s">
        <v>19</v>
      </c>
      <c r="T642" s="528">
        <v>9</v>
      </c>
      <c r="U642" s="324">
        <f t="shared" si="232"/>
        <v>0</v>
      </c>
      <c r="V642" s="685"/>
      <c r="W642" s="528"/>
      <c r="X642" s="529"/>
      <c r="Y642" s="323"/>
      <c r="Z642" s="312">
        <f>E642/1.21/1.143</f>
        <v>0</v>
      </c>
      <c r="AA642" s="316">
        <f>SUM(AB642/271.89)</f>
        <v>0</v>
      </c>
      <c r="AB642" s="310">
        <f>E642/1.21</f>
        <v>0</v>
      </c>
      <c r="AC642" s="643"/>
    </row>
    <row r="643" spans="1:29" ht="77.25" thickBot="1" x14ac:dyDescent="0.45">
      <c r="A643" s="319" t="s">
        <v>14</v>
      </c>
      <c r="B643" s="802" t="s">
        <v>1009</v>
      </c>
      <c r="C643" s="528"/>
      <c r="D643" s="528"/>
      <c r="E643" s="460">
        <f>C643*2</f>
        <v>0</v>
      </c>
      <c r="F643" s="324">
        <f>E643*1.03*0.82/147</f>
        <v>0</v>
      </c>
      <c r="G643" s="537">
        <f t="shared" si="226"/>
        <v>0</v>
      </c>
      <c r="H643" s="354" t="s">
        <v>18</v>
      </c>
      <c r="I643" s="537">
        <f t="shared" si="227"/>
        <v>0</v>
      </c>
      <c r="J643" s="354" t="s">
        <v>19</v>
      </c>
      <c r="K643" s="324"/>
      <c r="L643" s="324"/>
      <c r="M643" s="324">
        <f>(F643*5547/3456)</f>
        <v>0</v>
      </c>
      <c r="N643" s="324"/>
      <c r="O643" s="324"/>
      <c r="P643" s="324"/>
      <c r="Q643" s="324" t="s">
        <v>18</v>
      </c>
      <c r="R643" s="324"/>
      <c r="S643" s="324" t="s">
        <v>19</v>
      </c>
      <c r="T643" s="528">
        <v>9</v>
      </c>
      <c r="U643" s="324">
        <f t="shared" si="232"/>
        <v>0</v>
      </c>
      <c r="V643" s="685"/>
      <c r="W643" s="528"/>
      <c r="X643" s="529"/>
      <c r="Y643" s="323"/>
      <c r="Z643" s="312">
        <f>E643/1.21</f>
        <v>0</v>
      </c>
      <c r="AA643" s="316">
        <f>SUM(Z643/300.5)</f>
        <v>0</v>
      </c>
    </row>
    <row r="644" spans="1:29" ht="77.25" thickBot="1" x14ac:dyDescent="0.45">
      <c r="A644" s="319" t="s">
        <v>14</v>
      </c>
      <c r="B644" s="802" t="s">
        <v>1043</v>
      </c>
      <c r="C644" s="528"/>
      <c r="D644" s="528"/>
      <c r="E644" s="460">
        <f>C644*2</f>
        <v>0</v>
      </c>
      <c r="F644" s="324">
        <f>E644*1.03*0.82/147</f>
        <v>0</v>
      </c>
      <c r="G644" s="537">
        <f t="shared" si="226"/>
        <v>0</v>
      </c>
      <c r="H644" s="354" t="s">
        <v>18</v>
      </c>
      <c r="I644" s="537">
        <f t="shared" si="227"/>
        <v>0</v>
      </c>
      <c r="J644" s="354" t="s">
        <v>19</v>
      </c>
      <c r="K644" s="324"/>
      <c r="L644" s="324"/>
      <c r="M644" s="324">
        <f>(F644*5547/3456)</f>
        <v>0</v>
      </c>
      <c r="N644" s="324"/>
      <c r="O644" s="324"/>
      <c r="P644" s="324"/>
      <c r="Q644" s="324" t="s">
        <v>18</v>
      </c>
      <c r="R644" s="324"/>
      <c r="S644" s="324" t="s">
        <v>19</v>
      </c>
      <c r="T644" s="528">
        <v>9</v>
      </c>
      <c r="U644" s="324">
        <f t="shared" si="232"/>
        <v>0</v>
      </c>
      <c r="V644" s="685"/>
      <c r="W644" s="528"/>
      <c r="X644" s="529"/>
      <c r="Y644" s="323"/>
      <c r="Z644" s="312">
        <f>E644/1.21</f>
        <v>0</v>
      </c>
      <c r="AA644" s="316">
        <f>SUM(Z644/300.5)</f>
        <v>0</v>
      </c>
    </row>
    <row r="645" spans="1:29" ht="51.75" thickBot="1" x14ac:dyDescent="0.45">
      <c r="A645" s="319" t="s">
        <v>14</v>
      </c>
      <c r="B645" s="320" t="s">
        <v>898</v>
      </c>
      <c r="C645" s="528"/>
      <c r="D645" s="525"/>
      <c r="E645" s="456">
        <f>C645*1</f>
        <v>0</v>
      </c>
      <c r="F645" s="358">
        <f>E645*1.03*0.84/147</f>
        <v>0</v>
      </c>
      <c r="G645" s="549">
        <f t="shared" si="226"/>
        <v>0</v>
      </c>
      <c r="H645" s="359" t="s">
        <v>18</v>
      </c>
      <c r="I645" s="549">
        <f t="shared" si="227"/>
        <v>0</v>
      </c>
      <c r="J645" s="359" t="s">
        <v>19</v>
      </c>
      <c r="K645" s="358"/>
      <c r="L645" s="358"/>
      <c r="M645" s="358">
        <f>(F645*6391/2880)</f>
        <v>0</v>
      </c>
      <c r="N645" s="461"/>
      <c r="O645" s="461"/>
      <c r="P645" s="324"/>
      <c r="Q645" s="324" t="s">
        <v>18</v>
      </c>
      <c r="R645" s="324"/>
      <c r="S645" s="324" t="s">
        <v>19</v>
      </c>
      <c r="T645" s="528">
        <v>9</v>
      </c>
      <c r="U645" s="324">
        <f t="shared" si="232"/>
        <v>0</v>
      </c>
      <c r="V645" s="676"/>
      <c r="W645" s="528"/>
      <c r="X645" s="529"/>
      <c r="Y645" s="323"/>
      <c r="Z645" s="312">
        <f>E645/1.21</f>
        <v>0</v>
      </c>
      <c r="AA645" s="316">
        <f>SUM(Z645/285.7)</f>
        <v>0</v>
      </c>
    </row>
    <row r="646" spans="1:29" ht="77.25" thickBot="1" x14ac:dyDescent="0.45">
      <c r="A646" s="319" t="s">
        <v>14</v>
      </c>
      <c r="B646" s="320" t="s">
        <v>1008</v>
      </c>
      <c r="C646" s="528"/>
      <c r="D646" s="528"/>
      <c r="E646" s="460">
        <f>C646*2</f>
        <v>0</v>
      </c>
      <c r="F646" s="324">
        <f>E646*1.03*0.84/147</f>
        <v>0</v>
      </c>
      <c r="G646" s="537">
        <f t="shared" si="226"/>
        <v>0</v>
      </c>
      <c r="H646" s="354" t="s">
        <v>18</v>
      </c>
      <c r="I646" s="537">
        <f t="shared" si="227"/>
        <v>0</v>
      </c>
      <c r="J646" s="354" t="s">
        <v>19</v>
      </c>
      <c r="K646" s="324"/>
      <c r="L646" s="324"/>
      <c r="M646" s="324">
        <f>(F646*5068/3456)</f>
        <v>0</v>
      </c>
      <c r="N646" s="324"/>
      <c r="O646" s="324"/>
      <c r="P646" s="324"/>
      <c r="Q646" s="324" t="s">
        <v>18</v>
      </c>
      <c r="R646" s="324"/>
      <c r="S646" s="324" t="s">
        <v>19</v>
      </c>
      <c r="T646" s="528">
        <v>9</v>
      </c>
      <c r="U646" s="324">
        <f t="shared" si="232"/>
        <v>0</v>
      </c>
      <c r="V646" s="676"/>
      <c r="W646" s="528"/>
      <c r="X646" s="529"/>
      <c r="Y646" s="323"/>
      <c r="Z646" s="312">
        <f>E646/1.21</f>
        <v>0</v>
      </c>
      <c r="AA646" s="316">
        <f>SUM(Z646/347.8)</f>
        <v>0</v>
      </c>
    </row>
    <row r="647" spans="1:29" ht="77.25" thickBot="1" x14ac:dyDescent="0.45">
      <c r="A647" s="319" t="s">
        <v>14</v>
      </c>
      <c r="B647" s="320" t="s">
        <v>899</v>
      </c>
      <c r="C647" s="528"/>
      <c r="D647" s="528"/>
      <c r="E647" s="456">
        <f>C647*1</f>
        <v>0</v>
      </c>
      <c r="F647" s="358">
        <f>E647*1.01*0.756/147</f>
        <v>0</v>
      </c>
      <c r="G647" s="548">
        <f t="shared" si="226"/>
        <v>0</v>
      </c>
      <c r="H647" s="358" t="s">
        <v>18</v>
      </c>
      <c r="I647" s="548">
        <f t="shared" si="227"/>
        <v>0</v>
      </c>
      <c r="J647" s="358" t="s">
        <v>19</v>
      </c>
      <c r="K647" s="358"/>
      <c r="L647" s="358"/>
      <c r="M647" s="358">
        <f>(F647*6035/3456)</f>
        <v>0</v>
      </c>
      <c r="N647" s="324"/>
      <c r="O647" s="324"/>
      <c r="P647" s="324"/>
      <c r="Q647" s="324" t="s">
        <v>18</v>
      </c>
      <c r="R647" s="324"/>
      <c r="S647" s="324" t="s">
        <v>19</v>
      </c>
      <c r="T647" s="528">
        <v>9</v>
      </c>
      <c r="U647" s="324">
        <f t="shared" si="232"/>
        <v>0</v>
      </c>
      <c r="V647" s="676"/>
      <c r="W647" s="528"/>
      <c r="X647" s="529"/>
      <c r="Y647" s="323"/>
      <c r="Z647" s="312">
        <f>E647/1.21/1.143</f>
        <v>0</v>
      </c>
      <c r="AA647" s="316">
        <f>SUM(AB647/236)</f>
        <v>0</v>
      </c>
      <c r="AB647" s="310">
        <f>E647/1.21</f>
        <v>0</v>
      </c>
    </row>
    <row r="648" spans="1:29" thickBot="1" x14ac:dyDescent="0.45">
      <c r="A648" s="830"/>
      <c r="B648" s="332" t="s">
        <v>286</v>
      </c>
      <c r="C648" s="347"/>
      <c r="D648" s="347"/>
      <c r="E648" s="494"/>
      <c r="F648" s="348"/>
      <c r="G648" s="347"/>
      <c r="H648" s="348"/>
      <c r="I648" s="347"/>
      <c r="J648" s="348"/>
      <c r="K648" s="348"/>
      <c r="L648" s="348"/>
      <c r="M648" s="348"/>
      <c r="N648" s="348"/>
      <c r="O648" s="348"/>
      <c r="P648" s="348"/>
      <c r="Q648" s="348"/>
      <c r="R648" s="348"/>
      <c r="S648" s="348"/>
      <c r="T648" s="347"/>
      <c r="U648" s="348"/>
      <c r="V648" s="356"/>
      <c r="W648" s="348"/>
      <c r="X648" s="495"/>
      <c r="Y648" s="357"/>
    </row>
    <row r="649" spans="1:29" ht="51.75" thickBot="1" x14ac:dyDescent="0.45">
      <c r="A649" s="319" t="s">
        <v>14</v>
      </c>
      <c r="B649" s="362" t="s">
        <v>1036</v>
      </c>
      <c r="C649" s="528"/>
      <c r="D649" s="550">
        <f>C649*22</f>
        <v>0</v>
      </c>
      <c r="E649" s="358">
        <f>D649*0.2</f>
        <v>0</v>
      </c>
      <c r="F649" s="358">
        <f>E649*1.03*0.82/147</f>
        <v>0</v>
      </c>
      <c r="G649" s="548">
        <f>INT(M649)</f>
        <v>0</v>
      </c>
      <c r="H649" s="358" t="s">
        <v>18</v>
      </c>
      <c r="I649" s="548">
        <f>(M649-G649)*64</f>
        <v>0</v>
      </c>
      <c r="J649" s="358" t="s">
        <v>19</v>
      </c>
      <c r="K649" s="358"/>
      <c r="L649" s="358"/>
      <c r="M649" s="358">
        <f>F649*5444/2880</f>
        <v>0</v>
      </c>
      <c r="N649" s="358"/>
      <c r="O649" s="358"/>
      <c r="P649" s="358"/>
      <c r="Q649" s="358" t="s">
        <v>18</v>
      </c>
      <c r="R649" s="358"/>
      <c r="S649" s="358" t="s">
        <v>19</v>
      </c>
      <c r="T649" s="528">
        <f>T193</f>
        <v>9</v>
      </c>
      <c r="U649" s="324">
        <f>E649/220*60</f>
        <v>0</v>
      </c>
      <c r="V649" s="676"/>
      <c r="W649" s="528"/>
      <c r="X649" s="529"/>
      <c r="Y649" s="323"/>
      <c r="Z649" s="312">
        <f>E649/1.21</f>
        <v>0</v>
      </c>
      <c r="AA649" s="316">
        <f>SUM(Z649/335.3)</f>
        <v>0</v>
      </c>
    </row>
    <row r="650" spans="1:29" ht="51.75" thickBot="1" x14ac:dyDescent="0.45">
      <c r="A650" s="319" t="s">
        <v>14</v>
      </c>
      <c r="B650" s="362" t="s">
        <v>1001</v>
      </c>
      <c r="C650" s="528"/>
      <c r="D650" s="551">
        <f>C650*22</f>
        <v>0</v>
      </c>
      <c r="E650" s="456">
        <f>D650*0.2</f>
        <v>0</v>
      </c>
      <c r="F650" s="358">
        <f>E650*1.03*0.82/147</f>
        <v>0</v>
      </c>
      <c r="G650" s="548">
        <f>INT(M650)</f>
        <v>0</v>
      </c>
      <c r="H650" s="358" t="s">
        <v>18</v>
      </c>
      <c r="I650" s="548">
        <f>(M650-G650)*64</f>
        <v>0</v>
      </c>
      <c r="J650" s="358" t="s">
        <v>19</v>
      </c>
      <c r="K650" s="358"/>
      <c r="L650" s="358"/>
      <c r="M650" s="358">
        <f>F650*5444/2880</f>
        <v>0</v>
      </c>
      <c r="N650" s="358"/>
      <c r="O650" s="358"/>
      <c r="P650" s="358"/>
      <c r="Q650" s="358" t="s">
        <v>18</v>
      </c>
      <c r="R650" s="358"/>
      <c r="S650" s="358" t="s">
        <v>19</v>
      </c>
      <c r="T650" s="528">
        <v>9</v>
      </c>
      <c r="U650" s="324">
        <f>E650/220*60</f>
        <v>0</v>
      </c>
      <c r="V650" s="676"/>
      <c r="W650" s="528"/>
      <c r="X650" s="529"/>
      <c r="Y650" s="323"/>
      <c r="Z650" s="312">
        <f>E650/1.21</f>
        <v>0</v>
      </c>
      <c r="AA650" s="316">
        <f>SUM(Z650/335.3)</f>
        <v>0</v>
      </c>
    </row>
    <row r="651" spans="1:29" ht="77.25" thickBot="1" x14ac:dyDescent="0.45">
      <c r="A651" s="319" t="s">
        <v>14</v>
      </c>
      <c r="B651" s="320" t="s">
        <v>796</v>
      </c>
      <c r="C651" s="528"/>
      <c r="D651" s="551">
        <f>C651*8</f>
        <v>0</v>
      </c>
      <c r="E651" s="456">
        <f>D651*0.25</f>
        <v>0</v>
      </c>
      <c r="F651" s="358">
        <f>E651*1.015*0.72/147</f>
        <v>0</v>
      </c>
      <c r="G651" s="548">
        <f t="shared" ref="G651:G659" si="233">INT(M651)</f>
        <v>0</v>
      </c>
      <c r="H651" s="358" t="s">
        <v>18</v>
      </c>
      <c r="I651" s="548">
        <f t="shared" ref="I651:I659" si="234">(M651-G651)*64</f>
        <v>0</v>
      </c>
      <c r="J651" s="358" t="s">
        <v>19</v>
      </c>
      <c r="K651" s="358"/>
      <c r="L651" s="358"/>
      <c r="M651" s="552">
        <f>(F651*6447/3456)</f>
        <v>0</v>
      </c>
      <c r="N651" s="324"/>
      <c r="O651" s="324"/>
      <c r="P651" s="324"/>
      <c r="Q651" s="324" t="s">
        <v>18</v>
      </c>
      <c r="R651" s="324"/>
      <c r="S651" s="324" t="s">
        <v>19</v>
      </c>
      <c r="T651" s="528">
        <v>9</v>
      </c>
      <c r="U651" s="324">
        <f>E651/259*60</f>
        <v>0</v>
      </c>
      <c r="V651" s="676"/>
      <c r="W651" s="528"/>
      <c r="X651" s="529"/>
      <c r="Y651" s="323"/>
      <c r="Z651" s="312">
        <f>E651/1.21/1.143</f>
        <v>0</v>
      </c>
      <c r="AA651" s="316">
        <f>SUM(AB651/266.8)</f>
        <v>0</v>
      </c>
      <c r="AB651" s="310">
        <f>E651/1.21</f>
        <v>0</v>
      </c>
    </row>
    <row r="652" spans="1:29" s="728" customFormat="1" ht="77.25" outlineLevel="1" thickBot="1" x14ac:dyDescent="0.45">
      <c r="A652" s="636" t="s">
        <v>14</v>
      </c>
      <c r="B652" s="634" t="s">
        <v>797</v>
      </c>
      <c r="C652" s="720"/>
      <c r="D652" s="741">
        <f>C652*8</f>
        <v>0</v>
      </c>
      <c r="E652" s="721">
        <f>D652*0.25</f>
        <v>0</v>
      </c>
      <c r="F652" s="722">
        <f>E652*1.015*0.72/147</f>
        <v>0</v>
      </c>
      <c r="G652" s="720">
        <f t="shared" si="233"/>
        <v>0</v>
      </c>
      <c r="H652" s="722" t="s">
        <v>18</v>
      </c>
      <c r="I652" s="720">
        <f t="shared" si="234"/>
        <v>0</v>
      </c>
      <c r="J652" s="722" t="s">
        <v>19</v>
      </c>
      <c r="K652" s="722"/>
      <c r="L652" s="722"/>
      <c r="M652" s="816">
        <f>(F652*6447/3456)</f>
        <v>0</v>
      </c>
      <c r="N652" s="722"/>
      <c r="O652" s="722"/>
      <c r="P652" s="722"/>
      <c r="Q652" s="722" t="s">
        <v>18</v>
      </c>
      <c r="R652" s="722"/>
      <c r="S652" s="722" t="s">
        <v>19</v>
      </c>
      <c r="T652" s="720">
        <v>9</v>
      </c>
      <c r="U652" s="722">
        <f>E652/259*60</f>
        <v>0</v>
      </c>
      <c r="V652" s="724"/>
      <c r="W652" s="720"/>
      <c r="X652" s="725"/>
      <c r="Y652" s="736"/>
      <c r="Z652" s="727">
        <f>E652/1.21/1.143</f>
        <v>0</v>
      </c>
      <c r="AA652" s="815">
        <f>SUM(AB652/266.8)</f>
        <v>0</v>
      </c>
      <c r="AB652" s="728">
        <f>E652/1.21</f>
        <v>0</v>
      </c>
    </row>
    <row r="653" spans="1:29" s="728" customFormat="1" ht="51.75" outlineLevel="1" thickBot="1" x14ac:dyDescent="0.45">
      <c r="A653" s="636" t="s">
        <v>14</v>
      </c>
      <c r="B653" s="814" t="s">
        <v>683</v>
      </c>
      <c r="C653" s="720"/>
      <c r="D653" s="720">
        <f>C653*10</f>
        <v>0</v>
      </c>
      <c r="E653" s="721">
        <f>D653*0.2</f>
        <v>0</v>
      </c>
      <c r="F653" s="722">
        <f>E653*1.03*0.82/147</f>
        <v>0</v>
      </c>
      <c r="G653" s="720">
        <f t="shared" si="233"/>
        <v>0</v>
      </c>
      <c r="H653" s="722" t="s">
        <v>18</v>
      </c>
      <c r="I653" s="720">
        <f t="shared" si="234"/>
        <v>0</v>
      </c>
      <c r="J653" s="722" t="s">
        <v>19</v>
      </c>
      <c r="K653" s="722"/>
      <c r="L653" s="722"/>
      <c r="M653" s="722">
        <f>(F653*8750/3456)</f>
        <v>0</v>
      </c>
      <c r="N653" s="722"/>
      <c r="O653" s="722"/>
      <c r="P653" s="722"/>
      <c r="Q653" s="722" t="s">
        <v>18</v>
      </c>
      <c r="R653" s="722"/>
      <c r="S653" s="722" t="s">
        <v>19</v>
      </c>
      <c r="T653" s="720">
        <v>9</v>
      </c>
      <c r="U653" s="722">
        <f>E653/220*60</f>
        <v>0</v>
      </c>
      <c r="V653" s="724"/>
      <c r="W653" s="720"/>
      <c r="X653" s="725"/>
      <c r="Y653" s="736"/>
      <c r="Z653" s="727">
        <f>E653/1.21</f>
        <v>0</v>
      </c>
      <c r="AA653" s="815">
        <f>SUM(Z653/211.1)</f>
        <v>0</v>
      </c>
    </row>
    <row r="654" spans="1:29" s="728" customFormat="1" ht="77.25" outlineLevel="1" thickBot="1" x14ac:dyDescent="0.45">
      <c r="A654" s="636" t="s">
        <v>14</v>
      </c>
      <c r="B654" s="634" t="s">
        <v>764</v>
      </c>
      <c r="C654" s="720"/>
      <c r="D654" s="720">
        <f>C654*10</f>
        <v>0</v>
      </c>
      <c r="E654" s="721">
        <f>D654*0.2</f>
        <v>0</v>
      </c>
      <c r="F654" s="722">
        <f>E654*1.015*0.72/147</f>
        <v>0</v>
      </c>
      <c r="G654" s="720">
        <f t="shared" si="233"/>
        <v>0</v>
      </c>
      <c r="H654" s="722" t="s">
        <v>18</v>
      </c>
      <c r="I654" s="720">
        <f t="shared" si="234"/>
        <v>0</v>
      </c>
      <c r="J654" s="722" t="s">
        <v>19</v>
      </c>
      <c r="K654" s="722"/>
      <c r="L654" s="722"/>
      <c r="M654" s="722">
        <f>(F654*8070/3456)</f>
        <v>0</v>
      </c>
      <c r="N654" s="722"/>
      <c r="O654" s="722"/>
      <c r="P654" s="722"/>
      <c r="Q654" s="722" t="s">
        <v>18</v>
      </c>
      <c r="R654" s="722"/>
      <c r="S654" s="722" t="s">
        <v>19</v>
      </c>
      <c r="T654" s="720">
        <v>9</v>
      </c>
      <c r="U654" s="722">
        <f>E654/259*60</f>
        <v>0</v>
      </c>
      <c r="V654" s="724"/>
      <c r="W654" s="720"/>
      <c r="X654" s="725"/>
      <c r="Y654" s="736"/>
      <c r="Z654" s="727">
        <f>E654/1.21/1.143</f>
        <v>0</v>
      </c>
      <c r="AA654" s="815">
        <f>SUM(AB654/215.5)</f>
        <v>0</v>
      </c>
      <c r="AB654" s="728">
        <f>E654/1.21</f>
        <v>0</v>
      </c>
    </row>
    <row r="655" spans="1:29" s="728" customFormat="1" ht="77.25" outlineLevel="1" thickBot="1" x14ac:dyDescent="0.45">
      <c r="A655" s="636" t="s">
        <v>14</v>
      </c>
      <c r="B655" s="634" t="s">
        <v>760</v>
      </c>
      <c r="C655" s="720"/>
      <c r="D655" s="720">
        <f>C655*10</f>
        <v>0</v>
      </c>
      <c r="E655" s="721">
        <f>D655*0.2</f>
        <v>0</v>
      </c>
      <c r="F655" s="722">
        <f>E655*1.015*0.72/147</f>
        <v>0</v>
      </c>
      <c r="G655" s="720">
        <f t="shared" si="233"/>
        <v>0</v>
      </c>
      <c r="H655" s="722" t="s">
        <v>18</v>
      </c>
      <c r="I655" s="720">
        <f t="shared" si="234"/>
        <v>0</v>
      </c>
      <c r="J655" s="722" t="s">
        <v>19</v>
      </c>
      <c r="K655" s="722"/>
      <c r="L655" s="722"/>
      <c r="M655" s="722">
        <f>(F655*8070/3456)</f>
        <v>0</v>
      </c>
      <c r="N655" s="722"/>
      <c r="O655" s="722"/>
      <c r="P655" s="722"/>
      <c r="Q655" s="722" t="s">
        <v>18</v>
      </c>
      <c r="R655" s="722"/>
      <c r="S655" s="722" t="s">
        <v>19</v>
      </c>
      <c r="T655" s="720">
        <v>9</v>
      </c>
      <c r="U655" s="722">
        <f>E655/259*60</f>
        <v>0</v>
      </c>
      <c r="V655" s="724"/>
      <c r="W655" s="720"/>
      <c r="X655" s="725"/>
      <c r="Y655" s="736"/>
      <c r="Z655" s="727">
        <f>E655/1.21/1.143</f>
        <v>0</v>
      </c>
      <c r="AA655" s="815">
        <f>SUM(AB655/215.5)</f>
        <v>0</v>
      </c>
      <c r="AB655" s="728">
        <f>E655/1.21</f>
        <v>0</v>
      </c>
    </row>
    <row r="656" spans="1:29" ht="79.5" thickBot="1" x14ac:dyDescent="0.45">
      <c r="A656" s="319" t="s">
        <v>14</v>
      </c>
      <c r="B656" s="320" t="s">
        <v>627</v>
      </c>
      <c r="C656" s="528"/>
      <c r="D656" s="548">
        <f>C656*18</f>
        <v>0</v>
      </c>
      <c r="E656" s="456">
        <f>D656*0.2</f>
        <v>0</v>
      </c>
      <c r="F656" s="358">
        <f>E656*1.05*0.8/140</f>
        <v>0</v>
      </c>
      <c r="G656" s="548">
        <f t="shared" si="233"/>
        <v>0</v>
      </c>
      <c r="H656" s="358" t="s">
        <v>18</v>
      </c>
      <c r="I656" s="548">
        <f t="shared" si="234"/>
        <v>0</v>
      </c>
      <c r="J656" s="358" t="s">
        <v>19</v>
      </c>
      <c r="K656" s="358"/>
      <c r="L656" s="358"/>
      <c r="M656" s="358">
        <f>F656*5111/3456</f>
        <v>0</v>
      </c>
      <c r="N656" s="324"/>
      <c r="O656" s="324"/>
      <c r="P656" s="324"/>
      <c r="Q656" s="324" t="s">
        <v>18</v>
      </c>
      <c r="R656" s="324"/>
      <c r="S656" s="324" t="s">
        <v>19</v>
      </c>
      <c r="T656" s="528">
        <v>9</v>
      </c>
      <c r="U656" s="324">
        <f>E656/220*60</f>
        <v>0</v>
      </c>
      <c r="V656" s="676"/>
      <c r="W656" s="528"/>
      <c r="X656" s="529"/>
      <c r="Y656" s="360" t="s">
        <v>950</v>
      </c>
      <c r="Z656" s="312">
        <f>E656/1.21</f>
        <v>0</v>
      </c>
      <c r="AA656" s="316">
        <f>SUM(Z656/335.3)</f>
        <v>0</v>
      </c>
    </row>
    <row r="657" spans="1:28" ht="77.25" thickBot="1" x14ac:dyDescent="0.45">
      <c r="A657" s="319" t="s">
        <v>14</v>
      </c>
      <c r="B657" s="364" t="s">
        <v>694</v>
      </c>
      <c r="C657" s="528"/>
      <c r="D657" s="548">
        <f>C657*10</f>
        <v>0</v>
      </c>
      <c r="E657" s="456">
        <f>D657*0.25</f>
        <v>0</v>
      </c>
      <c r="F657" s="358">
        <f>E657*1.03*0.81/147</f>
        <v>0</v>
      </c>
      <c r="G657" s="548">
        <f t="shared" si="233"/>
        <v>0</v>
      </c>
      <c r="H657" s="358" t="s">
        <v>18</v>
      </c>
      <c r="I657" s="548">
        <f t="shared" si="234"/>
        <v>0</v>
      </c>
      <c r="J657" s="358" t="s">
        <v>19</v>
      </c>
      <c r="K657" s="358"/>
      <c r="L657" s="358"/>
      <c r="M657" s="358">
        <f>(F657*8820/3456)</f>
        <v>0</v>
      </c>
      <c r="N657" s="324"/>
      <c r="O657" s="324"/>
      <c r="P657" s="324"/>
      <c r="Q657" s="324" t="s">
        <v>18</v>
      </c>
      <c r="R657" s="324"/>
      <c r="S657" s="324" t="s">
        <v>19</v>
      </c>
      <c r="T657" s="528">
        <v>9</v>
      </c>
      <c r="U657" s="324">
        <f>E657/220*60</f>
        <v>0</v>
      </c>
      <c r="V657" s="676"/>
      <c r="W657" s="528"/>
      <c r="X657" s="529"/>
      <c r="Y657" s="323"/>
      <c r="Z657" s="312">
        <f>E657/1.21</f>
        <v>0</v>
      </c>
      <c r="AA657" s="316">
        <f>SUM(Z657/260.8)</f>
        <v>0</v>
      </c>
    </row>
    <row r="658" spans="1:28" ht="77.25" thickBot="1" x14ac:dyDescent="0.45">
      <c r="A658" s="319" t="s">
        <v>14</v>
      </c>
      <c r="B658" s="364" t="s">
        <v>1068</v>
      </c>
      <c r="C658" s="528"/>
      <c r="D658" s="528">
        <f>C658*10</f>
        <v>0</v>
      </c>
      <c r="E658" s="460">
        <f>D658*0.25</f>
        <v>0</v>
      </c>
      <c r="F658" s="324">
        <f>E658*1.03*0.81/147</f>
        <v>0</v>
      </c>
      <c r="G658" s="528">
        <f t="shared" si="233"/>
        <v>0</v>
      </c>
      <c r="H658" s="324" t="s">
        <v>18</v>
      </c>
      <c r="I658" s="528">
        <f t="shared" si="234"/>
        <v>0</v>
      </c>
      <c r="J658" s="324" t="s">
        <v>19</v>
      </c>
      <c r="K658" s="324"/>
      <c r="L658" s="324"/>
      <c r="M658" s="324">
        <f>(F658*8820/3456)</f>
        <v>0</v>
      </c>
      <c r="N658" s="324"/>
      <c r="O658" s="324"/>
      <c r="P658" s="324"/>
      <c r="Q658" s="324" t="s">
        <v>18</v>
      </c>
      <c r="R658" s="324"/>
      <c r="S658" s="324" t="s">
        <v>19</v>
      </c>
      <c r="T658" s="528">
        <v>9</v>
      </c>
      <c r="U658" s="324">
        <f>E658/220*60</f>
        <v>0</v>
      </c>
      <c r="V658" s="676"/>
      <c r="W658" s="528"/>
      <c r="X658" s="529"/>
      <c r="Y658" s="323"/>
      <c r="Z658" s="312">
        <f>E658/1.21</f>
        <v>0</v>
      </c>
      <c r="AA658" s="316">
        <f>SUM(Z658/260.8)</f>
        <v>0</v>
      </c>
    </row>
    <row r="659" spans="1:28" ht="77.25" thickBot="1" x14ac:dyDescent="0.45">
      <c r="A659" s="319" t="s">
        <v>14</v>
      </c>
      <c r="B659" s="364" t="s">
        <v>1072</v>
      </c>
      <c r="C659" s="528"/>
      <c r="D659" s="528">
        <f>C659*10</f>
        <v>0</v>
      </c>
      <c r="E659" s="460">
        <f>D659*0.25</f>
        <v>0</v>
      </c>
      <c r="F659" s="324">
        <f>E659*1.03*0.81/147</f>
        <v>0</v>
      </c>
      <c r="G659" s="528">
        <f t="shared" si="233"/>
        <v>0</v>
      </c>
      <c r="H659" s="324" t="s">
        <v>18</v>
      </c>
      <c r="I659" s="528">
        <f t="shared" si="234"/>
        <v>0</v>
      </c>
      <c r="J659" s="324" t="s">
        <v>19</v>
      </c>
      <c r="K659" s="324"/>
      <c r="L659" s="324"/>
      <c r="M659" s="324">
        <f>(F659*8820/3456)</f>
        <v>0</v>
      </c>
      <c r="N659" s="324"/>
      <c r="O659" s="324"/>
      <c r="P659" s="324"/>
      <c r="Q659" s="324" t="s">
        <v>18</v>
      </c>
      <c r="R659" s="324"/>
      <c r="S659" s="324" t="s">
        <v>19</v>
      </c>
      <c r="T659" s="528">
        <v>9</v>
      </c>
      <c r="U659" s="324">
        <f>E659/220*60</f>
        <v>0</v>
      </c>
      <c r="V659" s="676"/>
      <c r="W659" s="528"/>
      <c r="X659" s="529"/>
      <c r="Y659" s="323"/>
      <c r="Z659" s="312">
        <f>E659/1.21</f>
        <v>0</v>
      </c>
      <c r="AA659" s="316">
        <f>SUM(Z659/223.6)</f>
        <v>0</v>
      </c>
    </row>
    <row r="660" spans="1:28" ht="52.5" thickBot="1" x14ac:dyDescent="0.45">
      <c r="A660" s="319" t="s">
        <v>14</v>
      </c>
      <c r="B660" s="320" t="s">
        <v>951</v>
      </c>
      <c r="C660" s="528"/>
      <c r="D660" s="551">
        <f>C660*18</f>
        <v>0</v>
      </c>
      <c r="E660" s="456">
        <f>D660*0.2</f>
        <v>0</v>
      </c>
      <c r="F660" s="358">
        <f>E660*1.03*0.82/147</f>
        <v>0</v>
      </c>
      <c r="G660" s="548">
        <f t="shared" ref="G660:G676" si="235">INT(M660)</f>
        <v>0</v>
      </c>
      <c r="H660" s="358" t="s">
        <v>18</v>
      </c>
      <c r="I660" s="548">
        <f t="shared" ref="I660:I676" si="236">(M660-G660)*64</f>
        <v>0</v>
      </c>
      <c r="J660" s="358" t="s">
        <v>19</v>
      </c>
      <c r="K660" s="358"/>
      <c r="L660" s="358"/>
      <c r="M660" s="358">
        <f>F660*5250/3456</f>
        <v>0</v>
      </c>
      <c r="N660" s="324"/>
      <c r="O660" s="324"/>
      <c r="P660" s="324"/>
      <c r="Q660" s="324" t="s">
        <v>18</v>
      </c>
      <c r="R660" s="324"/>
      <c r="S660" s="324" t="s">
        <v>19</v>
      </c>
      <c r="T660" s="528">
        <v>9</v>
      </c>
      <c r="U660" s="324">
        <f>E660/259*60</f>
        <v>0</v>
      </c>
      <c r="V660" s="676"/>
      <c r="W660" s="528"/>
      <c r="X660" s="529"/>
      <c r="Y660" s="323"/>
      <c r="Z660" s="312">
        <f>E660/1.21</f>
        <v>0</v>
      </c>
      <c r="AA660" s="316">
        <f>SUM(Z660/335.3)</f>
        <v>0</v>
      </c>
    </row>
    <row r="661" spans="1:28" ht="78" thickBot="1" x14ac:dyDescent="0.45">
      <c r="A661" s="319" t="s">
        <v>14</v>
      </c>
      <c r="B661" s="320" t="s">
        <v>952</v>
      </c>
      <c r="C661" s="528"/>
      <c r="D661" s="551">
        <f>C661*18</f>
        <v>0</v>
      </c>
      <c r="E661" s="456">
        <f>D661*0.2</f>
        <v>0</v>
      </c>
      <c r="F661" s="358">
        <f>E661*1.03*0.729/147</f>
        <v>0</v>
      </c>
      <c r="G661" s="548">
        <f t="shared" si="235"/>
        <v>0</v>
      </c>
      <c r="H661" s="358" t="s">
        <v>18</v>
      </c>
      <c r="I661" s="548">
        <f t="shared" si="236"/>
        <v>0</v>
      </c>
      <c r="J661" s="358" t="s">
        <v>19</v>
      </c>
      <c r="K661" s="358"/>
      <c r="L661" s="358"/>
      <c r="M661" s="358">
        <f>F661*5880/3456</f>
        <v>0</v>
      </c>
      <c r="N661" s="324"/>
      <c r="O661" s="324"/>
      <c r="P661" s="324"/>
      <c r="Q661" s="324" t="s">
        <v>18</v>
      </c>
      <c r="R661" s="324"/>
      <c r="S661" s="324" t="s">
        <v>19</v>
      </c>
      <c r="T661" s="528">
        <v>9</v>
      </c>
      <c r="U661" s="324">
        <f>E661/259*60</f>
        <v>0</v>
      </c>
      <c r="V661" s="676"/>
      <c r="W661" s="528"/>
      <c r="X661" s="529"/>
      <c r="Y661" s="323"/>
      <c r="Z661" s="312">
        <f>E661/1.21/1.143</f>
        <v>0</v>
      </c>
      <c r="AA661" s="316">
        <f>SUM(AB661/277)</f>
        <v>0</v>
      </c>
      <c r="AB661" s="310">
        <f>E661/1.21</f>
        <v>0</v>
      </c>
    </row>
    <row r="662" spans="1:28" ht="78" thickBot="1" x14ac:dyDescent="0.45">
      <c r="A662" s="319" t="s">
        <v>14</v>
      </c>
      <c r="B662" s="320" t="s">
        <v>953</v>
      </c>
      <c r="C662" s="528"/>
      <c r="D662" s="551">
        <f>C662*18</f>
        <v>0</v>
      </c>
      <c r="E662" s="456">
        <f>D662*0.2</f>
        <v>0</v>
      </c>
      <c r="F662" s="358">
        <f>E662*1.03*0.729/147</f>
        <v>0</v>
      </c>
      <c r="G662" s="548">
        <f t="shared" si="235"/>
        <v>0</v>
      </c>
      <c r="H662" s="358" t="s">
        <v>18</v>
      </c>
      <c r="I662" s="548">
        <f t="shared" si="236"/>
        <v>0</v>
      </c>
      <c r="J662" s="358" t="s">
        <v>19</v>
      </c>
      <c r="K662" s="358"/>
      <c r="L662" s="358"/>
      <c r="M662" s="358">
        <f>F662*5880/3456</f>
        <v>0</v>
      </c>
      <c r="N662" s="324"/>
      <c r="O662" s="324"/>
      <c r="P662" s="324"/>
      <c r="Q662" s="324" t="s">
        <v>18</v>
      </c>
      <c r="R662" s="324"/>
      <c r="S662" s="324" t="s">
        <v>19</v>
      </c>
      <c r="T662" s="528">
        <v>9</v>
      </c>
      <c r="U662" s="324"/>
      <c r="V662" s="676"/>
      <c r="W662" s="528"/>
      <c r="X662" s="529"/>
      <c r="Y662" s="323"/>
      <c r="Z662" s="312">
        <f>E662/1.21/1.143</f>
        <v>0</v>
      </c>
      <c r="AA662" s="316">
        <f>SUM(AB662/277)</f>
        <v>0</v>
      </c>
      <c r="AB662" s="310">
        <f>E662/1.21</f>
        <v>0</v>
      </c>
    </row>
    <row r="663" spans="1:28" s="728" customFormat="1" ht="158.25" outlineLevel="1" thickBot="1" x14ac:dyDescent="0.45">
      <c r="A663" s="636" t="s">
        <v>14</v>
      </c>
      <c r="B663" s="635" t="s">
        <v>1040</v>
      </c>
      <c r="C663" s="720"/>
      <c r="D663" s="720">
        <f>C663*12</f>
        <v>0</v>
      </c>
      <c r="E663" s="721">
        <f>D663*0.25</f>
        <v>0</v>
      </c>
      <c r="F663" s="722">
        <f>E663*1.03*0.729/147</f>
        <v>0</v>
      </c>
      <c r="G663" s="720">
        <f t="shared" si="235"/>
        <v>0</v>
      </c>
      <c r="H663" s="722" t="s">
        <v>18</v>
      </c>
      <c r="I663" s="720">
        <f t="shared" si="236"/>
        <v>0</v>
      </c>
      <c r="J663" s="722" t="s">
        <v>19</v>
      </c>
      <c r="K663" s="722"/>
      <c r="L663" s="722"/>
      <c r="M663" s="722">
        <f>(F663*7840/3456)</f>
        <v>0</v>
      </c>
      <c r="N663" s="722"/>
      <c r="O663" s="722"/>
      <c r="P663" s="722"/>
      <c r="Q663" s="722" t="s">
        <v>18</v>
      </c>
      <c r="R663" s="722"/>
      <c r="S663" s="722" t="s">
        <v>19</v>
      </c>
      <c r="T663" s="720">
        <v>9</v>
      </c>
      <c r="U663" s="722">
        <f>E663/390*60</f>
        <v>0</v>
      </c>
      <c r="V663" s="724"/>
      <c r="W663" s="720"/>
      <c r="X663" s="725"/>
      <c r="Y663" s="749" t="s">
        <v>920</v>
      </c>
      <c r="Z663" s="727">
        <f>E663/1.21/1.143</f>
        <v>0</v>
      </c>
      <c r="AA663" s="815">
        <f>SUM(AB663/205.2)</f>
        <v>0</v>
      </c>
      <c r="AB663" s="728">
        <f>E663/1.21</f>
        <v>0</v>
      </c>
    </row>
    <row r="664" spans="1:28" ht="79.5" thickBot="1" x14ac:dyDescent="0.45">
      <c r="A664" s="319" t="s">
        <v>14</v>
      </c>
      <c r="B664" s="362" t="s">
        <v>828</v>
      </c>
      <c r="C664" s="528"/>
      <c r="D664" s="557">
        <f>C664*12</f>
        <v>0</v>
      </c>
      <c r="E664" s="457">
        <f>D664*0.25</f>
        <v>0</v>
      </c>
      <c r="F664" s="359">
        <f>E664*0.9*1.01/147</f>
        <v>0</v>
      </c>
      <c r="G664" s="558">
        <f t="shared" si="235"/>
        <v>0</v>
      </c>
      <c r="H664" s="366" t="s">
        <v>18</v>
      </c>
      <c r="I664" s="556">
        <f t="shared" si="236"/>
        <v>0</v>
      </c>
      <c r="J664" s="366" t="s">
        <v>19</v>
      </c>
      <c r="K664" s="366"/>
      <c r="L664" s="366"/>
      <c r="M664" s="366">
        <f>(F664*7777/3456)</f>
        <v>0</v>
      </c>
      <c r="N664" s="366"/>
      <c r="O664" s="366"/>
      <c r="P664" s="366"/>
      <c r="Q664" s="358" t="s">
        <v>18</v>
      </c>
      <c r="R664" s="358"/>
      <c r="S664" s="358" t="s">
        <v>19</v>
      </c>
      <c r="T664" s="528">
        <v>9</v>
      </c>
      <c r="U664" s="324">
        <f>E664/390*60</f>
        <v>0</v>
      </c>
      <c r="V664" s="676"/>
      <c r="W664" s="528"/>
      <c r="X664" s="529"/>
      <c r="Y664" s="660" t="s">
        <v>919</v>
      </c>
      <c r="Z664" s="312">
        <f>E664/1.02/1.143</f>
        <v>0</v>
      </c>
      <c r="AA664" s="316">
        <f>SUM(AB664/215.5)</f>
        <v>0</v>
      </c>
      <c r="AB664" s="310">
        <f>E664/1.02</f>
        <v>0</v>
      </c>
    </row>
    <row r="665" spans="1:28" ht="79.5" thickBot="1" x14ac:dyDescent="0.45">
      <c r="A665" s="319" t="s">
        <v>14</v>
      </c>
      <c r="B665" s="362" t="s">
        <v>1017</v>
      </c>
      <c r="C665" s="528"/>
      <c r="D665" s="557">
        <f>C665*12</f>
        <v>0</v>
      </c>
      <c r="E665" s="457">
        <f>D665*0.25</f>
        <v>0</v>
      </c>
      <c r="F665" s="359">
        <f>E665*0.9*1.01/147</f>
        <v>0</v>
      </c>
      <c r="G665" s="558">
        <f t="shared" si="235"/>
        <v>0</v>
      </c>
      <c r="H665" s="366" t="s">
        <v>18</v>
      </c>
      <c r="I665" s="556">
        <f t="shared" si="236"/>
        <v>0</v>
      </c>
      <c r="J665" s="366" t="s">
        <v>19</v>
      </c>
      <c r="K665" s="366"/>
      <c r="L665" s="366"/>
      <c r="M665" s="366">
        <f>(F665*7777/3456)</f>
        <v>0</v>
      </c>
      <c r="N665" s="366"/>
      <c r="O665" s="366"/>
      <c r="P665" s="366"/>
      <c r="Q665" s="358" t="s">
        <v>18</v>
      </c>
      <c r="R665" s="358"/>
      <c r="S665" s="358" t="s">
        <v>19</v>
      </c>
      <c r="T665" s="528">
        <v>9</v>
      </c>
      <c r="U665" s="324">
        <f>E665/390*60</f>
        <v>0</v>
      </c>
      <c r="V665" s="676"/>
      <c r="W665" s="528"/>
      <c r="X665" s="529"/>
      <c r="Y665" s="659" t="s">
        <v>919</v>
      </c>
      <c r="Z665" s="312">
        <f>E665/1.02/1.143</f>
        <v>0</v>
      </c>
      <c r="AA665" s="316">
        <f>SUM(AB665/215.5)</f>
        <v>0</v>
      </c>
      <c r="AB665" s="310">
        <f>E665/1.02</f>
        <v>0</v>
      </c>
    </row>
    <row r="666" spans="1:28" s="728" customFormat="1" ht="51.75" outlineLevel="1" thickBot="1" x14ac:dyDescent="0.45">
      <c r="A666" s="636" t="s">
        <v>14</v>
      </c>
      <c r="B666" s="634" t="s">
        <v>858</v>
      </c>
      <c r="C666" s="720"/>
      <c r="D666" s="741">
        <f>C666*18</f>
        <v>0</v>
      </c>
      <c r="E666" s="721">
        <f>D666*0.18</f>
        <v>0</v>
      </c>
      <c r="F666" s="722">
        <f>E666*1.03*0.8/147</f>
        <v>0</v>
      </c>
      <c r="G666" s="720">
        <f t="shared" si="235"/>
        <v>0</v>
      </c>
      <c r="H666" s="722" t="s">
        <v>18</v>
      </c>
      <c r="I666" s="720">
        <f t="shared" si="236"/>
        <v>0</v>
      </c>
      <c r="J666" s="722" t="s">
        <v>19</v>
      </c>
      <c r="K666" s="722"/>
      <c r="L666" s="722"/>
      <c r="M666" s="722">
        <f>F666*5960/3456</f>
        <v>0</v>
      </c>
      <c r="N666" s="722"/>
      <c r="O666" s="722"/>
      <c r="P666" s="722"/>
      <c r="Q666" s="722" t="s">
        <v>18</v>
      </c>
      <c r="R666" s="722"/>
      <c r="S666" s="722" t="s">
        <v>19</v>
      </c>
      <c r="T666" s="720">
        <v>9</v>
      </c>
      <c r="U666" s="722">
        <f t="shared" ref="U666:U675" si="237">E666/220*60</f>
        <v>0</v>
      </c>
      <c r="V666" s="724"/>
      <c r="W666" s="720"/>
      <c r="X666" s="725"/>
      <c r="Y666" s="736"/>
      <c r="Z666" s="727">
        <f t="shared" ref="Z666:Z675" si="238">E666/1.21</f>
        <v>0</v>
      </c>
      <c r="AA666" s="815">
        <f>SUM(Z666/298.1)</f>
        <v>0</v>
      </c>
    </row>
    <row r="667" spans="1:28" ht="51.75" thickBot="1" x14ac:dyDescent="0.45">
      <c r="A667" s="319" t="s">
        <v>14</v>
      </c>
      <c r="B667" s="320" t="s">
        <v>1031</v>
      </c>
      <c r="C667" s="528"/>
      <c r="D667" s="530">
        <f>C667*22</f>
        <v>0</v>
      </c>
      <c r="E667" s="460">
        <f>D667*0.18</f>
        <v>0</v>
      </c>
      <c r="F667" s="324">
        <f>E667*1.03*0.8/147</f>
        <v>0</v>
      </c>
      <c r="G667" s="528">
        <f t="shared" si="235"/>
        <v>0</v>
      </c>
      <c r="H667" s="324" t="s">
        <v>18</v>
      </c>
      <c r="I667" s="528">
        <f t="shared" si="236"/>
        <v>0</v>
      </c>
      <c r="J667" s="324" t="s">
        <v>19</v>
      </c>
      <c r="K667" s="324"/>
      <c r="L667" s="324"/>
      <c r="M667" s="324">
        <f>F667*5960/3456</f>
        <v>0</v>
      </c>
      <c r="N667" s="324"/>
      <c r="O667" s="324"/>
      <c r="P667" s="324"/>
      <c r="Q667" s="324" t="s">
        <v>18</v>
      </c>
      <c r="R667" s="324"/>
      <c r="S667" s="324" t="s">
        <v>19</v>
      </c>
      <c r="T667" s="528">
        <v>9</v>
      </c>
      <c r="U667" s="324">
        <f t="shared" si="237"/>
        <v>0</v>
      </c>
      <c r="V667" s="676"/>
      <c r="W667" s="528"/>
      <c r="X667" s="529"/>
      <c r="Y667" s="323"/>
      <c r="Z667" s="312">
        <f t="shared" si="238"/>
        <v>0</v>
      </c>
      <c r="AA667" s="316">
        <f>SUM(Z667/298.1)</f>
        <v>0</v>
      </c>
    </row>
    <row r="668" spans="1:28" ht="77.25" thickBot="1" x14ac:dyDescent="0.45">
      <c r="A668" s="319" t="s">
        <v>14</v>
      </c>
      <c r="B668" s="320" t="s">
        <v>893</v>
      </c>
      <c r="C668" s="528"/>
      <c r="D668" s="551">
        <f>C668*18</f>
        <v>0</v>
      </c>
      <c r="E668" s="456">
        <f>D668*0.18</f>
        <v>0</v>
      </c>
      <c r="F668" s="358">
        <f>E668*1.03*0.8/147</f>
        <v>0</v>
      </c>
      <c r="G668" s="548">
        <f t="shared" si="235"/>
        <v>0</v>
      </c>
      <c r="H668" s="358" t="s">
        <v>18</v>
      </c>
      <c r="I668" s="548">
        <f t="shared" si="236"/>
        <v>0</v>
      </c>
      <c r="J668" s="358" t="s">
        <v>19</v>
      </c>
      <c r="K668" s="358"/>
      <c r="L668" s="358"/>
      <c r="M668" s="358">
        <f>F668*5960/3456</f>
        <v>0</v>
      </c>
      <c r="N668" s="324"/>
      <c r="O668" s="324"/>
      <c r="P668" s="324"/>
      <c r="Q668" s="324" t="s">
        <v>18</v>
      </c>
      <c r="R668" s="324"/>
      <c r="S668" s="324" t="s">
        <v>19</v>
      </c>
      <c r="T668" s="528">
        <v>9</v>
      </c>
      <c r="U668" s="324">
        <f t="shared" si="237"/>
        <v>0</v>
      </c>
      <c r="V668" s="676"/>
      <c r="W668" s="528"/>
      <c r="X668" s="529"/>
      <c r="Y668" s="323"/>
      <c r="Z668" s="312">
        <f t="shared" si="238"/>
        <v>0</v>
      </c>
      <c r="AA668" s="316">
        <f>SUM(Z668/298.1)</f>
        <v>0</v>
      </c>
    </row>
    <row r="669" spans="1:28" ht="51.75" thickBot="1" x14ac:dyDescent="0.45">
      <c r="A669" s="319" t="s">
        <v>14</v>
      </c>
      <c r="B669" s="369" t="s">
        <v>880</v>
      </c>
      <c r="C669" s="528"/>
      <c r="D669" s="550">
        <f>C669*18</f>
        <v>0</v>
      </c>
      <c r="E669" s="358">
        <f>D669*0.24</f>
        <v>0</v>
      </c>
      <c r="F669" s="358">
        <f>E669*0.81/147</f>
        <v>0</v>
      </c>
      <c r="G669" s="548">
        <f t="shared" si="235"/>
        <v>0</v>
      </c>
      <c r="H669" s="358" t="s">
        <v>18</v>
      </c>
      <c r="I669" s="548">
        <f t="shared" si="236"/>
        <v>0</v>
      </c>
      <c r="J669" s="358" t="s">
        <v>19</v>
      </c>
      <c r="K669" s="358"/>
      <c r="L669" s="358"/>
      <c r="M669" s="358">
        <f>F669*6125/3456</f>
        <v>0</v>
      </c>
      <c r="N669" s="358"/>
      <c r="O669" s="358"/>
      <c r="P669" s="358"/>
      <c r="Q669" s="358" t="s">
        <v>18</v>
      </c>
      <c r="R669" s="358"/>
      <c r="S669" s="358" t="s">
        <v>19</v>
      </c>
      <c r="T669" s="528">
        <v>9</v>
      </c>
      <c r="U669" s="324">
        <f t="shared" si="237"/>
        <v>0</v>
      </c>
      <c r="V669" s="676"/>
      <c r="W669" s="528"/>
      <c r="X669" s="529"/>
      <c r="Y669" s="323"/>
      <c r="Z669" s="312">
        <f t="shared" si="238"/>
        <v>0</v>
      </c>
      <c r="AA669" s="316">
        <f>SUM(Z669/298)</f>
        <v>0</v>
      </c>
    </row>
    <row r="670" spans="1:28" ht="51.75" thickBot="1" x14ac:dyDescent="0.45">
      <c r="A670" s="329" t="s">
        <v>14</v>
      </c>
      <c r="B670" s="878" t="s">
        <v>1208</v>
      </c>
      <c r="C670" s="872"/>
      <c r="D670" s="548">
        <f>C670*12</f>
        <v>0</v>
      </c>
      <c r="E670" s="456">
        <f>D670*0.3</f>
        <v>0</v>
      </c>
      <c r="F670" s="358">
        <f>E670*1.01*0.79/152</f>
        <v>0</v>
      </c>
      <c r="G670" s="549">
        <f>INT(M670)</f>
        <v>0</v>
      </c>
      <c r="H670" s="359" t="s">
        <v>18</v>
      </c>
      <c r="I670" s="549">
        <f>(M670-G670)*64</f>
        <v>0</v>
      </c>
      <c r="J670" s="359" t="s">
        <v>19</v>
      </c>
      <c r="K670" s="358"/>
      <c r="L670" s="358"/>
      <c r="M670" s="358">
        <f>F670*7696/3456</f>
        <v>0</v>
      </c>
      <c r="N670" s="461"/>
      <c r="O670" s="461"/>
      <c r="P670" s="358"/>
      <c r="Q670" s="358" t="s">
        <v>18</v>
      </c>
      <c r="R670" s="358"/>
      <c r="S670" s="358" t="s">
        <v>19</v>
      </c>
      <c r="T670" s="528">
        <v>9</v>
      </c>
      <c r="U670" s="324">
        <f t="shared" si="237"/>
        <v>0</v>
      </c>
      <c r="V670" s="676"/>
      <c r="W670" s="528"/>
      <c r="X670" s="529"/>
      <c r="Y670" s="323"/>
      <c r="Z670" s="312">
        <f>E670/1.21</f>
        <v>0</v>
      </c>
      <c r="AA670" s="316">
        <f>SUM(Z670/248)</f>
        <v>0</v>
      </c>
    </row>
    <row r="671" spans="1:28" ht="102.75" thickBot="1" x14ac:dyDescent="0.45">
      <c r="A671" s="319" t="s">
        <v>14</v>
      </c>
      <c r="B671" s="875" t="s">
        <v>1027</v>
      </c>
      <c r="C671" s="528"/>
      <c r="D671" s="567">
        <f>C671*7</f>
        <v>0</v>
      </c>
      <c r="E671" s="460">
        <f>D671*0.36</f>
        <v>0</v>
      </c>
      <c r="F671" s="324">
        <f>E671*1.03*0.8/147</f>
        <v>0</v>
      </c>
      <c r="G671" s="528">
        <f>INT(M671)</f>
        <v>0</v>
      </c>
      <c r="H671" s="324" t="s">
        <v>18</v>
      </c>
      <c r="I671" s="528">
        <f>(M671-G671)*64</f>
        <v>0</v>
      </c>
      <c r="J671" s="324" t="s">
        <v>19</v>
      </c>
      <c r="K671" s="324"/>
      <c r="L671" s="324"/>
      <c r="M671" s="324">
        <f>F671*6000/3456</f>
        <v>0</v>
      </c>
      <c r="N671" s="324"/>
      <c r="O671" s="324"/>
      <c r="P671" s="324"/>
      <c r="Q671" s="324" t="s">
        <v>18</v>
      </c>
      <c r="R671" s="324"/>
      <c r="S671" s="324" t="s">
        <v>19</v>
      </c>
      <c r="T671" s="528">
        <v>9</v>
      </c>
      <c r="U671" s="324">
        <f>E671/220*60</f>
        <v>0</v>
      </c>
      <c r="V671" s="676"/>
      <c r="W671" s="528"/>
      <c r="X671" s="529"/>
      <c r="Y671" s="323"/>
      <c r="Z671" s="312">
        <f>E671/1.21/1.143</f>
        <v>0</v>
      </c>
      <c r="AA671" s="316">
        <f>SUM(AB671/184.68)</f>
        <v>0</v>
      </c>
      <c r="AB671" s="310">
        <f>E671/1.21</f>
        <v>0</v>
      </c>
    </row>
    <row r="672" spans="1:28" ht="51.75" thickBot="1" x14ac:dyDescent="0.45">
      <c r="A672" s="319" t="s">
        <v>14</v>
      </c>
      <c r="B672" s="362" t="s">
        <v>909</v>
      </c>
      <c r="C672" s="528"/>
      <c r="D672" s="550">
        <f>C672*12</f>
        <v>0</v>
      </c>
      <c r="E672" s="358">
        <f>D672*0.36</f>
        <v>0</v>
      </c>
      <c r="F672" s="358">
        <f>E672*1.03*0.8/147</f>
        <v>0</v>
      </c>
      <c r="G672" s="548">
        <f>INT(M672)</f>
        <v>0</v>
      </c>
      <c r="H672" s="358" t="s">
        <v>18</v>
      </c>
      <c r="I672" s="548">
        <f>(M672-G672)*64</f>
        <v>0</v>
      </c>
      <c r="J672" s="358" t="s">
        <v>19</v>
      </c>
      <c r="K672" s="358"/>
      <c r="L672" s="358"/>
      <c r="M672" s="358">
        <f>F672*6000/3456</f>
        <v>0</v>
      </c>
      <c r="N672" s="358"/>
      <c r="O672" s="358"/>
      <c r="P672" s="358"/>
      <c r="Q672" s="358" t="s">
        <v>18</v>
      </c>
      <c r="R672" s="358"/>
      <c r="S672" s="358" t="s">
        <v>19</v>
      </c>
      <c r="T672" s="528">
        <v>9</v>
      </c>
      <c r="U672" s="324">
        <f>E672/220*60</f>
        <v>0</v>
      </c>
      <c r="V672" s="676"/>
      <c r="W672" s="528"/>
      <c r="X672" s="529"/>
      <c r="Y672" s="323"/>
      <c r="Z672" s="312">
        <f>E672/1.21</f>
        <v>0</v>
      </c>
      <c r="AA672" s="316">
        <f>SUM(Z672/272)</f>
        <v>0</v>
      </c>
    </row>
    <row r="673" spans="1:28" ht="51.75" thickBot="1" x14ac:dyDescent="0.45">
      <c r="A673" s="319" t="s">
        <v>14</v>
      </c>
      <c r="B673" s="362" t="s">
        <v>1004</v>
      </c>
      <c r="C673" s="528"/>
      <c r="D673" s="567">
        <f>C673*14</f>
        <v>0</v>
      </c>
      <c r="E673" s="324">
        <f>D673*0.36</f>
        <v>0</v>
      </c>
      <c r="F673" s="324">
        <f>E673*1.03*0.8/147</f>
        <v>0</v>
      </c>
      <c r="G673" s="528">
        <f>INT(M673)</f>
        <v>0</v>
      </c>
      <c r="H673" s="324" t="s">
        <v>18</v>
      </c>
      <c r="I673" s="528">
        <f>(M673-G673)*64</f>
        <v>0</v>
      </c>
      <c r="J673" s="324" t="s">
        <v>19</v>
      </c>
      <c r="K673" s="324"/>
      <c r="L673" s="324"/>
      <c r="M673" s="324">
        <f>F673*6000/3456</f>
        <v>0</v>
      </c>
      <c r="N673" s="324"/>
      <c r="O673" s="324"/>
      <c r="P673" s="324"/>
      <c r="Q673" s="324" t="s">
        <v>18</v>
      </c>
      <c r="R673" s="324"/>
      <c r="S673" s="324" t="s">
        <v>19</v>
      </c>
      <c r="T673" s="528">
        <v>9</v>
      </c>
      <c r="U673" s="324">
        <f>E673/220*60</f>
        <v>0</v>
      </c>
      <c r="V673" s="676"/>
      <c r="W673" s="528"/>
      <c r="X673" s="529"/>
      <c r="Y673" s="323"/>
      <c r="Z673" s="312">
        <f>E673/1.21</f>
        <v>0</v>
      </c>
      <c r="AA673" s="316">
        <f>SUM(Z673/272)</f>
        <v>0</v>
      </c>
    </row>
    <row r="674" spans="1:28" ht="77.25" thickBot="1" x14ac:dyDescent="0.45">
      <c r="A674" s="319" t="s">
        <v>14</v>
      </c>
      <c r="B674" s="320" t="s">
        <v>859</v>
      </c>
      <c r="C674" s="528"/>
      <c r="D674" s="551">
        <f>C674*18</f>
        <v>0</v>
      </c>
      <c r="E674" s="456">
        <f>D674*0.18</f>
        <v>0</v>
      </c>
      <c r="F674" s="358">
        <f>E674*0.84/147</f>
        <v>0</v>
      </c>
      <c r="G674" s="548">
        <f t="shared" si="235"/>
        <v>0</v>
      </c>
      <c r="H674" s="358" t="s">
        <v>18</v>
      </c>
      <c r="I674" s="548">
        <f t="shared" si="236"/>
        <v>0</v>
      </c>
      <c r="J674" s="358" t="s">
        <v>19</v>
      </c>
      <c r="K674" s="358"/>
      <c r="L674" s="358"/>
      <c r="M674" s="358">
        <f>F674*5880/3456</f>
        <v>0</v>
      </c>
      <c r="N674" s="324"/>
      <c r="O674" s="324"/>
      <c r="P674" s="324"/>
      <c r="Q674" s="324" t="s">
        <v>18</v>
      </c>
      <c r="R674" s="324"/>
      <c r="S674" s="324" t="s">
        <v>19</v>
      </c>
      <c r="T674" s="528">
        <v>9</v>
      </c>
      <c r="U674" s="324">
        <f t="shared" si="237"/>
        <v>0</v>
      </c>
      <c r="V674" s="676"/>
      <c r="W674" s="528"/>
      <c r="X674" s="529"/>
      <c r="Y674" s="323"/>
      <c r="Z674" s="312">
        <f t="shared" si="238"/>
        <v>0</v>
      </c>
      <c r="AA674" s="316">
        <f>SUM(Z674/298.1)</f>
        <v>0</v>
      </c>
    </row>
    <row r="675" spans="1:28" ht="77.25" thickBot="1" x14ac:dyDescent="0.45">
      <c r="A675" s="319" t="s">
        <v>14</v>
      </c>
      <c r="B675" s="320" t="s">
        <v>1032</v>
      </c>
      <c r="C675" s="528"/>
      <c r="D675" s="530">
        <f>C675*22</f>
        <v>0</v>
      </c>
      <c r="E675" s="460">
        <f>D675*0.18</f>
        <v>0</v>
      </c>
      <c r="F675" s="324">
        <f>E675*0.84/147</f>
        <v>0</v>
      </c>
      <c r="G675" s="528">
        <f t="shared" si="235"/>
        <v>0</v>
      </c>
      <c r="H675" s="324" t="s">
        <v>18</v>
      </c>
      <c r="I675" s="528">
        <f t="shared" si="236"/>
        <v>0</v>
      </c>
      <c r="J675" s="324" t="s">
        <v>19</v>
      </c>
      <c r="K675" s="324"/>
      <c r="L675" s="324"/>
      <c r="M675" s="324">
        <f>F675*5880/3456</f>
        <v>0</v>
      </c>
      <c r="N675" s="324"/>
      <c r="O675" s="324"/>
      <c r="P675" s="324"/>
      <c r="Q675" s="324" t="s">
        <v>18</v>
      </c>
      <c r="R675" s="324"/>
      <c r="S675" s="324" t="s">
        <v>19</v>
      </c>
      <c r="T675" s="528">
        <v>9</v>
      </c>
      <c r="U675" s="324">
        <f t="shared" si="237"/>
        <v>0</v>
      </c>
      <c r="V675" s="676"/>
      <c r="W675" s="528"/>
      <c r="X675" s="529"/>
      <c r="Y675" s="323"/>
      <c r="Z675" s="312">
        <f t="shared" si="238"/>
        <v>0</v>
      </c>
      <c r="AA675" s="316">
        <f>SUM(Z675/298.1)</f>
        <v>0</v>
      </c>
    </row>
    <row r="676" spans="1:28" ht="102.75" thickBot="1" x14ac:dyDescent="0.45">
      <c r="A676" s="319" t="s">
        <v>14</v>
      </c>
      <c r="B676" s="320" t="s">
        <v>906</v>
      </c>
      <c r="C676" s="528"/>
      <c r="D676" s="548">
        <f>C676*12</f>
        <v>0</v>
      </c>
      <c r="E676" s="456">
        <f>D676*0.5</f>
        <v>0</v>
      </c>
      <c r="F676" s="358">
        <f>E676*1.037*0.756/147</f>
        <v>0</v>
      </c>
      <c r="G676" s="548">
        <f t="shared" si="235"/>
        <v>0</v>
      </c>
      <c r="H676" s="358" t="s">
        <v>18</v>
      </c>
      <c r="I676" s="548">
        <f t="shared" si="236"/>
        <v>0</v>
      </c>
      <c r="J676" s="358" t="s">
        <v>19</v>
      </c>
      <c r="K676" s="358"/>
      <c r="L676" s="358"/>
      <c r="M676" s="358">
        <f>(F676*6760/3456)</f>
        <v>0</v>
      </c>
      <c r="N676" s="324"/>
      <c r="O676" s="324"/>
      <c r="P676" s="324"/>
      <c r="Q676" s="324" t="s">
        <v>18</v>
      </c>
      <c r="R676" s="324"/>
      <c r="S676" s="324" t="s">
        <v>19</v>
      </c>
      <c r="T676" s="528">
        <v>9</v>
      </c>
      <c r="U676" s="324">
        <f>E676/324*60</f>
        <v>0</v>
      </c>
      <c r="V676" s="676"/>
      <c r="W676" s="528"/>
      <c r="X676" s="529"/>
      <c r="Y676" s="323"/>
      <c r="Z676" s="312">
        <f>E676/1.21/1.143</f>
        <v>0</v>
      </c>
      <c r="AA676" s="316">
        <f>SUM(AB676/236)</f>
        <v>0</v>
      </c>
      <c r="AB676" s="310">
        <f>E676/1.21</f>
        <v>0</v>
      </c>
    </row>
    <row r="677" spans="1:28" ht="77.25" thickBot="1" x14ac:dyDescent="0.45">
      <c r="A677" s="319" t="s">
        <v>14</v>
      </c>
      <c r="B677" s="369" t="s">
        <v>1015</v>
      </c>
      <c r="C677" s="528"/>
      <c r="D677" s="528">
        <f>C677*12</f>
        <v>0</v>
      </c>
      <c r="E677" s="460">
        <f>D677*0.5</f>
        <v>0</v>
      </c>
      <c r="F677" s="324">
        <f>E677*1.03*0.82/147</f>
        <v>0</v>
      </c>
      <c r="G677" s="537">
        <f>INT(M677)</f>
        <v>0</v>
      </c>
      <c r="H677" s="354" t="s">
        <v>18</v>
      </c>
      <c r="I677" s="537">
        <f>(M677-G677)*64</f>
        <v>0</v>
      </c>
      <c r="J677" s="354" t="s">
        <v>19</v>
      </c>
      <c r="K677" s="324"/>
      <c r="L677" s="324"/>
      <c r="M677" s="324">
        <f>(F677*5250/3456)</f>
        <v>0</v>
      </c>
      <c r="N677" s="324"/>
      <c r="O677" s="324"/>
      <c r="P677" s="324"/>
      <c r="Q677" s="324" t="s">
        <v>18</v>
      </c>
      <c r="R677" s="324"/>
      <c r="S677" s="324" t="s">
        <v>19</v>
      </c>
      <c r="T677" s="528">
        <v>9</v>
      </c>
      <c r="U677" s="324">
        <f>E677/324*60</f>
        <v>0</v>
      </c>
      <c r="V677" s="676"/>
      <c r="W677" s="528"/>
      <c r="X677" s="529"/>
      <c r="Y677" s="323"/>
      <c r="Z677" s="312">
        <f>E677/1.21</f>
        <v>0</v>
      </c>
      <c r="AA677" s="316">
        <f>SUM(Z677/236)</f>
        <v>0</v>
      </c>
    </row>
    <row r="678" spans="1:28" ht="84.75" customHeight="1" thickBot="1" x14ac:dyDescent="0.45">
      <c r="A678" s="319" t="s">
        <v>14</v>
      </c>
      <c r="B678" s="369" t="s">
        <v>928</v>
      </c>
      <c r="C678" s="528"/>
      <c r="D678" s="548">
        <f>C678*12</f>
        <v>0</v>
      </c>
      <c r="E678" s="456">
        <f>D678*0.6</f>
        <v>0</v>
      </c>
      <c r="F678" s="358">
        <f>E678*1.03*0.82/147</f>
        <v>0</v>
      </c>
      <c r="G678" s="549">
        <f>INT(M678)</f>
        <v>0</v>
      </c>
      <c r="H678" s="359" t="s">
        <v>18</v>
      </c>
      <c r="I678" s="549">
        <f>(M678-G678)*64</f>
        <v>0</v>
      </c>
      <c r="J678" s="359" t="s">
        <v>19</v>
      </c>
      <c r="K678" s="358"/>
      <c r="L678" s="358"/>
      <c r="M678" s="358">
        <f>(F678*5250/3456)</f>
        <v>0</v>
      </c>
      <c r="N678" s="358"/>
      <c r="O678" s="358"/>
      <c r="P678" s="358"/>
      <c r="Q678" s="358" t="s">
        <v>18</v>
      </c>
      <c r="R678" s="358"/>
      <c r="S678" s="358" t="s">
        <v>19</v>
      </c>
      <c r="T678" s="528">
        <v>9</v>
      </c>
      <c r="U678" s="324">
        <f>E678/324*60</f>
        <v>0</v>
      </c>
      <c r="V678" s="676"/>
      <c r="W678" s="528"/>
      <c r="X678" s="529"/>
      <c r="Y678" s="323"/>
      <c r="Z678" s="312">
        <f>E678/1.21</f>
        <v>0</v>
      </c>
      <c r="AA678" s="316">
        <f>SUM(Z678/311.85)</f>
        <v>0</v>
      </c>
    </row>
    <row r="679" spans="1:28" ht="84.75" customHeight="1" thickBot="1" x14ac:dyDescent="0.45">
      <c r="A679" s="319" t="s">
        <v>14</v>
      </c>
      <c r="B679" s="886" t="s">
        <v>1225</v>
      </c>
      <c r="C679" s="528"/>
      <c r="D679" s="528">
        <f>C679*10</f>
        <v>0</v>
      </c>
      <c r="E679" s="460">
        <f>D679*0.3</f>
        <v>0</v>
      </c>
      <c r="F679" s="324">
        <f>E679*1.03*0.82/147</f>
        <v>0</v>
      </c>
      <c r="G679" s="537">
        <f>INT(M679)</f>
        <v>0</v>
      </c>
      <c r="H679" s="354"/>
      <c r="I679" s="537">
        <f>(M679-G679)*64</f>
        <v>0</v>
      </c>
      <c r="J679" s="354"/>
      <c r="K679" s="324"/>
      <c r="L679" s="324"/>
      <c r="M679" s="324">
        <f>(F679*4900/2880)</f>
        <v>0</v>
      </c>
      <c r="N679" s="324"/>
      <c r="O679" s="324"/>
      <c r="P679" s="324"/>
      <c r="Q679" s="324"/>
      <c r="R679" s="324"/>
      <c r="S679" s="324"/>
      <c r="T679" s="528">
        <v>9</v>
      </c>
      <c r="U679" s="324"/>
      <c r="V679" s="676"/>
      <c r="W679" s="528"/>
      <c r="X679" s="529"/>
      <c r="Y679" s="323"/>
      <c r="Z679" s="312">
        <f>E679/1.21</f>
        <v>0</v>
      </c>
      <c r="AA679" s="316">
        <f>SUM(Z679/282)</f>
        <v>0</v>
      </c>
    </row>
    <row r="680" spans="1:28" ht="102.75" thickBot="1" x14ac:dyDescent="0.45">
      <c r="A680" s="319" t="s">
        <v>14</v>
      </c>
      <c r="B680" s="362" t="s">
        <v>969</v>
      </c>
      <c r="C680" s="528"/>
      <c r="D680" s="548"/>
      <c r="E680" s="456">
        <f>C680*0.3</f>
        <v>0</v>
      </c>
      <c r="F680" s="358">
        <f>E680*1.03*0.84/147</f>
        <v>0</v>
      </c>
      <c r="G680" s="549">
        <f>INT(M680)</f>
        <v>0</v>
      </c>
      <c r="H680" s="359" t="s">
        <v>18</v>
      </c>
      <c r="I680" s="549">
        <f>(M680-G680)*64</f>
        <v>0</v>
      </c>
      <c r="J680" s="359" t="s">
        <v>19</v>
      </c>
      <c r="K680" s="358"/>
      <c r="L680" s="358"/>
      <c r="M680" s="358">
        <f>(F680*5547/3456)</f>
        <v>0</v>
      </c>
      <c r="N680" s="461"/>
      <c r="O680" s="461"/>
      <c r="P680" s="461"/>
      <c r="Q680" s="324" t="s">
        <v>18</v>
      </c>
      <c r="R680" s="324"/>
      <c r="S680" s="324" t="s">
        <v>19</v>
      </c>
      <c r="T680" s="528">
        <v>9</v>
      </c>
      <c r="U680" s="324">
        <f>E680/324*60</f>
        <v>0</v>
      </c>
      <c r="V680" s="676"/>
      <c r="W680" s="528"/>
      <c r="X680" s="529"/>
      <c r="Y680" s="323"/>
      <c r="Z680" s="312">
        <f>E680/1.21/1.143</f>
        <v>0</v>
      </c>
      <c r="AA680" s="316">
        <f>SUM(Z680/282)</f>
        <v>0</v>
      </c>
    </row>
    <row r="681" spans="1:28" thickBot="1" x14ac:dyDescent="0.45">
      <c r="A681" s="830"/>
      <c r="B681" s="332" t="s">
        <v>287</v>
      </c>
      <c r="C681" s="347"/>
      <c r="D681" s="347"/>
      <c r="E681" s="494"/>
      <c r="F681" s="348"/>
      <c r="G681" s="347"/>
      <c r="H681" s="348"/>
      <c r="I681" s="347"/>
      <c r="J681" s="348"/>
      <c r="K681" s="348"/>
      <c r="L681" s="348"/>
      <c r="M681" s="348"/>
      <c r="N681" s="348"/>
      <c r="O681" s="348"/>
      <c r="P681" s="348"/>
      <c r="Q681" s="348"/>
      <c r="R681" s="348"/>
      <c r="S681" s="348"/>
      <c r="T681" s="347"/>
      <c r="U681" s="348"/>
      <c r="V681" s="356"/>
      <c r="W681" s="348"/>
      <c r="X681" s="495"/>
      <c r="Y681" s="357"/>
    </row>
    <row r="682" spans="1:28" thickBot="1" x14ac:dyDescent="0.45">
      <c r="A682" s="830"/>
      <c r="B682" s="332" t="s">
        <v>299</v>
      </c>
      <c r="C682" s="347"/>
      <c r="D682" s="347"/>
      <c r="E682" s="494"/>
      <c r="F682" s="348"/>
      <c r="G682" s="347"/>
      <c r="H682" s="348"/>
      <c r="I682" s="347"/>
      <c r="J682" s="348"/>
      <c r="K682" s="348"/>
      <c r="L682" s="348"/>
      <c r="M682" s="348"/>
      <c r="N682" s="348"/>
      <c r="O682" s="348"/>
      <c r="P682" s="348"/>
      <c r="Q682" s="348"/>
      <c r="R682" s="348"/>
      <c r="S682" s="348"/>
      <c r="T682" s="347"/>
      <c r="U682" s="348"/>
      <c r="V682" s="356"/>
      <c r="W682" s="348"/>
      <c r="X682" s="495"/>
      <c r="Y682" s="357"/>
    </row>
    <row r="683" spans="1:28" ht="53.25" thickBot="1" x14ac:dyDescent="0.45">
      <c r="A683" s="319" t="s">
        <v>14</v>
      </c>
      <c r="B683" s="368" t="s">
        <v>866</v>
      </c>
      <c r="C683" s="853">
        <v>1000</v>
      </c>
      <c r="D683" s="626"/>
      <c r="E683" s="849">
        <f>C683*2.4</f>
        <v>2400</v>
      </c>
      <c r="F683" s="627">
        <f>E683*1.02*0.99/147</f>
        <v>16.486530612244898</v>
      </c>
      <c r="G683" s="850">
        <f>INT(M683)</f>
        <v>34</v>
      </c>
      <c r="H683" s="851" t="s">
        <v>18</v>
      </c>
      <c r="I683" s="850">
        <f>(M683-G683)*64</f>
        <v>22.204081632653015</v>
      </c>
      <c r="J683" s="851" t="s">
        <v>19</v>
      </c>
      <c r="K683" s="630"/>
      <c r="L683" s="630"/>
      <c r="M683" s="627">
        <f t="shared" ref="M683:M688" si="239">F683*6000/2880</f>
        <v>34.346938775510203</v>
      </c>
      <c r="N683" s="631"/>
      <c r="O683" s="631"/>
      <c r="P683" s="631"/>
      <c r="Q683" s="324" t="s">
        <v>18</v>
      </c>
      <c r="R683" s="324"/>
      <c r="S683" s="324" t="s">
        <v>19</v>
      </c>
      <c r="T683" s="528">
        <v>9</v>
      </c>
      <c r="U683" s="324">
        <f>E683/420*60</f>
        <v>342.85714285714289</v>
      </c>
      <c r="V683" s="676"/>
      <c r="W683" s="528"/>
      <c r="X683" s="529"/>
      <c r="Y683" s="323"/>
      <c r="Z683" s="312">
        <f>E683/1.02</f>
        <v>2352.9411764705883</v>
      </c>
      <c r="AA683" s="316">
        <f t="shared" ref="AA683:AA688" si="240">SUM(Z683/354)</f>
        <v>6.6467264872050515</v>
      </c>
    </row>
    <row r="684" spans="1:28" ht="53.25" thickBot="1" x14ac:dyDescent="0.45">
      <c r="A684" s="319" t="s">
        <v>14</v>
      </c>
      <c r="B684" s="368" t="s">
        <v>865</v>
      </c>
      <c r="C684" s="853">
        <v>1000</v>
      </c>
      <c r="D684" s="626"/>
      <c r="E684" s="849">
        <f>C684*2.4</f>
        <v>2400</v>
      </c>
      <c r="F684" s="627">
        <f>E684*1.02*0.99/147</f>
        <v>16.486530612244898</v>
      </c>
      <c r="G684" s="850">
        <f>INT(M684)</f>
        <v>34</v>
      </c>
      <c r="H684" s="851" t="s">
        <v>18</v>
      </c>
      <c r="I684" s="850">
        <f>(M684-G684)*64</f>
        <v>22.204081632653015</v>
      </c>
      <c r="J684" s="851" t="s">
        <v>19</v>
      </c>
      <c r="K684" s="630"/>
      <c r="L684" s="630"/>
      <c r="M684" s="627">
        <f t="shared" si="239"/>
        <v>34.346938775510203</v>
      </c>
      <c r="N684" s="631"/>
      <c r="O684" s="631"/>
      <c r="P684" s="631"/>
      <c r="Q684" s="324" t="s">
        <v>18</v>
      </c>
      <c r="R684" s="324"/>
      <c r="S684" s="324" t="s">
        <v>19</v>
      </c>
      <c r="T684" s="528">
        <v>9</v>
      </c>
      <c r="U684" s="324">
        <f>E684/420*60</f>
        <v>342.85714285714289</v>
      </c>
      <c r="V684" s="676"/>
      <c r="W684" s="528"/>
      <c r="X684" s="529"/>
      <c r="Y684" s="323"/>
      <c r="Z684" s="312">
        <f t="shared" ref="Z684:Z697" si="241">E684/1.02</f>
        <v>2352.9411764705883</v>
      </c>
      <c r="AA684" s="316">
        <f t="shared" si="240"/>
        <v>6.6467264872050515</v>
      </c>
    </row>
    <row r="685" spans="1:28" ht="53.25" thickBot="1" x14ac:dyDescent="0.45">
      <c r="A685" s="319" t="s">
        <v>14</v>
      </c>
      <c r="B685" s="368" t="s">
        <v>118</v>
      </c>
      <c r="C685" s="528"/>
      <c r="D685" s="528"/>
      <c r="E685" s="849">
        <f>C685*3.2</f>
        <v>0</v>
      </c>
      <c r="F685" s="627">
        <f t="shared" ref="F685:F697" si="242">E685*1.02*0.99/147</f>
        <v>0</v>
      </c>
      <c r="G685" s="850">
        <f t="shared" ref="G685:G697" si="243">INT(M685)</f>
        <v>0</v>
      </c>
      <c r="H685" s="851" t="s">
        <v>18</v>
      </c>
      <c r="I685" s="850">
        <f t="shared" ref="I685:I697" si="244">(M685-G685)*64</f>
        <v>0</v>
      </c>
      <c r="J685" s="851" t="s">
        <v>19</v>
      </c>
      <c r="K685" s="630"/>
      <c r="L685" s="630"/>
      <c r="M685" s="627">
        <f t="shared" si="239"/>
        <v>0</v>
      </c>
      <c r="N685" s="324"/>
      <c r="O685" s="324"/>
      <c r="P685" s="324"/>
      <c r="Q685" s="324" t="s">
        <v>18</v>
      </c>
      <c r="R685" s="324"/>
      <c r="S685" s="324" t="s">
        <v>19</v>
      </c>
      <c r="T685" s="528">
        <v>9</v>
      </c>
      <c r="U685" s="324">
        <f>E685/259*60</f>
        <v>0</v>
      </c>
      <c r="V685" s="676"/>
      <c r="W685" s="528"/>
      <c r="X685" s="529"/>
      <c r="Y685" s="323"/>
      <c r="Z685" s="312">
        <f t="shared" si="241"/>
        <v>0</v>
      </c>
      <c r="AA685" s="316">
        <f t="shared" si="240"/>
        <v>0</v>
      </c>
    </row>
    <row r="686" spans="1:28" ht="53.25" thickBot="1" x14ac:dyDescent="0.45">
      <c r="A686" s="319" t="s">
        <v>14</v>
      </c>
      <c r="B686" s="368" t="s">
        <v>688</v>
      </c>
      <c r="C686" s="528"/>
      <c r="D686" s="528"/>
      <c r="E686" s="849">
        <f>C686*3.2</f>
        <v>0</v>
      </c>
      <c r="F686" s="627">
        <f t="shared" si="242"/>
        <v>0</v>
      </c>
      <c r="G686" s="850">
        <f t="shared" si="243"/>
        <v>0</v>
      </c>
      <c r="H686" s="851" t="s">
        <v>18</v>
      </c>
      <c r="I686" s="850">
        <f t="shared" si="244"/>
        <v>0</v>
      </c>
      <c r="J686" s="851" t="s">
        <v>19</v>
      </c>
      <c r="K686" s="630"/>
      <c r="L686" s="630"/>
      <c r="M686" s="627">
        <f t="shared" si="239"/>
        <v>0</v>
      </c>
      <c r="N686" s="324"/>
      <c r="O686" s="324"/>
      <c r="P686" s="324"/>
      <c r="Q686" s="324" t="s">
        <v>18</v>
      </c>
      <c r="R686" s="324"/>
      <c r="S686" s="324" t="s">
        <v>19</v>
      </c>
      <c r="T686" s="528">
        <v>9</v>
      </c>
      <c r="U686" s="324">
        <f>E686/259*60</f>
        <v>0</v>
      </c>
      <c r="V686" s="676"/>
      <c r="W686" s="528"/>
      <c r="X686" s="529"/>
      <c r="Y686" s="323"/>
      <c r="Z686" s="312">
        <f t="shared" si="241"/>
        <v>0</v>
      </c>
      <c r="AA686" s="316">
        <f t="shared" si="240"/>
        <v>0</v>
      </c>
    </row>
    <row r="687" spans="1:28" ht="53.25" thickBot="1" x14ac:dyDescent="0.45">
      <c r="A687" s="319" t="s">
        <v>14</v>
      </c>
      <c r="B687" s="368" t="s">
        <v>689</v>
      </c>
      <c r="C687" s="853"/>
      <c r="D687" s="626"/>
      <c r="E687" s="849">
        <f>C687*4</f>
        <v>0</v>
      </c>
      <c r="F687" s="627">
        <f t="shared" si="242"/>
        <v>0</v>
      </c>
      <c r="G687" s="850">
        <f t="shared" si="243"/>
        <v>0</v>
      </c>
      <c r="H687" s="851" t="s">
        <v>18</v>
      </c>
      <c r="I687" s="850">
        <f t="shared" si="244"/>
        <v>0</v>
      </c>
      <c r="J687" s="851" t="s">
        <v>19</v>
      </c>
      <c r="K687" s="630"/>
      <c r="L687" s="630"/>
      <c r="M687" s="627">
        <f t="shared" si="239"/>
        <v>0</v>
      </c>
      <c r="N687" s="324"/>
      <c r="O687" s="324"/>
      <c r="P687" s="324"/>
      <c r="Q687" s="324" t="s">
        <v>18</v>
      </c>
      <c r="R687" s="324"/>
      <c r="S687" s="324" t="s">
        <v>19</v>
      </c>
      <c r="T687" s="528">
        <v>9</v>
      </c>
      <c r="U687" s="324">
        <f>E687/259*60</f>
        <v>0</v>
      </c>
      <c r="V687" s="676"/>
      <c r="W687" s="528"/>
      <c r="X687" s="529"/>
      <c r="Y687" s="323"/>
      <c r="Z687" s="312">
        <f t="shared" si="241"/>
        <v>0</v>
      </c>
      <c r="AA687" s="316">
        <f t="shared" si="240"/>
        <v>0</v>
      </c>
    </row>
    <row r="688" spans="1:28" ht="53.25" thickBot="1" x14ac:dyDescent="0.45">
      <c r="A688" s="319" t="s">
        <v>14</v>
      </c>
      <c r="B688" s="368" t="s">
        <v>240</v>
      </c>
      <c r="C688" s="853"/>
      <c r="D688" s="626"/>
      <c r="E688" s="849">
        <f>C688*4</f>
        <v>0</v>
      </c>
      <c r="F688" s="627">
        <f t="shared" si="242"/>
        <v>0</v>
      </c>
      <c r="G688" s="850">
        <f t="shared" si="243"/>
        <v>0</v>
      </c>
      <c r="H688" s="851" t="s">
        <v>18</v>
      </c>
      <c r="I688" s="850">
        <f t="shared" si="244"/>
        <v>0</v>
      </c>
      <c r="J688" s="851" t="s">
        <v>19</v>
      </c>
      <c r="K688" s="630"/>
      <c r="L688" s="630"/>
      <c r="M688" s="627">
        <f t="shared" si="239"/>
        <v>0</v>
      </c>
      <c r="N688" s="324"/>
      <c r="O688" s="324"/>
      <c r="P688" s="324"/>
      <c r="Q688" s="324" t="s">
        <v>18</v>
      </c>
      <c r="R688" s="324"/>
      <c r="S688" s="324" t="s">
        <v>19</v>
      </c>
      <c r="T688" s="528">
        <v>9</v>
      </c>
      <c r="U688" s="324">
        <f>E688/259*60</f>
        <v>0</v>
      </c>
      <c r="V688" s="676"/>
      <c r="W688" s="528"/>
      <c r="X688" s="529"/>
      <c r="Y688" s="323"/>
      <c r="Z688" s="312">
        <f t="shared" si="241"/>
        <v>0</v>
      </c>
      <c r="AA688" s="316">
        <f t="shared" si="240"/>
        <v>0</v>
      </c>
    </row>
    <row r="689" spans="1:28" ht="79.5" thickBot="1" x14ac:dyDescent="0.45">
      <c r="A689" s="319" t="s">
        <v>14</v>
      </c>
      <c r="B689" s="320" t="s">
        <v>869</v>
      </c>
      <c r="C689" s="853"/>
      <c r="D689" s="626"/>
      <c r="E689" s="849">
        <f>C689*2.4</f>
        <v>0</v>
      </c>
      <c r="F689" s="627">
        <f t="shared" si="242"/>
        <v>0</v>
      </c>
      <c r="G689" s="850">
        <f t="shared" si="243"/>
        <v>0</v>
      </c>
      <c r="H689" s="851" t="s">
        <v>18</v>
      </c>
      <c r="I689" s="850">
        <f t="shared" si="244"/>
        <v>0</v>
      </c>
      <c r="J689" s="851" t="s">
        <v>19</v>
      </c>
      <c r="K689" s="630"/>
      <c r="L689" s="630"/>
      <c r="M689" s="627">
        <f t="shared" ref="M689:M697" si="245">F689*6000/2880</f>
        <v>0</v>
      </c>
      <c r="N689" s="631"/>
      <c r="O689" s="631"/>
      <c r="P689" s="631"/>
      <c r="Q689" s="324" t="s">
        <v>18</v>
      </c>
      <c r="R689" s="324"/>
      <c r="S689" s="324" t="s">
        <v>19</v>
      </c>
      <c r="T689" s="528">
        <v>9</v>
      </c>
      <c r="U689" s="324">
        <f>E689/420*60</f>
        <v>0</v>
      </c>
      <c r="V689" s="676"/>
      <c r="W689" s="528"/>
      <c r="X689" s="529"/>
      <c r="Y689" s="360" t="s">
        <v>921</v>
      </c>
      <c r="Z689" s="312">
        <f t="shared" si="241"/>
        <v>0</v>
      </c>
      <c r="AA689" s="316">
        <f t="shared" ref="AA689:AA694" si="246">SUM(Z689/354)</f>
        <v>0</v>
      </c>
    </row>
    <row r="690" spans="1:28" ht="79.5" thickBot="1" x14ac:dyDescent="0.45">
      <c r="A690" s="319" t="s">
        <v>14</v>
      </c>
      <c r="B690" s="320" t="s">
        <v>870</v>
      </c>
      <c r="C690" s="853"/>
      <c r="D690" s="626"/>
      <c r="E690" s="849">
        <f>C690*2.4</f>
        <v>0</v>
      </c>
      <c r="F690" s="627">
        <f t="shared" si="242"/>
        <v>0</v>
      </c>
      <c r="G690" s="850">
        <f t="shared" si="243"/>
        <v>0</v>
      </c>
      <c r="H690" s="851" t="s">
        <v>18</v>
      </c>
      <c r="I690" s="850">
        <f t="shared" si="244"/>
        <v>0</v>
      </c>
      <c r="J690" s="851" t="s">
        <v>19</v>
      </c>
      <c r="K690" s="630"/>
      <c r="L690" s="630"/>
      <c r="M690" s="627">
        <f t="shared" si="245"/>
        <v>0</v>
      </c>
      <c r="N690" s="631"/>
      <c r="O690" s="631"/>
      <c r="P690" s="631"/>
      <c r="Q690" s="324" t="s">
        <v>18</v>
      </c>
      <c r="R690" s="324"/>
      <c r="S690" s="324" t="s">
        <v>19</v>
      </c>
      <c r="T690" s="528">
        <v>9</v>
      </c>
      <c r="U690" s="324">
        <f>E690/420*60</f>
        <v>0</v>
      </c>
      <c r="V690" s="676"/>
      <c r="W690" s="528"/>
      <c r="X690" s="529"/>
      <c r="Y690" s="360" t="s">
        <v>919</v>
      </c>
      <c r="Z690" s="312">
        <f t="shared" si="241"/>
        <v>0</v>
      </c>
      <c r="AA690" s="316">
        <f t="shared" si="246"/>
        <v>0</v>
      </c>
    </row>
    <row r="691" spans="1:28" ht="51.75" thickBot="1" x14ac:dyDescent="0.45">
      <c r="A691" s="319" t="s">
        <v>14</v>
      </c>
      <c r="B691" s="320" t="s">
        <v>871</v>
      </c>
      <c r="C691" s="853"/>
      <c r="D691" s="626"/>
      <c r="E691" s="849">
        <f>C691*2.4</f>
        <v>0</v>
      </c>
      <c r="F691" s="627">
        <f t="shared" si="242"/>
        <v>0</v>
      </c>
      <c r="G691" s="850">
        <f t="shared" si="243"/>
        <v>0</v>
      </c>
      <c r="H691" s="851" t="s">
        <v>18</v>
      </c>
      <c r="I691" s="850">
        <f t="shared" si="244"/>
        <v>0</v>
      </c>
      <c r="J691" s="851" t="s">
        <v>19</v>
      </c>
      <c r="K691" s="630"/>
      <c r="L691" s="630"/>
      <c r="M691" s="627">
        <f t="shared" si="245"/>
        <v>0</v>
      </c>
      <c r="N691" s="631"/>
      <c r="O691" s="631"/>
      <c r="P691" s="631"/>
      <c r="Q691" s="324" t="s">
        <v>18</v>
      </c>
      <c r="R691" s="324"/>
      <c r="S691" s="324" t="s">
        <v>19</v>
      </c>
      <c r="T691" s="528">
        <v>9</v>
      </c>
      <c r="U691" s="324">
        <f>E691/420*60</f>
        <v>0</v>
      </c>
      <c r="V691" s="676"/>
      <c r="W691" s="528"/>
      <c r="X691" s="529"/>
      <c r="Y691" s="323"/>
      <c r="Z691" s="312">
        <f t="shared" si="241"/>
        <v>0</v>
      </c>
      <c r="AA691" s="316">
        <f t="shared" si="246"/>
        <v>0</v>
      </c>
    </row>
    <row r="692" spans="1:28" ht="79.5" thickBot="1" x14ac:dyDescent="0.45">
      <c r="A692" s="319" t="s">
        <v>14</v>
      </c>
      <c r="B692" s="320" t="s">
        <v>786</v>
      </c>
      <c r="C692" s="853"/>
      <c r="D692" s="626"/>
      <c r="E692" s="849">
        <f t="shared" ref="E692:E697" si="247">C692*4</f>
        <v>0</v>
      </c>
      <c r="F692" s="627">
        <f t="shared" si="242"/>
        <v>0</v>
      </c>
      <c r="G692" s="850">
        <f t="shared" si="243"/>
        <v>0</v>
      </c>
      <c r="H692" s="851" t="s">
        <v>18</v>
      </c>
      <c r="I692" s="850">
        <f t="shared" si="244"/>
        <v>0</v>
      </c>
      <c r="J692" s="851" t="s">
        <v>19</v>
      </c>
      <c r="K692" s="630"/>
      <c r="L692" s="630"/>
      <c r="M692" s="627">
        <f t="shared" si="245"/>
        <v>0</v>
      </c>
      <c r="N692" s="324"/>
      <c r="O692" s="324"/>
      <c r="P692" s="324"/>
      <c r="Q692" s="324" t="s">
        <v>18</v>
      </c>
      <c r="R692" s="324"/>
      <c r="S692" s="324" t="s">
        <v>19</v>
      </c>
      <c r="T692" s="528">
        <v>9</v>
      </c>
      <c r="U692" s="324">
        <f t="shared" ref="U692:U697" si="248">E692/259*60</f>
        <v>0</v>
      </c>
      <c r="V692" s="676"/>
      <c r="W692" s="528"/>
      <c r="X692" s="529"/>
      <c r="Y692" s="360" t="s">
        <v>919</v>
      </c>
      <c r="Z692" s="312">
        <f t="shared" si="241"/>
        <v>0</v>
      </c>
      <c r="AA692" s="316">
        <f t="shared" si="246"/>
        <v>0</v>
      </c>
    </row>
    <row r="693" spans="1:28" ht="51.75" thickBot="1" x14ac:dyDescent="0.45">
      <c r="A693" s="319" t="s">
        <v>14</v>
      </c>
      <c r="B693" s="320" t="s">
        <v>630</v>
      </c>
      <c r="C693" s="853"/>
      <c r="D693" s="626"/>
      <c r="E693" s="849">
        <f t="shared" si="247"/>
        <v>0</v>
      </c>
      <c r="F693" s="627">
        <f t="shared" si="242"/>
        <v>0</v>
      </c>
      <c r="G693" s="850">
        <f t="shared" si="243"/>
        <v>0</v>
      </c>
      <c r="H693" s="851" t="s">
        <v>18</v>
      </c>
      <c r="I693" s="850">
        <f t="shared" si="244"/>
        <v>0</v>
      </c>
      <c r="J693" s="851" t="s">
        <v>19</v>
      </c>
      <c r="K693" s="630"/>
      <c r="L693" s="630"/>
      <c r="M693" s="627">
        <f t="shared" si="245"/>
        <v>0</v>
      </c>
      <c r="N693" s="324"/>
      <c r="O693" s="324"/>
      <c r="P693" s="324"/>
      <c r="Q693" s="324" t="s">
        <v>18</v>
      </c>
      <c r="R693" s="324"/>
      <c r="S693" s="324" t="s">
        <v>19</v>
      </c>
      <c r="T693" s="528">
        <v>9</v>
      </c>
      <c r="U693" s="324">
        <f t="shared" si="248"/>
        <v>0</v>
      </c>
      <c r="V693" s="676"/>
      <c r="W693" s="528"/>
      <c r="X693" s="529"/>
      <c r="Y693" s="323"/>
      <c r="Z693" s="312">
        <f t="shared" si="241"/>
        <v>0</v>
      </c>
      <c r="AA693" s="316">
        <f t="shared" si="246"/>
        <v>0</v>
      </c>
    </row>
    <row r="694" spans="1:28" thickBot="1" x14ac:dyDescent="0.45">
      <c r="A694" s="319" t="s">
        <v>14</v>
      </c>
      <c r="B694" s="320" t="s">
        <v>1065</v>
      </c>
      <c r="C694" s="853"/>
      <c r="D694" s="626"/>
      <c r="E694" s="849">
        <f t="shared" si="247"/>
        <v>0</v>
      </c>
      <c r="F694" s="627">
        <f t="shared" si="242"/>
        <v>0</v>
      </c>
      <c r="G694" s="850">
        <f t="shared" si="243"/>
        <v>0</v>
      </c>
      <c r="H694" s="851" t="s">
        <v>18</v>
      </c>
      <c r="I694" s="850">
        <f t="shared" si="244"/>
        <v>0</v>
      </c>
      <c r="J694" s="851" t="s">
        <v>19</v>
      </c>
      <c r="K694" s="630"/>
      <c r="L694" s="630"/>
      <c r="M694" s="627">
        <f t="shared" si="245"/>
        <v>0</v>
      </c>
      <c r="N694" s="324"/>
      <c r="O694" s="324"/>
      <c r="P694" s="324"/>
      <c r="Q694" s="324" t="s">
        <v>18</v>
      </c>
      <c r="R694" s="324"/>
      <c r="S694" s="324" t="s">
        <v>19</v>
      </c>
      <c r="T694" s="528">
        <v>9</v>
      </c>
      <c r="U694" s="324">
        <f t="shared" si="248"/>
        <v>0</v>
      </c>
      <c r="V694" s="676"/>
      <c r="W694" s="528"/>
      <c r="X694" s="529"/>
      <c r="Y694" s="323"/>
      <c r="Z694" s="312">
        <f t="shared" si="241"/>
        <v>0</v>
      </c>
      <c r="AA694" s="316">
        <f t="shared" si="246"/>
        <v>0</v>
      </c>
    </row>
    <row r="695" spans="1:28" ht="51.75" thickBot="1" x14ac:dyDescent="0.45">
      <c r="A695" s="319" t="s">
        <v>14</v>
      </c>
      <c r="B695" s="320" t="s">
        <v>818</v>
      </c>
      <c r="C695" s="853"/>
      <c r="D695" s="626"/>
      <c r="E695" s="849">
        <f t="shared" si="247"/>
        <v>0</v>
      </c>
      <c r="F695" s="627">
        <f t="shared" si="242"/>
        <v>0</v>
      </c>
      <c r="G695" s="850">
        <f t="shared" si="243"/>
        <v>0</v>
      </c>
      <c r="H695" s="851" t="s">
        <v>18</v>
      </c>
      <c r="I695" s="850">
        <f t="shared" si="244"/>
        <v>0</v>
      </c>
      <c r="J695" s="851" t="s">
        <v>19</v>
      </c>
      <c r="K695" s="630"/>
      <c r="L695" s="630"/>
      <c r="M695" s="627">
        <f t="shared" si="245"/>
        <v>0</v>
      </c>
      <c r="N695" s="324"/>
      <c r="O695" s="324"/>
      <c r="P695" s="324"/>
      <c r="Q695" s="324" t="s">
        <v>18</v>
      </c>
      <c r="R695" s="324"/>
      <c r="S695" s="324" t="s">
        <v>19</v>
      </c>
      <c r="T695" s="528">
        <v>9</v>
      </c>
      <c r="U695" s="324">
        <f t="shared" si="248"/>
        <v>0</v>
      </c>
      <c r="V695" s="676"/>
      <c r="W695" s="528"/>
      <c r="X695" s="529"/>
      <c r="Y695" s="323"/>
      <c r="Z695" s="312">
        <f>E695/1.042</f>
        <v>0</v>
      </c>
      <c r="AA695" s="316">
        <f>SUM(Z695/366.4)</f>
        <v>0</v>
      </c>
    </row>
    <row r="696" spans="1:28" thickBot="1" x14ac:dyDescent="0.45">
      <c r="A696" s="319" t="s">
        <v>14</v>
      </c>
      <c r="B696" s="320" t="s">
        <v>817</v>
      </c>
      <c r="C696" s="853"/>
      <c r="D696" s="626"/>
      <c r="E696" s="849">
        <f t="shared" si="247"/>
        <v>0</v>
      </c>
      <c r="F696" s="627">
        <f t="shared" si="242"/>
        <v>0</v>
      </c>
      <c r="G696" s="850">
        <f t="shared" si="243"/>
        <v>0</v>
      </c>
      <c r="H696" s="851" t="s">
        <v>18</v>
      </c>
      <c r="I696" s="850">
        <f t="shared" si="244"/>
        <v>0</v>
      </c>
      <c r="J696" s="851" t="s">
        <v>19</v>
      </c>
      <c r="K696" s="630"/>
      <c r="L696" s="630"/>
      <c r="M696" s="627">
        <f t="shared" si="245"/>
        <v>0</v>
      </c>
      <c r="N696" s="324"/>
      <c r="O696" s="324"/>
      <c r="P696" s="324"/>
      <c r="Q696" s="324" t="s">
        <v>18</v>
      </c>
      <c r="R696" s="324"/>
      <c r="S696" s="324" t="s">
        <v>19</v>
      </c>
      <c r="T696" s="528">
        <v>9</v>
      </c>
      <c r="U696" s="324">
        <f t="shared" si="248"/>
        <v>0</v>
      </c>
      <c r="V696" s="676"/>
      <c r="W696" s="528"/>
      <c r="X696" s="529"/>
      <c r="Y696" s="323"/>
      <c r="Z696" s="312">
        <f t="shared" si="241"/>
        <v>0</v>
      </c>
      <c r="AA696" s="316">
        <f>SUM(Z696/354)</f>
        <v>0</v>
      </c>
    </row>
    <row r="697" spans="1:28" ht="79.5" thickBot="1" x14ac:dyDescent="0.45">
      <c r="A697" s="319" t="s">
        <v>14</v>
      </c>
      <c r="B697" s="320" t="s">
        <v>631</v>
      </c>
      <c r="C697" s="853"/>
      <c r="D697" s="626"/>
      <c r="E697" s="849">
        <f t="shared" si="247"/>
        <v>0</v>
      </c>
      <c r="F697" s="627">
        <f t="shared" si="242"/>
        <v>0</v>
      </c>
      <c r="G697" s="850">
        <f t="shared" si="243"/>
        <v>0</v>
      </c>
      <c r="H697" s="851" t="s">
        <v>18</v>
      </c>
      <c r="I697" s="850">
        <f t="shared" si="244"/>
        <v>0</v>
      </c>
      <c r="J697" s="851" t="s">
        <v>19</v>
      </c>
      <c r="K697" s="630"/>
      <c r="L697" s="630"/>
      <c r="M697" s="627">
        <f t="shared" si="245"/>
        <v>0</v>
      </c>
      <c r="N697" s="324"/>
      <c r="O697" s="324"/>
      <c r="P697" s="324"/>
      <c r="Q697" s="324" t="s">
        <v>18</v>
      </c>
      <c r="R697" s="324"/>
      <c r="S697" s="324" t="s">
        <v>19</v>
      </c>
      <c r="T697" s="528">
        <v>9</v>
      </c>
      <c r="U697" s="324">
        <f t="shared" si="248"/>
        <v>0</v>
      </c>
      <c r="V697" s="676"/>
      <c r="W697" s="528"/>
      <c r="X697" s="529"/>
      <c r="Y697" s="360" t="s">
        <v>921</v>
      </c>
      <c r="Z697" s="312">
        <f t="shared" si="241"/>
        <v>0</v>
      </c>
      <c r="AA697" s="316">
        <f>SUM(Z697/354)</f>
        <v>0</v>
      </c>
    </row>
    <row r="698" spans="1:28" ht="102.75" outlineLevel="1" thickBot="1" x14ac:dyDescent="0.45">
      <c r="A698" s="319" t="s">
        <v>14</v>
      </c>
      <c r="B698" s="362" t="s">
        <v>1219</v>
      </c>
      <c r="C698" s="528"/>
      <c r="D698" s="528"/>
      <c r="E698" s="460">
        <f>C698*4</f>
        <v>0</v>
      </c>
      <c r="F698" s="324">
        <f>E698*1.02*0.99/147</f>
        <v>0</v>
      </c>
      <c r="G698" s="528">
        <f t="shared" ref="G698:G729" si="249">INT(M698)</f>
        <v>0</v>
      </c>
      <c r="H698" s="324" t="s">
        <v>18</v>
      </c>
      <c r="I698" s="528">
        <f t="shared" ref="I698:I729" si="250">(M698-G698)*64</f>
        <v>0</v>
      </c>
      <c r="J698" s="324" t="s">
        <v>19</v>
      </c>
      <c r="K698" s="324"/>
      <c r="L698" s="324"/>
      <c r="M698" s="324">
        <f>F698*5764/2880</f>
        <v>0</v>
      </c>
      <c r="N698" s="324"/>
      <c r="O698" s="324"/>
      <c r="P698" s="324"/>
      <c r="Q698" s="324" t="s">
        <v>18</v>
      </c>
      <c r="R698" s="324"/>
      <c r="S698" s="324" t="s">
        <v>19</v>
      </c>
      <c r="T698" s="528">
        <v>9</v>
      </c>
      <c r="U698" s="722">
        <f>E698/324*60</f>
        <v>0</v>
      </c>
      <c r="V698" s="676"/>
      <c r="W698" s="528"/>
      <c r="X698" s="529"/>
      <c r="Y698" s="360" t="s">
        <v>885</v>
      </c>
      <c r="Z698" s="312">
        <f>E698/1.05</f>
        <v>0</v>
      </c>
      <c r="AA698" s="316">
        <f>SUM(Z698/316.7)</f>
        <v>0</v>
      </c>
    </row>
    <row r="699" spans="1:28" ht="102.75" outlineLevel="1" thickBot="1" x14ac:dyDescent="0.45">
      <c r="A699" s="319" t="s">
        <v>14</v>
      </c>
      <c r="B699" s="362" t="s">
        <v>1220</v>
      </c>
      <c r="C699" s="528"/>
      <c r="D699" s="528"/>
      <c r="E699" s="460">
        <f>C699*4</f>
        <v>0</v>
      </c>
      <c r="F699" s="324">
        <f>E699*1.02*0.99/147</f>
        <v>0</v>
      </c>
      <c r="G699" s="528">
        <f t="shared" si="249"/>
        <v>0</v>
      </c>
      <c r="H699" s="324" t="s">
        <v>18</v>
      </c>
      <c r="I699" s="528">
        <f t="shared" si="250"/>
        <v>0</v>
      </c>
      <c r="J699" s="324" t="s">
        <v>19</v>
      </c>
      <c r="K699" s="324"/>
      <c r="L699" s="324"/>
      <c r="M699" s="324">
        <f>F699*5764/2880</f>
        <v>0</v>
      </c>
      <c r="N699" s="324"/>
      <c r="O699" s="324"/>
      <c r="P699" s="324"/>
      <c r="Q699" s="324" t="s">
        <v>18</v>
      </c>
      <c r="R699" s="324"/>
      <c r="S699" s="324" t="s">
        <v>19</v>
      </c>
      <c r="T699" s="528">
        <v>9</v>
      </c>
      <c r="U699" s="722">
        <f>E699/324*60</f>
        <v>0</v>
      </c>
      <c r="V699" s="676"/>
      <c r="W699" s="528"/>
      <c r="X699" s="529"/>
      <c r="Y699" s="360" t="s">
        <v>885</v>
      </c>
      <c r="Z699" s="312">
        <f>E699/1.05</f>
        <v>0</v>
      </c>
      <c r="AA699" s="316">
        <f>SUM(Z699/316.7)</f>
        <v>0</v>
      </c>
    </row>
    <row r="700" spans="1:28" ht="77.25" thickBot="1" x14ac:dyDescent="0.45">
      <c r="A700" s="319" t="s">
        <v>14</v>
      </c>
      <c r="B700" s="320" t="s">
        <v>840</v>
      </c>
      <c r="C700" s="528"/>
      <c r="D700" s="528"/>
      <c r="E700" s="456">
        <f>C700*4</f>
        <v>0</v>
      </c>
      <c r="F700" s="358">
        <f>E700*0.9*1.01/147</f>
        <v>0</v>
      </c>
      <c r="G700" s="548">
        <f t="shared" si="249"/>
        <v>0</v>
      </c>
      <c r="H700" s="358" t="s">
        <v>18</v>
      </c>
      <c r="I700" s="548">
        <f t="shared" si="250"/>
        <v>0</v>
      </c>
      <c r="J700" s="358" t="s">
        <v>19</v>
      </c>
      <c r="K700" s="358"/>
      <c r="L700" s="358"/>
      <c r="M700" s="358">
        <f>(F700*6533/3456)</f>
        <v>0</v>
      </c>
      <c r="N700" s="358"/>
      <c r="O700" s="358"/>
      <c r="P700" s="358"/>
      <c r="Q700" s="358" t="s">
        <v>18</v>
      </c>
      <c r="R700" s="358"/>
      <c r="S700" s="358" t="s">
        <v>19</v>
      </c>
      <c r="T700" s="528">
        <v>9</v>
      </c>
      <c r="U700" s="324">
        <f>E700/324*60</f>
        <v>0</v>
      </c>
      <c r="V700" s="676"/>
      <c r="W700" s="528"/>
      <c r="X700" s="529"/>
      <c r="Y700" s="323"/>
      <c r="Z700" s="312">
        <f>E700/1.05/1.143</f>
        <v>0</v>
      </c>
      <c r="AA700" s="316">
        <f>SUM(AB700/287.3)</f>
        <v>0</v>
      </c>
      <c r="AB700" s="310">
        <f>E700/1.05</f>
        <v>0</v>
      </c>
    </row>
    <row r="701" spans="1:28" ht="132" thickBot="1" x14ac:dyDescent="0.45">
      <c r="A701" s="319" t="s">
        <v>14</v>
      </c>
      <c r="B701" s="799" t="s">
        <v>1192</v>
      </c>
      <c r="C701" s="528"/>
      <c r="D701" s="528"/>
      <c r="E701" s="460">
        <f>C701*1.3</f>
        <v>0</v>
      </c>
      <c r="F701" s="324">
        <f>E701*1.02*1/135</f>
        <v>0</v>
      </c>
      <c r="G701" s="528">
        <f t="shared" si="249"/>
        <v>0</v>
      </c>
      <c r="H701" s="324" t="s">
        <v>18</v>
      </c>
      <c r="I701" s="528">
        <f t="shared" si="250"/>
        <v>0</v>
      </c>
      <c r="J701" s="324" t="s">
        <v>19</v>
      </c>
      <c r="K701" s="324"/>
      <c r="L701" s="324"/>
      <c r="M701" s="324">
        <f>F701*5252/2880</f>
        <v>0</v>
      </c>
      <c r="N701" s="324"/>
      <c r="O701" s="324"/>
      <c r="P701" s="324"/>
      <c r="Q701" s="324" t="s">
        <v>18</v>
      </c>
      <c r="R701" s="324"/>
      <c r="S701" s="324" t="s">
        <v>19</v>
      </c>
      <c r="T701" s="528">
        <v>9</v>
      </c>
      <c r="U701" s="324">
        <f>E701/237*60</f>
        <v>0</v>
      </c>
      <c r="V701" s="676"/>
      <c r="W701" s="528"/>
      <c r="X701" s="529"/>
      <c r="Y701" s="360" t="s">
        <v>954</v>
      </c>
      <c r="Z701" s="312">
        <f>E701/1.05/1.143</f>
        <v>0</v>
      </c>
      <c r="AA701" s="316">
        <f>SUM(AB701/287.3)</f>
        <v>0</v>
      </c>
      <c r="AB701" s="310">
        <f>E701/1.05</f>
        <v>0</v>
      </c>
    </row>
    <row r="702" spans="1:28" ht="51.75" thickBot="1" x14ac:dyDescent="0.45">
      <c r="A702" s="319" t="s">
        <v>14</v>
      </c>
      <c r="B702" s="320" t="s">
        <v>632</v>
      </c>
      <c r="C702" s="528"/>
      <c r="D702" s="528"/>
      <c r="E702" s="849">
        <f t="shared" ref="E702:E707" si="251">C702*3.2</f>
        <v>0</v>
      </c>
      <c r="F702" s="627">
        <f t="shared" ref="F702:F707" si="252">E702*1.02*0.99/147</f>
        <v>0</v>
      </c>
      <c r="G702" s="850">
        <f t="shared" si="249"/>
        <v>0</v>
      </c>
      <c r="H702" s="851" t="s">
        <v>18</v>
      </c>
      <c r="I702" s="850">
        <f t="shared" si="250"/>
        <v>0</v>
      </c>
      <c r="J702" s="851" t="s">
        <v>19</v>
      </c>
      <c r="K702" s="630"/>
      <c r="L702" s="630"/>
      <c r="M702" s="627">
        <f>F702*6000/2880</f>
        <v>0</v>
      </c>
      <c r="N702" s="324"/>
      <c r="O702" s="324"/>
      <c r="P702" s="324"/>
      <c r="Q702" s="324" t="s">
        <v>18</v>
      </c>
      <c r="R702" s="324"/>
      <c r="S702" s="324" t="s">
        <v>19</v>
      </c>
      <c r="T702" s="528">
        <v>9</v>
      </c>
      <c r="U702" s="324">
        <f t="shared" ref="U702:U707" si="253">E702/259*60</f>
        <v>0</v>
      </c>
      <c r="V702" s="676"/>
      <c r="W702" s="528"/>
      <c r="X702" s="529"/>
      <c r="Y702" s="323"/>
      <c r="Z702" s="312">
        <f t="shared" ref="Z702:Z707" si="254">E702/1.02</f>
        <v>0</v>
      </c>
      <c r="AA702" s="316">
        <f>SUM(Z702/354)</f>
        <v>0</v>
      </c>
    </row>
    <row r="703" spans="1:28" ht="79.5" thickBot="1" x14ac:dyDescent="0.45">
      <c r="A703" s="319" t="s">
        <v>14</v>
      </c>
      <c r="B703" s="320" t="s">
        <v>633</v>
      </c>
      <c r="C703" s="528"/>
      <c r="D703" s="528"/>
      <c r="E703" s="849">
        <f t="shared" si="251"/>
        <v>0</v>
      </c>
      <c r="F703" s="627">
        <f t="shared" si="252"/>
        <v>0</v>
      </c>
      <c r="G703" s="850">
        <f t="shared" si="249"/>
        <v>0</v>
      </c>
      <c r="H703" s="851" t="s">
        <v>18</v>
      </c>
      <c r="I703" s="850">
        <f t="shared" si="250"/>
        <v>0</v>
      </c>
      <c r="J703" s="851" t="s">
        <v>19</v>
      </c>
      <c r="K703" s="630"/>
      <c r="L703" s="630"/>
      <c r="M703" s="627">
        <f>F703*6000/2880</f>
        <v>0</v>
      </c>
      <c r="N703" s="358"/>
      <c r="O703" s="358"/>
      <c r="P703" s="358"/>
      <c r="Q703" s="358" t="s">
        <v>18</v>
      </c>
      <c r="R703" s="358"/>
      <c r="S703" s="358" t="s">
        <v>19</v>
      </c>
      <c r="T703" s="528">
        <v>9</v>
      </c>
      <c r="U703" s="324">
        <f t="shared" si="253"/>
        <v>0</v>
      </c>
      <c r="V703" s="676"/>
      <c r="W703" s="528"/>
      <c r="X703" s="529"/>
      <c r="Y703" s="360" t="s">
        <v>921</v>
      </c>
      <c r="Z703" s="312">
        <f t="shared" si="254"/>
        <v>0</v>
      </c>
      <c r="AA703" s="316">
        <f>SUM(Z703/354)</f>
        <v>0</v>
      </c>
    </row>
    <row r="704" spans="1:28" ht="79.5" thickBot="1" x14ac:dyDescent="0.45">
      <c r="A704" s="319" t="s">
        <v>14</v>
      </c>
      <c r="B704" s="320" t="s">
        <v>1066</v>
      </c>
      <c r="C704" s="528"/>
      <c r="D704" s="528"/>
      <c r="E704" s="849">
        <f t="shared" si="251"/>
        <v>0</v>
      </c>
      <c r="F704" s="627">
        <f t="shared" si="252"/>
        <v>0</v>
      </c>
      <c r="G704" s="850">
        <f t="shared" si="249"/>
        <v>0</v>
      </c>
      <c r="H704" s="851" t="s">
        <v>18</v>
      </c>
      <c r="I704" s="850">
        <f t="shared" si="250"/>
        <v>0</v>
      </c>
      <c r="J704" s="851" t="s">
        <v>19</v>
      </c>
      <c r="K704" s="630"/>
      <c r="L704" s="630"/>
      <c r="M704" s="627">
        <f>F704*6000/2880</f>
        <v>0</v>
      </c>
      <c r="N704" s="324"/>
      <c r="O704" s="324"/>
      <c r="P704" s="324"/>
      <c r="Q704" s="324" t="s">
        <v>18</v>
      </c>
      <c r="R704" s="324"/>
      <c r="S704" s="324" t="s">
        <v>19</v>
      </c>
      <c r="T704" s="528">
        <v>9</v>
      </c>
      <c r="U704" s="324">
        <f t="shared" si="253"/>
        <v>0</v>
      </c>
      <c r="V704" s="676"/>
      <c r="W704" s="528"/>
      <c r="X704" s="529"/>
      <c r="Y704" s="360" t="s">
        <v>921</v>
      </c>
      <c r="Z704" s="312">
        <f t="shared" si="254"/>
        <v>0</v>
      </c>
      <c r="AA704" s="316">
        <f>SUM(Z704/354)</f>
        <v>0</v>
      </c>
    </row>
    <row r="705" spans="1:28" ht="79.5" thickBot="1" x14ac:dyDescent="0.45">
      <c r="A705" s="319" t="s">
        <v>14</v>
      </c>
      <c r="B705" s="320" t="s">
        <v>1067</v>
      </c>
      <c r="C705" s="528"/>
      <c r="D705" s="528"/>
      <c r="E705" s="849">
        <f t="shared" si="251"/>
        <v>0</v>
      </c>
      <c r="F705" s="627">
        <f t="shared" si="252"/>
        <v>0</v>
      </c>
      <c r="G705" s="850">
        <f t="shared" si="249"/>
        <v>0</v>
      </c>
      <c r="H705" s="851" t="s">
        <v>18</v>
      </c>
      <c r="I705" s="850">
        <f t="shared" si="250"/>
        <v>0</v>
      </c>
      <c r="J705" s="851" t="s">
        <v>19</v>
      </c>
      <c r="K705" s="630"/>
      <c r="L705" s="630"/>
      <c r="M705" s="627">
        <f>F705*6000/2880</f>
        <v>0</v>
      </c>
      <c r="N705" s="324"/>
      <c r="O705" s="324"/>
      <c r="P705" s="324"/>
      <c r="Q705" s="324" t="s">
        <v>18</v>
      </c>
      <c r="R705" s="324"/>
      <c r="S705" s="324" t="s">
        <v>19</v>
      </c>
      <c r="T705" s="528">
        <v>9</v>
      </c>
      <c r="U705" s="324">
        <f t="shared" si="253"/>
        <v>0</v>
      </c>
      <c r="V705" s="676"/>
      <c r="W705" s="528"/>
      <c r="X705" s="529"/>
      <c r="Y705" s="360" t="s">
        <v>921</v>
      </c>
      <c r="Z705" s="312">
        <f t="shared" si="254"/>
        <v>0</v>
      </c>
      <c r="AA705" s="316">
        <f>SUM(Z705/354)</f>
        <v>0</v>
      </c>
    </row>
    <row r="706" spans="1:28" ht="51.75" thickBot="1" x14ac:dyDescent="0.45">
      <c r="A706" s="319" t="s">
        <v>14</v>
      </c>
      <c r="B706" s="320" t="s">
        <v>1033</v>
      </c>
      <c r="C706" s="528"/>
      <c r="D706" s="528"/>
      <c r="E706" s="324">
        <f t="shared" si="251"/>
        <v>0</v>
      </c>
      <c r="F706" s="324">
        <f t="shared" si="252"/>
        <v>0</v>
      </c>
      <c r="G706" s="528">
        <f>INT(M706)</f>
        <v>0</v>
      </c>
      <c r="H706" s="324" t="s">
        <v>18</v>
      </c>
      <c r="I706" s="528">
        <f>(M706-G706)*64</f>
        <v>0</v>
      </c>
      <c r="J706" s="324"/>
      <c r="K706" s="324"/>
      <c r="L706" s="324"/>
      <c r="M706" s="324">
        <f>E706/0.0233/2880</f>
        <v>0</v>
      </c>
      <c r="N706" s="324"/>
      <c r="O706" s="324"/>
      <c r="P706" s="324"/>
      <c r="Q706" s="324" t="s">
        <v>18</v>
      </c>
      <c r="R706" s="324"/>
      <c r="S706" s="324" t="s">
        <v>19</v>
      </c>
      <c r="T706" s="528">
        <v>9</v>
      </c>
      <c r="U706" s="324">
        <f t="shared" si="253"/>
        <v>0</v>
      </c>
      <c r="V706" s="676"/>
      <c r="W706" s="528"/>
      <c r="X706" s="529"/>
      <c r="Y706" s="323"/>
      <c r="Z706" s="312">
        <f t="shared" si="254"/>
        <v>0</v>
      </c>
      <c r="AA706" s="316">
        <f>SUM(Z706/300.6)</f>
        <v>0</v>
      </c>
    </row>
    <row r="707" spans="1:28" ht="51.75" thickBot="1" x14ac:dyDescent="0.45">
      <c r="A707" s="319" t="s">
        <v>14</v>
      </c>
      <c r="B707" s="320" t="s">
        <v>1081</v>
      </c>
      <c r="C707" s="528"/>
      <c r="D707" s="528"/>
      <c r="E707" s="849">
        <f t="shared" si="251"/>
        <v>0</v>
      </c>
      <c r="F707" s="627">
        <f t="shared" si="252"/>
        <v>0</v>
      </c>
      <c r="G707" s="850">
        <f>INT(M707)</f>
        <v>0</v>
      </c>
      <c r="H707" s="851" t="s">
        <v>18</v>
      </c>
      <c r="I707" s="850">
        <f>(M707-G707)*64</f>
        <v>0</v>
      </c>
      <c r="J707" s="851" t="s">
        <v>19</v>
      </c>
      <c r="K707" s="630"/>
      <c r="L707" s="630"/>
      <c r="M707" s="627">
        <f>F707*6000/2880</f>
        <v>0</v>
      </c>
      <c r="N707" s="324"/>
      <c r="O707" s="324"/>
      <c r="P707" s="324"/>
      <c r="Q707" s="324" t="s">
        <v>18</v>
      </c>
      <c r="R707" s="324"/>
      <c r="S707" s="324" t="s">
        <v>19</v>
      </c>
      <c r="T707" s="528">
        <v>9</v>
      </c>
      <c r="U707" s="324">
        <f t="shared" si="253"/>
        <v>0</v>
      </c>
      <c r="V707" s="676"/>
      <c r="W707" s="528"/>
      <c r="X707" s="529"/>
      <c r="Y707" s="323"/>
      <c r="Z707" s="312">
        <f t="shared" si="254"/>
        <v>0</v>
      </c>
      <c r="AA707" s="316">
        <f>SUM(Z707/354)</f>
        <v>0</v>
      </c>
    </row>
    <row r="708" spans="1:28" s="327" customFormat="1" ht="79.5" thickBot="1" x14ac:dyDescent="0.45">
      <c r="A708" s="319" t="s">
        <v>14</v>
      </c>
      <c r="B708" s="365" t="s">
        <v>839</v>
      </c>
      <c r="C708" s="553"/>
      <c r="D708" s="554"/>
      <c r="E708" s="458">
        <f>C708*4.5</f>
        <v>0</v>
      </c>
      <c r="F708" s="358">
        <f>E708*0.9*1.01/147</f>
        <v>0</v>
      </c>
      <c r="G708" s="548">
        <f t="shared" si="249"/>
        <v>0</v>
      </c>
      <c r="H708" s="358" t="s">
        <v>18</v>
      </c>
      <c r="I708" s="548">
        <f t="shared" si="250"/>
        <v>0</v>
      </c>
      <c r="J708" s="358" t="s">
        <v>19</v>
      </c>
      <c r="K708" s="358"/>
      <c r="L708" s="358"/>
      <c r="M708" s="358">
        <f>(F708*6533/3456)</f>
        <v>0</v>
      </c>
      <c r="N708" s="555"/>
      <c r="O708" s="555"/>
      <c r="P708" s="555"/>
      <c r="Q708" s="555" t="s">
        <v>18</v>
      </c>
      <c r="R708" s="555"/>
      <c r="S708" s="555" t="s">
        <v>19</v>
      </c>
      <c r="T708" s="528">
        <v>9</v>
      </c>
      <c r="U708" s="555">
        <f>E708/324*60</f>
        <v>0</v>
      </c>
      <c r="V708" s="686"/>
      <c r="W708" s="553"/>
      <c r="X708" s="555"/>
      <c r="Y708" s="367" t="s">
        <v>919</v>
      </c>
      <c r="Z708" s="312">
        <f>E708/1.02/1.143</f>
        <v>0</v>
      </c>
      <c r="AA708" s="316">
        <f>SUM(AB708/292.4)</f>
        <v>0</v>
      </c>
      <c r="AB708" s="310">
        <f>E708/1.02</f>
        <v>0</v>
      </c>
    </row>
    <row r="709" spans="1:28" s="327" customFormat="1" ht="79.5" thickBot="1" x14ac:dyDescent="0.45">
      <c r="A709" s="319" t="s">
        <v>14</v>
      </c>
      <c r="B709" s="365" t="s">
        <v>867</v>
      </c>
      <c r="C709" s="553"/>
      <c r="D709" s="554"/>
      <c r="E709" s="458">
        <f>C709*3.5</f>
        <v>0</v>
      </c>
      <c r="F709" s="358">
        <f>E709*0.9*1.01/147</f>
        <v>0</v>
      </c>
      <c r="G709" s="556">
        <f t="shared" si="249"/>
        <v>0</v>
      </c>
      <c r="H709" s="366" t="s">
        <v>18</v>
      </c>
      <c r="I709" s="556">
        <f t="shared" si="250"/>
        <v>0</v>
      </c>
      <c r="J709" s="366" t="s">
        <v>19</v>
      </c>
      <c r="K709" s="366"/>
      <c r="L709" s="366"/>
      <c r="M709" s="358">
        <f>(F709*6533/3456)</f>
        <v>0</v>
      </c>
      <c r="N709" s="555"/>
      <c r="O709" s="555"/>
      <c r="P709" s="555"/>
      <c r="Q709" s="555" t="s">
        <v>18</v>
      </c>
      <c r="R709" s="555"/>
      <c r="S709" s="555" t="s">
        <v>19</v>
      </c>
      <c r="T709" s="528">
        <v>9</v>
      </c>
      <c r="U709" s="555">
        <f>E709/324*60</f>
        <v>0</v>
      </c>
      <c r="V709" s="686"/>
      <c r="W709" s="553"/>
      <c r="X709" s="555"/>
      <c r="Y709" s="367" t="s">
        <v>919</v>
      </c>
      <c r="Z709" s="312">
        <f>E709/1.02/1.143</f>
        <v>0</v>
      </c>
      <c r="AA709" s="316">
        <f>SUM(AB709/292.4)</f>
        <v>0</v>
      </c>
      <c r="AB709" s="310">
        <f>E709/1.02</f>
        <v>0</v>
      </c>
    </row>
    <row r="710" spans="1:28" s="327" customFormat="1" ht="79.5" thickBot="1" x14ac:dyDescent="0.45">
      <c r="A710" s="319" t="s">
        <v>14</v>
      </c>
      <c r="B710" s="365" t="s">
        <v>864</v>
      </c>
      <c r="C710" s="553"/>
      <c r="D710" s="554"/>
      <c r="E710" s="458">
        <f>C710*2.5</f>
        <v>0</v>
      </c>
      <c r="F710" s="358">
        <f>E710*0.9*1.01/147</f>
        <v>0</v>
      </c>
      <c r="G710" s="556">
        <f t="shared" si="249"/>
        <v>0</v>
      </c>
      <c r="H710" s="366" t="s">
        <v>18</v>
      </c>
      <c r="I710" s="556">
        <f t="shared" si="250"/>
        <v>0</v>
      </c>
      <c r="J710" s="366" t="s">
        <v>19</v>
      </c>
      <c r="K710" s="366"/>
      <c r="L710" s="366"/>
      <c r="M710" s="358">
        <f>(F710*6533/3456)</f>
        <v>0</v>
      </c>
      <c r="N710" s="555"/>
      <c r="O710" s="555"/>
      <c r="P710" s="555"/>
      <c r="Q710" s="555" t="s">
        <v>18</v>
      </c>
      <c r="R710" s="555"/>
      <c r="S710" s="555" t="s">
        <v>19</v>
      </c>
      <c r="T710" s="528">
        <v>9</v>
      </c>
      <c r="U710" s="555">
        <f>E710/324*60</f>
        <v>0</v>
      </c>
      <c r="V710" s="686"/>
      <c r="W710" s="553"/>
      <c r="X710" s="555"/>
      <c r="Y710" s="367" t="s">
        <v>919</v>
      </c>
      <c r="Z710" s="312">
        <f>E710/1.02/1.143</f>
        <v>0</v>
      </c>
      <c r="AA710" s="316">
        <f>SUM(AB710/292.4)</f>
        <v>0</v>
      </c>
      <c r="AB710" s="310">
        <f>E710/1.02</f>
        <v>0</v>
      </c>
    </row>
    <row r="711" spans="1:28" ht="51.75" thickBot="1" x14ac:dyDescent="0.45">
      <c r="A711" s="319" t="s">
        <v>14</v>
      </c>
      <c r="B711" s="320" t="s">
        <v>872</v>
      </c>
      <c r="C711" s="853"/>
      <c r="D711" s="626"/>
      <c r="E711" s="849">
        <f>C711*2.4</f>
        <v>0</v>
      </c>
      <c r="F711" s="627">
        <f>E711*1.02*0.99/147</f>
        <v>0</v>
      </c>
      <c r="G711" s="850">
        <f t="shared" si="249"/>
        <v>0</v>
      </c>
      <c r="H711" s="851" t="s">
        <v>18</v>
      </c>
      <c r="I711" s="850">
        <f t="shared" si="250"/>
        <v>0</v>
      </c>
      <c r="J711" s="851" t="s">
        <v>19</v>
      </c>
      <c r="K711" s="630"/>
      <c r="L711" s="630"/>
      <c r="M711" s="627">
        <f>F711*6000/2880</f>
        <v>0</v>
      </c>
      <c r="N711" s="631"/>
      <c r="O711" s="631"/>
      <c r="P711" s="631"/>
      <c r="Q711" s="324" t="s">
        <v>18</v>
      </c>
      <c r="R711" s="324"/>
      <c r="S711" s="324" t="s">
        <v>19</v>
      </c>
      <c r="T711" s="528">
        <v>9</v>
      </c>
      <c r="U711" s="324">
        <f>E711/420*60</f>
        <v>0</v>
      </c>
      <c r="V711" s="676"/>
      <c r="W711" s="528"/>
      <c r="X711" s="529"/>
      <c r="Y711" s="323"/>
      <c r="Z711" s="312">
        <f>E711/1.02</f>
        <v>0</v>
      </c>
      <c r="AA711" s="316">
        <f>SUM(Z711/354)</f>
        <v>0</v>
      </c>
    </row>
    <row r="712" spans="1:28" ht="63.75" customHeight="1" thickBot="1" x14ac:dyDescent="0.45">
      <c r="A712" s="319" t="s">
        <v>14</v>
      </c>
      <c r="B712" s="802" t="s">
        <v>854</v>
      </c>
      <c r="C712" s="528"/>
      <c r="D712" s="528"/>
      <c r="E712" s="456">
        <f t="shared" ref="E712:E721" si="255">C712*1</f>
        <v>0</v>
      </c>
      <c r="F712" s="358">
        <f>E712*1.02*0.99/147</f>
        <v>0</v>
      </c>
      <c r="G712" s="548">
        <f t="shared" si="249"/>
        <v>0</v>
      </c>
      <c r="H712" s="358" t="s">
        <v>18</v>
      </c>
      <c r="I712" s="548">
        <f t="shared" si="250"/>
        <v>0</v>
      </c>
      <c r="J712" s="358" t="s">
        <v>19</v>
      </c>
      <c r="K712" s="358"/>
      <c r="L712" s="358"/>
      <c r="M712" s="358">
        <f>F712*4983/2880</f>
        <v>0</v>
      </c>
      <c r="N712" s="358"/>
      <c r="O712" s="358"/>
      <c r="P712" s="358"/>
      <c r="Q712" s="358" t="s">
        <v>18</v>
      </c>
      <c r="R712" s="358"/>
      <c r="S712" s="358" t="s">
        <v>19</v>
      </c>
      <c r="T712" s="528">
        <v>9</v>
      </c>
      <c r="U712" s="324">
        <f t="shared" ref="U712:U721" si="256">E712/420*60</f>
        <v>0</v>
      </c>
      <c r="V712" s="676"/>
      <c r="W712" s="528"/>
      <c r="X712" s="529"/>
      <c r="Y712" s="323"/>
      <c r="Z712" s="312">
        <f>E712/1.02</f>
        <v>0</v>
      </c>
      <c r="AA712" s="316">
        <f>SUM(Z712/323.2)</f>
        <v>0</v>
      </c>
    </row>
    <row r="713" spans="1:28" ht="63.75" customHeight="1" thickBot="1" x14ac:dyDescent="0.45">
      <c r="A713" s="319" t="s">
        <v>14</v>
      </c>
      <c r="B713" s="802" t="s">
        <v>1204</v>
      </c>
      <c r="C713" s="528"/>
      <c r="D713" s="528"/>
      <c r="E713" s="456">
        <f t="shared" si="255"/>
        <v>0</v>
      </c>
      <c r="F713" s="358">
        <f>E713*1.02*0.99/147</f>
        <v>0</v>
      </c>
      <c r="G713" s="548">
        <f t="shared" si="249"/>
        <v>0</v>
      </c>
      <c r="H713" s="358" t="s">
        <v>18</v>
      </c>
      <c r="I713" s="548">
        <f t="shared" si="250"/>
        <v>0</v>
      </c>
      <c r="J713" s="358" t="s">
        <v>19</v>
      </c>
      <c r="K713" s="358"/>
      <c r="L713" s="358"/>
      <c r="M713" s="358">
        <f>F713*4983/2880</f>
        <v>0</v>
      </c>
      <c r="N713" s="358"/>
      <c r="O713" s="358"/>
      <c r="P713" s="358"/>
      <c r="Q713" s="358" t="s">
        <v>18</v>
      </c>
      <c r="R713" s="358"/>
      <c r="S713" s="358" t="s">
        <v>19</v>
      </c>
      <c r="T713" s="528">
        <v>9</v>
      </c>
      <c r="U713" s="324">
        <f t="shared" si="256"/>
        <v>0</v>
      </c>
      <c r="V713" s="676"/>
      <c r="W713" s="528"/>
      <c r="X713" s="529"/>
      <c r="Y713" s="323"/>
      <c r="Z713" s="312">
        <f>E713/1.02</f>
        <v>0</v>
      </c>
      <c r="AA713" s="316">
        <f>SUM(Z713/323.2)</f>
        <v>0</v>
      </c>
    </row>
    <row r="714" spans="1:28" ht="63.75" customHeight="1" thickBot="1" x14ac:dyDescent="0.45">
      <c r="A714" s="319" t="s">
        <v>14</v>
      </c>
      <c r="B714" s="802" t="s">
        <v>902</v>
      </c>
      <c r="C714" s="528"/>
      <c r="D714" s="528"/>
      <c r="E714" s="456">
        <f t="shared" si="255"/>
        <v>0</v>
      </c>
      <c r="F714" s="358">
        <f>E714*1.02*0.99/147</f>
        <v>0</v>
      </c>
      <c r="G714" s="548">
        <f t="shared" si="249"/>
        <v>0</v>
      </c>
      <c r="H714" s="358" t="s">
        <v>18</v>
      </c>
      <c r="I714" s="548">
        <f t="shared" si="250"/>
        <v>0</v>
      </c>
      <c r="J714" s="358" t="s">
        <v>19</v>
      </c>
      <c r="K714" s="358"/>
      <c r="L714" s="358"/>
      <c r="M714" s="358">
        <f>F714*4983/2880</f>
        <v>0</v>
      </c>
      <c r="N714" s="358"/>
      <c r="O714" s="358"/>
      <c r="P714" s="358"/>
      <c r="Q714" s="358" t="s">
        <v>18</v>
      </c>
      <c r="R714" s="358"/>
      <c r="S714" s="358" t="s">
        <v>19</v>
      </c>
      <c r="T714" s="528">
        <v>9</v>
      </c>
      <c r="U714" s="324">
        <f t="shared" si="256"/>
        <v>0</v>
      </c>
      <c r="V714" s="676"/>
      <c r="W714" s="528"/>
      <c r="X714" s="529"/>
      <c r="Y714" s="711"/>
      <c r="Z714" s="312">
        <f>E714/1.02</f>
        <v>0</v>
      </c>
      <c r="AA714" s="316">
        <f>SUM(Z714/323.2)</f>
        <v>0</v>
      </c>
    </row>
    <row r="715" spans="1:28" ht="63.75" customHeight="1" thickBot="1" x14ac:dyDescent="0.45">
      <c r="A715" s="319" t="s">
        <v>14</v>
      </c>
      <c r="B715" s="802" t="s">
        <v>1206</v>
      </c>
      <c r="C715" s="528"/>
      <c r="D715" s="528"/>
      <c r="E715" s="456">
        <f t="shared" si="255"/>
        <v>0</v>
      </c>
      <c r="F715" s="358">
        <f>E715*1.02*0.99/147</f>
        <v>0</v>
      </c>
      <c r="G715" s="548">
        <f t="shared" si="249"/>
        <v>0</v>
      </c>
      <c r="H715" s="358" t="s">
        <v>18</v>
      </c>
      <c r="I715" s="548">
        <f t="shared" si="250"/>
        <v>0</v>
      </c>
      <c r="J715" s="358" t="s">
        <v>19</v>
      </c>
      <c r="K715" s="358"/>
      <c r="L715" s="358"/>
      <c r="M715" s="358">
        <f>F715*4983/2880</f>
        <v>0</v>
      </c>
      <c r="N715" s="358"/>
      <c r="O715" s="358"/>
      <c r="P715" s="358"/>
      <c r="Q715" s="358" t="s">
        <v>18</v>
      </c>
      <c r="R715" s="358"/>
      <c r="S715" s="358" t="s">
        <v>19</v>
      </c>
      <c r="T715" s="528">
        <v>9</v>
      </c>
      <c r="U715" s="324">
        <f t="shared" si="256"/>
        <v>0</v>
      </c>
      <c r="V715" s="676"/>
      <c r="W715" s="528"/>
      <c r="X715" s="529"/>
      <c r="Y715" s="711"/>
      <c r="Z715" s="312">
        <f>E715/1.02</f>
        <v>0</v>
      </c>
      <c r="AA715" s="316">
        <f>SUM(Z715/323.2)</f>
        <v>0</v>
      </c>
    </row>
    <row r="716" spans="1:28" ht="63.75" customHeight="1" thickBot="1" x14ac:dyDescent="0.45">
      <c r="A716" s="319" t="s">
        <v>14</v>
      </c>
      <c r="B716" s="802" t="s">
        <v>900</v>
      </c>
      <c r="C716" s="528"/>
      <c r="D716" s="554"/>
      <c r="E716" s="458">
        <f t="shared" si="255"/>
        <v>0</v>
      </c>
      <c r="F716" s="358">
        <f>E716*0.9*1.01/147</f>
        <v>0</v>
      </c>
      <c r="G716" s="556">
        <f t="shared" si="249"/>
        <v>0</v>
      </c>
      <c r="H716" s="366" t="s">
        <v>18</v>
      </c>
      <c r="I716" s="556">
        <f t="shared" si="250"/>
        <v>0</v>
      </c>
      <c r="J716" s="366" t="s">
        <v>19</v>
      </c>
      <c r="K716" s="366"/>
      <c r="L716" s="366"/>
      <c r="M716" s="358">
        <f>(F716*6533/3456)</f>
        <v>0</v>
      </c>
      <c r="N716" s="366"/>
      <c r="O716" s="366"/>
      <c r="P716" s="366"/>
      <c r="Q716" s="366" t="s">
        <v>18</v>
      </c>
      <c r="R716" s="366"/>
      <c r="S716" s="366" t="s">
        <v>19</v>
      </c>
      <c r="T716" s="528">
        <v>9</v>
      </c>
      <c r="U716" s="324">
        <f t="shared" si="256"/>
        <v>0</v>
      </c>
      <c r="V716" s="676"/>
      <c r="W716" s="528"/>
      <c r="X716" s="529"/>
      <c r="Y716" s="367"/>
      <c r="Z716" s="312">
        <f>E716/1.02/1.143</f>
        <v>0</v>
      </c>
      <c r="AA716" s="316">
        <f>SUM(AB716/292.4)</f>
        <v>0</v>
      </c>
      <c r="AB716" s="310">
        <f>E716/1.02</f>
        <v>0</v>
      </c>
    </row>
    <row r="717" spans="1:28" ht="63.75" customHeight="1" thickBot="1" x14ac:dyDescent="0.45">
      <c r="A717" s="319" t="s">
        <v>14</v>
      </c>
      <c r="B717" s="802" t="s">
        <v>901</v>
      </c>
      <c r="C717" s="528"/>
      <c r="D717" s="554"/>
      <c r="E717" s="458">
        <f t="shared" si="255"/>
        <v>0</v>
      </c>
      <c r="F717" s="358">
        <f>E717*0.9*1.01/147</f>
        <v>0</v>
      </c>
      <c r="G717" s="556">
        <f t="shared" si="249"/>
        <v>0</v>
      </c>
      <c r="H717" s="366" t="s">
        <v>18</v>
      </c>
      <c r="I717" s="556">
        <f t="shared" si="250"/>
        <v>0</v>
      </c>
      <c r="J717" s="366" t="s">
        <v>19</v>
      </c>
      <c r="K717" s="366"/>
      <c r="L717" s="366"/>
      <c r="M717" s="358">
        <f>(F717*6533/3456)</f>
        <v>0</v>
      </c>
      <c r="N717" s="366"/>
      <c r="O717" s="366"/>
      <c r="P717" s="366"/>
      <c r="Q717" s="366" t="s">
        <v>18</v>
      </c>
      <c r="R717" s="366"/>
      <c r="S717" s="366" t="s">
        <v>19</v>
      </c>
      <c r="T717" s="528">
        <v>9</v>
      </c>
      <c r="U717" s="324">
        <f t="shared" si="256"/>
        <v>0</v>
      </c>
      <c r="V717" s="676"/>
      <c r="W717" s="528"/>
      <c r="X717" s="529"/>
      <c r="Y717" s="367"/>
      <c r="Z717" s="312">
        <f>E717/1.02/1.143</f>
        <v>0</v>
      </c>
      <c r="AA717" s="316">
        <f>SUM(AB717/292.4)</f>
        <v>0</v>
      </c>
      <c r="AB717" s="310">
        <f>E717/1.02</f>
        <v>0</v>
      </c>
    </row>
    <row r="718" spans="1:28" ht="51.75" thickBot="1" x14ac:dyDescent="0.45">
      <c r="A718" s="319" t="s">
        <v>14</v>
      </c>
      <c r="B718" s="802" t="s">
        <v>915</v>
      </c>
      <c r="C718" s="528"/>
      <c r="D718" s="528"/>
      <c r="E718" s="456">
        <f t="shared" si="255"/>
        <v>0</v>
      </c>
      <c r="F718" s="358">
        <f>E718*1.02*0.99/147</f>
        <v>0</v>
      </c>
      <c r="G718" s="548">
        <f t="shared" si="249"/>
        <v>0</v>
      </c>
      <c r="H718" s="358" t="s">
        <v>18</v>
      </c>
      <c r="I718" s="548">
        <f t="shared" si="250"/>
        <v>0</v>
      </c>
      <c r="J718" s="358" t="s">
        <v>19</v>
      </c>
      <c r="K718" s="358"/>
      <c r="L718" s="358"/>
      <c r="M718" s="358">
        <f>F718*4983/2880</f>
        <v>0</v>
      </c>
      <c r="N718" s="358"/>
      <c r="O718" s="358"/>
      <c r="P718" s="358"/>
      <c r="Q718" s="358" t="s">
        <v>18</v>
      </c>
      <c r="R718" s="358"/>
      <c r="S718" s="358" t="s">
        <v>19</v>
      </c>
      <c r="T718" s="528">
        <v>9</v>
      </c>
      <c r="U718" s="324">
        <f t="shared" si="256"/>
        <v>0</v>
      </c>
      <c r="V718" s="676"/>
      <c r="W718" s="528"/>
      <c r="X718" s="529"/>
      <c r="Y718" s="360"/>
      <c r="Z718" s="312">
        <f>E718/1.02</f>
        <v>0</v>
      </c>
      <c r="AA718" s="316">
        <f>SUM(Z718/323.2)</f>
        <v>0</v>
      </c>
    </row>
    <row r="719" spans="1:28" ht="51.75" thickBot="1" x14ac:dyDescent="0.45">
      <c r="A719" s="319" t="s">
        <v>14</v>
      </c>
      <c r="B719" s="802" t="s">
        <v>1205</v>
      </c>
      <c r="C719" s="528"/>
      <c r="D719" s="528"/>
      <c r="E719" s="456">
        <f t="shared" si="255"/>
        <v>0</v>
      </c>
      <c r="F719" s="358">
        <f>E719*1.02*0.99/147</f>
        <v>0</v>
      </c>
      <c r="G719" s="548">
        <f t="shared" si="249"/>
        <v>0</v>
      </c>
      <c r="H719" s="358" t="s">
        <v>18</v>
      </c>
      <c r="I719" s="548">
        <f t="shared" si="250"/>
        <v>0</v>
      </c>
      <c r="J719" s="358" t="s">
        <v>19</v>
      </c>
      <c r="K719" s="358"/>
      <c r="L719" s="358"/>
      <c r="M719" s="358">
        <f>F719*4983/2880</f>
        <v>0</v>
      </c>
      <c r="N719" s="358"/>
      <c r="O719" s="358"/>
      <c r="P719" s="358"/>
      <c r="Q719" s="358" t="s">
        <v>18</v>
      </c>
      <c r="R719" s="358"/>
      <c r="S719" s="358" t="s">
        <v>19</v>
      </c>
      <c r="T719" s="528">
        <v>9</v>
      </c>
      <c r="U719" s="324">
        <f t="shared" si="256"/>
        <v>0</v>
      </c>
      <c r="V719" s="676"/>
      <c r="W719" s="528"/>
      <c r="X719" s="529"/>
      <c r="Y719" s="360"/>
      <c r="Z719" s="312">
        <f>E719/1.02</f>
        <v>0</v>
      </c>
      <c r="AA719" s="316">
        <f>SUM(Z719/323.2)</f>
        <v>0</v>
      </c>
    </row>
    <row r="720" spans="1:28" ht="51.75" thickBot="1" x14ac:dyDescent="0.45">
      <c r="A720" s="319" t="s">
        <v>14</v>
      </c>
      <c r="B720" s="802" t="s">
        <v>916</v>
      </c>
      <c r="C720" s="528"/>
      <c r="D720" s="525"/>
      <c r="E720" s="456">
        <f t="shared" si="255"/>
        <v>0</v>
      </c>
      <c r="F720" s="358">
        <f>E720*1.02*0.99/147</f>
        <v>0</v>
      </c>
      <c r="G720" s="548">
        <f t="shared" si="249"/>
        <v>0</v>
      </c>
      <c r="H720" s="358" t="s">
        <v>18</v>
      </c>
      <c r="I720" s="548">
        <f t="shared" si="250"/>
        <v>0</v>
      </c>
      <c r="J720" s="358" t="s">
        <v>19</v>
      </c>
      <c r="K720" s="358"/>
      <c r="L720" s="358"/>
      <c r="M720" s="358">
        <f>F720*6391/2880</f>
        <v>0</v>
      </c>
      <c r="N720" s="358"/>
      <c r="O720" s="358"/>
      <c r="P720" s="358"/>
      <c r="Q720" s="358" t="s">
        <v>18</v>
      </c>
      <c r="R720" s="358"/>
      <c r="S720" s="358" t="s">
        <v>19</v>
      </c>
      <c r="T720" s="528">
        <v>9</v>
      </c>
      <c r="U720" s="324">
        <f t="shared" si="256"/>
        <v>0</v>
      </c>
      <c r="V720" s="676"/>
      <c r="W720" s="528"/>
      <c r="X720" s="529"/>
      <c r="Y720" s="711"/>
      <c r="Z720" s="312">
        <f>E720/1.02</f>
        <v>0</v>
      </c>
      <c r="AA720" s="316">
        <f>SUM(Z720/323.2)</f>
        <v>0</v>
      </c>
    </row>
    <row r="721" spans="1:28" ht="51.75" thickBot="1" x14ac:dyDescent="0.45">
      <c r="A721" s="319" t="s">
        <v>14</v>
      </c>
      <c r="B721" s="802" t="s">
        <v>1064</v>
      </c>
      <c r="C721" s="528"/>
      <c r="D721" s="525"/>
      <c r="E721" s="545">
        <f t="shared" si="255"/>
        <v>0</v>
      </c>
      <c r="F721" s="461">
        <f>E721*1.02*0.99/147</f>
        <v>0</v>
      </c>
      <c r="G721" s="525">
        <f t="shared" si="249"/>
        <v>0</v>
      </c>
      <c r="H721" s="461" t="s">
        <v>18</v>
      </c>
      <c r="I721" s="525">
        <f t="shared" si="250"/>
        <v>0</v>
      </c>
      <c r="J721" s="461" t="s">
        <v>19</v>
      </c>
      <c r="K721" s="461"/>
      <c r="L721" s="461"/>
      <c r="M721" s="461">
        <f>F721*6391/2880</f>
        <v>0</v>
      </c>
      <c r="N721" s="461"/>
      <c r="O721" s="461"/>
      <c r="P721" s="324"/>
      <c r="Q721" s="324" t="s">
        <v>18</v>
      </c>
      <c r="R721" s="324"/>
      <c r="S721" s="324" t="s">
        <v>19</v>
      </c>
      <c r="T721" s="528">
        <v>9</v>
      </c>
      <c r="U721" s="324">
        <f t="shared" si="256"/>
        <v>0</v>
      </c>
      <c r="V721" s="676"/>
      <c r="W721" s="528"/>
      <c r="X721" s="529"/>
      <c r="Y721" s="711"/>
      <c r="Z721" s="312">
        <f>E721/1.02</f>
        <v>0</v>
      </c>
      <c r="AA721" s="316">
        <f>SUM(Z721/323.2)</f>
        <v>0</v>
      </c>
    </row>
    <row r="722" spans="1:28" ht="51.75" thickBot="1" x14ac:dyDescent="0.45">
      <c r="A722" s="319" t="s">
        <v>14</v>
      </c>
      <c r="B722" s="320" t="s">
        <v>873</v>
      </c>
      <c r="C722" s="853"/>
      <c r="D722" s="626"/>
      <c r="E722" s="849">
        <f>C722*2.4</f>
        <v>0</v>
      </c>
      <c r="F722" s="627">
        <f>E722*1.02*0.99/147</f>
        <v>0</v>
      </c>
      <c r="G722" s="850">
        <f t="shared" si="249"/>
        <v>0</v>
      </c>
      <c r="H722" s="851" t="s">
        <v>18</v>
      </c>
      <c r="I722" s="850">
        <f t="shared" si="250"/>
        <v>0</v>
      </c>
      <c r="J722" s="851" t="s">
        <v>19</v>
      </c>
      <c r="K722" s="630"/>
      <c r="L722" s="630"/>
      <c r="M722" s="627">
        <f>F722*6000/2880</f>
        <v>0</v>
      </c>
      <c r="N722" s="631"/>
      <c r="O722" s="631"/>
      <c r="P722" s="631"/>
      <c r="Q722" s="324" t="s">
        <v>18</v>
      </c>
      <c r="R722" s="324"/>
      <c r="S722" s="324" t="s">
        <v>19</v>
      </c>
      <c r="T722" s="528">
        <v>9</v>
      </c>
      <c r="U722" s="324">
        <f>E722/259*60</f>
        <v>0</v>
      </c>
      <c r="V722" s="676"/>
      <c r="W722" s="528"/>
      <c r="X722" s="529"/>
      <c r="Y722" s="323"/>
      <c r="Z722" s="312">
        <f>E722/1.042</f>
        <v>0</v>
      </c>
      <c r="AA722" s="316">
        <f>SUM(Z722/366.4)</f>
        <v>0</v>
      </c>
    </row>
    <row r="723" spans="1:28" s="327" customFormat="1" ht="79.5" thickBot="1" x14ac:dyDescent="0.45">
      <c r="A723" s="319" t="s">
        <v>14</v>
      </c>
      <c r="B723" s="365" t="s">
        <v>841</v>
      </c>
      <c r="C723" s="553"/>
      <c r="D723" s="554"/>
      <c r="E723" s="458">
        <f>C723*4.5</f>
        <v>0</v>
      </c>
      <c r="F723" s="358">
        <f>E723*0.9*1.01/147</f>
        <v>0</v>
      </c>
      <c r="G723" s="548">
        <f t="shared" si="249"/>
        <v>0</v>
      </c>
      <c r="H723" s="358" t="s">
        <v>18</v>
      </c>
      <c r="I723" s="548">
        <f t="shared" si="250"/>
        <v>0</v>
      </c>
      <c r="J723" s="358" t="s">
        <v>19</v>
      </c>
      <c r="K723" s="358"/>
      <c r="L723" s="358"/>
      <c r="M723" s="358">
        <f>(F723*6533/3456)</f>
        <v>0</v>
      </c>
      <c r="N723" s="555"/>
      <c r="O723" s="555"/>
      <c r="P723" s="555"/>
      <c r="Q723" s="555" t="s">
        <v>18</v>
      </c>
      <c r="R723" s="555"/>
      <c r="S723" s="555" t="s">
        <v>19</v>
      </c>
      <c r="T723" s="528">
        <v>9</v>
      </c>
      <c r="U723" s="555">
        <f>E723/324*60</f>
        <v>0</v>
      </c>
      <c r="V723" s="686"/>
      <c r="W723" s="553"/>
      <c r="X723" s="555"/>
      <c r="Y723" s="367" t="s">
        <v>919</v>
      </c>
      <c r="Z723" s="312">
        <f>E723/1.02/1.143</f>
        <v>0</v>
      </c>
      <c r="AA723" s="316">
        <f>SUM(AB723/292.4)</f>
        <v>0</v>
      </c>
      <c r="AB723" s="310">
        <f>E723/1.02</f>
        <v>0</v>
      </c>
    </row>
    <row r="724" spans="1:28" s="327" customFormat="1" ht="53.25" thickBot="1" x14ac:dyDescent="0.45">
      <c r="A724" s="319" t="s">
        <v>14</v>
      </c>
      <c r="B724" s="365" t="s">
        <v>903</v>
      </c>
      <c r="C724" s="553"/>
      <c r="D724" s="554"/>
      <c r="E724" s="458">
        <f>C724*4.5</f>
        <v>0</v>
      </c>
      <c r="F724" s="358">
        <f>E724*0.9*1.01/147</f>
        <v>0</v>
      </c>
      <c r="G724" s="548">
        <f t="shared" si="249"/>
        <v>0</v>
      </c>
      <c r="H724" s="358" t="s">
        <v>18</v>
      </c>
      <c r="I724" s="548">
        <f t="shared" si="250"/>
        <v>0</v>
      </c>
      <c r="J724" s="358" t="s">
        <v>19</v>
      </c>
      <c r="K724" s="358"/>
      <c r="L724" s="358"/>
      <c r="M724" s="358">
        <f>(F724*6533/3456)</f>
        <v>0</v>
      </c>
      <c r="N724" s="555"/>
      <c r="O724" s="555"/>
      <c r="P724" s="555"/>
      <c r="Q724" s="555" t="s">
        <v>18</v>
      </c>
      <c r="R724" s="555"/>
      <c r="S724" s="555" t="s">
        <v>19</v>
      </c>
      <c r="T724" s="528">
        <v>9</v>
      </c>
      <c r="U724" s="555">
        <f>E724/324*60</f>
        <v>0</v>
      </c>
      <c r="V724" s="686"/>
      <c r="W724" s="553"/>
      <c r="X724" s="555"/>
      <c r="Y724" s="367"/>
      <c r="Z724" s="312">
        <f>E724/1.02/1.143</f>
        <v>0</v>
      </c>
      <c r="AA724" s="316">
        <f>SUM(AB724/261.6)</f>
        <v>0</v>
      </c>
      <c r="AB724" s="310">
        <f>E724/1.02</f>
        <v>0</v>
      </c>
    </row>
    <row r="725" spans="1:28" s="327" customFormat="1" ht="53.25" thickBot="1" x14ac:dyDescent="0.45">
      <c r="A725" s="319" t="s">
        <v>14</v>
      </c>
      <c r="B725" s="419" t="s">
        <v>914</v>
      </c>
      <c r="C725" s="553"/>
      <c r="D725" s="554"/>
      <c r="E725" s="458">
        <f>C725*4.5</f>
        <v>0</v>
      </c>
      <c r="F725" s="358">
        <f>E725*0.9*1.01/147</f>
        <v>0</v>
      </c>
      <c r="G725" s="548">
        <f t="shared" si="249"/>
        <v>0</v>
      </c>
      <c r="H725" s="358" t="s">
        <v>18</v>
      </c>
      <c r="I725" s="548">
        <f t="shared" si="250"/>
        <v>0</v>
      </c>
      <c r="J725" s="358" t="s">
        <v>19</v>
      </c>
      <c r="K725" s="358"/>
      <c r="L725" s="358"/>
      <c r="M725" s="358">
        <f>(F725*6533/3456)</f>
        <v>0</v>
      </c>
      <c r="N725" s="555"/>
      <c r="O725" s="555"/>
      <c r="P725" s="555"/>
      <c r="Q725" s="555" t="s">
        <v>18</v>
      </c>
      <c r="R725" s="555"/>
      <c r="S725" s="555" t="s">
        <v>19</v>
      </c>
      <c r="T725" s="528">
        <v>9</v>
      </c>
      <c r="U725" s="555">
        <f>E725/324*60</f>
        <v>0</v>
      </c>
      <c r="V725" s="686"/>
      <c r="W725" s="553"/>
      <c r="X725" s="555"/>
      <c r="Y725" s="367"/>
      <c r="Z725" s="312">
        <f>E725/1.02/1.143</f>
        <v>0</v>
      </c>
      <c r="AA725" s="316">
        <f>SUM(AB725/261.6)</f>
        <v>0</v>
      </c>
      <c r="AB725" s="310">
        <f>E725/1.02</f>
        <v>0</v>
      </c>
    </row>
    <row r="726" spans="1:28" ht="51.75" thickBot="1" x14ac:dyDescent="0.45">
      <c r="A726" s="319" t="s">
        <v>14</v>
      </c>
      <c r="B726" s="320" t="s">
        <v>849</v>
      </c>
      <c r="C726" s="528"/>
      <c r="D726" s="528"/>
      <c r="E726" s="849">
        <f>C726*3.2</f>
        <v>0</v>
      </c>
      <c r="F726" s="627">
        <f>E726*1.02*0.99/147</f>
        <v>0</v>
      </c>
      <c r="G726" s="850">
        <f t="shared" si="249"/>
        <v>0</v>
      </c>
      <c r="H726" s="851" t="s">
        <v>18</v>
      </c>
      <c r="I726" s="850">
        <f t="shared" si="250"/>
        <v>0</v>
      </c>
      <c r="J726" s="851" t="s">
        <v>19</v>
      </c>
      <c r="K726" s="630"/>
      <c r="L726" s="630"/>
      <c r="M726" s="627">
        <f>F726*6000/2880</f>
        <v>0</v>
      </c>
      <c r="N726" s="358"/>
      <c r="O726" s="358"/>
      <c r="P726" s="358"/>
      <c r="Q726" s="358" t="s">
        <v>18</v>
      </c>
      <c r="R726" s="358"/>
      <c r="S726" s="358" t="s">
        <v>19</v>
      </c>
      <c r="T726" s="528">
        <v>9</v>
      </c>
      <c r="U726" s="324">
        <f>E726/259*60</f>
        <v>0</v>
      </c>
      <c r="V726" s="676"/>
      <c r="W726" s="528"/>
      <c r="X726" s="529"/>
      <c r="Y726" s="323"/>
      <c r="Z726" s="312">
        <f>E726/1.1</f>
        <v>0</v>
      </c>
      <c r="AA726" s="316">
        <f>SUM(Z726/354)</f>
        <v>0</v>
      </c>
    </row>
    <row r="727" spans="1:28" s="327" customFormat="1" ht="79.5" thickBot="1" x14ac:dyDescent="0.45">
      <c r="A727" s="319" t="s">
        <v>14</v>
      </c>
      <c r="B727" s="365" t="s">
        <v>853</v>
      </c>
      <c r="C727" s="553"/>
      <c r="D727" s="554"/>
      <c r="E727" s="458">
        <f>C727*3.5</f>
        <v>0</v>
      </c>
      <c r="F727" s="358">
        <f>E727*0.9*1.01/147</f>
        <v>0</v>
      </c>
      <c r="G727" s="548">
        <f t="shared" si="249"/>
        <v>0</v>
      </c>
      <c r="H727" s="358" t="s">
        <v>18</v>
      </c>
      <c r="I727" s="548">
        <f t="shared" si="250"/>
        <v>0</v>
      </c>
      <c r="J727" s="358" t="s">
        <v>19</v>
      </c>
      <c r="K727" s="358"/>
      <c r="L727" s="358"/>
      <c r="M727" s="358">
        <f>(F727*6533/3456)</f>
        <v>0</v>
      </c>
      <c r="N727" s="366"/>
      <c r="O727" s="366"/>
      <c r="P727" s="366"/>
      <c r="Q727" s="366" t="s">
        <v>18</v>
      </c>
      <c r="R727" s="366"/>
      <c r="S727" s="366" t="s">
        <v>19</v>
      </c>
      <c r="T727" s="528">
        <v>9</v>
      </c>
      <c r="U727" s="555">
        <f>E727/324*60</f>
        <v>0</v>
      </c>
      <c r="V727" s="686"/>
      <c r="W727" s="553"/>
      <c r="X727" s="555"/>
      <c r="Y727" s="367" t="s">
        <v>919</v>
      </c>
      <c r="Z727" s="312">
        <f>E727/1.05/1.143</f>
        <v>0</v>
      </c>
      <c r="AA727" s="316">
        <f>SUM(AB727/292.4)</f>
        <v>0</v>
      </c>
      <c r="AB727" s="310">
        <f>E727/1.05</f>
        <v>0</v>
      </c>
    </row>
    <row r="728" spans="1:28" ht="51.75" thickBot="1" x14ac:dyDescent="0.45">
      <c r="A728" s="319" t="s">
        <v>14</v>
      </c>
      <c r="B728" s="320" t="s">
        <v>855</v>
      </c>
      <c r="C728" s="853"/>
      <c r="D728" s="626"/>
      <c r="E728" s="849">
        <f>C728*4</f>
        <v>0</v>
      </c>
      <c r="F728" s="627">
        <f>E728*1.02*0.99/147</f>
        <v>0</v>
      </c>
      <c r="G728" s="850">
        <f t="shared" si="249"/>
        <v>0</v>
      </c>
      <c r="H728" s="851" t="s">
        <v>18</v>
      </c>
      <c r="I728" s="850">
        <f t="shared" si="250"/>
        <v>0</v>
      </c>
      <c r="J728" s="851" t="s">
        <v>19</v>
      </c>
      <c r="K728" s="630"/>
      <c r="L728" s="630"/>
      <c r="M728" s="627">
        <f>F728*6000/2880</f>
        <v>0</v>
      </c>
      <c r="N728" s="358"/>
      <c r="O728" s="358"/>
      <c r="P728" s="358"/>
      <c r="Q728" s="358" t="s">
        <v>18</v>
      </c>
      <c r="R728" s="358"/>
      <c r="S728" s="358" t="s">
        <v>19</v>
      </c>
      <c r="T728" s="528">
        <v>9</v>
      </c>
      <c r="U728" s="324">
        <f>E728/259*60</f>
        <v>0</v>
      </c>
      <c r="V728" s="676"/>
      <c r="W728" s="528"/>
      <c r="X728" s="529"/>
      <c r="Y728" s="323"/>
      <c r="Z728" s="312">
        <f>E728/1.1</f>
        <v>0</v>
      </c>
      <c r="AA728" s="316">
        <f>SUM(Z728/366.4)</f>
        <v>0</v>
      </c>
    </row>
    <row r="729" spans="1:28" ht="51.75" thickBot="1" x14ac:dyDescent="0.45">
      <c r="A729" s="319" t="s">
        <v>14</v>
      </c>
      <c r="B729" s="320" t="s">
        <v>874</v>
      </c>
      <c r="C729" s="528"/>
      <c r="D729" s="528"/>
      <c r="E729" s="456">
        <f>C729*2.5</f>
        <v>0</v>
      </c>
      <c r="F729" s="358">
        <f>E729*1.03*0.9/147</f>
        <v>0</v>
      </c>
      <c r="G729" s="548">
        <f t="shared" si="249"/>
        <v>0</v>
      </c>
      <c r="H729" s="358" t="s">
        <v>18</v>
      </c>
      <c r="I729" s="548">
        <f t="shared" si="250"/>
        <v>0</v>
      </c>
      <c r="J729" s="358" t="s">
        <v>19</v>
      </c>
      <c r="K729" s="358"/>
      <c r="L729" s="358"/>
      <c r="M729" s="358">
        <f>F729*4983/2880</f>
        <v>0</v>
      </c>
      <c r="N729" s="358"/>
      <c r="O729" s="358"/>
      <c r="P729" s="358"/>
      <c r="Q729" s="358" t="s">
        <v>18</v>
      </c>
      <c r="R729" s="358"/>
      <c r="S729" s="358" t="s">
        <v>19</v>
      </c>
      <c r="T729" s="528">
        <v>9</v>
      </c>
      <c r="U729" s="324">
        <f>E729/259*60</f>
        <v>0</v>
      </c>
      <c r="V729" s="676"/>
      <c r="W729" s="528"/>
      <c r="X729" s="529"/>
      <c r="Y729" s="323"/>
      <c r="Z729" s="312">
        <f>E729/1.1</f>
        <v>0</v>
      </c>
      <c r="AA729" s="316">
        <f>SUM(Z729/366.4)</f>
        <v>0</v>
      </c>
    </row>
    <row r="730" spans="1:28" ht="102.75" thickBot="1" x14ac:dyDescent="0.45">
      <c r="A730" s="319" t="s">
        <v>14</v>
      </c>
      <c r="B730" s="320" t="s">
        <v>918</v>
      </c>
      <c r="C730" s="528"/>
      <c r="D730" s="528"/>
      <c r="E730" s="456">
        <f>C730*4</f>
        <v>0</v>
      </c>
      <c r="F730" s="358">
        <f>E730*1.02*0.99/147</f>
        <v>0</v>
      </c>
      <c r="G730" s="548">
        <f>INT(M730)</f>
        <v>0</v>
      </c>
      <c r="H730" s="358" t="s">
        <v>18</v>
      </c>
      <c r="I730" s="548">
        <f>(M730-G730)*64</f>
        <v>0</v>
      </c>
      <c r="J730" s="358" t="s">
        <v>19</v>
      </c>
      <c r="K730" s="358"/>
      <c r="L730" s="358"/>
      <c r="M730" s="358">
        <f>F730*4983/2880</f>
        <v>0</v>
      </c>
      <c r="N730" s="358"/>
      <c r="O730" s="358"/>
      <c r="P730" s="358"/>
      <c r="Q730" s="358" t="s">
        <v>18</v>
      </c>
      <c r="R730" s="358"/>
      <c r="S730" s="358" t="s">
        <v>19</v>
      </c>
      <c r="T730" s="528">
        <v>9</v>
      </c>
      <c r="U730" s="324">
        <f>E730/259*60</f>
        <v>0</v>
      </c>
      <c r="V730" s="676"/>
      <c r="W730" s="528"/>
      <c r="X730" s="529"/>
      <c r="Y730" s="323"/>
      <c r="Z730" s="312">
        <f>E730/1.063</f>
        <v>0</v>
      </c>
      <c r="AA730" s="316">
        <f>SUM(Z730/316.7)</f>
        <v>0</v>
      </c>
    </row>
    <row r="731" spans="1:28" thickBot="1" x14ac:dyDescent="0.45">
      <c r="A731" s="830"/>
      <c r="B731" s="332" t="s">
        <v>286</v>
      </c>
      <c r="C731" s="347"/>
      <c r="D731" s="347"/>
      <c r="E731" s="494"/>
      <c r="F731" s="348"/>
      <c r="G731" s="347"/>
      <c r="H731" s="348"/>
      <c r="I731" s="347"/>
      <c r="J731" s="348"/>
      <c r="K731" s="348"/>
      <c r="L731" s="348"/>
      <c r="M731" s="348"/>
      <c r="N731" s="348"/>
      <c r="O731" s="348"/>
      <c r="P731" s="348"/>
      <c r="Q731" s="348"/>
      <c r="R731" s="348"/>
      <c r="S731" s="348"/>
      <c r="T731" s="347"/>
      <c r="U731" s="348"/>
      <c r="V731" s="356"/>
      <c r="W731" s="348"/>
      <c r="X731" s="495"/>
      <c r="Y731" s="357"/>
    </row>
    <row r="732" spans="1:28" ht="53.25" thickBot="1" x14ac:dyDescent="0.45">
      <c r="A732" s="319" t="s">
        <v>14</v>
      </c>
      <c r="B732" s="319" t="s">
        <v>999</v>
      </c>
      <c r="C732" s="528"/>
      <c r="D732" s="551">
        <f>C732*16</f>
        <v>0</v>
      </c>
      <c r="E732" s="456">
        <f t="shared" ref="E732:E739" si="257">D732*0.25</f>
        <v>0</v>
      </c>
      <c r="F732" s="358">
        <f t="shared" ref="F732:F739" si="258">E732*0.99*1.03/147</f>
        <v>0</v>
      </c>
      <c r="G732" s="548">
        <f t="shared" ref="G732:G739" si="259">INT(M732)</f>
        <v>0</v>
      </c>
      <c r="H732" s="358" t="s">
        <v>18</v>
      </c>
      <c r="I732" s="548">
        <f t="shared" ref="I732:I739" si="260">(M732-G732)*64</f>
        <v>0</v>
      </c>
      <c r="J732" s="358" t="s">
        <v>19</v>
      </c>
      <c r="K732" s="358"/>
      <c r="L732" s="358"/>
      <c r="M732" s="358">
        <f t="shared" ref="M732:M739" si="261">(F732*6989)/2880</f>
        <v>0</v>
      </c>
      <c r="N732" s="358"/>
      <c r="O732" s="358"/>
      <c r="P732" s="358"/>
      <c r="Q732" s="358" t="s">
        <v>18</v>
      </c>
      <c r="R732" s="358"/>
      <c r="S732" s="358" t="s">
        <v>19</v>
      </c>
      <c r="T732" s="528">
        <v>9</v>
      </c>
      <c r="U732" s="324">
        <f>E732/390*60</f>
        <v>0</v>
      </c>
      <c r="V732" s="676"/>
      <c r="W732" s="528"/>
      <c r="X732" s="529"/>
      <c r="Y732" s="323"/>
      <c r="Z732" s="312">
        <f t="shared" ref="Z732:Z777" si="262">E732/1.02</f>
        <v>0</v>
      </c>
      <c r="AA732" s="316">
        <f t="shared" ref="AA732:AA742" si="263">SUM(Z732/260.8)</f>
        <v>0</v>
      </c>
    </row>
    <row r="733" spans="1:28" ht="53.25" thickBot="1" x14ac:dyDescent="0.45">
      <c r="A733" s="319" t="s">
        <v>14</v>
      </c>
      <c r="B733" s="368" t="s">
        <v>690</v>
      </c>
      <c r="C733" s="528"/>
      <c r="D733" s="551">
        <f>C733*16</f>
        <v>0</v>
      </c>
      <c r="E733" s="456">
        <f t="shared" si="257"/>
        <v>0</v>
      </c>
      <c r="F733" s="358">
        <f t="shared" si="258"/>
        <v>0</v>
      </c>
      <c r="G733" s="548">
        <f t="shared" si="259"/>
        <v>0</v>
      </c>
      <c r="H733" s="358" t="s">
        <v>18</v>
      </c>
      <c r="I733" s="548">
        <f t="shared" si="260"/>
        <v>0</v>
      </c>
      <c r="J733" s="358" t="s">
        <v>19</v>
      </c>
      <c r="K733" s="358"/>
      <c r="L733" s="358"/>
      <c r="M733" s="358">
        <f t="shared" si="261"/>
        <v>0</v>
      </c>
      <c r="N733" s="358"/>
      <c r="O733" s="358"/>
      <c r="P733" s="358"/>
      <c r="Q733" s="358" t="s">
        <v>18</v>
      </c>
      <c r="R733" s="358"/>
      <c r="S733" s="358" t="s">
        <v>19</v>
      </c>
      <c r="T733" s="528">
        <v>9</v>
      </c>
      <c r="U733" s="324">
        <f>E733/390*60</f>
        <v>0</v>
      </c>
      <c r="V733" s="676"/>
      <c r="W733" s="528"/>
      <c r="X733" s="529"/>
      <c r="Y733" s="323"/>
      <c r="Z733" s="312">
        <f t="shared" si="262"/>
        <v>0</v>
      </c>
      <c r="AA733" s="316">
        <f t="shared" si="263"/>
        <v>0</v>
      </c>
    </row>
    <row r="734" spans="1:28" ht="53.25" thickBot="1" x14ac:dyDescent="0.45">
      <c r="A734" s="319" t="s">
        <v>14</v>
      </c>
      <c r="B734" s="368" t="s">
        <v>687</v>
      </c>
      <c r="C734" s="528"/>
      <c r="D734" s="551">
        <f>C734*16</f>
        <v>0</v>
      </c>
      <c r="E734" s="456">
        <f t="shared" si="257"/>
        <v>0</v>
      </c>
      <c r="F734" s="358">
        <f t="shared" si="258"/>
        <v>0</v>
      </c>
      <c r="G734" s="548">
        <f t="shared" si="259"/>
        <v>0</v>
      </c>
      <c r="H734" s="358" t="s">
        <v>18</v>
      </c>
      <c r="I734" s="548">
        <f t="shared" si="260"/>
        <v>0</v>
      </c>
      <c r="J734" s="358" t="s">
        <v>19</v>
      </c>
      <c r="K734" s="358"/>
      <c r="L734" s="358"/>
      <c r="M734" s="358">
        <f t="shared" si="261"/>
        <v>0</v>
      </c>
      <c r="N734" s="358"/>
      <c r="O734" s="358"/>
      <c r="P734" s="358"/>
      <c r="Q734" s="358" t="s">
        <v>18</v>
      </c>
      <c r="R734" s="358"/>
      <c r="S734" s="358" t="s">
        <v>19</v>
      </c>
      <c r="T734" s="528">
        <v>9</v>
      </c>
      <c r="U734" s="324"/>
      <c r="V734" s="676"/>
      <c r="W734" s="528"/>
      <c r="X734" s="529"/>
      <c r="Y734" s="323"/>
      <c r="Z734" s="312">
        <f t="shared" si="262"/>
        <v>0</v>
      </c>
      <c r="AA734" s="316">
        <f t="shared" si="263"/>
        <v>0</v>
      </c>
    </row>
    <row r="735" spans="1:28" ht="79.5" thickBot="1" x14ac:dyDescent="0.45">
      <c r="A735" s="319" t="s">
        <v>14</v>
      </c>
      <c r="B735" s="320" t="s">
        <v>1000</v>
      </c>
      <c r="C735" s="528"/>
      <c r="D735" s="551">
        <f>C735*16</f>
        <v>0</v>
      </c>
      <c r="E735" s="456">
        <f t="shared" si="257"/>
        <v>0</v>
      </c>
      <c r="F735" s="358">
        <f t="shared" si="258"/>
        <v>0</v>
      </c>
      <c r="G735" s="548">
        <f t="shared" si="259"/>
        <v>0</v>
      </c>
      <c r="H735" s="358" t="s">
        <v>18</v>
      </c>
      <c r="I735" s="548">
        <f t="shared" si="260"/>
        <v>0</v>
      </c>
      <c r="J735" s="358" t="s">
        <v>19</v>
      </c>
      <c r="K735" s="358"/>
      <c r="L735" s="358"/>
      <c r="M735" s="358">
        <f t="shared" si="261"/>
        <v>0</v>
      </c>
      <c r="N735" s="358"/>
      <c r="O735" s="358"/>
      <c r="P735" s="358"/>
      <c r="Q735" s="358" t="s">
        <v>18</v>
      </c>
      <c r="R735" s="358"/>
      <c r="S735" s="358" t="s">
        <v>19</v>
      </c>
      <c r="T735" s="528">
        <v>9</v>
      </c>
      <c r="U735" s="324"/>
      <c r="V735" s="676"/>
      <c r="W735" s="528"/>
      <c r="X735" s="529"/>
      <c r="Y735" s="360" t="s">
        <v>921</v>
      </c>
      <c r="Z735" s="312">
        <f t="shared" si="262"/>
        <v>0</v>
      </c>
      <c r="AA735" s="316">
        <f t="shared" si="263"/>
        <v>0</v>
      </c>
    </row>
    <row r="736" spans="1:28" ht="53.25" thickBot="1" x14ac:dyDescent="0.45">
      <c r="A736" s="319" t="s">
        <v>14</v>
      </c>
      <c r="B736" s="368" t="s">
        <v>235</v>
      </c>
      <c r="C736" s="528"/>
      <c r="D736" s="551">
        <f>C736*14</f>
        <v>0</v>
      </c>
      <c r="E736" s="456">
        <f t="shared" si="257"/>
        <v>0</v>
      </c>
      <c r="F736" s="358">
        <f t="shared" si="258"/>
        <v>0</v>
      </c>
      <c r="G736" s="548">
        <f t="shared" si="259"/>
        <v>0</v>
      </c>
      <c r="H736" s="358" t="s">
        <v>18</v>
      </c>
      <c r="I736" s="548">
        <f t="shared" si="260"/>
        <v>0</v>
      </c>
      <c r="J736" s="358" t="s">
        <v>19</v>
      </c>
      <c r="K736" s="358"/>
      <c r="L736" s="358"/>
      <c r="M736" s="358">
        <f t="shared" si="261"/>
        <v>0</v>
      </c>
      <c r="N736" s="324"/>
      <c r="O736" s="324"/>
      <c r="P736" s="324"/>
      <c r="Q736" s="324" t="s">
        <v>18</v>
      </c>
      <c r="R736" s="324"/>
      <c r="S736" s="324" t="s">
        <v>19</v>
      </c>
      <c r="T736" s="528">
        <v>9</v>
      </c>
      <c r="U736" s="324">
        <f>E736/390*60</f>
        <v>0</v>
      </c>
      <c r="V736" s="676"/>
      <c r="W736" s="528"/>
      <c r="X736" s="529"/>
      <c r="Y736" s="323"/>
      <c r="Z736" s="312">
        <f t="shared" si="262"/>
        <v>0</v>
      </c>
      <c r="AA736" s="316">
        <f t="shared" si="263"/>
        <v>0</v>
      </c>
    </row>
    <row r="737" spans="1:28" ht="53.25" thickBot="1" x14ac:dyDescent="0.45">
      <c r="A737" s="319" t="s">
        <v>14</v>
      </c>
      <c r="B737" s="368" t="s">
        <v>237</v>
      </c>
      <c r="C737" s="528"/>
      <c r="D737" s="551">
        <f>C737*14</f>
        <v>0</v>
      </c>
      <c r="E737" s="456">
        <f t="shared" si="257"/>
        <v>0</v>
      </c>
      <c r="F737" s="358">
        <f t="shared" si="258"/>
        <v>0</v>
      </c>
      <c r="G737" s="548">
        <f t="shared" si="259"/>
        <v>0</v>
      </c>
      <c r="H737" s="358" t="s">
        <v>18</v>
      </c>
      <c r="I737" s="548">
        <f t="shared" si="260"/>
        <v>0</v>
      </c>
      <c r="J737" s="358" t="s">
        <v>19</v>
      </c>
      <c r="K737" s="358"/>
      <c r="L737" s="358"/>
      <c r="M737" s="358">
        <f t="shared" si="261"/>
        <v>0</v>
      </c>
      <c r="N737" s="324"/>
      <c r="O737" s="324"/>
      <c r="P737" s="324"/>
      <c r="Q737" s="324" t="s">
        <v>18</v>
      </c>
      <c r="R737" s="324"/>
      <c r="S737" s="324" t="s">
        <v>19</v>
      </c>
      <c r="T737" s="528">
        <v>9</v>
      </c>
      <c r="U737" s="324">
        <f>E737/226*60</f>
        <v>0</v>
      </c>
      <c r="V737" s="676"/>
      <c r="W737" s="528"/>
      <c r="X737" s="529"/>
      <c r="Y737" s="323"/>
      <c r="Z737" s="312">
        <f t="shared" si="262"/>
        <v>0</v>
      </c>
      <c r="AA737" s="316">
        <f t="shared" si="263"/>
        <v>0</v>
      </c>
    </row>
    <row r="738" spans="1:28" ht="51.75" thickBot="1" x14ac:dyDescent="0.45">
      <c r="A738" s="319" t="s">
        <v>14</v>
      </c>
      <c r="B738" s="362" t="s">
        <v>635</v>
      </c>
      <c r="C738" s="528"/>
      <c r="D738" s="551">
        <f>C738*14</f>
        <v>0</v>
      </c>
      <c r="E738" s="456">
        <f t="shared" si="257"/>
        <v>0</v>
      </c>
      <c r="F738" s="358">
        <f t="shared" si="258"/>
        <v>0</v>
      </c>
      <c r="G738" s="548">
        <f t="shared" si="259"/>
        <v>0</v>
      </c>
      <c r="H738" s="358" t="s">
        <v>18</v>
      </c>
      <c r="I738" s="548">
        <f t="shared" si="260"/>
        <v>0</v>
      </c>
      <c r="J738" s="358" t="s">
        <v>19</v>
      </c>
      <c r="K738" s="358"/>
      <c r="L738" s="358"/>
      <c r="M738" s="358">
        <f t="shared" si="261"/>
        <v>0</v>
      </c>
      <c r="N738" s="324"/>
      <c r="O738" s="324"/>
      <c r="P738" s="324"/>
      <c r="Q738" s="324" t="s">
        <v>18</v>
      </c>
      <c r="R738" s="324"/>
      <c r="S738" s="324" t="s">
        <v>19</v>
      </c>
      <c r="T738" s="528">
        <v>9</v>
      </c>
      <c r="U738" s="324">
        <f>E738/226*60</f>
        <v>0</v>
      </c>
      <c r="V738" s="676"/>
      <c r="W738" s="528"/>
      <c r="X738" s="529"/>
      <c r="Y738" s="323"/>
      <c r="Z738" s="312">
        <f t="shared" si="262"/>
        <v>0</v>
      </c>
      <c r="AA738" s="316">
        <f t="shared" si="263"/>
        <v>0</v>
      </c>
    </row>
    <row r="739" spans="1:28" ht="79.5" thickBot="1" x14ac:dyDescent="0.45">
      <c r="A739" s="319" t="s">
        <v>14</v>
      </c>
      <c r="B739" s="362" t="s">
        <v>636</v>
      </c>
      <c r="C739" s="528"/>
      <c r="D739" s="551">
        <f>C739*14</f>
        <v>0</v>
      </c>
      <c r="E739" s="456">
        <f t="shared" si="257"/>
        <v>0</v>
      </c>
      <c r="F739" s="358">
        <f t="shared" si="258"/>
        <v>0</v>
      </c>
      <c r="G739" s="548">
        <f t="shared" si="259"/>
        <v>0</v>
      </c>
      <c r="H739" s="358" t="s">
        <v>18</v>
      </c>
      <c r="I739" s="548">
        <f t="shared" si="260"/>
        <v>0</v>
      </c>
      <c r="J739" s="358" t="s">
        <v>19</v>
      </c>
      <c r="K739" s="358"/>
      <c r="L739" s="358"/>
      <c r="M739" s="358">
        <f t="shared" si="261"/>
        <v>0</v>
      </c>
      <c r="N739" s="324"/>
      <c r="O739" s="324"/>
      <c r="P739" s="324"/>
      <c r="Q739" s="324" t="s">
        <v>18</v>
      </c>
      <c r="R739" s="324"/>
      <c r="S739" s="324" t="s">
        <v>19</v>
      </c>
      <c r="T739" s="528">
        <v>9</v>
      </c>
      <c r="U739" s="324">
        <f t="shared" ref="U739:U745" si="264">E739/403*60</f>
        <v>0</v>
      </c>
      <c r="V739" s="676"/>
      <c r="W739" s="528"/>
      <c r="X739" s="529"/>
      <c r="Y739" s="360" t="s">
        <v>921</v>
      </c>
      <c r="Z739" s="312">
        <f t="shared" si="262"/>
        <v>0</v>
      </c>
      <c r="AA739" s="316">
        <f t="shared" si="263"/>
        <v>0</v>
      </c>
    </row>
    <row r="740" spans="1:28" ht="79.5" thickBot="1" x14ac:dyDescent="0.45">
      <c r="A740" s="319" t="s">
        <v>14</v>
      </c>
      <c r="B740" s="320" t="s">
        <v>637</v>
      </c>
      <c r="C740" s="528"/>
      <c r="D740" s="528">
        <f>C740*12</f>
        <v>0</v>
      </c>
      <c r="E740" s="460">
        <f>D740*0.25</f>
        <v>0</v>
      </c>
      <c r="F740" s="324">
        <f>E740*1.05*0.99/135</f>
        <v>0</v>
      </c>
      <c r="G740" s="528">
        <f t="shared" ref="G740:G753" si="265">INT(M740)</f>
        <v>0</v>
      </c>
      <c r="H740" s="324" t="s">
        <v>18</v>
      </c>
      <c r="I740" s="528">
        <f t="shared" ref="I740:I753" si="266">(M740-G740)*64</f>
        <v>0</v>
      </c>
      <c r="J740" s="324" t="s">
        <v>19</v>
      </c>
      <c r="K740" s="324"/>
      <c r="L740" s="324"/>
      <c r="M740" s="324">
        <f>(F740*6253)/2880</f>
        <v>0</v>
      </c>
      <c r="N740" s="324"/>
      <c r="O740" s="324"/>
      <c r="P740" s="324"/>
      <c r="Q740" s="324" t="s">
        <v>18</v>
      </c>
      <c r="R740" s="324"/>
      <c r="S740" s="324" t="s">
        <v>19</v>
      </c>
      <c r="T740" s="528">
        <v>9</v>
      </c>
      <c r="U740" s="324">
        <f t="shared" si="264"/>
        <v>0</v>
      </c>
      <c r="V740" s="676"/>
      <c r="W740" s="528"/>
      <c r="X740" s="529"/>
      <c r="Y740" s="360" t="s">
        <v>950</v>
      </c>
      <c r="Z740" s="312">
        <f t="shared" si="262"/>
        <v>0</v>
      </c>
      <c r="AA740" s="316">
        <f t="shared" si="263"/>
        <v>0</v>
      </c>
    </row>
    <row r="741" spans="1:28" ht="79.5" thickBot="1" x14ac:dyDescent="0.45">
      <c r="A741" s="319" t="s">
        <v>14</v>
      </c>
      <c r="B741" s="320" t="s">
        <v>773</v>
      </c>
      <c r="C741" s="528"/>
      <c r="D741" s="528">
        <f>C741*6</f>
        <v>0</v>
      </c>
      <c r="E741" s="460">
        <f>D741*0.25</f>
        <v>0</v>
      </c>
      <c r="F741" s="324">
        <f>E741*1.05*0.99/135</f>
        <v>0</v>
      </c>
      <c r="G741" s="528">
        <f t="shared" si="265"/>
        <v>0</v>
      </c>
      <c r="H741" s="324" t="s">
        <v>18</v>
      </c>
      <c r="I741" s="528">
        <f t="shared" si="266"/>
        <v>0</v>
      </c>
      <c r="J741" s="324" t="s">
        <v>19</v>
      </c>
      <c r="K741" s="324"/>
      <c r="L741" s="324"/>
      <c r="M741" s="324">
        <f>(F741*6253)/2880</f>
        <v>0</v>
      </c>
      <c r="N741" s="324"/>
      <c r="O741" s="324"/>
      <c r="P741" s="324"/>
      <c r="Q741" s="324" t="s">
        <v>18</v>
      </c>
      <c r="R741" s="324"/>
      <c r="S741" s="324" t="s">
        <v>19</v>
      </c>
      <c r="T741" s="528">
        <v>9</v>
      </c>
      <c r="U741" s="324">
        <f>E741/226*60</f>
        <v>0</v>
      </c>
      <c r="V741" s="676"/>
      <c r="W741" s="528"/>
      <c r="X741" s="529"/>
      <c r="Y741" s="360" t="s">
        <v>950</v>
      </c>
      <c r="Z741" s="312">
        <f t="shared" si="262"/>
        <v>0</v>
      </c>
      <c r="AA741" s="316">
        <f t="shared" si="263"/>
        <v>0</v>
      </c>
    </row>
    <row r="742" spans="1:28" ht="79.5" outlineLevel="1" thickBot="1" x14ac:dyDescent="0.45">
      <c r="A742" s="319" t="s">
        <v>14</v>
      </c>
      <c r="B742" s="799" t="s">
        <v>1214</v>
      </c>
      <c r="C742" s="528"/>
      <c r="D742" s="528">
        <f>C742*14</f>
        <v>0</v>
      </c>
      <c r="E742" s="460">
        <f>D742*0.25</f>
        <v>0</v>
      </c>
      <c r="F742" s="324">
        <f>E742*1.05*0.99/135</f>
        <v>0</v>
      </c>
      <c r="G742" s="528">
        <f t="shared" si="265"/>
        <v>0</v>
      </c>
      <c r="H742" s="324" t="s">
        <v>18</v>
      </c>
      <c r="I742" s="528">
        <f t="shared" si="266"/>
        <v>0</v>
      </c>
      <c r="J742" s="324" t="s">
        <v>19</v>
      </c>
      <c r="K742" s="324"/>
      <c r="L742" s="324"/>
      <c r="M742" s="324">
        <f>(F742*6253)/2880</f>
        <v>0</v>
      </c>
      <c r="N742" s="324"/>
      <c r="O742" s="324"/>
      <c r="P742" s="324"/>
      <c r="Q742" s="324" t="s">
        <v>18</v>
      </c>
      <c r="R742" s="324"/>
      <c r="S742" s="324" t="s">
        <v>19</v>
      </c>
      <c r="T742" s="528">
        <v>9</v>
      </c>
      <c r="U742" s="722">
        <f t="shared" si="264"/>
        <v>0</v>
      </c>
      <c r="V742" s="676"/>
      <c r="W742" s="528"/>
      <c r="X742" s="529"/>
      <c r="Y742" s="360" t="s">
        <v>950</v>
      </c>
      <c r="Z742" s="312">
        <f t="shared" si="262"/>
        <v>0</v>
      </c>
      <c r="AA742" s="316">
        <f t="shared" si="263"/>
        <v>0</v>
      </c>
    </row>
    <row r="743" spans="1:28" ht="51.75" thickBot="1" x14ac:dyDescent="0.45">
      <c r="A743" s="319" t="s">
        <v>14</v>
      </c>
      <c r="B743" s="362" t="s">
        <v>1037</v>
      </c>
      <c r="C743" s="528"/>
      <c r="D743" s="548">
        <f>C743*16</f>
        <v>0</v>
      </c>
      <c r="E743" s="456">
        <f>D743*0.27</f>
        <v>0</v>
      </c>
      <c r="F743" s="358">
        <f t="shared" ref="F743:F753" si="267">E743*0.99*1.03/147</f>
        <v>0</v>
      </c>
      <c r="G743" s="548">
        <f t="shared" si="265"/>
        <v>0</v>
      </c>
      <c r="H743" s="358" t="s">
        <v>18</v>
      </c>
      <c r="I743" s="548">
        <f t="shared" si="266"/>
        <v>0</v>
      </c>
      <c r="J743" s="358" t="s">
        <v>19</v>
      </c>
      <c r="K743" s="358"/>
      <c r="L743" s="358"/>
      <c r="M743" s="358">
        <f>(F743*6391)/2880</f>
        <v>0</v>
      </c>
      <c r="N743" s="358"/>
      <c r="O743" s="358"/>
      <c r="P743" s="358"/>
      <c r="Q743" s="358" t="s">
        <v>18</v>
      </c>
      <c r="R743" s="358"/>
      <c r="S743" s="358" t="s">
        <v>19</v>
      </c>
      <c r="T743" s="528">
        <v>9</v>
      </c>
      <c r="U743" s="324">
        <f t="shared" si="264"/>
        <v>0</v>
      </c>
      <c r="V743" s="676"/>
      <c r="W743" s="528"/>
      <c r="X743" s="529"/>
      <c r="Y743" s="323"/>
      <c r="Z743" s="312">
        <f t="shared" si="262"/>
        <v>0</v>
      </c>
      <c r="AA743" s="316">
        <f>SUM(Z743/285.7)</f>
        <v>0</v>
      </c>
    </row>
    <row r="744" spans="1:28" ht="79.5" thickBot="1" x14ac:dyDescent="0.45">
      <c r="A744" s="319" t="s">
        <v>14</v>
      </c>
      <c r="B744" s="369" t="s">
        <v>1038</v>
      </c>
      <c r="C744" s="528"/>
      <c r="D744" s="548">
        <f>C744*16</f>
        <v>0</v>
      </c>
      <c r="E744" s="456">
        <f>D744*0.27</f>
        <v>0</v>
      </c>
      <c r="F744" s="358">
        <f t="shared" si="267"/>
        <v>0</v>
      </c>
      <c r="G744" s="548">
        <f t="shared" si="265"/>
        <v>0</v>
      </c>
      <c r="H744" s="358" t="s">
        <v>18</v>
      </c>
      <c r="I744" s="548">
        <f t="shared" si="266"/>
        <v>0</v>
      </c>
      <c r="J744" s="358" t="s">
        <v>19</v>
      </c>
      <c r="K744" s="358"/>
      <c r="L744" s="358"/>
      <c r="M744" s="358">
        <f>(F744*6391)/2880</f>
        <v>0</v>
      </c>
      <c r="N744" s="358"/>
      <c r="O744" s="358"/>
      <c r="P744" s="358"/>
      <c r="Q744" s="358" t="s">
        <v>18</v>
      </c>
      <c r="R744" s="358"/>
      <c r="S744" s="358" t="s">
        <v>19</v>
      </c>
      <c r="T744" s="528">
        <v>9</v>
      </c>
      <c r="U744" s="324">
        <f t="shared" si="264"/>
        <v>0</v>
      </c>
      <c r="V744" s="676"/>
      <c r="W744" s="528"/>
      <c r="X744" s="529"/>
      <c r="Y744" s="360" t="s">
        <v>921</v>
      </c>
      <c r="Z744" s="312">
        <f t="shared" si="262"/>
        <v>0</v>
      </c>
      <c r="AA744" s="316">
        <f>SUM(Z744/285.7)</f>
        <v>0</v>
      </c>
    </row>
    <row r="745" spans="1:28" ht="53.25" thickBot="1" x14ac:dyDescent="0.45">
      <c r="A745" s="319" t="s">
        <v>14</v>
      </c>
      <c r="B745" s="319" t="s">
        <v>684</v>
      </c>
      <c r="C745" s="528"/>
      <c r="D745" s="548">
        <f t="shared" ref="D745:D750" si="268">C745*12</f>
        <v>0</v>
      </c>
      <c r="E745" s="456">
        <f t="shared" ref="E745:E750" si="269">D745*0.3</f>
        <v>0</v>
      </c>
      <c r="F745" s="358">
        <f t="shared" si="267"/>
        <v>0</v>
      </c>
      <c r="G745" s="548">
        <f t="shared" si="265"/>
        <v>0</v>
      </c>
      <c r="H745" s="358" t="s">
        <v>18</v>
      </c>
      <c r="I745" s="548">
        <f t="shared" si="266"/>
        <v>0</v>
      </c>
      <c r="J745" s="358" t="s">
        <v>19</v>
      </c>
      <c r="K745" s="358"/>
      <c r="L745" s="358"/>
      <c r="M745" s="358">
        <f>(F745*5880)/2880</f>
        <v>0</v>
      </c>
      <c r="N745" s="324"/>
      <c r="O745" s="324"/>
      <c r="P745" s="324"/>
      <c r="Q745" s="324" t="s">
        <v>18</v>
      </c>
      <c r="R745" s="324"/>
      <c r="S745" s="324" t="s">
        <v>19</v>
      </c>
      <c r="T745" s="528">
        <v>9</v>
      </c>
      <c r="U745" s="324">
        <f t="shared" si="264"/>
        <v>0</v>
      </c>
      <c r="V745" s="676"/>
      <c r="W745" s="528"/>
      <c r="X745" s="529"/>
      <c r="Y745" s="323"/>
      <c r="Z745" s="312">
        <f t="shared" si="262"/>
        <v>0</v>
      </c>
      <c r="AA745" s="316">
        <f>SUM(Z745/310.5)</f>
        <v>0</v>
      </c>
    </row>
    <row r="746" spans="1:28" ht="79.5" thickBot="1" x14ac:dyDescent="0.45">
      <c r="A746" s="319" t="s">
        <v>14</v>
      </c>
      <c r="B746" s="319" t="s">
        <v>685</v>
      </c>
      <c r="C746" s="528"/>
      <c r="D746" s="548">
        <f t="shared" si="268"/>
        <v>0</v>
      </c>
      <c r="E746" s="456">
        <f t="shared" si="269"/>
        <v>0</v>
      </c>
      <c r="F746" s="358">
        <f t="shared" si="267"/>
        <v>0</v>
      </c>
      <c r="G746" s="548">
        <f t="shared" si="265"/>
        <v>0</v>
      </c>
      <c r="H746" s="358" t="s">
        <v>18</v>
      </c>
      <c r="I746" s="548">
        <f t="shared" si="266"/>
        <v>0</v>
      </c>
      <c r="J746" s="358" t="s">
        <v>19</v>
      </c>
      <c r="K746" s="358"/>
      <c r="L746" s="358"/>
      <c r="M746" s="358">
        <f>(F746*5880)/2880</f>
        <v>0</v>
      </c>
      <c r="N746" s="324"/>
      <c r="O746" s="324"/>
      <c r="P746" s="324"/>
      <c r="Q746" s="324" t="s">
        <v>18</v>
      </c>
      <c r="R746" s="324"/>
      <c r="S746" s="324" t="s">
        <v>19</v>
      </c>
      <c r="T746" s="528">
        <v>9</v>
      </c>
      <c r="U746" s="324"/>
      <c r="V746" s="676"/>
      <c r="W746" s="528"/>
      <c r="X746" s="529"/>
      <c r="Y746" s="360" t="s">
        <v>921</v>
      </c>
      <c r="Z746" s="312">
        <f t="shared" si="262"/>
        <v>0</v>
      </c>
      <c r="AA746" s="316">
        <f>SUM(Z746/310.5)</f>
        <v>0</v>
      </c>
    </row>
    <row r="747" spans="1:28" ht="79.5" thickBot="1" x14ac:dyDescent="0.45">
      <c r="A747" s="319" t="s">
        <v>14</v>
      </c>
      <c r="B747" s="854" t="s">
        <v>1196</v>
      </c>
      <c r="C747" s="528"/>
      <c r="D747" s="548">
        <f>C747*14</f>
        <v>0</v>
      </c>
      <c r="E747" s="456">
        <f t="shared" si="269"/>
        <v>0</v>
      </c>
      <c r="F747" s="358">
        <f t="shared" si="267"/>
        <v>0</v>
      </c>
      <c r="G747" s="548">
        <f t="shared" si="265"/>
        <v>0</v>
      </c>
      <c r="H747" s="358" t="s">
        <v>18</v>
      </c>
      <c r="I747" s="548">
        <f t="shared" si="266"/>
        <v>0</v>
      </c>
      <c r="J747" s="358" t="s">
        <v>19</v>
      </c>
      <c r="K747" s="358"/>
      <c r="L747" s="358"/>
      <c r="M747" s="358">
        <f>(F747*5880)/2880</f>
        <v>0</v>
      </c>
      <c r="N747" s="324"/>
      <c r="O747" s="324"/>
      <c r="P747" s="324"/>
      <c r="Q747" s="324" t="s">
        <v>18</v>
      </c>
      <c r="R747" s="324"/>
      <c r="S747" s="324" t="s">
        <v>19</v>
      </c>
      <c r="T747" s="528">
        <v>9</v>
      </c>
      <c r="U747" s="324">
        <f>E747/403*60</f>
        <v>0</v>
      </c>
      <c r="V747" s="676"/>
      <c r="W747" s="528"/>
      <c r="X747" s="529"/>
      <c r="Y747" s="360" t="s">
        <v>921</v>
      </c>
      <c r="Z747" s="312">
        <f t="shared" si="262"/>
        <v>0</v>
      </c>
      <c r="AA747" s="316">
        <f>SUM(Z747/310.5)</f>
        <v>0</v>
      </c>
    </row>
    <row r="748" spans="1:28" ht="79.5" thickBot="1" x14ac:dyDescent="0.45">
      <c r="A748" s="319" t="s">
        <v>14</v>
      </c>
      <c r="B748" s="862" t="s">
        <v>1197</v>
      </c>
      <c r="C748" s="853"/>
      <c r="D748" s="856">
        <f>C748*16</f>
        <v>0</v>
      </c>
      <c r="E748" s="629">
        <f t="shared" si="269"/>
        <v>0</v>
      </c>
      <c r="F748" s="857">
        <f>E748*0.9*1.01/147</f>
        <v>0</v>
      </c>
      <c r="G748" s="858">
        <f>INT(M748)</f>
        <v>0</v>
      </c>
      <c r="H748" s="366"/>
      <c r="I748" s="859">
        <f t="shared" si="266"/>
        <v>0</v>
      </c>
      <c r="J748" s="860" t="s">
        <v>19</v>
      </c>
      <c r="K748" s="860"/>
      <c r="L748" s="860"/>
      <c r="M748" s="861">
        <f>F748*6533/3456</f>
        <v>0</v>
      </c>
      <c r="N748" s="860"/>
      <c r="O748" s="860"/>
      <c r="P748" s="860"/>
      <c r="Q748" s="324" t="s">
        <v>18</v>
      </c>
      <c r="R748" s="324"/>
      <c r="S748" s="324" t="s">
        <v>19</v>
      </c>
      <c r="T748" s="528">
        <v>9</v>
      </c>
      <c r="U748" s="324">
        <f>E748/403*60</f>
        <v>0</v>
      </c>
      <c r="V748" s="676"/>
      <c r="W748" s="528"/>
      <c r="X748" s="529"/>
      <c r="Y748" s="360" t="s">
        <v>921</v>
      </c>
      <c r="Z748" s="312">
        <f>E748/1.02/1.143</f>
        <v>0</v>
      </c>
      <c r="AA748" s="316">
        <f>SUM(AB748/256.5)</f>
        <v>0</v>
      </c>
      <c r="AB748" s="310">
        <f>E748/1.02</f>
        <v>0</v>
      </c>
    </row>
    <row r="749" spans="1:28" ht="53.25" thickBot="1" x14ac:dyDescent="0.45">
      <c r="A749" s="319" t="s">
        <v>14</v>
      </c>
      <c r="B749" s="368" t="s">
        <v>686</v>
      </c>
      <c r="C749" s="528"/>
      <c r="D749" s="548">
        <f t="shared" si="268"/>
        <v>0</v>
      </c>
      <c r="E749" s="456">
        <f t="shared" si="269"/>
        <v>0</v>
      </c>
      <c r="F749" s="358">
        <f t="shared" si="267"/>
        <v>0</v>
      </c>
      <c r="G749" s="548">
        <f t="shared" si="265"/>
        <v>0</v>
      </c>
      <c r="H749" s="358" t="s">
        <v>18</v>
      </c>
      <c r="I749" s="548">
        <f t="shared" si="266"/>
        <v>0</v>
      </c>
      <c r="J749" s="358" t="s">
        <v>19</v>
      </c>
      <c r="K749" s="358"/>
      <c r="L749" s="358"/>
      <c r="M749" s="358">
        <f>(F749*5880)/2880</f>
        <v>0</v>
      </c>
      <c r="N749" s="324"/>
      <c r="O749" s="324"/>
      <c r="P749" s="324"/>
      <c r="Q749" s="324" t="s">
        <v>18</v>
      </c>
      <c r="R749" s="324"/>
      <c r="S749" s="324" t="s">
        <v>19</v>
      </c>
      <c r="T749" s="528">
        <v>9</v>
      </c>
      <c r="U749" s="324"/>
      <c r="V749" s="676"/>
      <c r="W749" s="528"/>
      <c r="X749" s="529"/>
      <c r="Y749" s="323"/>
      <c r="Z749" s="312">
        <f t="shared" si="262"/>
        <v>0</v>
      </c>
      <c r="AA749" s="316">
        <f>SUM(Z749/310.5)</f>
        <v>0</v>
      </c>
    </row>
    <row r="750" spans="1:28" ht="53.25" thickBot="1" x14ac:dyDescent="0.45">
      <c r="A750" s="319" t="s">
        <v>14</v>
      </c>
      <c r="B750" s="368" t="s">
        <v>691</v>
      </c>
      <c r="C750" s="528"/>
      <c r="D750" s="548">
        <f t="shared" si="268"/>
        <v>0</v>
      </c>
      <c r="E750" s="456">
        <f t="shared" si="269"/>
        <v>0</v>
      </c>
      <c r="F750" s="358">
        <f t="shared" si="267"/>
        <v>0</v>
      </c>
      <c r="G750" s="548">
        <f t="shared" si="265"/>
        <v>0</v>
      </c>
      <c r="H750" s="358" t="s">
        <v>18</v>
      </c>
      <c r="I750" s="548">
        <f t="shared" si="266"/>
        <v>0</v>
      </c>
      <c r="J750" s="358" t="s">
        <v>19</v>
      </c>
      <c r="K750" s="358"/>
      <c r="L750" s="358"/>
      <c r="M750" s="358">
        <f>(F750*5880)/2880</f>
        <v>0</v>
      </c>
      <c r="N750" s="324"/>
      <c r="O750" s="324"/>
      <c r="P750" s="324"/>
      <c r="Q750" s="324" t="s">
        <v>18</v>
      </c>
      <c r="R750" s="324"/>
      <c r="S750" s="324" t="s">
        <v>19</v>
      </c>
      <c r="T750" s="528">
        <v>9</v>
      </c>
      <c r="U750" s="324"/>
      <c r="V750" s="676"/>
      <c r="W750" s="528"/>
      <c r="X750" s="529"/>
      <c r="Y750" s="323"/>
      <c r="Z750" s="312">
        <f t="shared" si="262"/>
        <v>0</v>
      </c>
      <c r="AA750" s="316">
        <f>SUM(Z750/310.5)</f>
        <v>0</v>
      </c>
    </row>
    <row r="751" spans="1:28" ht="77.25" thickBot="1" x14ac:dyDescent="0.45">
      <c r="A751" s="319" t="s">
        <v>14</v>
      </c>
      <c r="B751" s="344" t="s">
        <v>1167</v>
      </c>
      <c r="C751" s="528"/>
      <c r="D751" s="551">
        <f>C751*16</f>
        <v>0</v>
      </c>
      <c r="E751" s="456">
        <f>D751*0.25</f>
        <v>0</v>
      </c>
      <c r="F751" s="358">
        <f t="shared" si="267"/>
        <v>0</v>
      </c>
      <c r="G751" s="548">
        <f t="shared" si="265"/>
        <v>0</v>
      </c>
      <c r="H751" s="358" t="s">
        <v>18</v>
      </c>
      <c r="I751" s="548">
        <f t="shared" si="266"/>
        <v>0</v>
      </c>
      <c r="J751" s="358" t="s">
        <v>19</v>
      </c>
      <c r="K751" s="358"/>
      <c r="L751" s="358"/>
      <c r="M751" s="358">
        <f>(F751*6989)/2880</f>
        <v>0</v>
      </c>
      <c r="N751" s="324"/>
      <c r="O751" s="324"/>
      <c r="P751" s="324"/>
      <c r="Q751" s="324" t="s">
        <v>18</v>
      </c>
      <c r="R751" s="324"/>
      <c r="S751" s="324" t="s">
        <v>19</v>
      </c>
      <c r="T751" s="528">
        <v>9</v>
      </c>
      <c r="U751" s="324"/>
      <c r="V751" s="676"/>
      <c r="W751" s="528"/>
      <c r="X751" s="529"/>
      <c r="Y751" s="323"/>
      <c r="Z751" s="312">
        <f t="shared" si="262"/>
        <v>0</v>
      </c>
      <c r="AA751" s="316">
        <f t="shared" ref="AA751:AA767" si="270">SUM(Z751/260.8)</f>
        <v>0</v>
      </c>
    </row>
    <row r="752" spans="1:28" ht="77.25" thickBot="1" x14ac:dyDescent="0.45">
      <c r="A752" s="319" t="s">
        <v>14</v>
      </c>
      <c r="B752" s="344" t="s">
        <v>1168</v>
      </c>
      <c r="C752" s="528"/>
      <c r="D752" s="551">
        <f>C752*16</f>
        <v>0</v>
      </c>
      <c r="E752" s="456">
        <f>D752*0.25</f>
        <v>0</v>
      </c>
      <c r="F752" s="358">
        <f t="shared" si="267"/>
        <v>0</v>
      </c>
      <c r="G752" s="548">
        <f t="shared" si="265"/>
        <v>0</v>
      </c>
      <c r="H752" s="358" t="s">
        <v>18</v>
      </c>
      <c r="I752" s="548">
        <f t="shared" si="266"/>
        <v>0</v>
      </c>
      <c r="J752" s="358" t="s">
        <v>19</v>
      </c>
      <c r="K752" s="358"/>
      <c r="L752" s="358"/>
      <c r="M752" s="358">
        <f>(F752*6989)/2880</f>
        <v>0</v>
      </c>
      <c r="N752" s="324"/>
      <c r="O752" s="324"/>
      <c r="P752" s="324"/>
      <c r="Q752" s="324" t="s">
        <v>18</v>
      </c>
      <c r="R752" s="324"/>
      <c r="S752" s="324" t="s">
        <v>19</v>
      </c>
      <c r="T752" s="528">
        <v>9</v>
      </c>
      <c r="U752" s="324"/>
      <c r="V752" s="676"/>
      <c r="W752" s="528"/>
      <c r="X752" s="529"/>
      <c r="Y752" s="323"/>
      <c r="Z752" s="312">
        <f t="shared" si="262"/>
        <v>0</v>
      </c>
      <c r="AA752" s="316">
        <f t="shared" si="270"/>
        <v>0</v>
      </c>
    </row>
    <row r="753" spans="1:27" ht="77.25" thickBot="1" x14ac:dyDescent="0.45">
      <c r="A753" s="319" t="s">
        <v>14</v>
      </c>
      <c r="B753" s="344" t="s">
        <v>1169</v>
      </c>
      <c r="C753" s="528"/>
      <c r="D753" s="551">
        <f>C753*16</f>
        <v>0</v>
      </c>
      <c r="E753" s="456">
        <f>D753*0.25</f>
        <v>0</v>
      </c>
      <c r="F753" s="358">
        <f t="shared" si="267"/>
        <v>0</v>
      </c>
      <c r="G753" s="548">
        <f t="shared" si="265"/>
        <v>0</v>
      </c>
      <c r="H753" s="358" t="s">
        <v>18</v>
      </c>
      <c r="I753" s="548">
        <f t="shared" si="266"/>
        <v>0</v>
      </c>
      <c r="J753" s="358" t="s">
        <v>19</v>
      </c>
      <c r="K753" s="358"/>
      <c r="L753" s="358"/>
      <c r="M753" s="358">
        <f>(F753*6989)/2880</f>
        <v>0</v>
      </c>
      <c r="N753" s="324"/>
      <c r="O753" s="324"/>
      <c r="P753" s="324"/>
      <c r="Q753" s="324" t="s">
        <v>18</v>
      </c>
      <c r="R753" s="324"/>
      <c r="S753" s="324" t="s">
        <v>19</v>
      </c>
      <c r="T753" s="528">
        <v>9</v>
      </c>
      <c r="U753" s="324"/>
      <c r="V753" s="676"/>
      <c r="W753" s="528"/>
      <c r="X753" s="529"/>
      <c r="Y753" s="323"/>
      <c r="Z753" s="312">
        <f t="shared" si="262"/>
        <v>0</v>
      </c>
      <c r="AA753" s="316">
        <f t="shared" si="270"/>
        <v>0</v>
      </c>
    </row>
    <row r="754" spans="1:27" ht="77.25" thickBot="1" x14ac:dyDescent="0.45">
      <c r="A754" s="319" t="s">
        <v>14</v>
      </c>
      <c r="B754" s="344" t="s">
        <v>789</v>
      </c>
      <c r="C754" s="528"/>
      <c r="D754" s="551">
        <f t="shared" ref="D754:D764" si="271">C754*12</f>
        <v>0</v>
      </c>
      <c r="E754" s="456">
        <f t="shared" ref="E754:E764" si="272">D754*0.25</f>
        <v>0</v>
      </c>
      <c r="F754" s="358">
        <f t="shared" ref="F754:F764" si="273">E754*0.99*1.03/147</f>
        <v>0</v>
      </c>
      <c r="G754" s="548">
        <f t="shared" ref="G754:G775" si="274">INT(M754)</f>
        <v>0</v>
      </c>
      <c r="H754" s="358" t="s">
        <v>18</v>
      </c>
      <c r="I754" s="548">
        <f t="shared" ref="I754:I775" si="275">(M754-G754)*64</f>
        <v>0</v>
      </c>
      <c r="J754" s="358" t="s">
        <v>19</v>
      </c>
      <c r="K754" s="358"/>
      <c r="L754" s="358"/>
      <c r="M754" s="358">
        <f t="shared" ref="M754:M764" si="276">(F754*6989)/2880</f>
        <v>0</v>
      </c>
      <c r="N754" s="324"/>
      <c r="O754" s="324"/>
      <c r="P754" s="324"/>
      <c r="Q754" s="324" t="s">
        <v>18</v>
      </c>
      <c r="R754" s="324"/>
      <c r="S754" s="324" t="s">
        <v>19</v>
      </c>
      <c r="T754" s="528">
        <v>9</v>
      </c>
      <c r="U754" s="324"/>
      <c r="V754" s="676"/>
      <c r="W754" s="528"/>
      <c r="X754" s="529"/>
      <c r="Y754" s="323"/>
      <c r="Z754" s="312">
        <f t="shared" si="262"/>
        <v>0</v>
      </c>
      <c r="AA754" s="316">
        <f t="shared" si="270"/>
        <v>0</v>
      </c>
    </row>
    <row r="755" spans="1:27" ht="77.25" thickBot="1" x14ac:dyDescent="0.45">
      <c r="A755" s="319" t="s">
        <v>14</v>
      </c>
      <c r="B755" s="344" t="s">
        <v>790</v>
      </c>
      <c r="C755" s="528"/>
      <c r="D755" s="551">
        <f t="shared" si="271"/>
        <v>0</v>
      </c>
      <c r="E755" s="456">
        <f t="shared" si="272"/>
        <v>0</v>
      </c>
      <c r="F755" s="358">
        <f t="shared" si="273"/>
        <v>0</v>
      </c>
      <c r="G755" s="548">
        <f t="shared" si="274"/>
        <v>0</v>
      </c>
      <c r="H755" s="358" t="s">
        <v>18</v>
      </c>
      <c r="I755" s="548">
        <f t="shared" si="275"/>
        <v>0</v>
      </c>
      <c r="J755" s="358" t="s">
        <v>19</v>
      </c>
      <c r="K755" s="358"/>
      <c r="L755" s="358"/>
      <c r="M755" s="358">
        <f t="shared" si="276"/>
        <v>0</v>
      </c>
      <c r="N755" s="324"/>
      <c r="O755" s="324"/>
      <c r="P755" s="324"/>
      <c r="Q755" s="324" t="s">
        <v>18</v>
      </c>
      <c r="R755" s="324"/>
      <c r="S755" s="324" t="s">
        <v>19</v>
      </c>
      <c r="T755" s="528">
        <v>9</v>
      </c>
      <c r="U755" s="324"/>
      <c r="V755" s="676"/>
      <c r="W755" s="528"/>
      <c r="X755" s="529"/>
      <c r="Y755" s="323"/>
      <c r="Z755" s="312">
        <f t="shared" si="262"/>
        <v>0</v>
      </c>
      <c r="AA755" s="316">
        <f t="shared" si="270"/>
        <v>0</v>
      </c>
    </row>
    <row r="756" spans="1:27" ht="51.75" thickBot="1" x14ac:dyDescent="0.45">
      <c r="A756" s="319" t="s">
        <v>14</v>
      </c>
      <c r="B756" s="344" t="s">
        <v>702</v>
      </c>
      <c r="C756" s="528"/>
      <c r="D756" s="551">
        <f t="shared" si="271"/>
        <v>0</v>
      </c>
      <c r="E756" s="456">
        <f t="shared" si="272"/>
        <v>0</v>
      </c>
      <c r="F756" s="358">
        <f t="shared" si="273"/>
        <v>0</v>
      </c>
      <c r="G756" s="548">
        <f t="shared" si="274"/>
        <v>0</v>
      </c>
      <c r="H756" s="358" t="s">
        <v>18</v>
      </c>
      <c r="I756" s="548">
        <f t="shared" si="275"/>
        <v>0</v>
      </c>
      <c r="J756" s="358" t="s">
        <v>19</v>
      </c>
      <c r="K756" s="358"/>
      <c r="L756" s="358"/>
      <c r="M756" s="358">
        <f t="shared" si="276"/>
        <v>0</v>
      </c>
      <c r="N756" s="324"/>
      <c r="O756" s="324"/>
      <c r="P756" s="324"/>
      <c r="Q756" s="324" t="s">
        <v>18</v>
      </c>
      <c r="R756" s="324"/>
      <c r="S756" s="324" t="s">
        <v>19</v>
      </c>
      <c r="T756" s="528">
        <v>9</v>
      </c>
      <c r="U756" s="324"/>
      <c r="V756" s="676"/>
      <c r="W756" s="528"/>
      <c r="X756" s="529"/>
      <c r="Y756" s="323"/>
      <c r="Z756" s="312">
        <f t="shared" si="262"/>
        <v>0</v>
      </c>
      <c r="AA756" s="316">
        <f t="shared" si="270"/>
        <v>0</v>
      </c>
    </row>
    <row r="757" spans="1:27" ht="77.25" thickBot="1" x14ac:dyDescent="0.45">
      <c r="A757" s="319" t="s">
        <v>14</v>
      </c>
      <c r="B757" s="344" t="s">
        <v>1075</v>
      </c>
      <c r="C757" s="528"/>
      <c r="D757" s="530">
        <f>C757*16</f>
        <v>0</v>
      </c>
      <c r="E757" s="460">
        <f t="shared" si="272"/>
        <v>0</v>
      </c>
      <c r="F757" s="324">
        <f t="shared" si="273"/>
        <v>0</v>
      </c>
      <c r="G757" s="528">
        <f t="shared" si="274"/>
        <v>0</v>
      </c>
      <c r="H757" s="324" t="s">
        <v>18</v>
      </c>
      <c r="I757" s="528">
        <f t="shared" si="275"/>
        <v>0</v>
      </c>
      <c r="J757" s="324" t="s">
        <v>19</v>
      </c>
      <c r="K757" s="324"/>
      <c r="L757" s="324"/>
      <c r="M757" s="324">
        <f t="shared" si="276"/>
        <v>0</v>
      </c>
      <c r="N757" s="324"/>
      <c r="O757" s="324"/>
      <c r="P757" s="324"/>
      <c r="Q757" s="324" t="s">
        <v>18</v>
      </c>
      <c r="R757" s="324"/>
      <c r="S757" s="324" t="s">
        <v>19</v>
      </c>
      <c r="T757" s="528">
        <v>9</v>
      </c>
      <c r="U757" s="324">
        <f>E757/259*60</f>
        <v>0</v>
      </c>
      <c r="V757" s="676"/>
      <c r="W757" s="528"/>
      <c r="X757" s="529"/>
      <c r="Y757" s="323"/>
      <c r="Z757" s="312">
        <f t="shared" si="262"/>
        <v>0</v>
      </c>
      <c r="AA757" s="316">
        <f>SUM(Z757/260.8)</f>
        <v>0</v>
      </c>
    </row>
    <row r="758" spans="1:27" ht="77.25" thickBot="1" x14ac:dyDescent="0.45">
      <c r="A758" s="319" t="s">
        <v>14</v>
      </c>
      <c r="B758" s="344" t="s">
        <v>1076</v>
      </c>
      <c r="C758" s="528"/>
      <c r="D758" s="530">
        <f>C758*16</f>
        <v>0</v>
      </c>
      <c r="E758" s="460">
        <f t="shared" si="272"/>
        <v>0</v>
      </c>
      <c r="F758" s="324">
        <f t="shared" si="273"/>
        <v>0</v>
      </c>
      <c r="G758" s="528">
        <f t="shared" si="274"/>
        <v>0</v>
      </c>
      <c r="H758" s="324" t="s">
        <v>18</v>
      </c>
      <c r="I758" s="528">
        <f t="shared" si="275"/>
        <v>0</v>
      </c>
      <c r="J758" s="324" t="s">
        <v>19</v>
      </c>
      <c r="K758" s="324"/>
      <c r="L758" s="324"/>
      <c r="M758" s="324">
        <f t="shared" si="276"/>
        <v>0</v>
      </c>
      <c r="N758" s="324"/>
      <c r="O758" s="324"/>
      <c r="P758" s="324"/>
      <c r="Q758" s="324" t="s">
        <v>18</v>
      </c>
      <c r="R758" s="324"/>
      <c r="S758" s="324" t="s">
        <v>19</v>
      </c>
      <c r="T758" s="528">
        <v>9</v>
      </c>
      <c r="U758" s="324">
        <f>E758/259*60</f>
        <v>0</v>
      </c>
      <c r="V758" s="676"/>
      <c r="W758" s="528"/>
      <c r="X758" s="529"/>
      <c r="Y758" s="323"/>
      <c r="Z758" s="312">
        <f t="shared" si="262"/>
        <v>0</v>
      </c>
      <c r="AA758" s="316">
        <f>SUM(Z758/260.8)</f>
        <v>0</v>
      </c>
    </row>
    <row r="759" spans="1:27" ht="51.75" thickBot="1" x14ac:dyDescent="0.45">
      <c r="A759" s="319" t="s">
        <v>14</v>
      </c>
      <c r="B759" s="344" t="s">
        <v>1077</v>
      </c>
      <c r="C759" s="528"/>
      <c r="D759" s="530">
        <f>C759*16</f>
        <v>0</v>
      </c>
      <c r="E759" s="460">
        <f t="shared" si="272"/>
        <v>0</v>
      </c>
      <c r="F759" s="324">
        <f t="shared" si="273"/>
        <v>0</v>
      </c>
      <c r="G759" s="528">
        <f t="shared" si="274"/>
        <v>0</v>
      </c>
      <c r="H759" s="324" t="s">
        <v>18</v>
      </c>
      <c r="I759" s="528">
        <f t="shared" si="275"/>
        <v>0</v>
      </c>
      <c r="J759" s="324" t="s">
        <v>19</v>
      </c>
      <c r="K759" s="324"/>
      <c r="L759" s="324"/>
      <c r="M759" s="324">
        <f t="shared" si="276"/>
        <v>0</v>
      </c>
      <c r="N759" s="324"/>
      <c r="O759" s="324"/>
      <c r="P759" s="324"/>
      <c r="Q759" s="324" t="s">
        <v>18</v>
      </c>
      <c r="R759" s="324"/>
      <c r="S759" s="324" t="s">
        <v>19</v>
      </c>
      <c r="T759" s="528">
        <v>9</v>
      </c>
      <c r="U759" s="324">
        <f>E759/403*60</f>
        <v>0</v>
      </c>
      <c r="V759" s="676"/>
      <c r="W759" s="528"/>
      <c r="X759" s="529"/>
      <c r="Y759" s="323"/>
      <c r="Z759" s="312">
        <f t="shared" si="262"/>
        <v>0</v>
      </c>
      <c r="AA759" s="316">
        <f>SUM(Z759/260.8)</f>
        <v>0</v>
      </c>
    </row>
    <row r="760" spans="1:27" ht="79.5" thickBot="1" x14ac:dyDescent="0.45">
      <c r="A760" s="319" t="s">
        <v>14</v>
      </c>
      <c r="B760" s="371" t="s">
        <v>823</v>
      </c>
      <c r="C760" s="528"/>
      <c r="D760" s="551">
        <f t="shared" si="271"/>
        <v>0</v>
      </c>
      <c r="E760" s="456">
        <f t="shared" si="272"/>
        <v>0</v>
      </c>
      <c r="F760" s="358">
        <f t="shared" si="273"/>
        <v>0</v>
      </c>
      <c r="G760" s="548">
        <f t="shared" si="274"/>
        <v>0</v>
      </c>
      <c r="H760" s="358" t="s">
        <v>18</v>
      </c>
      <c r="I760" s="548">
        <f t="shared" si="275"/>
        <v>0</v>
      </c>
      <c r="J760" s="358" t="s">
        <v>19</v>
      </c>
      <c r="K760" s="358"/>
      <c r="L760" s="358"/>
      <c r="M760" s="358">
        <f t="shared" si="276"/>
        <v>0</v>
      </c>
      <c r="N760" s="324"/>
      <c r="O760" s="324"/>
      <c r="P760" s="324"/>
      <c r="Q760" s="324" t="s">
        <v>18</v>
      </c>
      <c r="R760" s="324"/>
      <c r="S760" s="324" t="s">
        <v>19</v>
      </c>
      <c r="T760" s="528">
        <v>9</v>
      </c>
      <c r="U760" s="324">
        <f>E760/403*60</f>
        <v>0</v>
      </c>
      <c r="V760" s="676"/>
      <c r="W760" s="528"/>
      <c r="X760" s="529"/>
      <c r="Y760" s="360" t="s">
        <v>919</v>
      </c>
      <c r="Z760" s="312">
        <f t="shared" si="262"/>
        <v>0</v>
      </c>
      <c r="AA760" s="316">
        <f t="shared" si="270"/>
        <v>0</v>
      </c>
    </row>
    <row r="761" spans="1:27" ht="51.75" thickBot="1" x14ac:dyDescent="0.45">
      <c r="A761" s="319" t="s">
        <v>14</v>
      </c>
      <c r="B761" s="371" t="s">
        <v>824</v>
      </c>
      <c r="C761" s="528"/>
      <c r="D761" s="551">
        <f t="shared" si="271"/>
        <v>0</v>
      </c>
      <c r="E761" s="456">
        <f t="shared" si="272"/>
        <v>0</v>
      </c>
      <c r="F761" s="358">
        <f t="shared" si="273"/>
        <v>0</v>
      </c>
      <c r="G761" s="548">
        <f t="shared" si="274"/>
        <v>0</v>
      </c>
      <c r="H761" s="358" t="s">
        <v>18</v>
      </c>
      <c r="I761" s="548">
        <f t="shared" si="275"/>
        <v>0</v>
      </c>
      <c r="J761" s="358" t="s">
        <v>19</v>
      </c>
      <c r="K761" s="358"/>
      <c r="L761" s="358"/>
      <c r="M761" s="358">
        <f t="shared" si="276"/>
        <v>0</v>
      </c>
      <c r="N761" s="324"/>
      <c r="O761" s="324"/>
      <c r="P761" s="324"/>
      <c r="Q761" s="324" t="s">
        <v>18</v>
      </c>
      <c r="R761" s="324"/>
      <c r="S761" s="324" t="s">
        <v>19</v>
      </c>
      <c r="T761" s="528">
        <v>9</v>
      </c>
      <c r="U761" s="324">
        <f>E761/403*60</f>
        <v>0</v>
      </c>
      <c r="V761" s="676"/>
      <c r="W761" s="528"/>
      <c r="X761" s="529"/>
      <c r="Y761" s="323"/>
      <c r="Z761" s="312">
        <f t="shared" si="262"/>
        <v>0</v>
      </c>
      <c r="AA761" s="316">
        <f t="shared" si="270"/>
        <v>0</v>
      </c>
    </row>
    <row r="762" spans="1:27" ht="79.5" thickBot="1" x14ac:dyDescent="0.45">
      <c r="A762" s="319" t="s">
        <v>14</v>
      </c>
      <c r="B762" s="344" t="s">
        <v>1006</v>
      </c>
      <c r="C762" s="528"/>
      <c r="D762" s="530">
        <f>C762*16</f>
        <v>0</v>
      </c>
      <c r="E762" s="460">
        <f t="shared" si="272"/>
        <v>0</v>
      </c>
      <c r="F762" s="324">
        <f t="shared" si="273"/>
        <v>0</v>
      </c>
      <c r="G762" s="528">
        <f t="shared" si="274"/>
        <v>0</v>
      </c>
      <c r="H762" s="324" t="s">
        <v>18</v>
      </c>
      <c r="I762" s="528">
        <f t="shared" si="275"/>
        <v>0</v>
      </c>
      <c r="J762" s="324" t="s">
        <v>19</v>
      </c>
      <c r="K762" s="324"/>
      <c r="L762" s="324"/>
      <c r="M762" s="324">
        <f t="shared" si="276"/>
        <v>0</v>
      </c>
      <c r="N762" s="324"/>
      <c r="O762" s="324"/>
      <c r="P762" s="324"/>
      <c r="Q762" s="324" t="s">
        <v>18</v>
      </c>
      <c r="R762" s="324"/>
      <c r="S762" s="324" t="s">
        <v>19</v>
      </c>
      <c r="T762" s="528">
        <v>9</v>
      </c>
      <c r="U762" s="324">
        <f>E762/403*60</f>
        <v>0</v>
      </c>
      <c r="V762" s="676"/>
      <c r="W762" s="528"/>
      <c r="X762" s="529"/>
      <c r="Y762" s="360" t="s">
        <v>919</v>
      </c>
      <c r="Z762" s="312">
        <f t="shared" si="262"/>
        <v>0</v>
      </c>
      <c r="AA762" s="316">
        <f>SUM(Z762/260.8)</f>
        <v>0</v>
      </c>
    </row>
    <row r="763" spans="1:27" ht="79.5" thickBot="1" x14ac:dyDescent="0.45">
      <c r="A763" s="319" t="s">
        <v>14</v>
      </c>
      <c r="B763" s="344" t="s">
        <v>1007</v>
      </c>
      <c r="C763" s="528"/>
      <c r="D763" s="530">
        <f>C763*16</f>
        <v>0</v>
      </c>
      <c r="E763" s="460">
        <f t="shared" si="272"/>
        <v>0</v>
      </c>
      <c r="F763" s="324">
        <f t="shared" si="273"/>
        <v>0</v>
      </c>
      <c r="G763" s="528">
        <f t="shared" si="274"/>
        <v>0</v>
      </c>
      <c r="H763" s="324" t="s">
        <v>18</v>
      </c>
      <c r="I763" s="528">
        <f t="shared" si="275"/>
        <v>0</v>
      </c>
      <c r="J763" s="324" t="s">
        <v>19</v>
      </c>
      <c r="K763" s="324"/>
      <c r="L763" s="324"/>
      <c r="M763" s="324">
        <f t="shared" si="276"/>
        <v>0</v>
      </c>
      <c r="N763" s="324"/>
      <c r="O763" s="324"/>
      <c r="P763" s="324"/>
      <c r="Q763" s="324" t="s">
        <v>18</v>
      </c>
      <c r="R763" s="324"/>
      <c r="S763" s="324" t="s">
        <v>19</v>
      </c>
      <c r="T763" s="528">
        <v>9</v>
      </c>
      <c r="U763" s="324">
        <f>E763/403*60</f>
        <v>0</v>
      </c>
      <c r="V763" s="676"/>
      <c r="W763" s="528"/>
      <c r="X763" s="529"/>
      <c r="Y763" s="360" t="s">
        <v>921</v>
      </c>
      <c r="Z763" s="312">
        <f t="shared" si="262"/>
        <v>0</v>
      </c>
      <c r="AA763" s="316">
        <f>SUM(Z763/260.8)</f>
        <v>0</v>
      </c>
    </row>
    <row r="764" spans="1:27" ht="79.5" thickBot="1" x14ac:dyDescent="0.45">
      <c r="A764" s="319" t="s">
        <v>14</v>
      </c>
      <c r="B764" s="344" t="s">
        <v>703</v>
      </c>
      <c r="C764" s="528"/>
      <c r="D764" s="551">
        <f t="shared" si="271"/>
        <v>0</v>
      </c>
      <c r="E764" s="456">
        <f t="shared" si="272"/>
        <v>0</v>
      </c>
      <c r="F764" s="358">
        <f t="shared" si="273"/>
        <v>0</v>
      </c>
      <c r="G764" s="548">
        <f t="shared" si="274"/>
        <v>0</v>
      </c>
      <c r="H764" s="358" t="s">
        <v>18</v>
      </c>
      <c r="I764" s="548">
        <f t="shared" si="275"/>
        <v>0</v>
      </c>
      <c r="J764" s="358" t="s">
        <v>19</v>
      </c>
      <c r="K764" s="358"/>
      <c r="L764" s="358"/>
      <c r="M764" s="358">
        <f t="shared" si="276"/>
        <v>0</v>
      </c>
      <c r="N764" s="324"/>
      <c r="O764" s="324"/>
      <c r="P764" s="324"/>
      <c r="Q764" s="324" t="s">
        <v>18</v>
      </c>
      <c r="R764" s="324"/>
      <c r="S764" s="324" t="s">
        <v>19</v>
      </c>
      <c r="T764" s="528">
        <v>9</v>
      </c>
      <c r="U764" s="324"/>
      <c r="V764" s="676"/>
      <c r="W764" s="528"/>
      <c r="X764" s="529"/>
      <c r="Y764" s="360" t="s">
        <v>921</v>
      </c>
      <c r="Z764" s="312">
        <f t="shared" si="262"/>
        <v>0</v>
      </c>
      <c r="AA764" s="316">
        <f t="shared" si="270"/>
        <v>0</v>
      </c>
    </row>
    <row r="765" spans="1:27" ht="51.75" thickBot="1" x14ac:dyDescent="0.45">
      <c r="A765" s="319" t="s">
        <v>14</v>
      </c>
      <c r="B765" s="344" t="s">
        <v>798</v>
      </c>
      <c r="C765" s="528"/>
      <c r="D765" s="548">
        <f>C765*28</f>
        <v>0</v>
      </c>
      <c r="E765" s="456">
        <f>D765*0.125</f>
        <v>0</v>
      </c>
      <c r="F765" s="358">
        <f>E765*0.99*1.03/147</f>
        <v>0</v>
      </c>
      <c r="G765" s="548">
        <f t="shared" ref="G765:G772" si="277">INT(M765)</f>
        <v>0</v>
      </c>
      <c r="H765" s="358" t="s">
        <v>18</v>
      </c>
      <c r="I765" s="548">
        <f t="shared" ref="I765:I772" si="278">(M765-G765)*64</f>
        <v>0</v>
      </c>
      <c r="J765" s="358" t="s">
        <v>19</v>
      </c>
      <c r="K765" s="358"/>
      <c r="L765" s="358"/>
      <c r="M765" s="358">
        <f>(F765*6989)/2880</f>
        <v>0</v>
      </c>
      <c r="N765" s="324"/>
      <c r="O765" s="324"/>
      <c r="P765" s="324"/>
      <c r="Q765" s="324" t="s">
        <v>18</v>
      </c>
      <c r="R765" s="324"/>
      <c r="S765" s="324" t="s">
        <v>19</v>
      </c>
      <c r="T765" s="528">
        <v>9</v>
      </c>
      <c r="U765" s="324">
        <f>E765/403*60</f>
        <v>0</v>
      </c>
      <c r="V765" s="676"/>
      <c r="W765" s="528"/>
      <c r="X765" s="529"/>
      <c r="Y765" s="323"/>
      <c r="Z765" s="312">
        <f t="shared" si="262"/>
        <v>0</v>
      </c>
      <c r="AA765" s="316">
        <f t="shared" si="270"/>
        <v>0</v>
      </c>
    </row>
    <row r="766" spans="1:27" ht="79.5" thickBot="1" x14ac:dyDescent="0.45">
      <c r="A766" s="319" t="s">
        <v>14</v>
      </c>
      <c r="B766" s="370" t="s">
        <v>787</v>
      </c>
      <c r="C766" s="528"/>
      <c r="D766" s="548">
        <f>C766*28</f>
        <v>0</v>
      </c>
      <c r="E766" s="456">
        <f>D766*0.125</f>
        <v>0</v>
      </c>
      <c r="F766" s="358">
        <f>E766*0.99*1.03/147</f>
        <v>0</v>
      </c>
      <c r="G766" s="548">
        <f t="shared" si="277"/>
        <v>0</v>
      </c>
      <c r="H766" s="358" t="s">
        <v>18</v>
      </c>
      <c r="I766" s="548">
        <f t="shared" si="278"/>
        <v>0</v>
      </c>
      <c r="J766" s="358" t="s">
        <v>19</v>
      </c>
      <c r="K766" s="358"/>
      <c r="L766" s="358"/>
      <c r="M766" s="358">
        <f>(F766*6989)/2880</f>
        <v>0</v>
      </c>
      <c r="N766" s="324"/>
      <c r="O766" s="324"/>
      <c r="P766" s="324"/>
      <c r="Q766" s="324" t="s">
        <v>18</v>
      </c>
      <c r="R766" s="324"/>
      <c r="S766" s="324" t="s">
        <v>19</v>
      </c>
      <c r="T766" s="528">
        <v>9</v>
      </c>
      <c r="U766" s="324">
        <f>E766/403*60</f>
        <v>0</v>
      </c>
      <c r="V766" s="676"/>
      <c r="W766" s="528"/>
      <c r="X766" s="529"/>
      <c r="Y766" s="323"/>
      <c r="Z766" s="312">
        <f t="shared" si="262"/>
        <v>0</v>
      </c>
      <c r="AA766" s="316">
        <f t="shared" si="270"/>
        <v>0</v>
      </c>
    </row>
    <row r="767" spans="1:27" ht="79.5" thickBot="1" x14ac:dyDescent="0.45">
      <c r="A767" s="319" t="s">
        <v>14</v>
      </c>
      <c r="B767" s="370" t="s">
        <v>788</v>
      </c>
      <c r="C767" s="528"/>
      <c r="D767" s="548">
        <f>C767*28</f>
        <v>0</v>
      </c>
      <c r="E767" s="456">
        <f>D767*0.125</f>
        <v>0</v>
      </c>
      <c r="F767" s="358">
        <f>E767*0.99*1.03/147</f>
        <v>0</v>
      </c>
      <c r="G767" s="548">
        <f t="shared" si="277"/>
        <v>0</v>
      </c>
      <c r="H767" s="358" t="s">
        <v>18</v>
      </c>
      <c r="I767" s="548">
        <f t="shared" si="278"/>
        <v>0</v>
      </c>
      <c r="J767" s="358" t="s">
        <v>19</v>
      </c>
      <c r="K767" s="358"/>
      <c r="L767" s="358"/>
      <c r="M767" s="358">
        <f>(F767*6989)/2880</f>
        <v>0</v>
      </c>
      <c r="N767" s="324"/>
      <c r="O767" s="324"/>
      <c r="P767" s="324"/>
      <c r="Q767" s="324" t="s">
        <v>18</v>
      </c>
      <c r="R767" s="324"/>
      <c r="S767" s="324" t="s">
        <v>19</v>
      </c>
      <c r="T767" s="528">
        <v>9</v>
      </c>
      <c r="U767" s="324">
        <f>E767/403*60</f>
        <v>0</v>
      </c>
      <c r="V767" s="676"/>
      <c r="W767" s="528"/>
      <c r="X767" s="529"/>
      <c r="Y767" s="323"/>
      <c r="Z767" s="312">
        <f t="shared" si="262"/>
        <v>0</v>
      </c>
      <c r="AA767" s="316">
        <f t="shared" si="270"/>
        <v>0</v>
      </c>
    </row>
    <row r="768" spans="1:27" ht="51.75" thickBot="1" x14ac:dyDescent="0.45">
      <c r="A768" s="319" t="s">
        <v>14</v>
      </c>
      <c r="B768" s="320" t="s">
        <v>781</v>
      </c>
      <c r="C768" s="528"/>
      <c r="D768" s="548">
        <f>C768*10</f>
        <v>0</v>
      </c>
      <c r="E768" s="456">
        <f>D768*0.18</f>
        <v>0</v>
      </c>
      <c r="F768" s="358">
        <f>E768*0.99*1.03/147</f>
        <v>0</v>
      </c>
      <c r="G768" s="548">
        <f t="shared" si="277"/>
        <v>0</v>
      </c>
      <c r="H768" s="358" t="s">
        <v>18</v>
      </c>
      <c r="I768" s="548">
        <f t="shared" si="278"/>
        <v>0</v>
      </c>
      <c r="J768" s="358" t="s">
        <v>19</v>
      </c>
      <c r="K768" s="358"/>
      <c r="L768" s="358"/>
      <c r="M768" s="358">
        <f>(F768*6400)/2880</f>
        <v>0</v>
      </c>
      <c r="N768" s="324"/>
      <c r="O768" s="324"/>
      <c r="P768" s="324"/>
      <c r="Q768" s="324" t="s">
        <v>18</v>
      </c>
      <c r="R768" s="324"/>
      <c r="S768" s="324" t="s">
        <v>19</v>
      </c>
      <c r="T768" s="528">
        <v>9</v>
      </c>
      <c r="U768" s="324">
        <f>E768/237*60</f>
        <v>0</v>
      </c>
      <c r="V768" s="676"/>
      <c r="W768" s="528"/>
      <c r="X768" s="529"/>
      <c r="Y768" s="323"/>
      <c r="Z768" s="312">
        <f t="shared" si="262"/>
        <v>0</v>
      </c>
      <c r="AA768" s="316">
        <f>SUM(Z768/285.7)</f>
        <v>0</v>
      </c>
    </row>
    <row r="769" spans="1:28" s="728" customFormat="1" ht="158.25" outlineLevel="1" thickBot="1" x14ac:dyDescent="0.45">
      <c r="A769" s="636" t="s">
        <v>14</v>
      </c>
      <c r="B769" s="635" t="s">
        <v>1041</v>
      </c>
      <c r="C769" s="720"/>
      <c r="D769" s="720">
        <f>C769*12</f>
        <v>0</v>
      </c>
      <c r="E769" s="721">
        <f>D769*0.25</f>
        <v>0</v>
      </c>
      <c r="F769" s="722">
        <f>E769*0.9*1.01/147</f>
        <v>0</v>
      </c>
      <c r="G769" s="720">
        <f t="shared" si="277"/>
        <v>0</v>
      </c>
      <c r="H769" s="722" t="s">
        <v>18</v>
      </c>
      <c r="I769" s="720">
        <f t="shared" si="278"/>
        <v>0</v>
      </c>
      <c r="J769" s="722" t="s">
        <v>19</v>
      </c>
      <c r="K769" s="722"/>
      <c r="L769" s="722"/>
      <c r="M769" s="722">
        <f>(F769*6533/3456)</f>
        <v>0</v>
      </c>
      <c r="N769" s="722"/>
      <c r="O769" s="722"/>
      <c r="P769" s="722"/>
      <c r="Q769" s="722" t="s">
        <v>18</v>
      </c>
      <c r="R769" s="722"/>
      <c r="S769" s="722" t="s">
        <v>19</v>
      </c>
      <c r="T769" s="720">
        <v>9</v>
      </c>
      <c r="U769" s="722">
        <f>E769/390*60</f>
        <v>0</v>
      </c>
      <c r="V769" s="724"/>
      <c r="W769" s="720"/>
      <c r="X769" s="725"/>
      <c r="Y769" s="736" t="s">
        <v>920</v>
      </c>
      <c r="Z769" s="727">
        <f>E769/1.02/1.143</f>
        <v>0</v>
      </c>
      <c r="AA769" s="815">
        <f>SUM(AB769/256.5)</f>
        <v>0</v>
      </c>
      <c r="AB769" s="728">
        <f>E769/1.02</f>
        <v>0</v>
      </c>
    </row>
    <row r="770" spans="1:28" s="728" customFormat="1" ht="79.5" outlineLevel="1" thickBot="1" x14ac:dyDescent="0.45">
      <c r="A770" s="636" t="s">
        <v>14</v>
      </c>
      <c r="B770" s="635" t="s">
        <v>1042</v>
      </c>
      <c r="C770" s="720"/>
      <c r="D770" s="741">
        <f>C770*12</f>
        <v>0</v>
      </c>
      <c r="E770" s="721">
        <f>D770*0.25</f>
        <v>0</v>
      </c>
      <c r="F770" s="722">
        <f>E770*0.99*1.02/147</f>
        <v>0</v>
      </c>
      <c r="G770" s="720">
        <f t="shared" si="277"/>
        <v>0</v>
      </c>
      <c r="H770" s="722" t="s">
        <v>18</v>
      </c>
      <c r="I770" s="720">
        <f t="shared" si="278"/>
        <v>0</v>
      </c>
      <c r="J770" s="722" t="s">
        <v>19</v>
      </c>
      <c r="K770" s="722"/>
      <c r="L770" s="722"/>
      <c r="M770" s="722">
        <f>(F770*5880)/3456</f>
        <v>0</v>
      </c>
      <c r="N770" s="722"/>
      <c r="O770" s="722"/>
      <c r="P770" s="722"/>
      <c r="Q770" s="722" t="s">
        <v>18</v>
      </c>
      <c r="R770" s="722"/>
      <c r="S770" s="722" t="s">
        <v>19</v>
      </c>
      <c r="T770" s="720">
        <v>9</v>
      </c>
      <c r="U770" s="722">
        <f>E770/390*60</f>
        <v>0</v>
      </c>
      <c r="V770" s="724"/>
      <c r="W770" s="720"/>
      <c r="X770" s="725"/>
      <c r="Y770" s="736" t="s">
        <v>889</v>
      </c>
      <c r="Z770" s="727">
        <f t="shared" si="262"/>
        <v>0</v>
      </c>
      <c r="AA770" s="815">
        <f>SUM(Z770/310.5)</f>
        <v>0</v>
      </c>
    </row>
    <row r="771" spans="1:28" ht="53.25" thickBot="1" x14ac:dyDescent="0.45">
      <c r="A771" s="319" t="s">
        <v>14</v>
      </c>
      <c r="B771" s="368" t="s">
        <v>807</v>
      </c>
      <c r="C771" s="528"/>
      <c r="D771" s="551">
        <f>C771*8</f>
        <v>0</v>
      </c>
      <c r="E771" s="456">
        <f>D771*0.34</f>
        <v>0</v>
      </c>
      <c r="F771" s="358">
        <f>E771*0.99*1.01/147</f>
        <v>0</v>
      </c>
      <c r="G771" s="548">
        <f t="shared" si="277"/>
        <v>0</v>
      </c>
      <c r="H771" s="358" t="s">
        <v>18</v>
      </c>
      <c r="I771" s="548">
        <f t="shared" si="278"/>
        <v>0</v>
      </c>
      <c r="J771" s="358" t="s">
        <v>19</v>
      </c>
      <c r="K771" s="358"/>
      <c r="L771" s="358"/>
      <c r="M771" s="358">
        <f>(F771*5250)/2880</f>
        <v>0</v>
      </c>
      <c r="N771" s="358"/>
      <c r="O771" s="358"/>
      <c r="P771" s="358"/>
      <c r="Q771" s="358" t="s">
        <v>18</v>
      </c>
      <c r="R771" s="358"/>
      <c r="S771" s="358" t="s">
        <v>19</v>
      </c>
      <c r="T771" s="528">
        <v>9</v>
      </c>
      <c r="U771" s="324"/>
      <c r="V771" s="676"/>
      <c r="W771" s="528"/>
      <c r="X771" s="529"/>
      <c r="Y771" s="323"/>
      <c r="Z771" s="312">
        <f t="shared" si="262"/>
        <v>0</v>
      </c>
      <c r="AA771" s="316">
        <f>SUM(Z771/347.8)</f>
        <v>0</v>
      </c>
    </row>
    <row r="772" spans="1:28" ht="53.25" thickBot="1" x14ac:dyDescent="0.45">
      <c r="A772" s="319" t="s">
        <v>14</v>
      </c>
      <c r="B772" s="368" t="s">
        <v>808</v>
      </c>
      <c r="C772" s="528"/>
      <c r="D772" s="551">
        <f>C772*8</f>
        <v>0</v>
      </c>
      <c r="E772" s="456">
        <f>D772*0.34</f>
        <v>0</v>
      </c>
      <c r="F772" s="358">
        <f>E772*0.99*1.01/147</f>
        <v>0</v>
      </c>
      <c r="G772" s="548">
        <f t="shared" si="277"/>
        <v>0</v>
      </c>
      <c r="H772" s="358" t="s">
        <v>18</v>
      </c>
      <c r="I772" s="548">
        <f t="shared" si="278"/>
        <v>0</v>
      </c>
      <c r="J772" s="358" t="s">
        <v>19</v>
      </c>
      <c r="K772" s="358"/>
      <c r="L772" s="358"/>
      <c r="M772" s="358">
        <f>(F772*5250)/2880</f>
        <v>0</v>
      </c>
      <c r="N772" s="358"/>
      <c r="O772" s="358"/>
      <c r="P772" s="358"/>
      <c r="Q772" s="358" t="s">
        <v>18</v>
      </c>
      <c r="R772" s="358"/>
      <c r="S772" s="358" t="s">
        <v>19</v>
      </c>
      <c r="T772" s="528">
        <v>9</v>
      </c>
      <c r="U772" s="324">
        <f>E772/237*60</f>
        <v>0</v>
      </c>
      <c r="V772" s="676"/>
      <c r="W772" s="528"/>
      <c r="X772" s="529"/>
      <c r="Y772" s="323"/>
      <c r="Z772" s="312">
        <f t="shared" si="262"/>
        <v>0</v>
      </c>
      <c r="AA772" s="316">
        <f>SUM(Z772/347.8)</f>
        <v>0</v>
      </c>
    </row>
    <row r="773" spans="1:28" ht="79.5" thickBot="1" x14ac:dyDescent="0.45">
      <c r="A773" s="319" t="s">
        <v>14</v>
      </c>
      <c r="B773" s="362" t="s">
        <v>810</v>
      </c>
      <c r="C773" s="528"/>
      <c r="D773" s="551">
        <f>C773*8</f>
        <v>0</v>
      </c>
      <c r="E773" s="456">
        <f>D773*0.34</f>
        <v>0</v>
      </c>
      <c r="F773" s="358">
        <f>E773*0.99*1.01/147</f>
        <v>0</v>
      </c>
      <c r="G773" s="548">
        <f t="shared" si="274"/>
        <v>0</v>
      </c>
      <c r="H773" s="358" t="s">
        <v>18</v>
      </c>
      <c r="I773" s="548">
        <f t="shared" si="275"/>
        <v>0</v>
      </c>
      <c r="J773" s="358" t="s">
        <v>19</v>
      </c>
      <c r="K773" s="358"/>
      <c r="L773" s="358"/>
      <c r="M773" s="358">
        <f>(F773*5250)/2880</f>
        <v>0</v>
      </c>
      <c r="N773" s="358"/>
      <c r="O773" s="358"/>
      <c r="P773" s="358"/>
      <c r="Q773" s="358" t="s">
        <v>18</v>
      </c>
      <c r="R773" s="358"/>
      <c r="S773" s="358" t="s">
        <v>19</v>
      </c>
      <c r="T773" s="528">
        <v>9</v>
      </c>
      <c r="U773" s="324"/>
      <c r="V773" s="676"/>
      <c r="W773" s="528"/>
      <c r="X773" s="529"/>
      <c r="Y773" s="360" t="s">
        <v>921</v>
      </c>
      <c r="Z773" s="312">
        <f t="shared" si="262"/>
        <v>0</v>
      </c>
      <c r="AA773" s="316">
        <f>SUM(Z773/347.8)</f>
        <v>0</v>
      </c>
    </row>
    <row r="774" spans="1:28" ht="51.75" thickBot="1" x14ac:dyDescent="0.45">
      <c r="A774" s="319" t="s">
        <v>14</v>
      </c>
      <c r="B774" s="362" t="s">
        <v>812</v>
      </c>
      <c r="C774" s="528"/>
      <c r="D774" s="551">
        <f>C774*15</f>
        <v>0</v>
      </c>
      <c r="E774" s="456">
        <f>D774*0.18</f>
        <v>0</v>
      </c>
      <c r="F774" s="358">
        <f>E774*0.99*1.03/147</f>
        <v>0</v>
      </c>
      <c r="G774" s="548">
        <f t="shared" si="274"/>
        <v>0</v>
      </c>
      <c r="H774" s="358" t="s">
        <v>18</v>
      </c>
      <c r="I774" s="548">
        <f t="shared" si="275"/>
        <v>0</v>
      </c>
      <c r="J774" s="358" t="s">
        <v>19</v>
      </c>
      <c r="K774" s="358"/>
      <c r="L774" s="358"/>
      <c r="M774" s="358">
        <f>(F774*6450)/2880</f>
        <v>0</v>
      </c>
      <c r="N774" s="358"/>
      <c r="O774" s="358"/>
      <c r="P774" s="358"/>
      <c r="Q774" s="358" t="s">
        <v>18</v>
      </c>
      <c r="R774" s="358"/>
      <c r="S774" s="358" t="s">
        <v>19</v>
      </c>
      <c r="T774" s="528">
        <v>9</v>
      </c>
      <c r="U774" s="324">
        <f>E774/237*60</f>
        <v>0</v>
      </c>
      <c r="V774" s="676"/>
      <c r="W774" s="528"/>
      <c r="X774" s="529"/>
      <c r="Y774" s="323"/>
      <c r="Z774" s="312">
        <f t="shared" si="262"/>
        <v>0</v>
      </c>
      <c r="AA774" s="316">
        <f>SUM(Z774/285.7)</f>
        <v>0</v>
      </c>
    </row>
    <row r="775" spans="1:28" ht="51.75" thickBot="1" x14ac:dyDescent="0.45">
      <c r="A775" s="319" t="s">
        <v>14</v>
      </c>
      <c r="B775" s="362" t="s">
        <v>826</v>
      </c>
      <c r="C775" s="528"/>
      <c r="D775" s="551">
        <f>C775*12</f>
        <v>0</v>
      </c>
      <c r="E775" s="456">
        <f>D775*0.5</f>
        <v>0</v>
      </c>
      <c r="F775" s="358">
        <f>E775*1.02*0.99/147</f>
        <v>0</v>
      </c>
      <c r="G775" s="548">
        <f t="shared" si="274"/>
        <v>0</v>
      </c>
      <c r="H775" s="358" t="s">
        <v>18</v>
      </c>
      <c r="I775" s="548">
        <f t="shared" si="275"/>
        <v>0</v>
      </c>
      <c r="J775" s="358" t="s">
        <v>19</v>
      </c>
      <c r="K775" s="358"/>
      <c r="L775" s="358"/>
      <c r="M775" s="358">
        <f>(F775*5257)/2880</f>
        <v>0</v>
      </c>
      <c r="N775" s="358"/>
      <c r="O775" s="358"/>
      <c r="P775" s="358"/>
      <c r="Q775" s="358" t="s">
        <v>18</v>
      </c>
      <c r="R775" s="358"/>
      <c r="S775" s="358" t="s">
        <v>19</v>
      </c>
      <c r="T775" s="528">
        <v>9</v>
      </c>
      <c r="U775" s="324"/>
      <c r="V775" s="676"/>
      <c r="W775" s="528"/>
      <c r="X775" s="529"/>
      <c r="Y775" s="711"/>
      <c r="Z775" s="312">
        <f t="shared" si="262"/>
        <v>0</v>
      </c>
      <c r="AA775" s="316">
        <f>SUM(Z775/323)</f>
        <v>0</v>
      </c>
    </row>
    <row r="776" spans="1:28" ht="51.75" thickBot="1" x14ac:dyDescent="0.45">
      <c r="A776" s="319" t="s">
        <v>14</v>
      </c>
      <c r="B776" s="371" t="s">
        <v>860</v>
      </c>
      <c r="C776" s="528"/>
      <c r="D776" s="548">
        <f>C776*12</f>
        <v>0</v>
      </c>
      <c r="E776" s="456">
        <f>D776*0.2</f>
        <v>0</v>
      </c>
      <c r="F776" s="358">
        <f>E776*0.99*1.03/147</f>
        <v>0</v>
      </c>
      <c r="G776" s="548">
        <f t="shared" ref="G776:G798" si="279">INT(M776)</f>
        <v>0</v>
      </c>
      <c r="H776" s="358" t="s">
        <v>18</v>
      </c>
      <c r="I776" s="548">
        <f t="shared" ref="I776:I798" si="280">(M776-G776)*64</f>
        <v>0</v>
      </c>
      <c r="J776" s="358" t="s">
        <v>19</v>
      </c>
      <c r="K776" s="358"/>
      <c r="L776" s="358"/>
      <c r="M776" s="358">
        <f>(F776*8655)/2880</f>
        <v>0</v>
      </c>
      <c r="N776" s="358"/>
      <c r="O776" s="358"/>
      <c r="P776" s="358"/>
      <c r="Q776" s="358" t="s">
        <v>18</v>
      </c>
      <c r="R776" s="358"/>
      <c r="S776" s="358" t="s">
        <v>19</v>
      </c>
      <c r="T776" s="528">
        <v>9</v>
      </c>
      <c r="U776" s="324">
        <f>E776/403*60</f>
        <v>0</v>
      </c>
      <c r="V776" s="676"/>
      <c r="W776" s="528"/>
      <c r="X776" s="529"/>
      <c r="Y776" s="323"/>
      <c r="Z776" s="312">
        <f t="shared" si="262"/>
        <v>0</v>
      </c>
      <c r="AA776" s="316">
        <f>SUM(Z776/204.9)</f>
        <v>0</v>
      </c>
    </row>
    <row r="777" spans="1:28" ht="51.75" thickBot="1" x14ac:dyDescent="0.45">
      <c r="A777" s="319" t="s">
        <v>14</v>
      </c>
      <c r="B777" s="371" t="s">
        <v>861</v>
      </c>
      <c r="C777" s="528"/>
      <c r="D777" s="548">
        <f>C777*12</f>
        <v>0</v>
      </c>
      <c r="E777" s="456">
        <f>D777*0.2</f>
        <v>0</v>
      </c>
      <c r="F777" s="358">
        <f>E777*0.99*1.03/147</f>
        <v>0</v>
      </c>
      <c r="G777" s="548">
        <f t="shared" si="279"/>
        <v>0</v>
      </c>
      <c r="H777" s="358" t="s">
        <v>18</v>
      </c>
      <c r="I777" s="548">
        <f t="shared" si="280"/>
        <v>0</v>
      </c>
      <c r="J777" s="358" t="s">
        <v>19</v>
      </c>
      <c r="K777" s="358"/>
      <c r="L777" s="358"/>
      <c r="M777" s="358">
        <f>(F777*8655)/2880</f>
        <v>0</v>
      </c>
      <c r="N777" s="358"/>
      <c r="O777" s="358"/>
      <c r="P777" s="358"/>
      <c r="Q777" s="358" t="s">
        <v>18</v>
      </c>
      <c r="R777" s="358"/>
      <c r="S777" s="358" t="s">
        <v>19</v>
      </c>
      <c r="T777" s="528">
        <v>9</v>
      </c>
      <c r="U777" s="324">
        <f>E777/403*60</f>
        <v>0</v>
      </c>
      <c r="V777" s="676"/>
      <c r="W777" s="528"/>
      <c r="X777" s="529"/>
      <c r="Y777" s="323"/>
      <c r="Z777" s="312">
        <f t="shared" si="262"/>
        <v>0</v>
      </c>
      <c r="AA777" s="316">
        <f>SUM(Z777/204.9)</f>
        <v>0</v>
      </c>
    </row>
    <row r="778" spans="1:28" ht="79.5" thickBot="1" x14ac:dyDescent="0.45">
      <c r="A778" s="319" t="s">
        <v>14</v>
      </c>
      <c r="B778" s="362" t="s">
        <v>1184</v>
      </c>
      <c r="C778" s="528"/>
      <c r="D778" s="551">
        <f>C778*16</f>
        <v>0</v>
      </c>
      <c r="E778" s="457">
        <f>D778*0.25</f>
        <v>0</v>
      </c>
      <c r="F778" s="359">
        <f t="shared" ref="F778:F785" si="281">E778*0.9*1.01/147</f>
        <v>0</v>
      </c>
      <c r="G778" s="558">
        <f t="shared" si="279"/>
        <v>0</v>
      </c>
      <c r="H778" s="366" t="s">
        <v>18</v>
      </c>
      <c r="I778" s="556">
        <f t="shared" si="280"/>
        <v>0</v>
      </c>
      <c r="J778" s="366" t="s">
        <v>19</v>
      </c>
      <c r="K778" s="366"/>
      <c r="L778" s="366"/>
      <c r="M778" s="366">
        <f>(F778*7777/3456)</f>
        <v>0</v>
      </c>
      <c r="N778" s="366"/>
      <c r="O778" s="366"/>
      <c r="P778" s="366"/>
      <c r="Q778" s="358" t="s">
        <v>18</v>
      </c>
      <c r="R778" s="358"/>
      <c r="S778" s="358" t="s">
        <v>19</v>
      </c>
      <c r="T778" s="528">
        <v>9</v>
      </c>
      <c r="U778" s="324">
        <f t="shared" ref="U778:U783" si="282">E778/390*60</f>
        <v>0</v>
      </c>
      <c r="V778" s="676"/>
      <c r="W778" s="528"/>
      <c r="X778" s="529"/>
      <c r="Y778" s="367" t="s">
        <v>919</v>
      </c>
      <c r="Z778" s="312">
        <f t="shared" ref="Z778:Z785" si="283">E778/1.02/1.143</f>
        <v>0</v>
      </c>
      <c r="AA778" s="316">
        <f>SUM(AB778/215.5)</f>
        <v>0</v>
      </c>
      <c r="AB778" s="310">
        <f t="shared" ref="AB778:AB785" si="284">E778/1.02</f>
        <v>0</v>
      </c>
    </row>
    <row r="779" spans="1:28" ht="79.5" thickBot="1" x14ac:dyDescent="0.45">
      <c r="A779" s="319" t="s">
        <v>14</v>
      </c>
      <c r="B779" s="362" t="s">
        <v>856</v>
      </c>
      <c r="C779" s="528"/>
      <c r="D779" s="551">
        <f>C779*16</f>
        <v>0</v>
      </c>
      <c r="E779" s="457">
        <f>D779*0.25</f>
        <v>0</v>
      </c>
      <c r="F779" s="359">
        <f t="shared" si="281"/>
        <v>0</v>
      </c>
      <c r="G779" s="558">
        <f t="shared" si="279"/>
        <v>0</v>
      </c>
      <c r="H779" s="366" t="s">
        <v>18</v>
      </c>
      <c r="I779" s="556">
        <f t="shared" si="280"/>
        <v>0</v>
      </c>
      <c r="J779" s="366" t="s">
        <v>19</v>
      </c>
      <c r="K779" s="366"/>
      <c r="L779" s="366"/>
      <c r="M779" s="366">
        <f>(F779*7777/3456)</f>
        <v>0</v>
      </c>
      <c r="N779" s="366"/>
      <c r="O779" s="366"/>
      <c r="P779" s="366"/>
      <c r="Q779" s="358" t="s">
        <v>18</v>
      </c>
      <c r="R779" s="358"/>
      <c r="S779" s="358" t="s">
        <v>19</v>
      </c>
      <c r="T779" s="528">
        <v>9</v>
      </c>
      <c r="U779" s="324">
        <f t="shared" si="282"/>
        <v>0</v>
      </c>
      <c r="V779" s="676"/>
      <c r="W779" s="528"/>
      <c r="X779" s="529"/>
      <c r="Y779" s="658" t="s">
        <v>919</v>
      </c>
      <c r="Z779" s="312">
        <f t="shared" si="283"/>
        <v>0</v>
      </c>
      <c r="AA779" s="316">
        <f>SUM(AB779/215.5)</f>
        <v>0</v>
      </c>
      <c r="AB779" s="310">
        <f t="shared" si="284"/>
        <v>0</v>
      </c>
    </row>
    <row r="780" spans="1:28" ht="79.5" thickBot="1" x14ac:dyDescent="0.45">
      <c r="A780" s="319" t="s">
        <v>14</v>
      </c>
      <c r="B780" s="802" t="s">
        <v>1207</v>
      </c>
      <c r="C780" s="528"/>
      <c r="D780" s="550">
        <f>C780*12</f>
        <v>0</v>
      </c>
      <c r="E780" s="456">
        <f>D780*0.27</f>
        <v>0</v>
      </c>
      <c r="F780" s="358">
        <f>E780*0.87*1.01/151</f>
        <v>0</v>
      </c>
      <c r="G780" s="358">
        <f>INT(M780)</f>
        <v>0</v>
      </c>
      <c r="H780" s="358" t="s">
        <v>18</v>
      </c>
      <c r="I780" s="548">
        <f>(M780-G780)*64</f>
        <v>0</v>
      </c>
      <c r="J780" s="358" t="s">
        <v>19</v>
      </c>
      <c r="K780" s="358"/>
      <c r="L780" s="358"/>
      <c r="M780" s="358">
        <f>F780*7889/3456</f>
        <v>0</v>
      </c>
      <c r="N780" s="461"/>
      <c r="O780" s="461"/>
      <c r="P780" s="366"/>
      <c r="Q780" s="358" t="s">
        <v>18</v>
      </c>
      <c r="R780" s="358"/>
      <c r="S780" s="358" t="s">
        <v>19</v>
      </c>
      <c r="T780" s="528">
        <v>9</v>
      </c>
      <c r="U780" s="324">
        <f t="shared" si="282"/>
        <v>0</v>
      </c>
      <c r="V780" s="676"/>
      <c r="W780" s="528"/>
      <c r="X780" s="529"/>
      <c r="Y780" s="367" t="s">
        <v>919</v>
      </c>
      <c r="Z780" s="312">
        <f>E780/1.051/1.143</f>
        <v>0</v>
      </c>
      <c r="AA780" s="316">
        <f>SUM(AB780/230.85)</f>
        <v>0</v>
      </c>
      <c r="AB780" s="310">
        <f>E780/1.051</f>
        <v>0</v>
      </c>
    </row>
    <row r="781" spans="1:28" ht="79.5" thickBot="1" x14ac:dyDescent="0.45">
      <c r="A781" s="319" t="s">
        <v>14</v>
      </c>
      <c r="B781" s="802" t="s">
        <v>1221</v>
      </c>
      <c r="C781" s="528"/>
      <c r="D781" s="550">
        <f>C781*7</f>
        <v>0</v>
      </c>
      <c r="E781" s="456">
        <f>D781*0.27</f>
        <v>0</v>
      </c>
      <c r="F781" s="358">
        <f>E781*0.87*1.01/151</f>
        <v>0</v>
      </c>
      <c r="G781" s="358">
        <f>INT(M781)</f>
        <v>0</v>
      </c>
      <c r="H781" s="358" t="s">
        <v>18</v>
      </c>
      <c r="I781" s="548">
        <f>(M781-G781)*64</f>
        <v>0</v>
      </c>
      <c r="J781" s="358" t="s">
        <v>19</v>
      </c>
      <c r="K781" s="358"/>
      <c r="L781" s="358"/>
      <c r="M781" s="358">
        <f>F781*7889/3456</f>
        <v>0</v>
      </c>
      <c r="N781" s="461"/>
      <c r="O781" s="461"/>
      <c r="P781" s="366"/>
      <c r="Q781" s="358" t="s">
        <v>18</v>
      </c>
      <c r="R781" s="358"/>
      <c r="S781" s="358" t="s">
        <v>19</v>
      </c>
      <c r="T781" s="528">
        <v>9</v>
      </c>
      <c r="U781" s="324">
        <f t="shared" si="282"/>
        <v>0</v>
      </c>
      <c r="V781" s="676"/>
      <c r="W781" s="528"/>
      <c r="X781" s="529"/>
      <c r="Y781" s="367" t="s">
        <v>919</v>
      </c>
      <c r="Z781" s="312">
        <f>E781/1.051/1.143</f>
        <v>0</v>
      </c>
      <c r="AA781" s="316">
        <f>SUM(AB781/230.85)</f>
        <v>0</v>
      </c>
      <c r="AB781" s="310">
        <f>E781/1.051</f>
        <v>0</v>
      </c>
    </row>
    <row r="782" spans="1:28" ht="79.5" thickBot="1" x14ac:dyDescent="0.45">
      <c r="A782" s="319" t="s">
        <v>14</v>
      </c>
      <c r="B782" s="362" t="s">
        <v>1073</v>
      </c>
      <c r="C782" s="528"/>
      <c r="D782" s="709">
        <f>C782*16</f>
        <v>0</v>
      </c>
      <c r="E782" s="496">
        <f>D782*0.25</f>
        <v>0</v>
      </c>
      <c r="F782" s="354">
        <f t="shared" si="281"/>
        <v>0</v>
      </c>
      <c r="G782" s="710">
        <f t="shared" si="279"/>
        <v>0</v>
      </c>
      <c r="H782" s="555" t="s">
        <v>18</v>
      </c>
      <c r="I782" s="553">
        <f t="shared" si="280"/>
        <v>0</v>
      </c>
      <c r="J782" s="555" t="s">
        <v>19</v>
      </c>
      <c r="K782" s="555"/>
      <c r="L782" s="555"/>
      <c r="M782" s="555">
        <f>(F782*7777/3456)</f>
        <v>0</v>
      </c>
      <c r="N782" s="555"/>
      <c r="O782" s="555"/>
      <c r="P782" s="555"/>
      <c r="Q782" s="324" t="s">
        <v>18</v>
      </c>
      <c r="R782" s="324"/>
      <c r="S782" s="324" t="s">
        <v>19</v>
      </c>
      <c r="T782" s="528">
        <v>9</v>
      </c>
      <c r="U782" s="324">
        <f t="shared" si="282"/>
        <v>0</v>
      </c>
      <c r="V782" s="676"/>
      <c r="W782" s="528"/>
      <c r="X782" s="529"/>
      <c r="Y782" s="668" t="s">
        <v>919</v>
      </c>
      <c r="Z782" s="312">
        <f t="shared" si="283"/>
        <v>0</v>
      </c>
      <c r="AA782" s="316">
        <f>SUM(AB782/215.5)</f>
        <v>0</v>
      </c>
      <c r="AB782" s="310">
        <f t="shared" si="284"/>
        <v>0</v>
      </c>
    </row>
    <row r="783" spans="1:28" ht="79.5" thickBot="1" x14ac:dyDescent="0.45">
      <c r="A783" s="319" t="s">
        <v>14</v>
      </c>
      <c r="B783" s="362" t="s">
        <v>1074</v>
      </c>
      <c r="C783" s="528"/>
      <c r="D783" s="709">
        <f>C783*16</f>
        <v>0</v>
      </c>
      <c r="E783" s="496">
        <f>D783*0.25</f>
        <v>0</v>
      </c>
      <c r="F783" s="354">
        <f t="shared" si="281"/>
        <v>0</v>
      </c>
      <c r="G783" s="710">
        <f t="shared" si="279"/>
        <v>0</v>
      </c>
      <c r="H783" s="555" t="s">
        <v>18</v>
      </c>
      <c r="I783" s="553">
        <f t="shared" si="280"/>
        <v>0</v>
      </c>
      <c r="J783" s="555" t="s">
        <v>19</v>
      </c>
      <c r="K783" s="555"/>
      <c r="L783" s="555"/>
      <c r="M783" s="555">
        <f>(F783*7777/3456)</f>
        <v>0</v>
      </c>
      <c r="N783" s="555"/>
      <c r="O783" s="555"/>
      <c r="P783" s="555"/>
      <c r="Q783" s="324" t="s">
        <v>18</v>
      </c>
      <c r="R783" s="324"/>
      <c r="S783" s="324" t="s">
        <v>19</v>
      </c>
      <c r="T783" s="528">
        <v>9</v>
      </c>
      <c r="U783" s="324">
        <f t="shared" si="282"/>
        <v>0</v>
      </c>
      <c r="V783" s="676"/>
      <c r="W783" s="528"/>
      <c r="X783" s="529"/>
      <c r="Y783" s="660" t="s">
        <v>919</v>
      </c>
      <c r="Z783" s="312">
        <f t="shared" si="283"/>
        <v>0</v>
      </c>
      <c r="AA783" s="316">
        <f>SUM(AB783/215.5)</f>
        <v>0</v>
      </c>
      <c r="AB783" s="310">
        <f t="shared" si="284"/>
        <v>0</v>
      </c>
    </row>
    <row r="784" spans="1:28" ht="84.75" customHeight="1" thickBot="1" x14ac:dyDescent="0.45">
      <c r="A784" s="319" t="s">
        <v>14</v>
      </c>
      <c r="B784" s="362" t="s">
        <v>904</v>
      </c>
      <c r="C784" s="528"/>
      <c r="D784" s="569">
        <f>C784*12</f>
        <v>0</v>
      </c>
      <c r="E784" s="458">
        <f>D784*0.55</f>
        <v>0</v>
      </c>
      <c r="F784" s="358">
        <f t="shared" si="281"/>
        <v>0</v>
      </c>
      <c r="G784" s="556">
        <f t="shared" si="279"/>
        <v>0</v>
      </c>
      <c r="H784" s="366" t="s">
        <v>18</v>
      </c>
      <c r="I784" s="556">
        <f t="shared" si="280"/>
        <v>0</v>
      </c>
      <c r="J784" s="366" t="s">
        <v>19</v>
      </c>
      <c r="K784" s="366"/>
      <c r="L784" s="366"/>
      <c r="M784" s="570">
        <f>(F784*5300/3456)</f>
        <v>0</v>
      </c>
      <c r="N784" s="366"/>
      <c r="O784" s="366"/>
      <c r="P784" s="366"/>
      <c r="Q784" s="366" t="s">
        <v>18</v>
      </c>
      <c r="R784" s="366"/>
      <c r="S784" s="366" t="s">
        <v>19</v>
      </c>
      <c r="T784" s="528">
        <v>9</v>
      </c>
      <c r="U784" s="324"/>
      <c r="V784" s="676"/>
      <c r="W784" s="528"/>
      <c r="X784" s="529"/>
      <c r="Y784" s="658"/>
      <c r="Z784" s="312">
        <f t="shared" si="283"/>
        <v>0</v>
      </c>
      <c r="AA784" s="316">
        <f>SUM(AB784/323)</f>
        <v>0</v>
      </c>
      <c r="AB784" s="310">
        <f t="shared" si="284"/>
        <v>0</v>
      </c>
    </row>
    <row r="785" spans="1:28" ht="84.75" customHeight="1" thickBot="1" x14ac:dyDescent="0.45">
      <c r="A785" s="319" t="s">
        <v>14</v>
      </c>
      <c r="B785" s="362" t="s">
        <v>905</v>
      </c>
      <c r="C785" s="528"/>
      <c r="D785" s="569">
        <f>C785*12</f>
        <v>0</v>
      </c>
      <c r="E785" s="458">
        <f>D785*0.55</f>
        <v>0</v>
      </c>
      <c r="F785" s="358">
        <f t="shared" si="281"/>
        <v>0</v>
      </c>
      <c r="G785" s="556">
        <f t="shared" si="279"/>
        <v>0</v>
      </c>
      <c r="H785" s="366" t="s">
        <v>18</v>
      </c>
      <c r="I785" s="556">
        <f t="shared" si="280"/>
        <v>0</v>
      </c>
      <c r="J785" s="366" t="s">
        <v>19</v>
      </c>
      <c r="K785" s="366"/>
      <c r="L785" s="366"/>
      <c r="M785" s="570">
        <f>(F785*5300/3456)</f>
        <v>0</v>
      </c>
      <c r="N785" s="366"/>
      <c r="O785" s="366"/>
      <c r="P785" s="366"/>
      <c r="Q785" s="366" t="s">
        <v>18</v>
      </c>
      <c r="R785" s="366"/>
      <c r="S785" s="366" t="s">
        <v>19</v>
      </c>
      <c r="T785" s="528">
        <v>9</v>
      </c>
      <c r="U785" s="324"/>
      <c r="V785" s="676"/>
      <c r="W785" s="528"/>
      <c r="X785" s="529"/>
      <c r="Y785" s="660"/>
      <c r="Z785" s="312">
        <f t="shared" si="283"/>
        <v>0</v>
      </c>
      <c r="AA785" s="316">
        <f>SUM(AB785/323)</f>
        <v>0</v>
      </c>
      <c r="AB785" s="310">
        <f t="shared" si="284"/>
        <v>0</v>
      </c>
    </row>
    <row r="786" spans="1:28" ht="51.75" thickBot="1" x14ac:dyDescent="0.45">
      <c r="A786" s="319" t="s">
        <v>14</v>
      </c>
      <c r="B786" s="344" t="s">
        <v>846</v>
      </c>
      <c r="C786" s="528"/>
      <c r="D786" s="551">
        <f>C786*12</f>
        <v>0</v>
      </c>
      <c r="E786" s="456">
        <f t="shared" ref="E786:E792" si="285">D786*0.25</f>
        <v>0</v>
      </c>
      <c r="F786" s="358">
        <f t="shared" ref="F786:F792" si="286">E786*0.99*1.03/147</f>
        <v>0</v>
      </c>
      <c r="G786" s="548">
        <f t="shared" si="279"/>
        <v>0</v>
      </c>
      <c r="H786" s="358" t="s">
        <v>18</v>
      </c>
      <c r="I786" s="548">
        <f t="shared" si="280"/>
        <v>0</v>
      </c>
      <c r="J786" s="358" t="s">
        <v>19</v>
      </c>
      <c r="K786" s="358"/>
      <c r="L786" s="358"/>
      <c r="M786" s="358">
        <f t="shared" ref="M786:M791" si="287">(F786*6989)/2880</f>
        <v>0</v>
      </c>
      <c r="N786" s="358"/>
      <c r="O786" s="358"/>
      <c r="P786" s="358"/>
      <c r="Q786" s="358" t="s">
        <v>18</v>
      </c>
      <c r="R786" s="358"/>
      <c r="S786" s="358" t="s">
        <v>19</v>
      </c>
      <c r="T786" s="528">
        <v>9</v>
      </c>
      <c r="U786" s="324">
        <f t="shared" ref="U786:U792" si="288">E786/403*60</f>
        <v>0</v>
      </c>
      <c r="V786" s="676"/>
      <c r="W786" s="528"/>
      <c r="X786" s="529"/>
      <c r="Y786" s="381"/>
      <c r="Z786" s="312">
        <f>E786/1.02</f>
        <v>0</v>
      </c>
      <c r="AA786" s="316">
        <f t="shared" ref="AA786:AA792" si="289">SUM(Z786/260.8)</f>
        <v>0</v>
      </c>
    </row>
    <row r="787" spans="1:28" ht="51.75" thickBot="1" x14ac:dyDescent="0.45">
      <c r="A787" s="319" t="s">
        <v>14</v>
      </c>
      <c r="B787" s="344" t="s">
        <v>847</v>
      </c>
      <c r="C787" s="528"/>
      <c r="D787" s="551">
        <f>C787*12</f>
        <v>0</v>
      </c>
      <c r="E787" s="456">
        <f t="shared" si="285"/>
        <v>0</v>
      </c>
      <c r="F787" s="358">
        <f t="shared" si="286"/>
        <v>0</v>
      </c>
      <c r="G787" s="548">
        <f t="shared" si="279"/>
        <v>0</v>
      </c>
      <c r="H787" s="358" t="s">
        <v>18</v>
      </c>
      <c r="I787" s="548">
        <f t="shared" si="280"/>
        <v>0</v>
      </c>
      <c r="J787" s="358" t="s">
        <v>19</v>
      </c>
      <c r="K787" s="358"/>
      <c r="L787" s="358"/>
      <c r="M787" s="358">
        <f t="shared" si="287"/>
        <v>0</v>
      </c>
      <c r="N787" s="358"/>
      <c r="O787" s="358"/>
      <c r="P787" s="358"/>
      <c r="Q787" s="358" t="s">
        <v>18</v>
      </c>
      <c r="R787" s="358"/>
      <c r="S787" s="358" t="s">
        <v>19</v>
      </c>
      <c r="T787" s="528">
        <v>9</v>
      </c>
      <c r="U787" s="324">
        <f t="shared" si="288"/>
        <v>0</v>
      </c>
      <c r="V787" s="676"/>
      <c r="W787" s="528"/>
      <c r="X787" s="529"/>
      <c r="Y787" s="323"/>
      <c r="Z787" s="312">
        <f>E787/1.02</f>
        <v>0</v>
      </c>
      <c r="AA787" s="316">
        <f t="shared" si="289"/>
        <v>0</v>
      </c>
    </row>
    <row r="788" spans="1:28" ht="51.75" thickBot="1" x14ac:dyDescent="0.45">
      <c r="A788" s="319" t="s">
        <v>14</v>
      </c>
      <c r="B788" s="344" t="s">
        <v>848</v>
      </c>
      <c r="C788" s="528"/>
      <c r="D788" s="551">
        <f>C788*12</f>
        <v>0</v>
      </c>
      <c r="E788" s="456">
        <f t="shared" si="285"/>
        <v>0</v>
      </c>
      <c r="F788" s="358">
        <f t="shared" si="286"/>
        <v>0</v>
      </c>
      <c r="G788" s="548">
        <f t="shared" si="279"/>
        <v>0</v>
      </c>
      <c r="H788" s="358" t="s">
        <v>18</v>
      </c>
      <c r="I788" s="548">
        <f t="shared" si="280"/>
        <v>0</v>
      </c>
      <c r="J788" s="358" t="s">
        <v>19</v>
      </c>
      <c r="K788" s="358"/>
      <c r="L788" s="358"/>
      <c r="M788" s="358">
        <f t="shared" si="287"/>
        <v>0</v>
      </c>
      <c r="N788" s="358"/>
      <c r="O788" s="358"/>
      <c r="P788" s="358"/>
      <c r="Q788" s="358" t="s">
        <v>18</v>
      </c>
      <c r="R788" s="358"/>
      <c r="S788" s="358" t="s">
        <v>19</v>
      </c>
      <c r="T788" s="528">
        <v>9</v>
      </c>
      <c r="U788" s="324">
        <f t="shared" si="288"/>
        <v>0</v>
      </c>
      <c r="V788" s="676"/>
      <c r="W788" s="528"/>
      <c r="X788" s="529"/>
      <c r="Y788" s="323"/>
      <c r="Z788" s="312">
        <f>E788/1.1</f>
        <v>0</v>
      </c>
      <c r="AA788" s="316">
        <f t="shared" si="289"/>
        <v>0</v>
      </c>
    </row>
    <row r="789" spans="1:28" ht="51.75" thickBot="1" x14ac:dyDescent="0.45">
      <c r="A789" s="319" t="s">
        <v>14</v>
      </c>
      <c r="B789" s="879" t="s">
        <v>1211</v>
      </c>
      <c r="C789" s="528"/>
      <c r="D789" s="551">
        <f>C789*14</f>
        <v>0</v>
      </c>
      <c r="E789" s="456">
        <f t="shared" si="285"/>
        <v>0</v>
      </c>
      <c r="F789" s="358">
        <f t="shared" si="286"/>
        <v>0</v>
      </c>
      <c r="G789" s="548">
        <f t="shared" si="279"/>
        <v>0</v>
      </c>
      <c r="H789" s="358" t="s">
        <v>18</v>
      </c>
      <c r="I789" s="548">
        <f t="shared" si="280"/>
        <v>0</v>
      </c>
      <c r="J789" s="358" t="s">
        <v>19</v>
      </c>
      <c r="K789" s="358"/>
      <c r="L789" s="358"/>
      <c r="M789" s="358">
        <f t="shared" si="287"/>
        <v>0</v>
      </c>
      <c r="N789" s="358"/>
      <c r="O789" s="358"/>
      <c r="P789" s="358"/>
      <c r="Q789" s="358" t="s">
        <v>18</v>
      </c>
      <c r="R789" s="358"/>
      <c r="S789" s="358" t="s">
        <v>19</v>
      </c>
      <c r="T789" s="528">
        <v>9</v>
      </c>
      <c r="U789" s="324">
        <f t="shared" si="288"/>
        <v>0</v>
      </c>
      <c r="V789" s="676"/>
      <c r="W789" s="528"/>
      <c r="X789" s="529"/>
      <c r="Y789" s="323"/>
      <c r="Z789" s="312">
        <f>E789/1.02</f>
        <v>0</v>
      </c>
      <c r="AA789" s="316">
        <f t="shared" si="289"/>
        <v>0</v>
      </c>
    </row>
    <row r="790" spans="1:28" ht="51.75" thickBot="1" x14ac:dyDescent="0.45">
      <c r="A790" s="319" t="s">
        <v>14</v>
      </c>
      <c r="B790" s="879" t="s">
        <v>1213</v>
      </c>
      <c r="C790" s="528"/>
      <c r="D790" s="551">
        <f>C790*14</f>
        <v>0</v>
      </c>
      <c r="E790" s="456">
        <f t="shared" si="285"/>
        <v>0</v>
      </c>
      <c r="F790" s="358">
        <f t="shared" si="286"/>
        <v>0</v>
      </c>
      <c r="G790" s="548">
        <f t="shared" si="279"/>
        <v>0</v>
      </c>
      <c r="H790" s="358" t="s">
        <v>18</v>
      </c>
      <c r="I790" s="548">
        <f t="shared" si="280"/>
        <v>0</v>
      </c>
      <c r="J790" s="358" t="s">
        <v>19</v>
      </c>
      <c r="K790" s="358"/>
      <c r="L790" s="358"/>
      <c r="M790" s="358">
        <f t="shared" si="287"/>
        <v>0</v>
      </c>
      <c r="N790" s="358"/>
      <c r="O790" s="358"/>
      <c r="P790" s="358"/>
      <c r="Q790" s="358" t="s">
        <v>18</v>
      </c>
      <c r="R790" s="358"/>
      <c r="S790" s="358" t="s">
        <v>19</v>
      </c>
      <c r="T790" s="528">
        <v>9</v>
      </c>
      <c r="U790" s="324">
        <f t="shared" si="288"/>
        <v>0</v>
      </c>
      <c r="V790" s="676"/>
      <c r="W790" s="528"/>
      <c r="X790" s="529"/>
      <c r="Y790" s="323"/>
      <c r="Z790" s="312">
        <f>E790/1.02</f>
        <v>0</v>
      </c>
      <c r="AA790" s="316">
        <f t="shared" si="289"/>
        <v>0</v>
      </c>
    </row>
    <row r="791" spans="1:28" ht="51.75" thickBot="1" x14ac:dyDescent="0.45">
      <c r="A791" s="319" t="s">
        <v>14</v>
      </c>
      <c r="B791" s="879" t="s">
        <v>1212</v>
      </c>
      <c r="C791" s="528"/>
      <c r="D791" s="551">
        <f>C791*14</f>
        <v>0</v>
      </c>
      <c r="E791" s="456">
        <f t="shared" si="285"/>
        <v>0</v>
      </c>
      <c r="F791" s="358">
        <f t="shared" si="286"/>
        <v>0</v>
      </c>
      <c r="G791" s="548">
        <f t="shared" si="279"/>
        <v>0</v>
      </c>
      <c r="H791" s="358" t="s">
        <v>18</v>
      </c>
      <c r="I791" s="548">
        <f t="shared" si="280"/>
        <v>0</v>
      </c>
      <c r="J791" s="358" t="s">
        <v>19</v>
      </c>
      <c r="K791" s="358"/>
      <c r="L791" s="358"/>
      <c r="M791" s="358">
        <f t="shared" si="287"/>
        <v>0</v>
      </c>
      <c r="N791" s="358"/>
      <c r="O791" s="358"/>
      <c r="P791" s="358"/>
      <c r="Q791" s="358" t="s">
        <v>18</v>
      </c>
      <c r="R791" s="358"/>
      <c r="S791" s="358" t="s">
        <v>19</v>
      </c>
      <c r="T791" s="528">
        <v>9</v>
      </c>
      <c r="U791" s="324">
        <f t="shared" si="288"/>
        <v>0</v>
      </c>
      <c r="V791" s="676"/>
      <c r="W791" s="528"/>
      <c r="X791" s="529"/>
      <c r="Y791" s="323"/>
      <c r="Z791" s="312">
        <f>E791/1.1</f>
        <v>0</v>
      </c>
      <c r="AA791" s="316">
        <f t="shared" si="289"/>
        <v>0</v>
      </c>
    </row>
    <row r="792" spans="1:28" ht="77.25" thickBot="1" x14ac:dyDescent="0.45">
      <c r="A792" s="319" t="s">
        <v>14</v>
      </c>
      <c r="B792" s="344" t="s">
        <v>910</v>
      </c>
      <c r="C792" s="528"/>
      <c r="D792" s="548">
        <f>C792*12</f>
        <v>0</v>
      </c>
      <c r="E792" s="456">
        <f t="shared" si="285"/>
        <v>0</v>
      </c>
      <c r="F792" s="358">
        <f t="shared" si="286"/>
        <v>0</v>
      </c>
      <c r="G792" s="548">
        <f t="shared" si="279"/>
        <v>0</v>
      </c>
      <c r="H792" s="358" t="s">
        <v>18</v>
      </c>
      <c r="I792" s="548">
        <f t="shared" si="280"/>
        <v>0</v>
      </c>
      <c r="J792" s="358" t="s">
        <v>19</v>
      </c>
      <c r="K792" s="358"/>
      <c r="L792" s="358"/>
      <c r="M792" s="358">
        <f>(F792*7000)/2880</f>
        <v>0</v>
      </c>
      <c r="N792" s="358"/>
      <c r="O792" s="358"/>
      <c r="P792" s="358"/>
      <c r="Q792" s="358" t="s">
        <v>18</v>
      </c>
      <c r="R792" s="358"/>
      <c r="S792" s="358" t="s">
        <v>19</v>
      </c>
      <c r="T792" s="528">
        <v>9</v>
      </c>
      <c r="U792" s="324">
        <f t="shared" si="288"/>
        <v>0</v>
      </c>
      <c r="V792" s="676"/>
      <c r="W792" s="528"/>
      <c r="X792" s="529"/>
      <c r="Y792" s="323"/>
      <c r="Z792" s="312">
        <f>E792/1.1</f>
        <v>0</v>
      </c>
      <c r="AA792" s="316">
        <f t="shared" si="289"/>
        <v>0</v>
      </c>
    </row>
    <row r="793" spans="1:28" ht="53.25" thickBot="1" x14ac:dyDescent="0.45">
      <c r="A793" s="319" t="s">
        <v>14</v>
      </c>
      <c r="B793" s="320" t="s">
        <v>1021</v>
      </c>
      <c r="C793" s="528"/>
      <c r="D793" s="530">
        <f>C793*22</f>
        <v>0</v>
      </c>
      <c r="E793" s="460">
        <f>D793*0.13</f>
        <v>0</v>
      </c>
      <c r="F793" s="324">
        <f t="shared" ref="F793:F798" si="290">E793*0.99*1.02/170</f>
        <v>0</v>
      </c>
      <c r="G793" s="324">
        <f t="shared" si="279"/>
        <v>0</v>
      </c>
      <c r="H793" s="324" t="s">
        <v>18</v>
      </c>
      <c r="I793" s="528">
        <f t="shared" si="280"/>
        <v>0</v>
      </c>
      <c r="J793" s="324" t="s">
        <v>19</v>
      </c>
      <c r="K793" s="324"/>
      <c r="L793" s="324"/>
      <c r="M793" s="324">
        <f t="shared" ref="M793:M798" si="291">(F793*8500)/3456</f>
        <v>0</v>
      </c>
      <c r="N793" s="324"/>
      <c r="O793" s="324"/>
      <c r="P793" s="324"/>
      <c r="Q793" s="324" t="s">
        <v>18</v>
      </c>
      <c r="R793" s="324"/>
      <c r="S793" s="324" t="s">
        <v>19</v>
      </c>
      <c r="T793" s="528">
        <v>9</v>
      </c>
      <c r="U793" s="324">
        <f t="shared" ref="U793:U798" si="292">E793/237*60</f>
        <v>0</v>
      </c>
      <c r="V793" s="676"/>
      <c r="W793" s="528"/>
      <c r="X793" s="529"/>
      <c r="Y793" s="323" t="s">
        <v>1022</v>
      </c>
      <c r="Z793" s="312">
        <f t="shared" ref="Z793:Z798" si="293">E793/1.026</f>
        <v>0</v>
      </c>
      <c r="AA793" s="316">
        <f>SUM(Z793/273)</f>
        <v>0</v>
      </c>
    </row>
    <row r="794" spans="1:28" ht="53.25" thickBot="1" x14ac:dyDescent="0.45">
      <c r="A794" s="319" t="s">
        <v>14</v>
      </c>
      <c r="B794" s="799" t="s">
        <v>1223</v>
      </c>
      <c r="C794" s="528"/>
      <c r="D794" s="530">
        <f>C794*12</f>
        <v>0</v>
      </c>
      <c r="E794" s="460">
        <f>D794*0.13</f>
        <v>0</v>
      </c>
      <c r="F794" s="324">
        <f t="shared" si="290"/>
        <v>0</v>
      </c>
      <c r="G794" s="324">
        <f t="shared" si="279"/>
        <v>0</v>
      </c>
      <c r="H794" s="324" t="s">
        <v>18</v>
      </c>
      <c r="I794" s="528">
        <f t="shared" si="280"/>
        <v>0</v>
      </c>
      <c r="J794" s="324" t="s">
        <v>19</v>
      </c>
      <c r="K794" s="324"/>
      <c r="L794" s="324"/>
      <c r="M794" s="324">
        <f t="shared" si="291"/>
        <v>0</v>
      </c>
      <c r="N794" s="324"/>
      <c r="O794" s="324"/>
      <c r="P794" s="324"/>
      <c r="Q794" s="324" t="s">
        <v>18</v>
      </c>
      <c r="R794" s="324"/>
      <c r="S794" s="324" t="s">
        <v>19</v>
      </c>
      <c r="T794" s="528">
        <v>9</v>
      </c>
      <c r="U794" s="324">
        <f t="shared" si="292"/>
        <v>0</v>
      </c>
      <c r="V794" s="676"/>
      <c r="W794" s="528"/>
      <c r="X794" s="529"/>
      <c r="Y794" s="323" t="s">
        <v>1022</v>
      </c>
      <c r="Z794" s="312">
        <f t="shared" si="293"/>
        <v>0</v>
      </c>
      <c r="AA794" s="316">
        <f>SUM(Z794/273)</f>
        <v>0</v>
      </c>
    </row>
    <row r="795" spans="1:28" ht="53.25" thickBot="1" x14ac:dyDescent="0.45">
      <c r="A795" s="319" t="s">
        <v>14</v>
      </c>
      <c r="B795" s="320" t="s">
        <v>1023</v>
      </c>
      <c r="C795" s="528"/>
      <c r="D795" s="530">
        <f>C795*8</f>
        <v>0</v>
      </c>
      <c r="E795" s="460">
        <f>D795*0.16</f>
        <v>0</v>
      </c>
      <c r="F795" s="324">
        <f t="shared" si="290"/>
        <v>0</v>
      </c>
      <c r="G795" s="324">
        <f t="shared" si="279"/>
        <v>0</v>
      </c>
      <c r="H795" s="324" t="s">
        <v>18</v>
      </c>
      <c r="I795" s="528">
        <f t="shared" si="280"/>
        <v>0</v>
      </c>
      <c r="J795" s="324" t="s">
        <v>19</v>
      </c>
      <c r="K795" s="324"/>
      <c r="L795" s="324"/>
      <c r="M795" s="324">
        <f t="shared" si="291"/>
        <v>0</v>
      </c>
      <c r="N795" s="324"/>
      <c r="O795" s="324"/>
      <c r="P795" s="324"/>
      <c r="Q795" s="324" t="s">
        <v>18</v>
      </c>
      <c r="R795" s="324"/>
      <c r="S795" s="324" t="s">
        <v>19</v>
      </c>
      <c r="T795" s="528">
        <v>9</v>
      </c>
      <c r="U795" s="324">
        <f t="shared" si="292"/>
        <v>0</v>
      </c>
      <c r="V795" s="676"/>
      <c r="W795" s="528"/>
      <c r="X795" s="529"/>
      <c r="Y795" s="323" t="s">
        <v>1022</v>
      </c>
      <c r="Z795" s="312">
        <f t="shared" si="293"/>
        <v>0</v>
      </c>
      <c r="AA795" s="316">
        <f>SUM(Z795/248)</f>
        <v>0</v>
      </c>
    </row>
    <row r="796" spans="1:28" ht="53.25" thickBot="1" x14ac:dyDescent="0.45">
      <c r="A796" s="319" t="s">
        <v>14</v>
      </c>
      <c r="B796" s="320" t="s">
        <v>1195</v>
      </c>
      <c r="C796" s="528"/>
      <c r="D796" s="551">
        <f>C796*12</f>
        <v>0</v>
      </c>
      <c r="E796" s="456">
        <f>D796*0.16</f>
        <v>0</v>
      </c>
      <c r="F796" s="358">
        <f t="shared" si="290"/>
        <v>0</v>
      </c>
      <c r="G796" s="358">
        <f t="shared" si="279"/>
        <v>0</v>
      </c>
      <c r="H796" s="358" t="s">
        <v>18</v>
      </c>
      <c r="I796" s="548">
        <f t="shared" si="280"/>
        <v>0</v>
      </c>
      <c r="J796" s="358" t="s">
        <v>19</v>
      </c>
      <c r="K796" s="358"/>
      <c r="L796" s="358"/>
      <c r="M796" s="358">
        <f t="shared" si="291"/>
        <v>0</v>
      </c>
      <c r="N796" s="324"/>
      <c r="O796" s="324"/>
      <c r="P796" s="324"/>
      <c r="Q796" s="324" t="s">
        <v>18</v>
      </c>
      <c r="R796" s="324"/>
      <c r="S796" s="324" t="s">
        <v>19</v>
      </c>
      <c r="T796" s="528">
        <v>9</v>
      </c>
      <c r="U796" s="324">
        <f t="shared" si="292"/>
        <v>0</v>
      </c>
      <c r="V796" s="676"/>
      <c r="W796" s="528"/>
      <c r="X796" s="529"/>
      <c r="Y796" s="323" t="s">
        <v>1022</v>
      </c>
      <c r="Z796" s="312">
        <f t="shared" si="293"/>
        <v>0</v>
      </c>
      <c r="AA796" s="316">
        <f>SUM(Z796/248)</f>
        <v>0</v>
      </c>
    </row>
    <row r="797" spans="1:28" ht="53.25" thickBot="1" x14ac:dyDescent="0.45">
      <c r="A797" s="319" t="s">
        <v>14</v>
      </c>
      <c r="B797" s="799" t="s">
        <v>1215</v>
      </c>
      <c r="C797" s="528"/>
      <c r="D797" s="551">
        <f>C797*10</f>
        <v>0</v>
      </c>
      <c r="E797" s="456">
        <f>D797*0.16</f>
        <v>0</v>
      </c>
      <c r="F797" s="358">
        <f t="shared" si="290"/>
        <v>0</v>
      </c>
      <c r="G797" s="358">
        <f t="shared" si="279"/>
        <v>0</v>
      </c>
      <c r="H797" s="358" t="s">
        <v>18</v>
      </c>
      <c r="I797" s="548">
        <f t="shared" si="280"/>
        <v>0</v>
      </c>
      <c r="J797" s="358" t="s">
        <v>19</v>
      </c>
      <c r="K797" s="358"/>
      <c r="L797" s="358"/>
      <c r="M797" s="358">
        <f t="shared" si="291"/>
        <v>0</v>
      </c>
      <c r="N797" s="324"/>
      <c r="O797" s="324"/>
      <c r="P797" s="324"/>
      <c r="Q797" s="324" t="s">
        <v>18</v>
      </c>
      <c r="R797" s="324"/>
      <c r="S797" s="324" t="s">
        <v>19</v>
      </c>
      <c r="T797" s="528">
        <v>9</v>
      </c>
      <c r="U797" s="324">
        <f t="shared" si="292"/>
        <v>0</v>
      </c>
      <c r="V797" s="676"/>
      <c r="W797" s="528"/>
      <c r="X797" s="529"/>
      <c r="Y797" s="323" t="s">
        <v>1022</v>
      </c>
      <c r="Z797" s="312">
        <f t="shared" si="293"/>
        <v>0</v>
      </c>
      <c r="AA797" s="316">
        <f>SUM(Z797/248)</f>
        <v>0</v>
      </c>
    </row>
    <row r="798" spans="1:28" ht="77.25" thickBot="1" x14ac:dyDescent="0.45">
      <c r="A798" s="319" t="s">
        <v>14</v>
      </c>
      <c r="B798" s="320" t="s">
        <v>1182</v>
      </c>
      <c r="C798" s="528"/>
      <c r="D798" s="530">
        <f>C798*10</f>
        <v>0</v>
      </c>
      <c r="E798" s="460">
        <f>D798*0.26</f>
        <v>0</v>
      </c>
      <c r="F798" s="324">
        <f t="shared" si="290"/>
        <v>0</v>
      </c>
      <c r="G798" s="324">
        <f t="shared" si="279"/>
        <v>0</v>
      </c>
      <c r="H798" s="324" t="s">
        <v>18</v>
      </c>
      <c r="I798" s="528">
        <f t="shared" si="280"/>
        <v>0</v>
      </c>
      <c r="J798" s="324" t="s">
        <v>19</v>
      </c>
      <c r="K798" s="324"/>
      <c r="L798" s="324"/>
      <c r="M798" s="324">
        <f t="shared" si="291"/>
        <v>0</v>
      </c>
      <c r="N798" s="324"/>
      <c r="O798" s="324"/>
      <c r="P798" s="324"/>
      <c r="Q798" s="324" t="s">
        <v>18</v>
      </c>
      <c r="R798" s="324"/>
      <c r="S798" s="324" t="s">
        <v>19</v>
      </c>
      <c r="T798" s="528">
        <v>9</v>
      </c>
      <c r="U798" s="324">
        <f t="shared" si="292"/>
        <v>0</v>
      </c>
      <c r="V798" s="676"/>
      <c r="W798" s="528"/>
      <c r="X798" s="529"/>
      <c r="Y798" s="323" t="s">
        <v>1022</v>
      </c>
      <c r="Z798" s="312">
        <f t="shared" si="293"/>
        <v>0</v>
      </c>
      <c r="AA798" s="316">
        <f>SUM(Z798/273)</f>
        <v>0</v>
      </c>
    </row>
    <row r="799" spans="1:28" thickBot="1" x14ac:dyDescent="0.45">
      <c r="A799" s="319"/>
      <c r="B799" s="319"/>
      <c r="C799" s="528"/>
      <c r="D799" s="528"/>
      <c r="E799" s="460"/>
      <c r="F799" s="324"/>
      <c r="G799" s="528"/>
      <c r="H799" s="324"/>
      <c r="I799" s="528"/>
      <c r="J799" s="324"/>
      <c r="K799" s="324"/>
      <c r="L799" s="324"/>
      <c r="M799" s="324"/>
      <c r="N799" s="324"/>
      <c r="O799" s="324"/>
      <c r="P799" s="324"/>
      <c r="Q799" s="324"/>
      <c r="R799" s="324"/>
      <c r="S799" s="324"/>
      <c r="T799" s="528"/>
      <c r="U799" s="324"/>
      <c r="V799" s="676"/>
      <c r="W799" s="528"/>
      <c r="X799" s="529"/>
      <c r="Y799" s="323"/>
    </row>
    <row r="800" spans="1:28" thickBot="1" x14ac:dyDescent="0.45">
      <c r="A800" s="319"/>
      <c r="B800" s="319"/>
      <c r="C800" s="528"/>
      <c r="D800" s="528"/>
      <c r="E800" s="460"/>
      <c r="F800" s="324"/>
      <c r="G800" s="528"/>
      <c r="H800" s="324"/>
      <c r="I800" s="528"/>
      <c r="J800" s="324"/>
      <c r="K800" s="324"/>
      <c r="L800" s="324"/>
      <c r="M800" s="324"/>
      <c r="N800" s="324"/>
      <c r="O800" s="324"/>
      <c r="P800" s="324"/>
      <c r="Q800" s="324"/>
      <c r="R800" s="324"/>
      <c r="S800" s="324"/>
      <c r="T800" s="528"/>
      <c r="U800" s="324"/>
      <c r="V800" s="676"/>
      <c r="W800" s="528"/>
      <c r="X800" s="529"/>
      <c r="Y800" s="323"/>
    </row>
    <row r="801" spans="1:29" ht="333" thickBot="1" x14ac:dyDescent="0.45">
      <c r="A801" s="829"/>
      <c r="B801" s="304" t="s">
        <v>119</v>
      </c>
      <c r="C801" s="537"/>
      <c r="D801" s="537"/>
      <c r="E801" s="499">
        <v>160</v>
      </c>
      <c r="F801" s="538"/>
      <c r="G801" s="528"/>
      <c r="H801" s="324"/>
      <c r="I801" s="528"/>
      <c r="J801" s="324"/>
      <c r="K801" s="324"/>
      <c r="L801" s="324"/>
      <c r="M801" s="324"/>
      <c r="N801" s="324"/>
      <c r="O801" s="324"/>
      <c r="P801" s="324"/>
      <c r="Q801" s="324"/>
      <c r="R801" s="324"/>
      <c r="S801" s="324"/>
      <c r="T801" s="528"/>
      <c r="U801" s="324"/>
      <c r="V801" s="676"/>
      <c r="W801" s="528"/>
      <c r="X801" s="529"/>
      <c r="Y801" s="397" t="s">
        <v>1049</v>
      </c>
      <c r="AA801" s="916" t="s">
        <v>1050</v>
      </c>
      <c r="AB801" s="916"/>
      <c r="AC801" s="916"/>
    </row>
    <row r="802" spans="1:29" thickBot="1" x14ac:dyDescent="0.45">
      <c r="A802" s="829"/>
      <c r="B802" s="332" t="s">
        <v>120</v>
      </c>
      <c r="C802" s="537"/>
      <c r="D802" s="537"/>
      <c r="E802" s="496">
        <f>SUM(E610:E798)</f>
        <v>8800</v>
      </c>
      <c r="F802" s="496">
        <f>SUM(F610:F798)</f>
        <v>52.760816326530609</v>
      </c>
      <c r="G802" s="528"/>
      <c r="H802" s="324"/>
      <c r="I802" s="528"/>
      <c r="J802" s="324"/>
      <c r="K802" s="324"/>
      <c r="L802" s="324"/>
      <c r="M802" s="324"/>
      <c r="N802" s="324"/>
      <c r="O802" s="324"/>
      <c r="P802" s="324"/>
      <c r="Q802" s="324"/>
      <c r="R802" s="324"/>
      <c r="S802" s="324"/>
      <c r="T802" s="528"/>
      <c r="U802" s="324"/>
      <c r="V802" s="676"/>
      <c r="W802" s="528"/>
      <c r="X802" s="529"/>
      <c r="Y802" s="323"/>
    </row>
    <row r="803" spans="1:29" thickBot="1" x14ac:dyDescent="0.45">
      <c r="A803" s="829"/>
      <c r="B803" s="332" t="s">
        <v>121</v>
      </c>
      <c r="C803" s="537"/>
      <c r="D803" s="537"/>
      <c r="E803" s="496">
        <f>E802+E604</f>
        <v>8800</v>
      </c>
      <c r="F803" s="354"/>
      <c r="G803" s="528"/>
      <c r="H803" s="324"/>
      <c r="I803" s="528"/>
      <c r="J803" s="324"/>
      <c r="K803" s="324"/>
      <c r="L803" s="324"/>
      <c r="M803" s="324"/>
      <c r="N803" s="324"/>
      <c r="O803" s="324"/>
      <c r="P803" s="324"/>
      <c r="Q803" s="324"/>
      <c r="R803" s="324"/>
      <c r="S803" s="324"/>
      <c r="T803" s="528"/>
      <c r="U803" s="324"/>
      <c r="V803" s="676"/>
      <c r="W803" s="528"/>
      <c r="X803" s="529"/>
      <c r="Y803" s="323"/>
    </row>
    <row r="804" spans="1:29" thickBot="1" x14ac:dyDescent="0.45">
      <c r="A804" s="830"/>
      <c r="B804" s="319"/>
      <c r="C804" s="528"/>
      <c r="D804" s="528"/>
      <c r="E804" s="460"/>
      <c r="F804" s="324"/>
      <c r="G804" s="528"/>
      <c r="H804" s="324"/>
      <c r="I804" s="528"/>
      <c r="J804" s="324"/>
      <c r="K804" s="324"/>
      <c r="L804" s="324"/>
      <c r="M804" s="324"/>
      <c r="N804" s="324"/>
      <c r="O804" s="324"/>
      <c r="P804" s="324"/>
      <c r="Q804" s="324"/>
      <c r="R804" s="324"/>
      <c r="S804" s="324"/>
      <c r="T804" s="528"/>
      <c r="U804" s="324"/>
      <c r="V804" s="676"/>
      <c r="W804" s="528"/>
      <c r="X804" s="529"/>
      <c r="Y804" s="323"/>
    </row>
    <row r="805" spans="1:29" thickBot="1" x14ac:dyDescent="0.45">
      <c r="A805" s="319"/>
      <c r="B805" s="319"/>
      <c r="C805" s="528"/>
      <c r="D805" s="528"/>
      <c r="E805" s="460"/>
      <c r="F805" s="324"/>
      <c r="G805" s="528"/>
      <c r="H805" s="324"/>
      <c r="I805" s="528"/>
      <c r="J805" s="324"/>
      <c r="K805" s="324"/>
      <c r="L805" s="324"/>
      <c r="M805" s="324"/>
      <c r="N805" s="324"/>
      <c r="O805" s="324"/>
      <c r="P805" s="324"/>
      <c r="Q805" s="324"/>
      <c r="R805" s="324"/>
      <c r="S805" s="324"/>
      <c r="T805" s="528"/>
      <c r="U805" s="324"/>
      <c r="V805" s="676"/>
      <c r="W805" s="528"/>
      <c r="X805" s="529"/>
      <c r="Y805" s="323"/>
    </row>
    <row r="806" spans="1:29" thickBot="1" x14ac:dyDescent="0.45">
      <c r="A806" s="301"/>
      <c r="B806" s="306" t="s">
        <v>876</v>
      </c>
      <c r="C806" s="559"/>
      <c r="D806" s="559"/>
      <c r="E806" s="510"/>
      <c r="F806" s="471"/>
      <c r="G806" s="559"/>
      <c r="H806" s="471"/>
      <c r="I806" s="559"/>
      <c r="J806" s="471"/>
      <c r="K806" s="471"/>
      <c r="L806" s="471"/>
      <c r="M806" s="471"/>
      <c r="N806" s="471"/>
      <c r="O806" s="471"/>
      <c r="P806" s="471"/>
      <c r="Q806" s="471"/>
      <c r="R806" s="471"/>
      <c r="S806" s="471"/>
      <c r="T806" s="559"/>
      <c r="U806" s="471"/>
      <c r="V806" s="687"/>
      <c r="W806" s="471"/>
      <c r="X806" s="471"/>
      <c r="Y806" s="373"/>
    </row>
    <row r="807" spans="1:29" thickBot="1" x14ac:dyDescent="0.45">
      <c r="A807" s="829"/>
      <c r="B807" s="642" t="s">
        <v>1091</v>
      </c>
      <c r="C807" s="539"/>
      <c r="D807" s="539"/>
      <c r="E807" s="502"/>
      <c r="F807" s="333"/>
      <c r="G807" s="539"/>
      <c r="H807" s="333"/>
      <c r="I807" s="539"/>
      <c r="J807" s="333"/>
      <c r="K807" s="333"/>
      <c r="L807" s="333"/>
      <c r="M807" s="333"/>
      <c r="N807" s="333"/>
      <c r="O807" s="333"/>
      <c r="P807" s="333"/>
      <c r="Q807" s="333"/>
      <c r="R807" s="333"/>
      <c r="S807" s="333"/>
      <c r="T807" s="539"/>
      <c r="U807" s="333"/>
      <c r="V807" s="681"/>
      <c r="W807" s="539"/>
      <c r="X807" s="333"/>
      <c r="Y807" s="323"/>
    </row>
    <row r="808" spans="1:29" thickBot="1" x14ac:dyDescent="0.45">
      <c r="A808" s="829"/>
      <c r="B808" s="642" t="s">
        <v>1092</v>
      </c>
      <c r="C808" s="539"/>
      <c r="D808" s="539"/>
      <c r="E808" s="502"/>
      <c r="F808" s="333"/>
      <c r="G808" s="539"/>
      <c r="H808" s="333"/>
      <c r="I808" s="539"/>
      <c r="J808" s="333"/>
      <c r="K808" s="333"/>
      <c r="L808" s="333"/>
      <c r="M808" s="333"/>
      <c r="N808" s="333"/>
      <c r="O808" s="333"/>
      <c r="P808" s="333"/>
      <c r="Q808" s="333"/>
      <c r="R808" s="333"/>
      <c r="S808" s="333"/>
      <c r="T808" s="539"/>
      <c r="U808" s="333"/>
      <c r="V808" s="681"/>
      <c r="W808" s="539"/>
      <c r="X808" s="333"/>
      <c r="Y808" s="323"/>
    </row>
    <row r="809" spans="1:29" thickBot="1" x14ac:dyDescent="0.45">
      <c r="A809" s="829"/>
      <c r="B809" s="302" t="s">
        <v>289</v>
      </c>
      <c r="C809" s="347"/>
      <c r="D809" s="347"/>
      <c r="E809" s="494"/>
      <c r="F809" s="348"/>
      <c r="G809" s="347"/>
      <c r="H809" s="348"/>
      <c r="I809" s="347"/>
      <c r="J809" s="348"/>
      <c r="K809" s="348"/>
      <c r="L809" s="348"/>
      <c r="M809" s="348"/>
      <c r="N809" s="348"/>
      <c r="O809" s="348"/>
      <c r="P809" s="348"/>
      <c r="Q809" s="348"/>
      <c r="R809" s="348"/>
      <c r="S809" s="348"/>
      <c r="T809" s="347"/>
      <c r="U809" s="348"/>
      <c r="V809" s="356"/>
      <c r="W809" s="348"/>
      <c r="X809" s="495"/>
      <c r="Y809" s="349"/>
    </row>
    <row r="810" spans="1:29" thickBot="1" x14ac:dyDescent="0.45">
      <c r="A810" s="830"/>
      <c r="B810" s="332" t="s">
        <v>285</v>
      </c>
      <c r="C810" s="347"/>
      <c r="D810" s="347"/>
      <c r="E810" s="494"/>
      <c r="F810" s="348"/>
      <c r="G810" s="347"/>
      <c r="H810" s="348"/>
      <c r="I810" s="347"/>
      <c r="J810" s="348"/>
      <c r="K810" s="348"/>
      <c r="L810" s="348"/>
      <c r="M810" s="348"/>
      <c r="N810" s="348"/>
      <c r="O810" s="348"/>
      <c r="P810" s="348"/>
      <c r="Q810" s="348"/>
      <c r="R810" s="348"/>
      <c r="S810" s="348"/>
      <c r="T810" s="347"/>
      <c r="U810" s="348"/>
      <c r="V810" s="356"/>
      <c r="W810" s="348"/>
      <c r="X810" s="495"/>
      <c r="Y810" s="357"/>
    </row>
    <row r="811" spans="1:29" thickBot="1" x14ac:dyDescent="0.45">
      <c r="A811" s="830"/>
      <c r="B811" s="332" t="s">
        <v>299</v>
      </c>
      <c r="C811" s="347"/>
      <c r="D811" s="347"/>
      <c r="E811" s="494"/>
      <c r="F811" s="348"/>
      <c r="G811" s="347"/>
      <c r="H811" s="348"/>
      <c r="I811" s="347"/>
      <c r="J811" s="348"/>
      <c r="K811" s="348"/>
      <c r="L811" s="348"/>
      <c r="M811" s="348"/>
      <c r="N811" s="348"/>
      <c r="O811" s="348"/>
      <c r="P811" s="348"/>
      <c r="Q811" s="348"/>
      <c r="R811" s="348"/>
      <c r="S811" s="348"/>
      <c r="T811" s="347"/>
      <c r="U811" s="348"/>
      <c r="V811" s="356"/>
      <c r="W811" s="348"/>
      <c r="X811" s="495"/>
      <c r="Y811" s="357"/>
    </row>
    <row r="812" spans="1:29" ht="234.75" customHeight="1" thickBot="1" x14ac:dyDescent="0.45">
      <c r="A812" s="319" t="s">
        <v>1088</v>
      </c>
      <c r="B812" s="362" t="s">
        <v>783</v>
      </c>
      <c r="C812" s="528"/>
      <c r="D812" s="530"/>
      <c r="E812" s="456">
        <f>C812*4</f>
        <v>0</v>
      </c>
      <c r="F812" s="358">
        <f t="shared" ref="F812:F817" si="294">E812*1.01*0.72/147</f>
        <v>0</v>
      </c>
      <c r="G812" s="548">
        <f t="shared" ref="G812:G821" si="295">INT(M812)</f>
        <v>0</v>
      </c>
      <c r="H812" s="358" t="s">
        <v>18</v>
      </c>
      <c r="I812" s="548">
        <f t="shared" ref="I812:I821" si="296">(M812-G812)*64</f>
        <v>0</v>
      </c>
      <c r="J812" s="358" t="s">
        <v>19</v>
      </c>
      <c r="K812" s="358"/>
      <c r="L812" s="358"/>
      <c r="M812" s="358">
        <f t="shared" ref="M812:M817" si="297">(F812*6035/3456)</f>
        <v>0</v>
      </c>
      <c r="N812" s="324"/>
      <c r="O812" s="324"/>
      <c r="P812" s="324"/>
      <c r="Q812" s="324" t="s">
        <v>18</v>
      </c>
      <c r="R812" s="324"/>
      <c r="S812" s="324" t="s">
        <v>19</v>
      </c>
      <c r="T812" s="528"/>
      <c r="U812" s="324">
        <f>E812/324*60</f>
        <v>0</v>
      </c>
      <c r="V812" s="676"/>
      <c r="W812" s="528"/>
      <c r="X812" s="529"/>
      <c r="Y812" s="645" t="s">
        <v>1134</v>
      </c>
      <c r="Z812" s="312">
        <f t="shared" ref="Z812:Z817" si="298">E812/1.21/1.143</f>
        <v>0</v>
      </c>
      <c r="AA812" s="316">
        <f>SUM(AB812/453.6)</f>
        <v>0</v>
      </c>
      <c r="AB812" s="310">
        <f t="shared" ref="AB812:AB817" si="299">E812/1.21</f>
        <v>0</v>
      </c>
      <c r="AC812" s="643"/>
    </row>
    <row r="813" spans="1:29" ht="239.25" customHeight="1" thickBot="1" x14ac:dyDescent="0.45">
      <c r="A813" s="319" t="s">
        <v>1088</v>
      </c>
      <c r="B813" s="362" t="s">
        <v>784</v>
      </c>
      <c r="C813" s="528"/>
      <c r="D813" s="530"/>
      <c r="E813" s="456">
        <f>C813*4</f>
        <v>0</v>
      </c>
      <c r="F813" s="358">
        <f t="shared" si="294"/>
        <v>0</v>
      </c>
      <c r="G813" s="548">
        <f t="shared" si="295"/>
        <v>0</v>
      </c>
      <c r="H813" s="358" t="s">
        <v>18</v>
      </c>
      <c r="I813" s="548">
        <f t="shared" si="296"/>
        <v>0</v>
      </c>
      <c r="J813" s="358" t="s">
        <v>19</v>
      </c>
      <c r="K813" s="358"/>
      <c r="L813" s="358"/>
      <c r="M813" s="358">
        <f t="shared" si="297"/>
        <v>0</v>
      </c>
      <c r="N813" s="324"/>
      <c r="O813" s="324"/>
      <c r="P813" s="324"/>
      <c r="Q813" s="324" t="s">
        <v>18</v>
      </c>
      <c r="R813" s="324"/>
      <c r="S813" s="324" t="s">
        <v>19</v>
      </c>
      <c r="T813" s="528"/>
      <c r="U813" s="324">
        <f>E813/324*60</f>
        <v>0</v>
      </c>
      <c r="V813" s="676"/>
      <c r="W813" s="528"/>
      <c r="X813" s="529"/>
      <c r="Y813" s="645" t="s">
        <v>1135</v>
      </c>
      <c r="Z813" s="312">
        <f t="shared" si="298"/>
        <v>0</v>
      </c>
      <c r="AA813" s="316">
        <f>SUM(AB813/453.6)</f>
        <v>0</v>
      </c>
      <c r="AB813" s="310">
        <f t="shared" si="299"/>
        <v>0</v>
      </c>
      <c r="AC813" s="643"/>
    </row>
    <row r="814" spans="1:29" ht="261.75" thickBot="1" x14ac:dyDescent="0.45">
      <c r="A814" s="319" t="s">
        <v>1088</v>
      </c>
      <c r="B814" s="362" t="s">
        <v>744</v>
      </c>
      <c r="C814" s="528"/>
      <c r="D814" s="528"/>
      <c r="E814" s="456">
        <f>C814*4</f>
        <v>0</v>
      </c>
      <c r="F814" s="358">
        <f t="shared" si="294"/>
        <v>0</v>
      </c>
      <c r="G814" s="548">
        <f t="shared" si="295"/>
        <v>0</v>
      </c>
      <c r="H814" s="358" t="s">
        <v>18</v>
      </c>
      <c r="I814" s="548">
        <f t="shared" si="296"/>
        <v>0</v>
      </c>
      <c r="J814" s="358" t="s">
        <v>19</v>
      </c>
      <c r="K814" s="358"/>
      <c r="L814" s="358"/>
      <c r="M814" s="358">
        <f t="shared" si="297"/>
        <v>0</v>
      </c>
      <c r="N814" s="324"/>
      <c r="O814" s="324"/>
      <c r="P814" s="324"/>
      <c r="Q814" s="324" t="s">
        <v>18</v>
      </c>
      <c r="R814" s="324"/>
      <c r="S814" s="324" t="s">
        <v>19</v>
      </c>
      <c r="T814" s="528"/>
      <c r="U814" s="324">
        <f t="shared" ref="U814:U820" si="300">E814/324*60</f>
        <v>0</v>
      </c>
      <c r="V814" s="676"/>
      <c r="W814" s="528"/>
      <c r="X814" s="529"/>
      <c r="Y814" s="645" t="s">
        <v>1107</v>
      </c>
      <c r="Z814" s="312">
        <f t="shared" si="298"/>
        <v>0</v>
      </c>
      <c r="AA814" s="416">
        <f>SUM(AB814/453.6)</f>
        <v>0</v>
      </c>
      <c r="AB814" s="310">
        <f t="shared" si="299"/>
        <v>0</v>
      </c>
      <c r="AC814" s="643"/>
    </row>
    <row r="815" spans="1:29" ht="261.75" thickBot="1" x14ac:dyDescent="0.45">
      <c r="A815" s="319" t="s">
        <v>1088</v>
      </c>
      <c r="B815" s="362" t="s">
        <v>745</v>
      </c>
      <c r="C815" s="528"/>
      <c r="D815" s="528"/>
      <c r="E815" s="456">
        <f>C815*2.5</f>
        <v>0</v>
      </c>
      <c r="F815" s="358">
        <f t="shared" si="294"/>
        <v>0</v>
      </c>
      <c r="G815" s="548">
        <f t="shared" si="295"/>
        <v>0</v>
      </c>
      <c r="H815" s="358" t="s">
        <v>18</v>
      </c>
      <c r="I815" s="548">
        <f t="shared" si="296"/>
        <v>0</v>
      </c>
      <c r="J815" s="358" t="s">
        <v>19</v>
      </c>
      <c r="K815" s="358"/>
      <c r="L815" s="358"/>
      <c r="M815" s="358">
        <f t="shared" si="297"/>
        <v>0</v>
      </c>
      <c r="N815" s="324"/>
      <c r="O815" s="324"/>
      <c r="P815" s="324"/>
      <c r="Q815" s="324" t="s">
        <v>18</v>
      </c>
      <c r="R815" s="324"/>
      <c r="S815" s="324" t="s">
        <v>19</v>
      </c>
      <c r="T815" s="528">
        <v>7</v>
      </c>
      <c r="U815" s="324">
        <f t="shared" si="300"/>
        <v>0</v>
      </c>
      <c r="V815" s="676"/>
      <c r="W815" s="528"/>
      <c r="X815" s="529"/>
      <c r="Y815" s="645" t="s">
        <v>1109</v>
      </c>
      <c r="Z815" s="312">
        <f t="shared" si="298"/>
        <v>0</v>
      </c>
      <c r="AA815" s="416">
        <f>SUM(AB815/504)</f>
        <v>0</v>
      </c>
      <c r="AB815" s="310">
        <f t="shared" si="299"/>
        <v>0</v>
      </c>
      <c r="AC815" s="643"/>
    </row>
    <row r="816" spans="1:29" ht="261.75" thickBot="1" x14ac:dyDescent="0.45">
      <c r="A816" s="319" t="s">
        <v>1088</v>
      </c>
      <c r="B816" s="362" t="s">
        <v>746</v>
      </c>
      <c r="C816" s="528"/>
      <c r="D816" s="528"/>
      <c r="E816" s="456">
        <f>C816*4</f>
        <v>0</v>
      </c>
      <c r="F816" s="358">
        <f t="shared" si="294"/>
        <v>0</v>
      </c>
      <c r="G816" s="548">
        <f t="shared" si="295"/>
        <v>0</v>
      </c>
      <c r="H816" s="358" t="s">
        <v>18</v>
      </c>
      <c r="I816" s="548">
        <f t="shared" si="296"/>
        <v>0</v>
      </c>
      <c r="J816" s="358" t="s">
        <v>19</v>
      </c>
      <c r="K816" s="358"/>
      <c r="L816" s="358"/>
      <c r="M816" s="358">
        <f t="shared" si="297"/>
        <v>0</v>
      </c>
      <c r="N816" s="324"/>
      <c r="O816" s="324"/>
      <c r="P816" s="324"/>
      <c r="Q816" s="324" t="s">
        <v>18</v>
      </c>
      <c r="R816" s="324"/>
      <c r="S816" s="324" t="s">
        <v>19</v>
      </c>
      <c r="T816" s="528"/>
      <c r="U816" s="324">
        <f t="shared" si="300"/>
        <v>0</v>
      </c>
      <c r="V816" s="676"/>
      <c r="W816" s="528"/>
      <c r="X816" s="529"/>
      <c r="Y816" s="645" t="s">
        <v>1110</v>
      </c>
      <c r="Z816" s="312">
        <f t="shared" si="298"/>
        <v>0</v>
      </c>
      <c r="AA816" s="316">
        <f>SUM(AB816/453.6)</f>
        <v>0</v>
      </c>
      <c r="AB816" s="310">
        <f t="shared" si="299"/>
        <v>0</v>
      </c>
      <c r="AC816" s="643"/>
    </row>
    <row r="817" spans="1:29" ht="184.5" thickBot="1" x14ac:dyDescent="0.45">
      <c r="A817" s="319" t="s">
        <v>1088</v>
      </c>
      <c r="B817" s="362" t="s">
        <v>747</v>
      </c>
      <c r="C817" s="528"/>
      <c r="D817" s="528"/>
      <c r="E817" s="456">
        <f>C817*2.5</f>
        <v>0</v>
      </c>
      <c r="F817" s="358">
        <f t="shared" si="294"/>
        <v>0</v>
      </c>
      <c r="G817" s="548">
        <f t="shared" si="295"/>
        <v>0</v>
      </c>
      <c r="H817" s="358" t="s">
        <v>18</v>
      </c>
      <c r="I817" s="548">
        <f t="shared" si="296"/>
        <v>0</v>
      </c>
      <c r="J817" s="358" t="s">
        <v>19</v>
      </c>
      <c r="K817" s="358"/>
      <c r="L817" s="358"/>
      <c r="M817" s="358">
        <f t="shared" si="297"/>
        <v>0</v>
      </c>
      <c r="N817" s="324"/>
      <c r="O817" s="324"/>
      <c r="P817" s="324"/>
      <c r="Q817" s="324" t="s">
        <v>18</v>
      </c>
      <c r="R817" s="324"/>
      <c r="S817" s="324" t="s">
        <v>19</v>
      </c>
      <c r="T817" s="528">
        <v>7</v>
      </c>
      <c r="U817" s="324">
        <f t="shared" si="300"/>
        <v>0</v>
      </c>
      <c r="V817" s="676"/>
      <c r="W817" s="528"/>
      <c r="X817" s="529"/>
      <c r="Y817" s="323" t="s">
        <v>932</v>
      </c>
      <c r="Z817" s="312">
        <f t="shared" si="298"/>
        <v>0</v>
      </c>
      <c r="AA817" s="416">
        <f>SUM(AB817/453.6)</f>
        <v>0</v>
      </c>
      <c r="AB817" s="310">
        <f t="shared" si="299"/>
        <v>0</v>
      </c>
      <c r="AC817" s="643"/>
    </row>
    <row r="818" spans="1:29" ht="183" thickBot="1" x14ac:dyDescent="0.45">
      <c r="A818" s="319" t="s">
        <v>1088</v>
      </c>
      <c r="B818" s="320" t="s">
        <v>748</v>
      </c>
      <c r="C818" s="528"/>
      <c r="D818" s="528"/>
      <c r="E818" s="456">
        <f>C818*2.5</f>
        <v>0</v>
      </c>
      <c r="F818" s="358">
        <f>E818*1.03*0.82/147</f>
        <v>0</v>
      </c>
      <c r="G818" s="549">
        <f t="shared" si="295"/>
        <v>0</v>
      </c>
      <c r="H818" s="359" t="s">
        <v>18</v>
      </c>
      <c r="I818" s="549">
        <f t="shared" si="296"/>
        <v>0</v>
      </c>
      <c r="J818" s="359" t="s">
        <v>19</v>
      </c>
      <c r="K818" s="358"/>
      <c r="L818" s="358"/>
      <c r="M818" s="358">
        <f>(F818*5547/3456)</f>
        <v>0</v>
      </c>
      <c r="N818" s="324"/>
      <c r="O818" s="324"/>
      <c r="P818" s="324"/>
      <c r="Q818" s="324" t="s">
        <v>18</v>
      </c>
      <c r="R818" s="324"/>
      <c r="S818" s="324" t="s">
        <v>19</v>
      </c>
      <c r="T818" s="528">
        <v>7</v>
      </c>
      <c r="U818" s="324">
        <f t="shared" si="300"/>
        <v>0</v>
      </c>
      <c r="V818" s="676"/>
      <c r="W818" s="528"/>
      <c r="X818" s="529"/>
      <c r="Y818" s="645" t="s">
        <v>1116</v>
      </c>
      <c r="Z818" s="312">
        <f>E818/1.21</f>
        <v>0</v>
      </c>
      <c r="AA818" s="316">
        <f>SUM(Z818/504)</f>
        <v>0</v>
      </c>
    </row>
    <row r="819" spans="1:29" ht="183" thickBot="1" x14ac:dyDescent="0.45">
      <c r="A819" s="319" t="s">
        <v>1088</v>
      </c>
      <c r="B819" s="320" t="s">
        <v>749</v>
      </c>
      <c r="C819" s="528"/>
      <c r="D819" s="528"/>
      <c r="E819" s="456">
        <f>C819*4</f>
        <v>0</v>
      </c>
      <c r="F819" s="358">
        <f>E819*1.03*0.82/147</f>
        <v>0</v>
      </c>
      <c r="G819" s="548">
        <f t="shared" si="295"/>
        <v>0</v>
      </c>
      <c r="H819" s="358" t="s">
        <v>18</v>
      </c>
      <c r="I819" s="548">
        <f t="shared" si="296"/>
        <v>0</v>
      </c>
      <c r="J819" s="358" t="s">
        <v>19</v>
      </c>
      <c r="K819" s="358"/>
      <c r="L819" s="358"/>
      <c r="M819" s="358">
        <f>(F819*5547/3456)</f>
        <v>0</v>
      </c>
      <c r="N819" s="324"/>
      <c r="O819" s="324"/>
      <c r="P819" s="324"/>
      <c r="Q819" s="324" t="s">
        <v>18</v>
      </c>
      <c r="R819" s="324"/>
      <c r="S819" s="324" t="s">
        <v>19</v>
      </c>
      <c r="T819" s="528"/>
      <c r="U819" s="324">
        <f t="shared" si="300"/>
        <v>0</v>
      </c>
      <c r="V819" s="685"/>
      <c r="W819" s="528"/>
      <c r="X819" s="529"/>
      <c r="Y819" s="645" t="s">
        <v>1119</v>
      </c>
      <c r="Z819" s="312">
        <f>E819/1.21</f>
        <v>0</v>
      </c>
      <c r="AA819" s="316">
        <f>SUM(Z819/504)</f>
        <v>0</v>
      </c>
    </row>
    <row r="820" spans="1:29" ht="186" customHeight="1" thickBot="1" x14ac:dyDescent="0.45">
      <c r="A820" s="319" t="s">
        <v>1088</v>
      </c>
      <c r="B820" s="320" t="s">
        <v>1149</v>
      </c>
      <c r="C820" s="528"/>
      <c r="D820" s="528"/>
      <c r="E820" s="456">
        <f>C820*4</f>
        <v>0</v>
      </c>
      <c r="F820" s="358">
        <f>E820*1.03*0.82/147</f>
        <v>0</v>
      </c>
      <c r="G820" s="548">
        <f t="shared" si="295"/>
        <v>0</v>
      </c>
      <c r="H820" s="358" t="s">
        <v>18</v>
      </c>
      <c r="I820" s="548">
        <f t="shared" si="296"/>
        <v>0</v>
      </c>
      <c r="J820" s="358" t="s">
        <v>19</v>
      </c>
      <c r="K820" s="358"/>
      <c r="L820" s="358"/>
      <c r="M820" s="358">
        <f>(F820*5547/3456)</f>
        <v>0</v>
      </c>
      <c r="N820" s="324"/>
      <c r="O820" s="324"/>
      <c r="P820" s="324"/>
      <c r="Q820" s="324" t="s">
        <v>18</v>
      </c>
      <c r="R820" s="324"/>
      <c r="S820" s="324" t="s">
        <v>19</v>
      </c>
      <c r="T820" s="528"/>
      <c r="U820" s="324">
        <f t="shared" si="300"/>
        <v>0</v>
      </c>
      <c r="V820" s="676"/>
      <c r="W820" s="528"/>
      <c r="X820" s="529"/>
      <c r="Y820" s="645" t="s">
        <v>1150</v>
      </c>
      <c r="Z820" s="312">
        <f>E820/1.21</f>
        <v>0</v>
      </c>
      <c r="AA820" s="316">
        <f>SUM(Z820/504)</f>
        <v>0</v>
      </c>
    </row>
    <row r="821" spans="1:29" ht="183" outlineLevel="1" thickBot="1" x14ac:dyDescent="0.45">
      <c r="A821" s="319" t="s">
        <v>1088</v>
      </c>
      <c r="B821" s="799" t="s">
        <v>1209</v>
      </c>
      <c r="C821" s="528"/>
      <c r="D821" s="528"/>
      <c r="E821" s="456">
        <f>C821*4</f>
        <v>0</v>
      </c>
      <c r="F821" s="358">
        <f>E821*1.03*0.82/147</f>
        <v>0</v>
      </c>
      <c r="G821" s="548">
        <f t="shared" si="295"/>
        <v>0</v>
      </c>
      <c r="H821" s="358" t="s">
        <v>18</v>
      </c>
      <c r="I821" s="548">
        <f t="shared" si="296"/>
        <v>0</v>
      </c>
      <c r="J821" s="358" t="s">
        <v>19</v>
      </c>
      <c r="K821" s="358"/>
      <c r="L821" s="358"/>
      <c r="M821" s="358">
        <f>(F821*5547/3456)</f>
        <v>0</v>
      </c>
      <c r="N821" s="324"/>
      <c r="O821" s="324"/>
      <c r="P821" s="324"/>
      <c r="Q821" s="324" t="s">
        <v>18</v>
      </c>
      <c r="R821" s="324"/>
      <c r="S821" s="324" t="s">
        <v>19</v>
      </c>
      <c r="T821" s="528"/>
      <c r="U821" s="324">
        <f>E821/324*60</f>
        <v>0</v>
      </c>
      <c r="V821" s="676"/>
      <c r="W821" s="528"/>
      <c r="X821" s="529"/>
      <c r="Y821" s="323" t="s">
        <v>1101</v>
      </c>
      <c r="Z821" s="312">
        <f>E821/1.21</f>
        <v>0</v>
      </c>
      <c r="AA821" s="316">
        <f>SUM(Z821/504)</f>
        <v>0</v>
      </c>
    </row>
    <row r="822" spans="1:29" ht="237.75" customHeight="1" thickBot="1" x14ac:dyDescent="0.45">
      <c r="A822" s="319" t="s">
        <v>1088</v>
      </c>
      <c r="B822" s="362" t="s">
        <v>751</v>
      </c>
      <c r="C822" s="528"/>
      <c r="D822" s="528"/>
      <c r="E822" s="456">
        <f>C822*4</f>
        <v>0</v>
      </c>
      <c r="F822" s="358">
        <f>E822*1.01*0.72/147</f>
        <v>0</v>
      </c>
      <c r="G822" s="548">
        <f t="shared" ref="G822:G835" si="301">INT(M822)</f>
        <v>0</v>
      </c>
      <c r="H822" s="358" t="s">
        <v>18</v>
      </c>
      <c r="I822" s="548">
        <f t="shared" ref="I822:I835" si="302">(M822-G822)*64</f>
        <v>0</v>
      </c>
      <c r="J822" s="358" t="s">
        <v>19</v>
      </c>
      <c r="K822" s="358"/>
      <c r="L822" s="358"/>
      <c r="M822" s="358">
        <f>(F822*6035/3456)</f>
        <v>0</v>
      </c>
      <c r="N822" s="324"/>
      <c r="O822" s="324"/>
      <c r="P822" s="324"/>
      <c r="Q822" s="324" t="s">
        <v>18</v>
      </c>
      <c r="R822" s="324"/>
      <c r="S822" s="324" t="s">
        <v>19</v>
      </c>
      <c r="T822" s="528"/>
      <c r="U822" s="324">
        <f t="shared" ref="U822:U828" si="303">E822/324*60</f>
        <v>0</v>
      </c>
      <c r="V822" s="676"/>
      <c r="W822" s="528"/>
      <c r="X822" s="529"/>
      <c r="Y822" s="645" t="s">
        <v>1151</v>
      </c>
      <c r="Z822" s="312">
        <f>E822/1.21/1.143</f>
        <v>0</v>
      </c>
      <c r="AA822" s="316">
        <f>SUM(AB822/453.6)</f>
        <v>0</v>
      </c>
      <c r="AB822" s="310">
        <f>E822/1.21</f>
        <v>0</v>
      </c>
      <c r="AC822" s="643"/>
    </row>
    <row r="823" spans="1:29" ht="183" thickBot="1" x14ac:dyDescent="0.45">
      <c r="A823" s="319" t="s">
        <v>1088</v>
      </c>
      <c r="B823" s="343" t="s">
        <v>752</v>
      </c>
      <c r="C823" s="528"/>
      <c r="D823" s="528"/>
      <c r="E823" s="457">
        <f>C823*3</f>
        <v>0</v>
      </c>
      <c r="F823" s="358">
        <f>E823*1.03*0.82/147</f>
        <v>0</v>
      </c>
      <c r="G823" s="549">
        <f t="shared" si="301"/>
        <v>0</v>
      </c>
      <c r="H823" s="359" t="s">
        <v>18</v>
      </c>
      <c r="I823" s="549">
        <f t="shared" si="302"/>
        <v>0</v>
      </c>
      <c r="J823" s="359" t="s">
        <v>19</v>
      </c>
      <c r="K823" s="358"/>
      <c r="L823" s="358"/>
      <c r="M823" s="358">
        <f>(F823*5547/3456)</f>
        <v>0</v>
      </c>
      <c r="N823" s="324"/>
      <c r="O823" s="324"/>
      <c r="P823" s="324"/>
      <c r="Q823" s="324" t="s">
        <v>18</v>
      </c>
      <c r="R823" s="324"/>
      <c r="S823" s="324" t="s">
        <v>19</v>
      </c>
      <c r="T823" s="528"/>
      <c r="U823" s="324">
        <f t="shared" si="303"/>
        <v>0</v>
      </c>
      <c r="V823" s="676"/>
      <c r="W823" s="528"/>
      <c r="X823" s="529"/>
      <c r="Y823" s="645" t="s">
        <v>1153</v>
      </c>
      <c r="Z823" s="312">
        <f>E823/1.21</f>
        <v>0</v>
      </c>
      <c r="AA823" s="316">
        <f>SUM(Z823/504)</f>
        <v>0</v>
      </c>
    </row>
    <row r="824" spans="1:29" ht="183" thickBot="1" x14ac:dyDescent="0.45">
      <c r="A824" s="319" t="s">
        <v>1088</v>
      </c>
      <c r="B824" s="344" t="s">
        <v>879</v>
      </c>
      <c r="C824" s="528"/>
      <c r="D824" s="528"/>
      <c r="E824" s="457">
        <f>C824*3</f>
        <v>0</v>
      </c>
      <c r="F824" s="358">
        <f>E824*1.03*0.82/147</f>
        <v>0</v>
      </c>
      <c r="G824" s="549">
        <f t="shared" si="301"/>
        <v>0</v>
      </c>
      <c r="H824" s="359" t="s">
        <v>18</v>
      </c>
      <c r="I824" s="549">
        <f t="shared" si="302"/>
        <v>0</v>
      </c>
      <c r="J824" s="359" t="s">
        <v>19</v>
      </c>
      <c r="K824" s="358"/>
      <c r="L824" s="358"/>
      <c r="M824" s="358">
        <f>(F824*5547/3456)</f>
        <v>0</v>
      </c>
      <c r="N824" s="324"/>
      <c r="O824" s="324"/>
      <c r="P824" s="324"/>
      <c r="Q824" s="324" t="s">
        <v>18</v>
      </c>
      <c r="R824" s="324"/>
      <c r="S824" s="324" t="s">
        <v>19</v>
      </c>
      <c r="T824" s="528"/>
      <c r="U824" s="324">
        <f t="shared" si="303"/>
        <v>0</v>
      </c>
      <c r="V824" s="676"/>
      <c r="W824" s="528"/>
      <c r="X824" s="529"/>
      <c r="Y824" s="645" t="s">
        <v>1137</v>
      </c>
      <c r="Z824" s="312">
        <f>E824/1.21</f>
        <v>0</v>
      </c>
      <c r="AA824" s="316">
        <f>SUM(Z824/504)</f>
        <v>0</v>
      </c>
    </row>
    <row r="825" spans="1:29" ht="183" outlineLevel="1" thickBot="1" x14ac:dyDescent="0.45">
      <c r="A825" s="319" t="s">
        <v>1088</v>
      </c>
      <c r="B825" s="320" t="s">
        <v>895</v>
      </c>
      <c r="C825" s="528"/>
      <c r="D825" s="528"/>
      <c r="E825" s="456">
        <f>C825*1.7</f>
        <v>0</v>
      </c>
      <c r="F825" s="358">
        <f>E825*1.03*0.82/147</f>
        <v>0</v>
      </c>
      <c r="G825" s="549">
        <f t="shared" si="301"/>
        <v>0</v>
      </c>
      <c r="H825" s="359" t="s">
        <v>18</v>
      </c>
      <c r="I825" s="549">
        <f t="shared" si="302"/>
        <v>0</v>
      </c>
      <c r="J825" s="359" t="s">
        <v>19</v>
      </c>
      <c r="K825" s="358"/>
      <c r="L825" s="358"/>
      <c r="M825" s="358">
        <f>(F825*5547/3456)</f>
        <v>0</v>
      </c>
      <c r="N825" s="358"/>
      <c r="O825" s="358"/>
      <c r="P825" s="358"/>
      <c r="Q825" s="358" t="s">
        <v>18</v>
      </c>
      <c r="R825" s="358"/>
      <c r="S825" s="358" t="s">
        <v>19</v>
      </c>
      <c r="T825" s="528"/>
      <c r="U825" s="324">
        <f t="shared" si="303"/>
        <v>0</v>
      </c>
      <c r="V825" s="685"/>
      <c r="W825" s="528"/>
      <c r="X825" s="529"/>
      <c r="Y825" s="645" t="s">
        <v>1100</v>
      </c>
      <c r="Z825" s="312">
        <f>E825/1.21</f>
        <v>0</v>
      </c>
      <c r="AA825" s="316">
        <f>SUM(Z825/504)</f>
        <v>0</v>
      </c>
    </row>
    <row r="826" spans="1:29" ht="183" thickBot="1" x14ac:dyDescent="0.45">
      <c r="A826" s="319" t="s">
        <v>1088</v>
      </c>
      <c r="B826" s="799" t="s">
        <v>1185</v>
      </c>
      <c r="C826" s="528"/>
      <c r="D826" s="528"/>
      <c r="E826" s="456">
        <f>C826*1.7</f>
        <v>0</v>
      </c>
      <c r="F826" s="358">
        <f>E826*1.03*0.82/147</f>
        <v>0</v>
      </c>
      <c r="G826" s="549">
        <f t="shared" si="301"/>
        <v>0</v>
      </c>
      <c r="H826" s="359" t="s">
        <v>18</v>
      </c>
      <c r="I826" s="549">
        <f t="shared" si="302"/>
        <v>0</v>
      </c>
      <c r="J826" s="359" t="s">
        <v>19</v>
      </c>
      <c r="K826" s="358"/>
      <c r="L826" s="358"/>
      <c r="M826" s="358">
        <f>(F826*5547/3456)</f>
        <v>0</v>
      </c>
      <c r="N826" s="358"/>
      <c r="O826" s="358"/>
      <c r="P826" s="358"/>
      <c r="Q826" s="358" t="s">
        <v>18</v>
      </c>
      <c r="R826" s="358"/>
      <c r="S826" s="358" t="s">
        <v>19</v>
      </c>
      <c r="T826" s="528"/>
      <c r="U826" s="324">
        <f t="shared" si="303"/>
        <v>0</v>
      </c>
      <c r="V826" s="685"/>
      <c r="W826" s="528"/>
      <c r="X826" s="529"/>
      <c r="Y826" s="645" t="s">
        <v>1118</v>
      </c>
      <c r="Z826" s="312">
        <f>E826/1.21</f>
        <v>0</v>
      </c>
      <c r="AA826" s="316">
        <f>SUM(Z826/504)</f>
        <v>0</v>
      </c>
    </row>
    <row r="827" spans="1:29" ht="261.75" thickBot="1" x14ac:dyDescent="0.45">
      <c r="A827" s="319" t="s">
        <v>1088</v>
      </c>
      <c r="B827" s="362" t="s">
        <v>1187</v>
      </c>
      <c r="C827" s="528"/>
      <c r="D827" s="528"/>
      <c r="E827" s="456">
        <f>C827*1.7</f>
        <v>0</v>
      </c>
      <c r="F827" s="358">
        <f>E827*1.01*0.72/147</f>
        <v>0</v>
      </c>
      <c r="G827" s="548">
        <f t="shared" si="301"/>
        <v>0</v>
      </c>
      <c r="H827" s="358" t="s">
        <v>18</v>
      </c>
      <c r="I827" s="548">
        <f t="shared" si="302"/>
        <v>0</v>
      </c>
      <c r="J827" s="358" t="s">
        <v>19</v>
      </c>
      <c r="K827" s="358"/>
      <c r="L827" s="358"/>
      <c r="M827" s="358">
        <f>(F827*6035/3456)</f>
        <v>0</v>
      </c>
      <c r="N827" s="324"/>
      <c r="O827" s="324"/>
      <c r="P827" s="324"/>
      <c r="Q827" s="324" t="s">
        <v>18</v>
      </c>
      <c r="R827" s="324"/>
      <c r="S827" s="324" t="s">
        <v>19</v>
      </c>
      <c r="T827" s="528"/>
      <c r="U827" s="324">
        <f t="shared" si="303"/>
        <v>0</v>
      </c>
      <c r="V827" s="676"/>
      <c r="W827" s="528"/>
      <c r="X827" s="529"/>
      <c r="Y827" s="645" t="s">
        <v>1107</v>
      </c>
      <c r="Z827" s="312">
        <f>E827/1.21/1.143</f>
        <v>0</v>
      </c>
      <c r="AA827" s="416">
        <f>SUM(AB827/453.6)</f>
        <v>0</v>
      </c>
      <c r="AB827" s="310">
        <f>E827/1.21</f>
        <v>0</v>
      </c>
      <c r="AC827" s="643"/>
    </row>
    <row r="828" spans="1:29" ht="261.75" thickBot="1" x14ac:dyDescent="0.45">
      <c r="A828" s="319" t="s">
        <v>1088</v>
      </c>
      <c r="B828" s="362" t="s">
        <v>896</v>
      </c>
      <c r="C828" s="528"/>
      <c r="D828" s="528"/>
      <c r="E828" s="456">
        <f>C828*1.2</f>
        <v>0</v>
      </c>
      <c r="F828" s="358">
        <f>E828*1.01*0.72/147</f>
        <v>0</v>
      </c>
      <c r="G828" s="548">
        <f t="shared" si="301"/>
        <v>0</v>
      </c>
      <c r="H828" s="358" t="s">
        <v>18</v>
      </c>
      <c r="I828" s="548">
        <f t="shared" si="302"/>
        <v>0</v>
      </c>
      <c r="J828" s="358" t="s">
        <v>19</v>
      </c>
      <c r="K828" s="358"/>
      <c r="L828" s="358"/>
      <c r="M828" s="358">
        <f>(F828*6035/3456)</f>
        <v>0</v>
      </c>
      <c r="N828" s="358"/>
      <c r="O828" s="358"/>
      <c r="P828" s="358"/>
      <c r="Q828" s="358" t="s">
        <v>18</v>
      </c>
      <c r="R828" s="358"/>
      <c r="S828" s="358" t="s">
        <v>19</v>
      </c>
      <c r="T828" s="528">
        <v>7</v>
      </c>
      <c r="U828" s="324">
        <f t="shared" si="303"/>
        <v>0</v>
      </c>
      <c r="V828" s="685"/>
      <c r="W828" s="528"/>
      <c r="X828" s="529"/>
      <c r="Y828" s="645" t="s">
        <v>1108</v>
      </c>
      <c r="Z828" s="312">
        <f>E828/1.21/1.143</f>
        <v>0</v>
      </c>
      <c r="AA828" s="316">
        <f>SUM(AB828/429.3)</f>
        <v>0</v>
      </c>
      <c r="AB828" s="310">
        <f>E828/1.21</f>
        <v>0</v>
      </c>
      <c r="AC828" s="643"/>
    </row>
    <row r="829" spans="1:29" ht="158.25" thickBot="1" x14ac:dyDescent="0.45">
      <c r="A829" s="319" t="s">
        <v>1088</v>
      </c>
      <c r="B829" s="362" t="s">
        <v>1082</v>
      </c>
      <c r="C829" s="528"/>
      <c r="D829" s="528"/>
      <c r="E829" s="460">
        <f>C829*1.2</f>
        <v>0</v>
      </c>
      <c r="F829" s="324">
        <f>E829*1.01*0.72/147</f>
        <v>0</v>
      </c>
      <c r="G829" s="528">
        <f t="shared" si="301"/>
        <v>0</v>
      </c>
      <c r="H829" s="324" t="s">
        <v>18</v>
      </c>
      <c r="I829" s="528">
        <f t="shared" si="302"/>
        <v>0</v>
      </c>
      <c r="J829" s="324" t="s">
        <v>19</v>
      </c>
      <c r="K829" s="324"/>
      <c r="L829" s="324"/>
      <c r="M829" s="324">
        <f>(F829*6035/3456)</f>
        <v>0</v>
      </c>
      <c r="N829" s="324"/>
      <c r="O829" s="324"/>
      <c r="P829" s="324"/>
      <c r="Q829" s="324" t="s">
        <v>18</v>
      </c>
      <c r="R829" s="324"/>
      <c r="S829" s="324" t="s">
        <v>19</v>
      </c>
      <c r="T829" s="528">
        <v>7</v>
      </c>
      <c r="U829" s="324">
        <f t="shared" ref="U829:U835" si="304">E829/324*60</f>
        <v>0</v>
      </c>
      <c r="V829" s="685"/>
      <c r="W829" s="528"/>
      <c r="X829" s="529"/>
      <c r="Y829" s="323" t="s">
        <v>930</v>
      </c>
      <c r="Z829" s="312">
        <f>E829/1.21/1.143</f>
        <v>0</v>
      </c>
      <c r="AA829" s="316">
        <f>SUM(AB829/429.3)</f>
        <v>0</v>
      </c>
      <c r="AB829" s="310">
        <f>E829/1.21</f>
        <v>0</v>
      </c>
      <c r="AC829" s="643"/>
    </row>
    <row r="830" spans="1:29" ht="158.25" thickBot="1" x14ac:dyDescent="0.45">
      <c r="A830" s="319" t="s">
        <v>1088</v>
      </c>
      <c r="B830" s="362" t="s">
        <v>1010</v>
      </c>
      <c r="C830" s="528"/>
      <c r="D830" s="528"/>
      <c r="E830" s="460">
        <f>C830*2</f>
        <v>0</v>
      </c>
      <c r="F830" s="324">
        <f>E830*1.01*0.72/147</f>
        <v>0</v>
      </c>
      <c r="G830" s="528">
        <f t="shared" si="301"/>
        <v>0</v>
      </c>
      <c r="H830" s="324" t="s">
        <v>18</v>
      </c>
      <c r="I830" s="528">
        <f t="shared" si="302"/>
        <v>0</v>
      </c>
      <c r="J830" s="324" t="s">
        <v>19</v>
      </c>
      <c r="K830" s="324"/>
      <c r="L830" s="324"/>
      <c r="M830" s="324">
        <f>(F830*6035/3456)</f>
        <v>0</v>
      </c>
      <c r="N830" s="324"/>
      <c r="O830" s="324"/>
      <c r="P830" s="324"/>
      <c r="Q830" s="324" t="s">
        <v>18</v>
      </c>
      <c r="R830" s="324"/>
      <c r="S830" s="324" t="s">
        <v>19</v>
      </c>
      <c r="T830" s="528"/>
      <c r="U830" s="324">
        <f t="shared" si="304"/>
        <v>0</v>
      </c>
      <c r="V830" s="685"/>
      <c r="W830" s="528"/>
      <c r="X830" s="529"/>
      <c r="Y830" s="323" t="s">
        <v>930</v>
      </c>
      <c r="Z830" s="312">
        <f>E830/1.21/1.143</f>
        <v>0</v>
      </c>
      <c r="AA830" s="316">
        <f>SUM(AB830/429.3)</f>
        <v>0</v>
      </c>
      <c r="AB830" s="310">
        <f>E830/1.21</f>
        <v>0</v>
      </c>
      <c r="AC830" s="643"/>
    </row>
    <row r="831" spans="1:29" ht="158.25" thickBot="1" x14ac:dyDescent="0.45">
      <c r="A831" s="319" t="s">
        <v>1088</v>
      </c>
      <c r="B831" s="362" t="s">
        <v>1011</v>
      </c>
      <c r="C831" s="528"/>
      <c r="D831" s="528"/>
      <c r="E831" s="460">
        <f>C831*2</f>
        <v>0</v>
      </c>
      <c r="F831" s="324">
        <f>E831*1.01*0.72/147</f>
        <v>0</v>
      </c>
      <c r="G831" s="528">
        <f t="shared" si="301"/>
        <v>0</v>
      </c>
      <c r="H831" s="324" t="s">
        <v>18</v>
      </c>
      <c r="I831" s="528">
        <f t="shared" si="302"/>
        <v>0</v>
      </c>
      <c r="J831" s="324" t="s">
        <v>19</v>
      </c>
      <c r="K831" s="324"/>
      <c r="L831" s="324"/>
      <c r="M831" s="324">
        <f>(F831*6035/3456)</f>
        <v>0</v>
      </c>
      <c r="N831" s="324"/>
      <c r="O831" s="324"/>
      <c r="P831" s="324"/>
      <c r="Q831" s="324" t="s">
        <v>18</v>
      </c>
      <c r="R831" s="324"/>
      <c r="S831" s="324" t="s">
        <v>19</v>
      </c>
      <c r="T831" s="528"/>
      <c r="U831" s="324">
        <f t="shared" si="304"/>
        <v>0</v>
      </c>
      <c r="V831" s="685"/>
      <c r="W831" s="528"/>
      <c r="X831" s="529"/>
      <c r="Y831" s="323" t="s">
        <v>930</v>
      </c>
      <c r="Z831" s="312">
        <f>E831/1.21/1.143</f>
        <v>0</v>
      </c>
      <c r="AA831" s="316">
        <f>SUM(AB831/429.3)</f>
        <v>0</v>
      </c>
      <c r="AB831" s="310">
        <f>E831/1.21</f>
        <v>0</v>
      </c>
      <c r="AC831" s="643"/>
    </row>
    <row r="832" spans="1:29" ht="183" thickBot="1" x14ac:dyDescent="0.45">
      <c r="A832" s="319" t="s">
        <v>1088</v>
      </c>
      <c r="B832" s="320" t="s">
        <v>1009</v>
      </c>
      <c r="C832" s="528"/>
      <c r="D832" s="528"/>
      <c r="E832" s="460">
        <f>C832*2</f>
        <v>0</v>
      </c>
      <c r="F832" s="324">
        <f>E832*1.03*0.82/147</f>
        <v>0</v>
      </c>
      <c r="G832" s="537">
        <f t="shared" si="301"/>
        <v>0</v>
      </c>
      <c r="H832" s="354" t="s">
        <v>18</v>
      </c>
      <c r="I832" s="537">
        <f t="shared" si="302"/>
        <v>0</v>
      </c>
      <c r="J832" s="354" t="s">
        <v>19</v>
      </c>
      <c r="K832" s="324"/>
      <c r="L832" s="324"/>
      <c r="M832" s="324">
        <f>(F832*5547/3456)</f>
        <v>0</v>
      </c>
      <c r="N832" s="324"/>
      <c r="O832" s="324"/>
      <c r="P832" s="324"/>
      <c r="Q832" s="324" t="s">
        <v>18</v>
      </c>
      <c r="R832" s="324"/>
      <c r="S832" s="324" t="s">
        <v>19</v>
      </c>
      <c r="T832" s="528"/>
      <c r="U832" s="324">
        <f t="shared" si="304"/>
        <v>0</v>
      </c>
      <c r="V832" s="685"/>
      <c r="W832" s="528"/>
      <c r="X832" s="529"/>
      <c r="Y832" s="323" t="s">
        <v>1114</v>
      </c>
      <c r="Z832" s="312">
        <f>E832/1.21</f>
        <v>0</v>
      </c>
      <c r="AA832" s="316">
        <f>SUM(Z832/477)</f>
        <v>0</v>
      </c>
    </row>
    <row r="833" spans="1:29" ht="183" thickBot="1" x14ac:dyDescent="0.45">
      <c r="A833" s="319" t="s">
        <v>1088</v>
      </c>
      <c r="B833" s="320" t="s">
        <v>1043</v>
      </c>
      <c r="C833" s="528"/>
      <c r="D833" s="528"/>
      <c r="E833" s="460">
        <f>C833*2</f>
        <v>0</v>
      </c>
      <c r="F833" s="324">
        <f>E833*1.03*0.82/147</f>
        <v>0</v>
      </c>
      <c r="G833" s="537">
        <f t="shared" si="301"/>
        <v>0</v>
      </c>
      <c r="H833" s="354" t="s">
        <v>18</v>
      </c>
      <c r="I833" s="537">
        <f t="shared" si="302"/>
        <v>0</v>
      </c>
      <c r="J833" s="354" t="s">
        <v>19</v>
      </c>
      <c r="K833" s="324"/>
      <c r="L833" s="324"/>
      <c r="M833" s="324">
        <f>(F833*5547/3456)</f>
        <v>0</v>
      </c>
      <c r="N833" s="324"/>
      <c r="O833" s="324"/>
      <c r="P833" s="324"/>
      <c r="Q833" s="324" t="s">
        <v>18</v>
      </c>
      <c r="R833" s="324"/>
      <c r="S833" s="324" t="s">
        <v>19</v>
      </c>
      <c r="T833" s="528"/>
      <c r="U833" s="324">
        <f t="shared" si="304"/>
        <v>0</v>
      </c>
      <c r="V833" s="685"/>
      <c r="W833" s="528"/>
      <c r="X833" s="529"/>
      <c r="Y833" s="323" t="s">
        <v>1106</v>
      </c>
      <c r="Z833" s="312">
        <f>E833/1.21</f>
        <v>0</v>
      </c>
      <c r="AA833" s="316">
        <f>SUM(Z833/504)</f>
        <v>0</v>
      </c>
    </row>
    <row r="834" spans="1:29" ht="183" thickBot="1" x14ac:dyDescent="0.45">
      <c r="A834" s="319" t="s">
        <v>1088</v>
      </c>
      <c r="B834" s="320" t="s">
        <v>897</v>
      </c>
      <c r="C834" s="528"/>
      <c r="D834" s="528"/>
      <c r="E834" s="456">
        <f>C834*1.2</f>
        <v>0</v>
      </c>
      <c r="F834" s="358">
        <f>E834*1.03*0.82/147</f>
        <v>0</v>
      </c>
      <c r="G834" s="549">
        <f>INT(M834)</f>
        <v>0</v>
      </c>
      <c r="H834" s="359" t="s">
        <v>18</v>
      </c>
      <c r="I834" s="549">
        <f>(M834-G834)*64</f>
        <v>0</v>
      </c>
      <c r="J834" s="359" t="s">
        <v>19</v>
      </c>
      <c r="K834" s="358"/>
      <c r="L834" s="358"/>
      <c r="M834" s="358">
        <f>(F834*5547/3456)</f>
        <v>0</v>
      </c>
      <c r="N834" s="358"/>
      <c r="O834" s="358"/>
      <c r="P834" s="358"/>
      <c r="Q834" s="358" t="s">
        <v>18</v>
      </c>
      <c r="R834" s="358"/>
      <c r="S834" s="358" t="s">
        <v>19</v>
      </c>
      <c r="T834" s="528">
        <v>7</v>
      </c>
      <c r="U834" s="324">
        <f>E834/324*60</f>
        <v>0</v>
      </c>
      <c r="V834" s="685"/>
      <c r="W834" s="528"/>
      <c r="X834" s="529"/>
      <c r="Y834" s="645" t="s">
        <v>1115</v>
      </c>
      <c r="Z834" s="312">
        <f>E834/1.21</f>
        <v>0</v>
      </c>
      <c r="AA834" s="316">
        <f>SUM(Z834/477)</f>
        <v>0</v>
      </c>
    </row>
    <row r="835" spans="1:29" ht="183" thickBot="1" x14ac:dyDescent="0.45">
      <c r="A835" s="319" t="s">
        <v>1088</v>
      </c>
      <c r="B835" s="799" t="s">
        <v>1203</v>
      </c>
      <c r="C835" s="528"/>
      <c r="D835" s="528"/>
      <c r="E835" s="456">
        <f>C835*1.2</f>
        <v>0</v>
      </c>
      <c r="F835" s="358">
        <f>E835*1.03*0.82/147</f>
        <v>0</v>
      </c>
      <c r="G835" s="549">
        <f t="shared" si="301"/>
        <v>0</v>
      </c>
      <c r="H835" s="359" t="s">
        <v>18</v>
      </c>
      <c r="I835" s="549">
        <f t="shared" si="302"/>
        <v>0</v>
      </c>
      <c r="J835" s="359" t="s">
        <v>19</v>
      </c>
      <c r="K835" s="358"/>
      <c r="L835" s="358"/>
      <c r="M835" s="358">
        <f>(F835*5547/3456)</f>
        <v>0</v>
      </c>
      <c r="N835" s="358"/>
      <c r="O835" s="358"/>
      <c r="P835" s="358"/>
      <c r="Q835" s="358" t="s">
        <v>18</v>
      </c>
      <c r="R835" s="358"/>
      <c r="S835" s="358" t="s">
        <v>19</v>
      </c>
      <c r="T835" s="528">
        <v>7</v>
      </c>
      <c r="U835" s="324">
        <f t="shared" si="304"/>
        <v>0</v>
      </c>
      <c r="V835" s="685"/>
      <c r="W835" s="528"/>
      <c r="X835" s="529"/>
      <c r="Y835" s="645" t="s">
        <v>1115</v>
      </c>
      <c r="Z835" s="312">
        <f>E835/1.21</f>
        <v>0</v>
      </c>
      <c r="AA835" s="316">
        <f>SUM(Z835/477)</f>
        <v>0</v>
      </c>
    </row>
    <row r="836" spans="1:29" ht="79.5" thickBot="1" x14ac:dyDescent="0.45">
      <c r="A836" s="319" t="s">
        <v>1088</v>
      </c>
      <c r="B836" s="332" t="s">
        <v>286</v>
      </c>
      <c r="C836" s="347"/>
      <c r="D836" s="347"/>
      <c r="E836" s="494"/>
      <c r="F836" s="348"/>
      <c r="G836" s="347"/>
      <c r="H836" s="348"/>
      <c r="I836" s="347"/>
      <c r="J836" s="348"/>
      <c r="K836" s="348"/>
      <c r="L836" s="348"/>
      <c r="M836" s="348"/>
      <c r="N836" s="348"/>
      <c r="O836" s="348"/>
      <c r="P836" s="348"/>
      <c r="Q836" s="348"/>
      <c r="R836" s="348"/>
      <c r="S836" s="348"/>
      <c r="T836" s="347"/>
      <c r="U836" s="348"/>
      <c r="V836" s="356"/>
      <c r="W836" s="348"/>
      <c r="X836" s="495"/>
      <c r="Y836" s="357"/>
    </row>
    <row r="837" spans="1:29" ht="156.75" customHeight="1" thickBot="1" x14ac:dyDescent="0.45">
      <c r="A837" s="319" t="s">
        <v>1088</v>
      </c>
      <c r="B837" s="343" t="s">
        <v>928</v>
      </c>
      <c r="C837" s="528"/>
      <c r="D837" s="548">
        <f>C837*12</f>
        <v>0</v>
      </c>
      <c r="E837" s="456">
        <f>D837*0.6</f>
        <v>0</v>
      </c>
      <c r="F837" s="358">
        <f>E837*1.03*0.82/147</f>
        <v>0</v>
      </c>
      <c r="G837" s="549">
        <f>INT(M837)</f>
        <v>0</v>
      </c>
      <c r="H837" s="359" t="s">
        <v>18</v>
      </c>
      <c r="I837" s="549">
        <f>(M837-G837)*64</f>
        <v>0</v>
      </c>
      <c r="J837" s="359" t="s">
        <v>19</v>
      </c>
      <c r="K837" s="358"/>
      <c r="L837" s="358"/>
      <c r="M837" s="358">
        <f>(F837*5250/3456)</f>
        <v>0</v>
      </c>
      <c r="N837" s="358"/>
      <c r="O837" s="358"/>
      <c r="P837" s="358"/>
      <c r="Q837" s="358" t="s">
        <v>18</v>
      </c>
      <c r="R837" s="358"/>
      <c r="S837" s="358" t="s">
        <v>19</v>
      </c>
      <c r="T837" s="528">
        <v>10</v>
      </c>
      <c r="U837" s="324">
        <f>E837/324*60</f>
        <v>0</v>
      </c>
      <c r="V837" s="676"/>
      <c r="W837" s="528"/>
      <c r="X837" s="529"/>
      <c r="Y837" s="645" t="s">
        <v>1117</v>
      </c>
      <c r="Z837" s="312">
        <f>E837/1.21</f>
        <v>0</v>
      </c>
      <c r="AA837" s="316">
        <f>SUM(Z837/495)</f>
        <v>0</v>
      </c>
    </row>
    <row r="838" spans="1:29" ht="105.75" thickBot="1" x14ac:dyDescent="0.45">
      <c r="A838" s="319" t="s">
        <v>1088</v>
      </c>
      <c r="B838" s="343" t="s">
        <v>1015</v>
      </c>
      <c r="C838" s="528"/>
      <c r="D838" s="528">
        <f>C838*12</f>
        <v>0</v>
      </c>
      <c r="E838" s="460">
        <f>D838*0.5</f>
        <v>0</v>
      </c>
      <c r="F838" s="324">
        <f>E838*1.03*0.82/147</f>
        <v>0</v>
      </c>
      <c r="G838" s="537">
        <f>INT(M838)</f>
        <v>0</v>
      </c>
      <c r="H838" s="354" t="s">
        <v>18</v>
      </c>
      <c r="I838" s="537">
        <f>(M838-G838)*64</f>
        <v>0</v>
      </c>
      <c r="J838" s="354" t="s">
        <v>19</v>
      </c>
      <c r="K838" s="324"/>
      <c r="L838" s="324"/>
      <c r="M838" s="324">
        <f>(F838*5250/3456)</f>
        <v>0</v>
      </c>
      <c r="N838" s="324"/>
      <c r="O838" s="324"/>
      <c r="P838" s="324"/>
      <c r="Q838" s="324" t="s">
        <v>18</v>
      </c>
      <c r="R838" s="324"/>
      <c r="S838" s="324" t="s">
        <v>19</v>
      </c>
      <c r="T838" s="528">
        <v>10</v>
      </c>
      <c r="U838" s="324">
        <f>E838/324*60</f>
        <v>0</v>
      </c>
      <c r="V838" s="676"/>
      <c r="W838" s="528"/>
      <c r="X838" s="529"/>
      <c r="Y838" s="323" t="s">
        <v>929</v>
      </c>
      <c r="Z838" s="312">
        <f>E838/1.21</f>
        <v>0</v>
      </c>
      <c r="AA838" s="316">
        <f>SUM(Z838/414)</f>
        <v>0</v>
      </c>
    </row>
    <row r="839" spans="1:29" ht="216.75" customHeight="1" thickBot="1" x14ac:dyDescent="0.45">
      <c r="A839" s="319" t="s">
        <v>1088</v>
      </c>
      <c r="B839" s="369" t="s">
        <v>857</v>
      </c>
      <c r="C839" s="528"/>
      <c r="D839" s="551">
        <f>C839*12</f>
        <v>0</v>
      </c>
      <c r="E839" s="456">
        <f>D839*0.6</f>
        <v>0</v>
      </c>
      <c r="F839" s="358">
        <f>E839*1.01*0.72/147</f>
        <v>0</v>
      </c>
      <c r="G839" s="548">
        <f t="shared" ref="G839:G849" si="305">INT(M839)</f>
        <v>0</v>
      </c>
      <c r="H839" s="358" t="s">
        <v>18</v>
      </c>
      <c r="I839" s="548">
        <f t="shared" ref="I839:I849" si="306">(M839-G839)*64</f>
        <v>0</v>
      </c>
      <c r="J839" s="358" t="s">
        <v>19</v>
      </c>
      <c r="K839" s="358"/>
      <c r="L839" s="358"/>
      <c r="M839" s="358">
        <f>(F839*6100/3456)</f>
        <v>0</v>
      </c>
      <c r="N839" s="358"/>
      <c r="O839" s="358"/>
      <c r="P839" s="358"/>
      <c r="Q839" s="358" t="s">
        <v>18</v>
      </c>
      <c r="R839" s="358"/>
      <c r="S839" s="358" t="s">
        <v>19</v>
      </c>
      <c r="T839" s="528">
        <v>10</v>
      </c>
      <c r="U839" s="324">
        <f>E839/324*60</f>
        <v>0</v>
      </c>
      <c r="V839" s="676"/>
      <c r="W839" s="528"/>
      <c r="X839" s="529"/>
      <c r="Y839" s="645" t="s">
        <v>1152</v>
      </c>
      <c r="Z839" s="312">
        <f>E839/1.21/1.143</f>
        <v>0</v>
      </c>
      <c r="AA839" s="316">
        <f>SUM(AB839/445.5)</f>
        <v>0</v>
      </c>
      <c r="AB839" s="310">
        <f>E839/1.21</f>
        <v>0</v>
      </c>
      <c r="AC839" s="643"/>
    </row>
    <row r="840" spans="1:29" ht="261.75" thickBot="1" x14ac:dyDescent="0.45">
      <c r="A840" s="319" t="s">
        <v>1088</v>
      </c>
      <c r="B840" s="369" t="s">
        <v>908</v>
      </c>
      <c r="C840" s="528"/>
      <c r="D840" s="551">
        <f>C840*12</f>
        <v>0</v>
      </c>
      <c r="E840" s="456">
        <f>D840*0.6</f>
        <v>0</v>
      </c>
      <c r="F840" s="358">
        <f>E840*1.01*0.72/147</f>
        <v>0</v>
      </c>
      <c r="G840" s="548">
        <f t="shared" si="305"/>
        <v>0</v>
      </c>
      <c r="H840" s="358" t="s">
        <v>18</v>
      </c>
      <c r="I840" s="548">
        <f t="shared" si="306"/>
        <v>0</v>
      </c>
      <c r="J840" s="358" t="s">
        <v>19</v>
      </c>
      <c r="K840" s="358"/>
      <c r="L840" s="358"/>
      <c r="M840" s="358">
        <f>(F840*6100/3456)</f>
        <v>0</v>
      </c>
      <c r="N840" s="358"/>
      <c r="O840" s="358"/>
      <c r="P840" s="358"/>
      <c r="Q840" s="358" t="s">
        <v>18</v>
      </c>
      <c r="R840" s="358"/>
      <c r="S840" s="358" t="s">
        <v>19</v>
      </c>
      <c r="T840" s="528">
        <v>10</v>
      </c>
      <c r="U840" s="324">
        <f>E840/324*60</f>
        <v>0</v>
      </c>
      <c r="V840" s="676"/>
      <c r="W840" s="528"/>
      <c r="X840" s="529"/>
      <c r="Y840" s="645" t="s">
        <v>1121</v>
      </c>
      <c r="Z840" s="312">
        <f>E840/1.21/1.143</f>
        <v>0</v>
      </c>
      <c r="AA840" s="316">
        <f>SUM(AB840/445.5)</f>
        <v>0</v>
      </c>
      <c r="AB840" s="310">
        <f>E840/1.21</f>
        <v>0</v>
      </c>
      <c r="AC840" s="643"/>
    </row>
    <row r="841" spans="1:29" ht="208.5" thickBot="1" x14ac:dyDescent="0.45">
      <c r="A841" s="319" t="s">
        <v>1088</v>
      </c>
      <c r="B841" s="320" t="s">
        <v>1036</v>
      </c>
      <c r="C841" s="528"/>
      <c r="D841" s="550">
        <f>C841*22</f>
        <v>0</v>
      </c>
      <c r="E841" s="456">
        <f>D841*0.2</f>
        <v>0</v>
      </c>
      <c r="F841" s="358">
        <f>E841*1.03*0.82/147</f>
        <v>0</v>
      </c>
      <c r="G841" s="548">
        <f t="shared" si="305"/>
        <v>0</v>
      </c>
      <c r="H841" s="358" t="s">
        <v>18</v>
      </c>
      <c r="I841" s="548">
        <f t="shared" si="306"/>
        <v>0</v>
      </c>
      <c r="J841" s="358" t="s">
        <v>19</v>
      </c>
      <c r="K841" s="358"/>
      <c r="L841" s="358"/>
      <c r="M841" s="358">
        <f>F841*5250/3456</f>
        <v>0</v>
      </c>
      <c r="N841" s="358"/>
      <c r="O841" s="358"/>
      <c r="P841" s="358"/>
      <c r="Q841" s="358" t="s">
        <v>18</v>
      </c>
      <c r="R841" s="358"/>
      <c r="S841" s="358" t="s">
        <v>19</v>
      </c>
      <c r="T841" s="528">
        <v>6</v>
      </c>
      <c r="U841" s="324">
        <f>E841/220*60</f>
        <v>0</v>
      </c>
      <c r="V841" s="676"/>
      <c r="W841" s="528"/>
      <c r="X841" s="529"/>
      <c r="Y841" s="647" t="s">
        <v>1099</v>
      </c>
      <c r="Z841" s="312">
        <f>E841/1.21</f>
        <v>0</v>
      </c>
      <c r="AA841" s="316">
        <f>SUM(Z841/453.6)</f>
        <v>0</v>
      </c>
    </row>
    <row r="842" spans="1:29" ht="208.5" thickBot="1" x14ac:dyDescent="0.45">
      <c r="A842" s="319" t="s">
        <v>1088</v>
      </c>
      <c r="B842" s="320" t="s">
        <v>1001</v>
      </c>
      <c r="C842" s="528"/>
      <c r="D842" s="551">
        <f>C842*22</f>
        <v>0</v>
      </c>
      <c r="E842" s="456">
        <f>D842*0.2</f>
        <v>0</v>
      </c>
      <c r="F842" s="358">
        <f>E842*1.03*0.82/147</f>
        <v>0</v>
      </c>
      <c r="G842" s="548">
        <f t="shared" si="305"/>
        <v>0</v>
      </c>
      <c r="H842" s="358" t="s">
        <v>18</v>
      </c>
      <c r="I842" s="548">
        <f t="shared" si="306"/>
        <v>0</v>
      </c>
      <c r="J842" s="358" t="s">
        <v>19</v>
      </c>
      <c r="K842" s="358"/>
      <c r="L842" s="358"/>
      <c r="M842" s="358">
        <f>F842*5250/3456</f>
        <v>0</v>
      </c>
      <c r="N842" s="358"/>
      <c r="O842" s="358"/>
      <c r="P842" s="358"/>
      <c r="Q842" s="358" t="s">
        <v>18</v>
      </c>
      <c r="R842" s="358"/>
      <c r="S842" s="358" t="s">
        <v>19</v>
      </c>
      <c r="T842" s="528">
        <v>6</v>
      </c>
      <c r="U842" s="324">
        <f>E842/220*60</f>
        <v>0</v>
      </c>
      <c r="V842" s="676"/>
      <c r="W842" s="528"/>
      <c r="X842" s="529"/>
      <c r="Y842" s="647" t="s">
        <v>1102</v>
      </c>
      <c r="Z842" s="312">
        <f>E842/1.21</f>
        <v>0</v>
      </c>
      <c r="AA842" s="316">
        <f>SUM(Z842/453.6)</f>
        <v>0</v>
      </c>
    </row>
    <row r="843" spans="1:29" ht="261.75" thickBot="1" x14ac:dyDescent="0.45">
      <c r="A843" s="319" t="s">
        <v>1088</v>
      </c>
      <c r="B843" s="362" t="s">
        <v>796</v>
      </c>
      <c r="C843" s="528"/>
      <c r="D843" s="551">
        <f>C843*8</f>
        <v>0</v>
      </c>
      <c r="E843" s="456">
        <f>D843*0.25</f>
        <v>0</v>
      </c>
      <c r="F843" s="358">
        <f>E843*1.015*0.72/147</f>
        <v>0</v>
      </c>
      <c r="G843" s="548">
        <f t="shared" si="305"/>
        <v>0</v>
      </c>
      <c r="H843" s="358" t="s">
        <v>18</v>
      </c>
      <c r="I843" s="548">
        <f t="shared" si="306"/>
        <v>0</v>
      </c>
      <c r="J843" s="358" t="s">
        <v>19</v>
      </c>
      <c r="K843" s="358"/>
      <c r="L843" s="358"/>
      <c r="M843" s="552">
        <f>(F843*6447/3456)</f>
        <v>0</v>
      </c>
      <c r="N843" s="324"/>
      <c r="O843" s="324"/>
      <c r="P843" s="324"/>
      <c r="Q843" s="324" t="s">
        <v>18</v>
      </c>
      <c r="R843" s="324"/>
      <c r="S843" s="324" t="s">
        <v>19</v>
      </c>
      <c r="T843" s="528">
        <v>6</v>
      </c>
      <c r="U843" s="324">
        <f>E843/259*60</f>
        <v>0</v>
      </c>
      <c r="V843" s="676"/>
      <c r="W843" s="528"/>
      <c r="X843" s="529"/>
      <c r="Y843" s="645" t="s">
        <v>1120</v>
      </c>
      <c r="Z843" s="312">
        <f>E843/1.21/1.143</f>
        <v>0</v>
      </c>
      <c r="AA843" s="316">
        <f>SUM(AB843/421.2)</f>
        <v>0</v>
      </c>
      <c r="AB843" s="310">
        <f>E843/1.21</f>
        <v>0</v>
      </c>
      <c r="AC843" s="643"/>
    </row>
    <row r="844" spans="1:29" s="728" customFormat="1" ht="184.5" outlineLevel="1" thickBot="1" x14ac:dyDescent="0.45">
      <c r="A844" s="636" t="s">
        <v>1088</v>
      </c>
      <c r="B844" s="635" t="s">
        <v>797</v>
      </c>
      <c r="C844" s="720"/>
      <c r="D844" s="741">
        <f>C844*8</f>
        <v>0</v>
      </c>
      <c r="E844" s="721">
        <f>D844*0.25</f>
        <v>0</v>
      </c>
      <c r="F844" s="722">
        <f>E844*1.015*0.72/147</f>
        <v>0</v>
      </c>
      <c r="G844" s="720">
        <f t="shared" si="305"/>
        <v>0</v>
      </c>
      <c r="H844" s="722" t="s">
        <v>18</v>
      </c>
      <c r="I844" s="720">
        <f t="shared" si="306"/>
        <v>0</v>
      </c>
      <c r="J844" s="722" t="s">
        <v>19</v>
      </c>
      <c r="K844" s="722"/>
      <c r="L844" s="722"/>
      <c r="M844" s="816">
        <f>(F844*6447/3456)</f>
        <v>0</v>
      </c>
      <c r="N844" s="722"/>
      <c r="O844" s="722"/>
      <c r="P844" s="722"/>
      <c r="Q844" s="722" t="s">
        <v>18</v>
      </c>
      <c r="R844" s="722"/>
      <c r="S844" s="722" t="s">
        <v>19</v>
      </c>
      <c r="T844" s="720">
        <v>6</v>
      </c>
      <c r="U844" s="722">
        <f>E844/259*60</f>
        <v>0</v>
      </c>
      <c r="V844" s="724"/>
      <c r="W844" s="720"/>
      <c r="X844" s="725"/>
      <c r="Y844" s="736" t="s">
        <v>934</v>
      </c>
      <c r="Z844" s="727">
        <f>E844/1.21/1.143</f>
        <v>0</v>
      </c>
      <c r="AA844" s="815">
        <f>SUM(AB844/421.2)</f>
        <v>0</v>
      </c>
      <c r="AB844" s="728">
        <f>E844/1.21</f>
        <v>0</v>
      </c>
      <c r="AC844" s="818"/>
    </row>
    <row r="845" spans="1:29" s="728" customFormat="1" ht="105.75" outlineLevel="1" thickBot="1" x14ac:dyDescent="0.45">
      <c r="A845" s="636" t="s">
        <v>1088</v>
      </c>
      <c r="B845" s="814" t="s">
        <v>683</v>
      </c>
      <c r="C845" s="720"/>
      <c r="D845" s="720">
        <f>C845*10</f>
        <v>0</v>
      </c>
      <c r="E845" s="721">
        <f>D845*0.2</f>
        <v>0</v>
      </c>
      <c r="F845" s="722">
        <f>E845*1.03*0.82/147</f>
        <v>0</v>
      </c>
      <c r="G845" s="720">
        <f t="shared" si="305"/>
        <v>0</v>
      </c>
      <c r="H845" s="722" t="s">
        <v>18</v>
      </c>
      <c r="I845" s="720">
        <f t="shared" si="306"/>
        <v>0</v>
      </c>
      <c r="J845" s="722" t="s">
        <v>19</v>
      </c>
      <c r="K845" s="722"/>
      <c r="L845" s="722"/>
      <c r="M845" s="722">
        <f>(F845*8750/3456)</f>
        <v>0</v>
      </c>
      <c r="N845" s="722"/>
      <c r="O845" s="722"/>
      <c r="P845" s="722"/>
      <c r="Q845" s="722" t="s">
        <v>18</v>
      </c>
      <c r="R845" s="722"/>
      <c r="S845" s="722" t="s">
        <v>19</v>
      </c>
      <c r="T845" s="720">
        <v>7</v>
      </c>
      <c r="U845" s="722">
        <f>E845/220*60</f>
        <v>0</v>
      </c>
      <c r="V845" s="724"/>
      <c r="W845" s="720"/>
      <c r="X845" s="725"/>
      <c r="Y845" s="736" t="s">
        <v>964</v>
      </c>
      <c r="Z845" s="727">
        <f>E845/1.21</f>
        <v>0</v>
      </c>
      <c r="AA845" s="815">
        <f>SUM(Z845/288)</f>
        <v>0</v>
      </c>
    </row>
    <row r="846" spans="1:29" s="728" customFormat="1" ht="184.5" outlineLevel="1" thickBot="1" x14ac:dyDescent="0.45">
      <c r="A846" s="636" t="s">
        <v>1088</v>
      </c>
      <c r="B846" s="635" t="s">
        <v>759</v>
      </c>
      <c r="C846" s="720"/>
      <c r="D846" s="720">
        <f>C846*10</f>
        <v>0</v>
      </c>
      <c r="E846" s="721">
        <f>D846*0.2</f>
        <v>0</v>
      </c>
      <c r="F846" s="722">
        <f>E846*1.015*0.72/147</f>
        <v>0</v>
      </c>
      <c r="G846" s="720">
        <f t="shared" si="305"/>
        <v>0</v>
      </c>
      <c r="H846" s="722" t="s">
        <v>18</v>
      </c>
      <c r="I846" s="720">
        <f t="shared" si="306"/>
        <v>0</v>
      </c>
      <c r="J846" s="722" t="s">
        <v>19</v>
      </c>
      <c r="K846" s="722"/>
      <c r="L846" s="722"/>
      <c r="M846" s="722">
        <f>(F846*8070/3456)</f>
        <v>0</v>
      </c>
      <c r="N846" s="722"/>
      <c r="O846" s="722"/>
      <c r="P846" s="722"/>
      <c r="Q846" s="722" t="s">
        <v>18</v>
      </c>
      <c r="R846" s="722"/>
      <c r="S846" s="722" t="s">
        <v>19</v>
      </c>
      <c r="T846" s="720">
        <v>6</v>
      </c>
      <c r="U846" s="722">
        <f>E846/259*60</f>
        <v>0</v>
      </c>
      <c r="V846" s="724"/>
      <c r="W846" s="720"/>
      <c r="X846" s="725"/>
      <c r="Y846" s="736" t="s">
        <v>931</v>
      </c>
      <c r="Z846" s="727">
        <f>E846/1.21/1.143</f>
        <v>0</v>
      </c>
      <c r="AA846" s="815">
        <f>SUM(AB846/340.2)</f>
        <v>0</v>
      </c>
      <c r="AB846" s="728">
        <f>E846/1.21</f>
        <v>0</v>
      </c>
      <c r="AC846" s="818"/>
    </row>
    <row r="847" spans="1:29" s="728" customFormat="1" ht="184.5" outlineLevel="1" thickBot="1" x14ac:dyDescent="0.45">
      <c r="A847" s="636" t="s">
        <v>1088</v>
      </c>
      <c r="B847" s="635" t="s">
        <v>760</v>
      </c>
      <c r="C847" s="720"/>
      <c r="D847" s="720">
        <f>C847*10</f>
        <v>0</v>
      </c>
      <c r="E847" s="721">
        <f>D847*0.2</f>
        <v>0</v>
      </c>
      <c r="F847" s="722">
        <f>E847*1.015*0.72/147</f>
        <v>0</v>
      </c>
      <c r="G847" s="720">
        <f t="shared" si="305"/>
        <v>0</v>
      </c>
      <c r="H847" s="722" t="s">
        <v>18</v>
      </c>
      <c r="I847" s="720">
        <f t="shared" si="306"/>
        <v>0</v>
      </c>
      <c r="J847" s="722" t="s">
        <v>19</v>
      </c>
      <c r="K847" s="722"/>
      <c r="L847" s="722"/>
      <c r="M847" s="722">
        <f>(F847*8070/3456)</f>
        <v>0</v>
      </c>
      <c r="N847" s="722"/>
      <c r="O847" s="722"/>
      <c r="P847" s="722"/>
      <c r="Q847" s="722" t="s">
        <v>18</v>
      </c>
      <c r="R847" s="722"/>
      <c r="S847" s="722" t="s">
        <v>19</v>
      </c>
      <c r="T847" s="720">
        <v>6</v>
      </c>
      <c r="U847" s="722">
        <f>E847/259*60</f>
        <v>0</v>
      </c>
      <c r="V847" s="724"/>
      <c r="W847" s="720"/>
      <c r="X847" s="725"/>
      <c r="Y847" s="736" t="s">
        <v>931</v>
      </c>
      <c r="Z847" s="727">
        <f>E847/1.21/1.143</f>
        <v>0</v>
      </c>
      <c r="AA847" s="815">
        <f>SUM(AB847/340.2)</f>
        <v>0</v>
      </c>
      <c r="AB847" s="728">
        <f>E847/1.21</f>
        <v>0</v>
      </c>
      <c r="AC847" s="818"/>
    </row>
    <row r="848" spans="1:29" ht="282.75" customHeight="1" thickBot="1" x14ac:dyDescent="0.45">
      <c r="A848" s="319" t="s">
        <v>1088</v>
      </c>
      <c r="B848" s="362" t="s">
        <v>627</v>
      </c>
      <c r="C848" s="528"/>
      <c r="D848" s="548">
        <f>C848*18</f>
        <v>0</v>
      </c>
      <c r="E848" s="456">
        <f>D848*0.2</f>
        <v>0</v>
      </c>
      <c r="F848" s="358">
        <f>E848*1.05*0.8/140</f>
        <v>0</v>
      </c>
      <c r="G848" s="548">
        <f t="shared" si="305"/>
        <v>0</v>
      </c>
      <c r="H848" s="358" t="s">
        <v>18</v>
      </c>
      <c r="I848" s="548">
        <f t="shared" si="306"/>
        <v>0</v>
      </c>
      <c r="J848" s="358" t="s">
        <v>19</v>
      </c>
      <c r="K848" s="358"/>
      <c r="L848" s="358"/>
      <c r="M848" s="358">
        <f>F848*5111/3456</f>
        <v>0</v>
      </c>
      <c r="N848" s="324"/>
      <c r="O848" s="324"/>
      <c r="P848" s="324"/>
      <c r="Q848" s="324" t="s">
        <v>18</v>
      </c>
      <c r="R848" s="324"/>
      <c r="S848" s="324" t="s">
        <v>19</v>
      </c>
      <c r="T848" s="528">
        <v>6</v>
      </c>
      <c r="U848" s="324">
        <f t="shared" ref="U848:U853" si="307">E848/220*60</f>
        <v>0</v>
      </c>
      <c r="V848" s="676"/>
      <c r="W848" s="528"/>
      <c r="X848" s="529"/>
      <c r="Y848" s="648" t="s">
        <v>1136</v>
      </c>
      <c r="Z848" s="312">
        <f>E848/1.21</f>
        <v>0</v>
      </c>
      <c r="AA848" s="316">
        <f>SUM(Z848/453.6)</f>
        <v>0</v>
      </c>
    </row>
    <row r="849" spans="1:29" ht="105.75" thickBot="1" x14ac:dyDescent="0.45">
      <c r="A849" s="319" t="s">
        <v>1088</v>
      </c>
      <c r="B849" s="364" t="s">
        <v>694</v>
      </c>
      <c r="C849" s="528"/>
      <c r="D849" s="548">
        <f>C849*10</f>
        <v>0</v>
      </c>
      <c r="E849" s="456">
        <f>D849*0.25</f>
        <v>0</v>
      </c>
      <c r="F849" s="358">
        <f>E849*1.03*0.81/147</f>
        <v>0</v>
      </c>
      <c r="G849" s="548">
        <f t="shared" si="305"/>
        <v>0</v>
      </c>
      <c r="H849" s="358" t="s">
        <v>18</v>
      </c>
      <c r="I849" s="548">
        <f t="shared" si="306"/>
        <v>0</v>
      </c>
      <c r="J849" s="358" t="s">
        <v>19</v>
      </c>
      <c r="K849" s="358"/>
      <c r="L849" s="358"/>
      <c r="M849" s="358">
        <f>(F849*8820/3456)</f>
        <v>0</v>
      </c>
      <c r="N849" s="324"/>
      <c r="O849" s="324"/>
      <c r="P849" s="324"/>
      <c r="Q849" s="324" t="s">
        <v>18</v>
      </c>
      <c r="R849" s="324"/>
      <c r="S849" s="324" t="s">
        <v>19</v>
      </c>
      <c r="T849" s="528">
        <v>7</v>
      </c>
      <c r="U849" s="324">
        <f t="shared" si="307"/>
        <v>0</v>
      </c>
      <c r="V849" s="676"/>
      <c r="W849" s="528"/>
      <c r="X849" s="529"/>
      <c r="Y849" s="323" t="s">
        <v>933</v>
      </c>
      <c r="Z849" s="312">
        <f>E849/1.21</f>
        <v>0</v>
      </c>
      <c r="AA849" s="316">
        <f>SUM(Z849/378)</f>
        <v>0</v>
      </c>
    </row>
    <row r="850" spans="1:29" ht="105.75" thickBot="1" x14ac:dyDescent="0.45">
      <c r="A850" s="319" t="s">
        <v>1088</v>
      </c>
      <c r="B850" s="364" t="s">
        <v>1068</v>
      </c>
      <c r="C850" s="528"/>
      <c r="D850" s="528">
        <f>C850*10</f>
        <v>0</v>
      </c>
      <c r="E850" s="460">
        <f>D850*0.25</f>
        <v>0</v>
      </c>
      <c r="F850" s="324">
        <f>E850*1.03*0.81/147</f>
        <v>0</v>
      </c>
      <c r="G850" s="528">
        <f>INT(M850)</f>
        <v>0</v>
      </c>
      <c r="H850" s="324" t="s">
        <v>18</v>
      </c>
      <c r="I850" s="528">
        <f>(M850-G850)*64</f>
        <v>0</v>
      </c>
      <c r="J850" s="324" t="s">
        <v>19</v>
      </c>
      <c r="K850" s="324"/>
      <c r="L850" s="324"/>
      <c r="M850" s="324">
        <f>(F850*8820/3456)</f>
        <v>0</v>
      </c>
      <c r="N850" s="324"/>
      <c r="O850" s="324"/>
      <c r="P850" s="324"/>
      <c r="Q850" s="324" t="s">
        <v>18</v>
      </c>
      <c r="R850" s="324"/>
      <c r="S850" s="324" t="s">
        <v>19</v>
      </c>
      <c r="T850" s="528">
        <v>7</v>
      </c>
      <c r="U850" s="324">
        <f t="shared" si="307"/>
        <v>0</v>
      </c>
      <c r="V850" s="676"/>
      <c r="W850" s="528"/>
      <c r="X850" s="529"/>
      <c r="Y850" s="323" t="s">
        <v>933</v>
      </c>
      <c r="Z850" s="312">
        <f>E850/1.21</f>
        <v>0</v>
      </c>
      <c r="AA850" s="316">
        <f>SUM(Z850/378)</f>
        <v>0</v>
      </c>
    </row>
    <row r="851" spans="1:29" ht="105.75" thickBot="1" x14ac:dyDescent="0.45">
      <c r="A851" s="319" t="s">
        <v>1088</v>
      </c>
      <c r="B851" s="364" t="s">
        <v>1072</v>
      </c>
      <c r="C851" s="528"/>
      <c r="D851" s="528">
        <f>C851*10</f>
        <v>0</v>
      </c>
      <c r="E851" s="460">
        <f>D851*0.25</f>
        <v>0</v>
      </c>
      <c r="F851" s="324">
        <f>E851*1.03*0.81/147</f>
        <v>0</v>
      </c>
      <c r="G851" s="528">
        <f>INT(M851)</f>
        <v>0</v>
      </c>
      <c r="H851" s="324" t="s">
        <v>18</v>
      </c>
      <c r="I851" s="528">
        <f>(M851-G851)*64</f>
        <v>0</v>
      </c>
      <c r="J851" s="324" t="s">
        <v>19</v>
      </c>
      <c r="K851" s="324"/>
      <c r="L851" s="324"/>
      <c r="M851" s="324">
        <f>(F851*8820/3456)</f>
        <v>0</v>
      </c>
      <c r="N851" s="324"/>
      <c r="O851" s="324"/>
      <c r="P851" s="324"/>
      <c r="Q851" s="324" t="s">
        <v>18</v>
      </c>
      <c r="R851" s="324"/>
      <c r="S851" s="324" t="s">
        <v>19</v>
      </c>
      <c r="T851" s="528">
        <v>7</v>
      </c>
      <c r="U851" s="324">
        <f t="shared" si="307"/>
        <v>0</v>
      </c>
      <c r="V851" s="676"/>
      <c r="W851" s="528"/>
      <c r="X851" s="529"/>
      <c r="Y851" s="323" t="s">
        <v>933</v>
      </c>
      <c r="Z851" s="312">
        <f>E851/1.21</f>
        <v>0</v>
      </c>
      <c r="AA851" s="316">
        <f>SUM(Z851/324)</f>
        <v>0</v>
      </c>
    </row>
    <row r="852" spans="1:29" ht="208.5" thickBot="1" x14ac:dyDescent="0.45">
      <c r="A852" s="319" t="s">
        <v>1088</v>
      </c>
      <c r="B852" s="320" t="s">
        <v>951</v>
      </c>
      <c r="C852" s="528"/>
      <c r="D852" s="551">
        <f>C852*18</f>
        <v>0</v>
      </c>
      <c r="E852" s="456">
        <f>D852*0.2</f>
        <v>0</v>
      </c>
      <c r="F852" s="358">
        <f>E852*1.03*0.82/147</f>
        <v>0</v>
      </c>
      <c r="G852" s="548">
        <f t="shared" ref="G852:G861" si="308">INT(M852)</f>
        <v>0</v>
      </c>
      <c r="H852" s="358" t="s">
        <v>18</v>
      </c>
      <c r="I852" s="548">
        <f t="shared" ref="I852:I861" si="309">(M852-G852)*64</f>
        <v>0</v>
      </c>
      <c r="J852" s="358" t="s">
        <v>19</v>
      </c>
      <c r="K852" s="358"/>
      <c r="L852" s="358"/>
      <c r="M852" s="358">
        <f>F852*5250/3456</f>
        <v>0</v>
      </c>
      <c r="N852" s="324"/>
      <c r="O852" s="324"/>
      <c r="P852" s="324"/>
      <c r="Q852" s="324" t="s">
        <v>18</v>
      </c>
      <c r="R852" s="324"/>
      <c r="S852" s="324" t="s">
        <v>19</v>
      </c>
      <c r="T852" s="528">
        <v>6</v>
      </c>
      <c r="U852" s="324">
        <f t="shared" si="307"/>
        <v>0</v>
      </c>
      <c r="V852" s="676"/>
      <c r="W852" s="528"/>
      <c r="X852" s="529"/>
      <c r="Y852" s="647" t="s">
        <v>1145</v>
      </c>
      <c r="Z852" s="312">
        <f>E852/1.21</f>
        <v>0</v>
      </c>
      <c r="AA852" s="316">
        <f>SUM(Z852/453.6)</f>
        <v>0</v>
      </c>
    </row>
    <row r="853" spans="1:29" ht="239.25" customHeight="1" thickBot="1" x14ac:dyDescent="0.45">
      <c r="A853" s="319" t="s">
        <v>1088</v>
      </c>
      <c r="B853" s="362" t="s">
        <v>1093</v>
      </c>
      <c r="C853" s="528"/>
      <c r="D853" s="551">
        <f>C853*18</f>
        <v>0</v>
      </c>
      <c r="E853" s="456">
        <f>D853*0.2</f>
        <v>0</v>
      </c>
      <c r="F853" s="358">
        <f>E853*1.03*0.729/147</f>
        <v>0</v>
      </c>
      <c r="G853" s="548">
        <f t="shared" si="308"/>
        <v>0</v>
      </c>
      <c r="H853" s="358" t="s">
        <v>18</v>
      </c>
      <c r="I853" s="548">
        <f t="shared" si="309"/>
        <v>0</v>
      </c>
      <c r="J853" s="358" t="s">
        <v>19</v>
      </c>
      <c r="K853" s="358"/>
      <c r="L853" s="358"/>
      <c r="M853" s="358">
        <f>F853*5880/3456</f>
        <v>0</v>
      </c>
      <c r="N853" s="324"/>
      <c r="O853" s="324"/>
      <c r="P853" s="324"/>
      <c r="Q853" s="324" t="s">
        <v>18</v>
      </c>
      <c r="R853" s="324"/>
      <c r="S853" s="324" t="s">
        <v>19</v>
      </c>
      <c r="T853" s="528">
        <v>6</v>
      </c>
      <c r="U853" s="324">
        <f t="shared" si="307"/>
        <v>0</v>
      </c>
      <c r="V853" s="676"/>
      <c r="W853" s="528"/>
      <c r="X853" s="529"/>
      <c r="Y853" s="645" t="s">
        <v>1146</v>
      </c>
      <c r="Z853" s="312">
        <f>E853/1.21/1.143</f>
        <v>0</v>
      </c>
      <c r="AA853" s="316">
        <f>SUM(AB853/437.4)</f>
        <v>0</v>
      </c>
      <c r="AB853" s="310">
        <f>E853/1.21</f>
        <v>0</v>
      </c>
      <c r="AC853" s="643"/>
    </row>
    <row r="854" spans="1:29" s="728" customFormat="1" ht="237" outlineLevel="1" thickBot="1" x14ac:dyDescent="0.45">
      <c r="A854" s="636" t="s">
        <v>1088</v>
      </c>
      <c r="B854" s="635" t="s">
        <v>1040</v>
      </c>
      <c r="C854" s="720"/>
      <c r="D854" s="720">
        <f>C854*12</f>
        <v>0</v>
      </c>
      <c r="E854" s="721">
        <f>D854*0.25</f>
        <v>0</v>
      </c>
      <c r="F854" s="722">
        <f>E854*1.03*0.729/147</f>
        <v>0</v>
      </c>
      <c r="G854" s="720">
        <f t="shared" si="308"/>
        <v>0</v>
      </c>
      <c r="H854" s="722" t="s">
        <v>18</v>
      </c>
      <c r="I854" s="720">
        <f t="shared" si="309"/>
        <v>0</v>
      </c>
      <c r="J854" s="722" t="s">
        <v>19</v>
      </c>
      <c r="K854" s="722"/>
      <c r="L854" s="722"/>
      <c r="M854" s="722">
        <f>(F854*7840/3456)</f>
        <v>0</v>
      </c>
      <c r="N854" s="722"/>
      <c r="O854" s="722"/>
      <c r="P854" s="722"/>
      <c r="Q854" s="722" t="s">
        <v>18</v>
      </c>
      <c r="R854" s="722"/>
      <c r="S854" s="722" t="s">
        <v>19</v>
      </c>
      <c r="T854" s="720">
        <v>7</v>
      </c>
      <c r="U854" s="324">
        <f>E854/390*60</f>
        <v>0</v>
      </c>
      <c r="V854" s="724"/>
      <c r="W854" s="720"/>
      <c r="X854" s="725"/>
      <c r="Y854" s="736" t="s">
        <v>926</v>
      </c>
      <c r="Z854" s="727">
        <f>E854/1.21/1.143</f>
        <v>0</v>
      </c>
      <c r="AA854" s="815">
        <f>SUM(AB854/324)</f>
        <v>0</v>
      </c>
      <c r="AB854" s="728">
        <f>E854/1.21</f>
        <v>0</v>
      </c>
      <c r="AC854" s="818"/>
    </row>
    <row r="855" spans="1:29" ht="237" customHeight="1" thickBot="1" x14ac:dyDescent="0.45">
      <c r="A855" s="319" t="s">
        <v>1088</v>
      </c>
      <c r="B855" s="362" t="s">
        <v>1147</v>
      </c>
      <c r="C855" s="528"/>
      <c r="D855" s="551">
        <f>C855*18</f>
        <v>0</v>
      </c>
      <c r="E855" s="456">
        <f>D855*0.2</f>
        <v>0</v>
      </c>
      <c r="F855" s="358">
        <f>E855*1.03*0.729/147</f>
        <v>0</v>
      </c>
      <c r="G855" s="548">
        <f t="shared" si="308"/>
        <v>0</v>
      </c>
      <c r="H855" s="358" t="s">
        <v>18</v>
      </c>
      <c r="I855" s="548">
        <f t="shared" si="309"/>
        <v>0</v>
      </c>
      <c r="J855" s="358" t="s">
        <v>19</v>
      </c>
      <c r="K855" s="358"/>
      <c r="L855" s="358"/>
      <c r="M855" s="358">
        <f>F855*5880/3456</f>
        <v>0</v>
      </c>
      <c r="N855" s="324"/>
      <c r="O855" s="324"/>
      <c r="P855" s="324"/>
      <c r="Q855" s="324" t="s">
        <v>18</v>
      </c>
      <c r="R855" s="324"/>
      <c r="S855" s="324" t="s">
        <v>19</v>
      </c>
      <c r="T855" s="528">
        <v>6</v>
      </c>
      <c r="U855" s="324">
        <f t="shared" ref="U855:U864" si="310">E855/220*60</f>
        <v>0</v>
      </c>
      <c r="V855" s="676"/>
      <c r="W855" s="528"/>
      <c r="X855" s="529"/>
      <c r="Y855" s="645" t="s">
        <v>1148</v>
      </c>
      <c r="Z855" s="312">
        <f>E855/1.21/1.143</f>
        <v>0</v>
      </c>
      <c r="AA855" s="316">
        <f>SUM(AB855/437.4)</f>
        <v>0</v>
      </c>
      <c r="AB855" s="310">
        <f>E855/1.21</f>
        <v>0</v>
      </c>
      <c r="AC855" s="643"/>
    </row>
    <row r="856" spans="1:29" ht="189" customHeight="1" thickBot="1" x14ac:dyDescent="0.45">
      <c r="A856" s="319" t="s">
        <v>1088</v>
      </c>
      <c r="B856" s="343" t="s">
        <v>880</v>
      </c>
      <c r="C856" s="528"/>
      <c r="D856" s="550">
        <f>C856*18</f>
        <v>0</v>
      </c>
      <c r="E856" s="358">
        <f>D856*0.24</f>
        <v>0</v>
      </c>
      <c r="F856" s="358">
        <f>E856*0.81/147</f>
        <v>0</v>
      </c>
      <c r="G856" s="548">
        <f t="shared" si="308"/>
        <v>0</v>
      </c>
      <c r="H856" s="358" t="s">
        <v>18</v>
      </c>
      <c r="I856" s="548">
        <f t="shared" si="309"/>
        <v>0</v>
      </c>
      <c r="J856" s="358" t="s">
        <v>19</v>
      </c>
      <c r="K856" s="358"/>
      <c r="L856" s="358"/>
      <c r="M856" s="358">
        <f>F856*6125/3456</f>
        <v>0</v>
      </c>
      <c r="N856" s="358"/>
      <c r="O856" s="358"/>
      <c r="P856" s="358"/>
      <c r="Q856" s="358" t="s">
        <v>18</v>
      </c>
      <c r="R856" s="358"/>
      <c r="S856" s="358" t="s">
        <v>19</v>
      </c>
      <c r="T856" s="528">
        <v>6</v>
      </c>
      <c r="U856" s="324">
        <f t="shared" si="310"/>
        <v>0</v>
      </c>
      <c r="V856" s="676"/>
      <c r="W856" s="528"/>
      <c r="X856" s="529"/>
      <c r="Y856" s="645" t="s">
        <v>1138</v>
      </c>
      <c r="Z856" s="312">
        <f t="shared" ref="Z856:Z862" si="311">E856/1.21</f>
        <v>0</v>
      </c>
      <c r="AA856" s="316">
        <f>SUM(Z856/432)</f>
        <v>0</v>
      </c>
    </row>
    <row r="857" spans="1:29" ht="79.5" thickBot="1" x14ac:dyDescent="0.45">
      <c r="A857" s="329" t="s">
        <v>1088</v>
      </c>
      <c r="B857" s="878" t="s">
        <v>1208</v>
      </c>
      <c r="C857" s="872"/>
      <c r="D857" s="548">
        <f>C857*12</f>
        <v>0</v>
      </c>
      <c r="E857" s="456">
        <f>D857*0.3</f>
        <v>0</v>
      </c>
      <c r="F857" s="358">
        <f>E857*1.01*0.79/152</f>
        <v>0</v>
      </c>
      <c r="G857" s="549">
        <f>INT(M857)</f>
        <v>0</v>
      </c>
      <c r="H857" s="359" t="s">
        <v>18</v>
      </c>
      <c r="I857" s="549">
        <f>(M857-G857)*64</f>
        <v>0</v>
      </c>
      <c r="J857" s="359" t="s">
        <v>19</v>
      </c>
      <c r="K857" s="358"/>
      <c r="L857" s="358"/>
      <c r="M857" s="358">
        <f>F857*7696/3456</f>
        <v>0</v>
      </c>
      <c r="N857" s="461"/>
      <c r="O857" s="461"/>
      <c r="P857" s="358"/>
      <c r="Q857" s="358" t="s">
        <v>18</v>
      </c>
      <c r="R857" s="358"/>
      <c r="S857" s="358" t="s">
        <v>19</v>
      </c>
      <c r="T857" s="528">
        <v>10</v>
      </c>
      <c r="U857" s="324">
        <f t="shared" si="310"/>
        <v>0</v>
      </c>
      <c r="V857" s="676"/>
      <c r="W857" s="528"/>
      <c r="X857" s="529"/>
      <c r="Y857" s="323"/>
      <c r="Z857" s="312">
        <f>E857/1.21</f>
        <v>0</v>
      </c>
      <c r="AA857" s="316">
        <f>SUM(Z857/360)</f>
        <v>0</v>
      </c>
    </row>
    <row r="858" spans="1:29" ht="132" thickBot="1" x14ac:dyDescent="0.45">
      <c r="A858" s="319" t="s">
        <v>1088</v>
      </c>
      <c r="B858" s="876" t="s">
        <v>893</v>
      </c>
      <c r="C858" s="528"/>
      <c r="D858" s="551">
        <f>C858*18</f>
        <v>0</v>
      </c>
      <c r="E858" s="456">
        <f>D858*0.18</f>
        <v>0</v>
      </c>
      <c r="F858" s="358">
        <f t="shared" ref="F858:F863" si="312">E858*1.03*0.8/147</f>
        <v>0</v>
      </c>
      <c r="G858" s="548">
        <f t="shared" si="308"/>
        <v>0</v>
      </c>
      <c r="H858" s="358" t="s">
        <v>18</v>
      </c>
      <c r="I858" s="548">
        <f t="shared" si="309"/>
        <v>0</v>
      </c>
      <c r="J858" s="358" t="s">
        <v>19</v>
      </c>
      <c r="K858" s="358"/>
      <c r="L858" s="358"/>
      <c r="M858" s="358">
        <f>F858*5960/3456</f>
        <v>0</v>
      </c>
      <c r="N858" s="324"/>
      <c r="O858" s="324"/>
      <c r="P858" s="324"/>
      <c r="Q858" s="324" t="s">
        <v>18</v>
      </c>
      <c r="R858" s="324"/>
      <c r="S858" s="324" t="s">
        <v>19</v>
      </c>
      <c r="T858" s="528">
        <v>6</v>
      </c>
      <c r="U858" s="324">
        <f t="shared" si="310"/>
        <v>0</v>
      </c>
      <c r="V858" s="676"/>
      <c r="W858" s="528"/>
      <c r="X858" s="529"/>
      <c r="Y858" s="300" t="s">
        <v>955</v>
      </c>
      <c r="Z858" s="312">
        <f t="shared" si="311"/>
        <v>0</v>
      </c>
      <c r="AA858" s="316">
        <f>SUM(Z858/417.6)</f>
        <v>0</v>
      </c>
    </row>
    <row r="859" spans="1:29" ht="132" thickBot="1" x14ac:dyDescent="0.45">
      <c r="A859" s="319" t="s">
        <v>1088</v>
      </c>
      <c r="B859" s="320" t="s">
        <v>858</v>
      </c>
      <c r="C859" s="528"/>
      <c r="D859" s="551">
        <f>C859*18</f>
        <v>0</v>
      </c>
      <c r="E859" s="456">
        <f>D859*0.18</f>
        <v>0</v>
      </c>
      <c r="F859" s="358">
        <f t="shared" si="312"/>
        <v>0</v>
      </c>
      <c r="G859" s="548">
        <f t="shared" si="308"/>
        <v>0</v>
      </c>
      <c r="H859" s="358" t="s">
        <v>18</v>
      </c>
      <c r="I859" s="548">
        <f t="shared" si="309"/>
        <v>0</v>
      </c>
      <c r="J859" s="358" t="s">
        <v>19</v>
      </c>
      <c r="K859" s="358"/>
      <c r="L859" s="358"/>
      <c r="M859" s="358">
        <f>F859*5960/3456</f>
        <v>0</v>
      </c>
      <c r="N859" s="324"/>
      <c r="O859" s="324"/>
      <c r="P859" s="324"/>
      <c r="Q859" s="324" t="s">
        <v>18</v>
      </c>
      <c r="R859" s="324"/>
      <c r="S859" s="324" t="s">
        <v>19</v>
      </c>
      <c r="T859" s="528">
        <v>6</v>
      </c>
      <c r="U859" s="324">
        <f t="shared" si="310"/>
        <v>0</v>
      </c>
      <c r="V859" s="676"/>
      <c r="W859" s="528"/>
      <c r="X859" s="529"/>
      <c r="Y859" s="300" t="s">
        <v>956</v>
      </c>
      <c r="Z859" s="312">
        <f t="shared" si="311"/>
        <v>0</v>
      </c>
      <c r="AA859" s="316">
        <f>SUM(Z859/417.6)</f>
        <v>0</v>
      </c>
    </row>
    <row r="860" spans="1:29" ht="132" thickBot="1" x14ac:dyDescent="0.45">
      <c r="A860" s="319" t="s">
        <v>1088</v>
      </c>
      <c r="B860" s="320" t="s">
        <v>1031</v>
      </c>
      <c r="C860" s="528"/>
      <c r="D860" s="530">
        <f>C860*22</f>
        <v>0</v>
      </c>
      <c r="E860" s="460">
        <f>D860*0.18</f>
        <v>0</v>
      </c>
      <c r="F860" s="324">
        <f t="shared" si="312"/>
        <v>0</v>
      </c>
      <c r="G860" s="528">
        <f t="shared" si="308"/>
        <v>0</v>
      </c>
      <c r="H860" s="324" t="s">
        <v>18</v>
      </c>
      <c r="I860" s="528">
        <f t="shared" si="309"/>
        <v>0</v>
      </c>
      <c r="J860" s="324" t="s">
        <v>19</v>
      </c>
      <c r="K860" s="324"/>
      <c r="L860" s="324"/>
      <c r="M860" s="324">
        <f>F860*5960/3456</f>
        <v>0</v>
      </c>
      <c r="N860" s="324"/>
      <c r="O860" s="324"/>
      <c r="P860" s="324"/>
      <c r="Q860" s="324" t="s">
        <v>18</v>
      </c>
      <c r="R860" s="324"/>
      <c r="S860" s="324" t="s">
        <v>19</v>
      </c>
      <c r="T860" s="528">
        <v>6</v>
      </c>
      <c r="U860" s="324">
        <f t="shared" si="310"/>
        <v>0</v>
      </c>
      <c r="V860" s="676"/>
      <c r="W860" s="528"/>
      <c r="X860" s="529"/>
      <c r="Y860" s="300" t="s">
        <v>956</v>
      </c>
      <c r="Z860" s="312">
        <f t="shared" si="311"/>
        <v>0</v>
      </c>
      <c r="AA860" s="316">
        <f>SUM(Z860/417.6)</f>
        <v>0</v>
      </c>
    </row>
    <row r="861" spans="1:29" ht="105.75" thickBot="1" x14ac:dyDescent="0.45">
      <c r="A861" s="319" t="s">
        <v>1088</v>
      </c>
      <c r="B861" s="320" t="s">
        <v>909</v>
      </c>
      <c r="C861" s="528"/>
      <c r="D861" s="550">
        <f>C861*12</f>
        <v>0</v>
      </c>
      <c r="E861" s="358">
        <f>D861*0.36</f>
        <v>0</v>
      </c>
      <c r="F861" s="358">
        <f t="shared" si="312"/>
        <v>0</v>
      </c>
      <c r="G861" s="548">
        <f t="shared" si="308"/>
        <v>0</v>
      </c>
      <c r="H861" s="358" t="s">
        <v>18</v>
      </c>
      <c r="I861" s="548">
        <f t="shared" si="309"/>
        <v>0</v>
      </c>
      <c r="J861" s="358" t="s">
        <v>19</v>
      </c>
      <c r="K861" s="358"/>
      <c r="L861" s="358"/>
      <c r="M861" s="358">
        <f>F861*6000/3456</f>
        <v>0</v>
      </c>
      <c r="N861" s="358"/>
      <c r="O861" s="358"/>
      <c r="P861" s="358"/>
      <c r="Q861" s="358" t="s">
        <v>18</v>
      </c>
      <c r="R861" s="358"/>
      <c r="S861" s="358" t="s">
        <v>19</v>
      </c>
      <c r="T861" s="528">
        <v>6</v>
      </c>
      <c r="U861" s="324">
        <f t="shared" si="310"/>
        <v>0</v>
      </c>
      <c r="V861" s="676"/>
      <c r="W861" s="528"/>
      <c r="X861" s="529"/>
      <c r="Y861" s="323" t="s">
        <v>933</v>
      </c>
      <c r="Z861" s="312">
        <f t="shared" si="311"/>
        <v>0</v>
      </c>
      <c r="AA861" s="316">
        <f>SUM(Z861/432)</f>
        <v>0</v>
      </c>
    </row>
    <row r="862" spans="1:29" ht="105.75" thickBot="1" x14ac:dyDescent="0.45">
      <c r="A862" s="319" t="s">
        <v>1088</v>
      </c>
      <c r="B862" s="320" t="s">
        <v>1004</v>
      </c>
      <c r="C862" s="528"/>
      <c r="D862" s="567">
        <f>C862*14</f>
        <v>0</v>
      </c>
      <c r="E862" s="324">
        <f>D862*0.36</f>
        <v>0</v>
      </c>
      <c r="F862" s="324">
        <f t="shared" si="312"/>
        <v>0</v>
      </c>
      <c r="G862" s="528">
        <f t="shared" ref="G862:G869" si="313">INT(M862)</f>
        <v>0</v>
      </c>
      <c r="H862" s="324" t="s">
        <v>18</v>
      </c>
      <c r="I862" s="528">
        <f t="shared" ref="I862:I869" si="314">(M862-G862)*64</f>
        <v>0</v>
      </c>
      <c r="J862" s="324" t="s">
        <v>19</v>
      </c>
      <c r="K862" s="324"/>
      <c r="L862" s="324"/>
      <c r="M862" s="324">
        <f>F862*6000/3456</f>
        <v>0</v>
      </c>
      <c r="N862" s="324"/>
      <c r="O862" s="324"/>
      <c r="P862" s="324"/>
      <c r="Q862" s="324" t="s">
        <v>18</v>
      </c>
      <c r="R862" s="324"/>
      <c r="S862" s="324" t="s">
        <v>19</v>
      </c>
      <c r="T862" s="528">
        <v>6</v>
      </c>
      <c r="U862" s="324">
        <f t="shared" si="310"/>
        <v>0</v>
      </c>
      <c r="V862" s="676"/>
      <c r="W862" s="528"/>
      <c r="X862" s="529"/>
      <c r="Y862" s="323" t="s">
        <v>1003</v>
      </c>
      <c r="Z862" s="312">
        <f t="shared" si="311"/>
        <v>0</v>
      </c>
      <c r="AA862" s="316">
        <f>SUM(Z862/432)</f>
        <v>0</v>
      </c>
    </row>
    <row r="863" spans="1:29" ht="105.75" thickBot="1" x14ac:dyDescent="0.45">
      <c r="A863" s="319" t="s">
        <v>1088</v>
      </c>
      <c r="B863" s="362" t="s">
        <v>1027</v>
      </c>
      <c r="C863" s="528"/>
      <c r="D863" s="567">
        <f>C863*7</f>
        <v>0</v>
      </c>
      <c r="E863" s="460">
        <f>D863*0.36</f>
        <v>0</v>
      </c>
      <c r="F863" s="324">
        <f t="shared" si="312"/>
        <v>0</v>
      </c>
      <c r="G863" s="528">
        <f t="shared" si="313"/>
        <v>0</v>
      </c>
      <c r="H863" s="324" t="s">
        <v>18</v>
      </c>
      <c r="I863" s="528">
        <f t="shared" si="314"/>
        <v>0</v>
      </c>
      <c r="J863" s="324" t="s">
        <v>19</v>
      </c>
      <c r="K863" s="324"/>
      <c r="L863" s="324"/>
      <c r="M863" s="324">
        <f>F863*6000/3456</f>
        <v>0</v>
      </c>
      <c r="N863" s="324"/>
      <c r="O863" s="324"/>
      <c r="P863" s="324"/>
      <c r="Q863" s="324" t="s">
        <v>18</v>
      </c>
      <c r="R863" s="324"/>
      <c r="S863" s="324" t="s">
        <v>19</v>
      </c>
      <c r="T863" s="528">
        <v>6</v>
      </c>
      <c r="U863" s="324">
        <f t="shared" si="310"/>
        <v>0</v>
      </c>
      <c r="V863" s="676"/>
      <c r="W863" s="528"/>
      <c r="X863" s="529"/>
      <c r="Y863" s="323" t="s">
        <v>1003</v>
      </c>
      <c r="Z863" s="312">
        <f>E863/1.21/1.143</f>
        <v>0</v>
      </c>
      <c r="AA863" s="416">
        <f>SUM(AB863/291.6)</f>
        <v>0</v>
      </c>
      <c r="AB863" s="310">
        <f>E863/1.21</f>
        <v>0</v>
      </c>
      <c r="AC863" s="643"/>
    </row>
    <row r="864" spans="1:29" ht="184.5" thickBot="1" x14ac:dyDescent="0.45">
      <c r="A864" s="319" t="s">
        <v>1088</v>
      </c>
      <c r="B864" s="364" t="s">
        <v>992</v>
      </c>
      <c r="C864" s="528"/>
      <c r="D864" s="528">
        <f>C864*12</f>
        <v>0</v>
      </c>
      <c r="E864" s="324">
        <f>D864*0.25</f>
        <v>0</v>
      </c>
      <c r="F864" s="324">
        <f>E864*1.03*0.81/170</f>
        <v>0</v>
      </c>
      <c r="G864" s="528">
        <f t="shared" si="313"/>
        <v>0</v>
      </c>
      <c r="H864" s="324" t="s">
        <v>18</v>
      </c>
      <c r="I864" s="528">
        <f t="shared" si="314"/>
        <v>0</v>
      </c>
      <c r="J864" s="324" t="s">
        <v>19</v>
      </c>
      <c r="K864" s="324"/>
      <c r="L864" s="324"/>
      <c r="M864" s="324">
        <f>(F864*8820/3456)</f>
        <v>0</v>
      </c>
      <c r="N864" s="324"/>
      <c r="O864" s="324"/>
      <c r="P864" s="324"/>
      <c r="Q864" s="324" t="s">
        <v>18</v>
      </c>
      <c r="R864" s="324"/>
      <c r="S864" s="324" t="s">
        <v>19</v>
      </c>
      <c r="T864" s="528">
        <v>10</v>
      </c>
      <c r="U864" s="324">
        <f t="shared" si="310"/>
        <v>0</v>
      </c>
      <c r="V864" s="676"/>
      <c r="W864" s="528"/>
      <c r="X864" s="529"/>
      <c r="Y864" s="323" t="s">
        <v>1105</v>
      </c>
      <c r="Z864" s="312">
        <f t="shared" ref="Z864:Z869" si="315">E864/1.21</f>
        <v>0</v>
      </c>
      <c r="AA864" s="316">
        <f>SUM(Z864/364.5)</f>
        <v>0</v>
      </c>
    </row>
    <row r="865" spans="1:29" ht="183" thickBot="1" x14ac:dyDescent="0.45">
      <c r="A865" s="319" t="s">
        <v>1088</v>
      </c>
      <c r="B865" s="343" t="s">
        <v>970</v>
      </c>
      <c r="C865" s="528"/>
      <c r="D865" s="548"/>
      <c r="E865" s="456">
        <f>C865*0.3</f>
        <v>0</v>
      </c>
      <c r="F865" s="358">
        <f>E865*1.03*0.82/147</f>
        <v>0</v>
      </c>
      <c r="G865" s="549">
        <f t="shared" si="313"/>
        <v>0</v>
      </c>
      <c r="H865" s="359" t="s">
        <v>18</v>
      </c>
      <c r="I865" s="549">
        <f t="shared" si="314"/>
        <v>0</v>
      </c>
      <c r="J865" s="359" t="s">
        <v>19</v>
      </c>
      <c r="K865" s="358"/>
      <c r="L865" s="358"/>
      <c r="M865" s="358">
        <f>(F865*5547/3456)</f>
        <v>0</v>
      </c>
      <c r="N865" s="461"/>
      <c r="O865" s="461"/>
      <c r="P865" s="461"/>
      <c r="Q865" s="358" t="s">
        <v>18</v>
      </c>
      <c r="R865" s="358"/>
      <c r="S865" s="358" t="s">
        <v>19</v>
      </c>
      <c r="T865" s="528">
        <v>10</v>
      </c>
      <c r="U865" s="324">
        <f>E865/324*60</f>
        <v>0</v>
      </c>
      <c r="V865" s="676"/>
      <c r="W865" s="528"/>
      <c r="X865" s="529"/>
      <c r="Y865" s="645" t="s">
        <v>1095</v>
      </c>
      <c r="Z865" s="312">
        <f t="shared" si="315"/>
        <v>0</v>
      </c>
      <c r="AA865" s="316">
        <f>SUM(Z865/495)</f>
        <v>0</v>
      </c>
    </row>
    <row r="866" spans="1:29" ht="183" thickBot="1" x14ac:dyDescent="0.45">
      <c r="A866" s="319" t="s">
        <v>1088</v>
      </c>
      <c r="B866" s="887" t="s">
        <v>1225</v>
      </c>
      <c r="C866" s="528"/>
      <c r="D866" s="528">
        <f>C866*10</f>
        <v>0</v>
      </c>
      <c r="E866" s="460">
        <f>D866*0.3</f>
        <v>0</v>
      </c>
      <c r="F866" s="324">
        <f>E866*1.03*0.82/147</f>
        <v>0</v>
      </c>
      <c r="G866" s="537">
        <f>INT(M866)</f>
        <v>0</v>
      </c>
      <c r="H866" s="354"/>
      <c r="I866" s="537">
        <f>(M866-G866)*64</f>
        <v>0</v>
      </c>
      <c r="J866" s="354"/>
      <c r="K866" s="324"/>
      <c r="L866" s="324"/>
      <c r="M866" s="324">
        <f>(F866*4900/2880)</f>
        <v>0</v>
      </c>
      <c r="N866" s="324"/>
      <c r="O866" s="324"/>
      <c r="P866" s="324"/>
      <c r="Q866" s="324"/>
      <c r="R866" s="324"/>
      <c r="S866" s="324"/>
      <c r="T866" s="528"/>
      <c r="U866" s="324"/>
      <c r="V866" s="676"/>
      <c r="W866" s="528"/>
      <c r="X866" s="529"/>
      <c r="Y866" s="645" t="s">
        <v>1095</v>
      </c>
      <c r="Z866" s="312">
        <f t="shared" si="315"/>
        <v>0</v>
      </c>
      <c r="AA866" s="316">
        <f>SUM(Z866/495)</f>
        <v>0</v>
      </c>
    </row>
    <row r="867" spans="1:29" ht="183" thickBot="1" x14ac:dyDescent="0.45">
      <c r="A867" s="319" t="s">
        <v>1088</v>
      </c>
      <c r="B867" s="343" t="s">
        <v>967</v>
      </c>
      <c r="C867" s="528"/>
      <c r="D867" s="548"/>
      <c r="E867" s="456">
        <f>C867*0.3</f>
        <v>0</v>
      </c>
      <c r="F867" s="358">
        <f>E867*1.03*0.82/147</f>
        <v>0</v>
      </c>
      <c r="G867" s="549">
        <f t="shared" si="313"/>
        <v>0</v>
      </c>
      <c r="H867" s="359" t="s">
        <v>18</v>
      </c>
      <c r="I867" s="549">
        <f t="shared" si="314"/>
        <v>0</v>
      </c>
      <c r="J867" s="359" t="s">
        <v>19</v>
      </c>
      <c r="K867" s="358"/>
      <c r="L867" s="358"/>
      <c r="M867" s="358">
        <f>(F867*5547/3456)</f>
        <v>0</v>
      </c>
      <c r="N867" s="461"/>
      <c r="O867" s="461"/>
      <c r="P867" s="461"/>
      <c r="Q867" s="358" t="s">
        <v>18</v>
      </c>
      <c r="R867" s="358"/>
      <c r="S867" s="358" t="s">
        <v>19</v>
      </c>
      <c r="T867" s="528">
        <v>10</v>
      </c>
      <c r="U867" s="324">
        <f>E867/324*60</f>
        <v>0</v>
      </c>
      <c r="V867" s="676"/>
      <c r="W867" s="528"/>
      <c r="X867" s="529"/>
      <c r="Y867" s="645" t="s">
        <v>1095</v>
      </c>
      <c r="Z867" s="312">
        <f t="shared" si="315"/>
        <v>0</v>
      </c>
      <c r="AA867" s="316">
        <f>SUM(Z867/495)</f>
        <v>0</v>
      </c>
    </row>
    <row r="868" spans="1:29" ht="183" thickBot="1" x14ac:dyDescent="0.45">
      <c r="A868" s="319" t="s">
        <v>1088</v>
      </c>
      <c r="B868" s="369" t="s">
        <v>968</v>
      </c>
      <c r="C868" s="528"/>
      <c r="D868" s="548"/>
      <c r="E868" s="456">
        <f>C868*0.3</f>
        <v>0</v>
      </c>
      <c r="F868" s="358">
        <f>E868*1.03*0.72/147</f>
        <v>0</v>
      </c>
      <c r="G868" s="548">
        <f t="shared" si="313"/>
        <v>0</v>
      </c>
      <c r="H868" s="358" t="s">
        <v>18</v>
      </c>
      <c r="I868" s="548">
        <f t="shared" si="314"/>
        <v>0</v>
      </c>
      <c r="J868" s="358" t="s">
        <v>19</v>
      </c>
      <c r="K868" s="358"/>
      <c r="L868" s="358"/>
      <c r="M868" s="358">
        <f>(F868*6035/3456)</f>
        <v>0</v>
      </c>
      <c r="N868" s="461"/>
      <c r="O868" s="461"/>
      <c r="P868" s="461"/>
      <c r="Q868" s="358" t="s">
        <v>18</v>
      </c>
      <c r="R868" s="358"/>
      <c r="S868" s="358" t="s">
        <v>19</v>
      </c>
      <c r="T868" s="528">
        <v>10</v>
      </c>
      <c r="U868" s="324">
        <f>E868/324*60</f>
        <v>0</v>
      </c>
      <c r="V868" s="676"/>
      <c r="W868" s="528"/>
      <c r="X868" s="529"/>
      <c r="Y868" s="645" t="s">
        <v>1095</v>
      </c>
      <c r="Z868" s="312">
        <f t="shared" si="315"/>
        <v>0</v>
      </c>
      <c r="AA868" s="416">
        <f>SUM(AB868/313.5)</f>
        <v>0</v>
      </c>
      <c r="AB868" s="310">
        <f>E868/1.21</f>
        <v>0</v>
      </c>
      <c r="AC868" s="643"/>
    </row>
    <row r="869" spans="1:29" ht="183" thickBot="1" x14ac:dyDescent="0.45">
      <c r="A869" s="319" t="s">
        <v>1088</v>
      </c>
      <c r="B869" s="369" t="s">
        <v>1141</v>
      </c>
      <c r="C869" s="528"/>
      <c r="D869" s="548"/>
      <c r="E869" s="456">
        <f>C869*0.3</f>
        <v>0</v>
      </c>
      <c r="F869" s="358">
        <f>E869*1.03*0.72/147</f>
        <v>0</v>
      </c>
      <c r="G869" s="548">
        <f t="shared" si="313"/>
        <v>0</v>
      </c>
      <c r="H869" s="358" t="s">
        <v>18</v>
      </c>
      <c r="I869" s="548">
        <f t="shared" si="314"/>
        <v>0</v>
      </c>
      <c r="J869" s="358" t="s">
        <v>19</v>
      </c>
      <c r="K869" s="358"/>
      <c r="L869" s="358"/>
      <c r="M869" s="358">
        <f>(F869*6035/3456)</f>
        <v>0</v>
      </c>
      <c r="N869" s="461"/>
      <c r="O869" s="461"/>
      <c r="P869" s="461"/>
      <c r="Q869" s="358" t="s">
        <v>18</v>
      </c>
      <c r="R869" s="358"/>
      <c r="S869" s="358" t="s">
        <v>19</v>
      </c>
      <c r="T869" s="528">
        <v>10</v>
      </c>
      <c r="U869" s="324">
        <f>E869/324*60</f>
        <v>0</v>
      </c>
      <c r="V869" s="676"/>
      <c r="W869" s="528"/>
      <c r="X869" s="529"/>
      <c r="Y869" s="645" t="s">
        <v>1095</v>
      </c>
      <c r="Z869" s="312">
        <f t="shared" si="315"/>
        <v>0</v>
      </c>
      <c r="AA869" s="316">
        <f>SUM(AB869/445.5)</f>
        <v>0</v>
      </c>
      <c r="AB869" s="310">
        <f>E869/1.21</f>
        <v>0</v>
      </c>
      <c r="AC869" s="643"/>
    </row>
    <row r="870" spans="1:29" thickBot="1" x14ac:dyDescent="0.45">
      <c r="A870" s="830"/>
      <c r="B870" s="332" t="s">
        <v>287</v>
      </c>
      <c r="C870" s="347"/>
      <c r="D870" s="347"/>
      <c r="E870" s="494"/>
      <c r="F870" s="348"/>
      <c r="G870" s="347"/>
      <c r="H870" s="348"/>
      <c r="I870" s="347"/>
      <c r="J870" s="348"/>
      <c r="K870" s="348"/>
      <c r="L870" s="348"/>
      <c r="M870" s="348"/>
      <c r="N870" s="348"/>
      <c r="O870" s="348"/>
      <c r="P870" s="348"/>
      <c r="Q870" s="348"/>
      <c r="R870" s="348"/>
      <c r="S870" s="348"/>
      <c r="T870" s="347"/>
      <c r="U870" s="348"/>
      <c r="V870" s="356"/>
      <c r="W870" s="348"/>
      <c r="X870" s="495"/>
      <c r="Y870" s="357"/>
    </row>
    <row r="871" spans="1:29" thickBot="1" x14ac:dyDescent="0.45">
      <c r="A871" s="830"/>
      <c r="B871" s="332" t="s">
        <v>299</v>
      </c>
      <c r="C871" s="347"/>
      <c r="D871" s="347"/>
      <c r="E871" s="494"/>
      <c r="F871" s="348"/>
      <c r="G871" s="347"/>
      <c r="H871" s="348"/>
      <c r="I871" s="347"/>
      <c r="J871" s="348"/>
      <c r="K871" s="348"/>
      <c r="L871" s="348"/>
      <c r="M871" s="348"/>
      <c r="N871" s="348"/>
      <c r="O871" s="348"/>
      <c r="P871" s="348"/>
      <c r="Q871" s="348"/>
      <c r="R871" s="348"/>
      <c r="S871" s="348"/>
      <c r="T871" s="347"/>
      <c r="U871" s="348"/>
      <c r="V871" s="356"/>
      <c r="W871" s="348"/>
      <c r="X871" s="495"/>
      <c r="Y871" s="357"/>
    </row>
    <row r="872" spans="1:29" ht="79.5" thickBot="1" x14ac:dyDescent="0.45">
      <c r="A872" s="319" t="s">
        <v>782</v>
      </c>
      <c r="B872" s="320" t="s">
        <v>868</v>
      </c>
      <c r="C872" s="853">
        <v>1000</v>
      </c>
      <c r="D872" s="528"/>
      <c r="E872" s="456">
        <f>C872*2.4</f>
        <v>2400</v>
      </c>
      <c r="F872" s="358">
        <f t="shared" ref="F872:F883" si="316">E872*1.02*0.99/147</f>
        <v>16.486530612244898</v>
      </c>
      <c r="G872" s="548">
        <f>INT(M872)</f>
        <v>28</v>
      </c>
      <c r="H872" s="358" t="s">
        <v>18</v>
      </c>
      <c r="I872" s="548">
        <f>(M872-G872)*64</f>
        <v>33.608489795918558</v>
      </c>
      <c r="J872" s="358" t="s">
        <v>19</v>
      </c>
      <c r="K872" s="358"/>
      <c r="L872" s="358"/>
      <c r="M872" s="358">
        <f t="shared" ref="M872:M882" si="317">F872*4983/2880</f>
        <v>28.525132653061227</v>
      </c>
      <c r="N872" s="324"/>
      <c r="O872" s="324"/>
      <c r="P872" s="324"/>
      <c r="Q872" s="324" t="s">
        <v>18</v>
      </c>
      <c r="R872" s="324"/>
      <c r="S872" s="324" t="s">
        <v>19</v>
      </c>
      <c r="T872" s="528">
        <v>7</v>
      </c>
      <c r="U872" s="324">
        <f>E872/420*60</f>
        <v>342.85714285714289</v>
      </c>
      <c r="V872" s="676"/>
      <c r="W872" s="528"/>
      <c r="X872" s="529"/>
      <c r="Y872" s="644" t="s">
        <v>1094</v>
      </c>
      <c r="Z872" s="312">
        <f>E872/1.02</f>
        <v>2352.9411764705883</v>
      </c>
      <c r="AA872" s="316">
        <f t="shared" ref="AA872:AA879" si="318">SUM(Z872/513)</f>
        <v>4.5866299736268781</v>
      </c>
    </row>
    <row r="873" spans="1:29" ht="79.5" thickBot="1" x14ac:dyDescent="0.45">
      <c r="A873" s="319" t="s">
        <v>782</v>
      </c>
      <c r="B873" s="320" t="s">
        <v>628</v>
      </c>
      <c r="C873" s="528"/>
      <c r="D873" s="528"/>
      <c r="E873" s="456">
        <f>C873*3.2</f>
        <v>0</v>
      </c>
      <c r="F873" s="358">
        <f t="shared" si="316"/>
        <v>0</v>
      </c>
      <c r="G873" s="548">
        <f>INT(M873)</f>
        <v>0</v>
      </c>
      <c r="H873" s="358" t="s">
        <v>18</v>
      </c>
      <c r="I873" s="548">
        <f>(M873-G873)*64</f>
        <v>0</v>
      </c>
      <c r="J873" s="358" t="s">
        <v>19</v>
      </c>
      <c r="K873" s="358"/>
      <c r="L873" s="358"/>
      <c r="M873" s="358">
        <f t="shared" si="317"/>
        <v>0</v>
      </c>
      <c r="N873" s="324"/>
      <c r="O873" s="324"/>
      <c r="P873" s="324"/>
      <c r="Q873" s="324" t="s">
        <v>18</v>
      </c>
      <c r="R873" s="324"/>
      <c r="S873" s="324" t="s">
        <v>19</v>
      </c>
      <c r="T873" s="528">
        <v>7</v>
      </c>
      <c r="U873" s="324">
        <f>E873/259*60</f>
        <v>0</v>
      </c>
      <c r="V873" s="676"/>
      <c r="W873" s="528"/>
      <c r="X873" s="529"/>
      <c r="Y873" s="644" t="s">
        <v>1094</v>
      </c>
      <c r="Z873" s="312">
        <f t="shared" ref="Z873:Z970" si="319">E873/1.02</f>
        <v>0</v>
      </c>
      <c r="AA873" s="316">
        <f t="shared" si="318"/>
        <v>0</v>
      </c>
    </row>
    <row r="874" spans="1:29" ht="79.5" thickBot="1" x14ac:dyDescent="0.45">
      <c r="A874" s="319" t="s">
        <v>782</v>
      </c>
      <c r="B874" s="320" t="s">
        <v>629</v>
      </c>
      <c r="C874" s="528"/>
      <c r="D874" s="528"/>
      <c r="E874" s="456">
        <f>C874*4</f>
        <v>0</v>
      </c>
      <c r="F874" s="358">
        <f t="shared" si="316"/>
        <v>0</v>
      </c>
      <c r="G874" s="548">
        <f>INT(M874)</f>
        <v>0</v>
      </c>
      <c r="H874" s="358" t="s">
        <v>18</v>
      </c>
      <c r="I874" s="548">
        <f>(M874-G874)*64</f>
        <v>0</v>
      </c>
      <c r="J874" s="358" t="s">
        <v>19</v>
      </c>
      <c r="K874" s="358"/>
      <c r="L874" s="358"/>
      <c r="M874" s="358">
        <f t="shared" si="317"/>
        <v>0</v>
      </c>
      <c r="N874" s="324"/>
      <c r="O874" s="324"/>
      <c r="P874" s="324"/>
      <c r="Q874" s="324" t="s">
        <v>18</v>
      </c>
      <c r="R874" s="324"/>
      <c r="S874" s="324" t="s">
        <v>19</v>
      </c>
      <c r="T874" s="528">
        <v>7</v>
      </c>
      <c r="U874" s="324">
        <f>E874/259*60</f>
        <v>0</v>
      </c>
      <c r="V874" s="676"/>
      <c r="W874" s="528"/>
      <c r="X874" s="529"/>
      <c r="Y874" s="644" t="s">
        <v>1094</v>
      </c>
      <c r="Z874" s="312">
        <f t="shared" si="319"/>
        <v>0</v>
      </c>
      <c r="AA874" s="316">
        <f t="shared" si="318"/>
        <v>0</v>
      </c>
    </row>
    <row r="875" spans="1:29" ht="156.75" thickBot="1" x14ac:dyDescent="0.45">
      <c r="A875" s="319" t="s">
        <v>782</v>
      </c>
      <c r="B875" s="320" t="s">
        <v>869</v>
      </c>
      <c r="C875" s="528"/>
      <c r="D875" s="528"/>
      <c r="E875" s="456">
        <f>C875*2.4</f>
        <v>0</v>
      </c>
      <c r="F875" s="358">
        <f t="shared" si="316"/>
        <v>0</v>
      </c>
      <c r="G875" s="548">
        <f>INT(M875)</f>
        <v>0</v>
      </c>
      <c r="H875" s="358" t="s">
        <v>18</v>
      </c>
      <c r="I875" s="548">
        <f>(M875-G875)*64</f>
        <v>0</v>
      </c>
      <c r="J875" s="358" t="s">
        <v>19</v>
      </c>
      <c r="K875" s="358"/>
      <c r="L875" s="358"/>
      <c r="M875" s="358">
        <f t="shared" si="317"/>
        <v>0</v>
      </c>
      <c r="N875" s="324"/>
      <c r="O875" s="324"/>
      <c r="P875" s="324"/>
      <c r="Q875" s="324" t="s">
        <v>18</v>
      </c>
      <c r="R875" s="324"/>
      <c r="S875" s="324" t="s">
        <v>19</v>
      </c>
      <c r="T875" s="528">
        <v>7</v>
      </c>
      <c r="U875" s="324">
        <f>E875/420*60</f>
        <v>0</v>
      </c>
      <c r="V875" s="676"/>
      <c r="W875" s="528"/>
      <c r="X875" s="529"/>
      <c r="Y875" s="648" t="s">
        <v>1124</v>
      </c>
      <c r="Z875" s="312">
        <f t="shared" si="319"/>
        <v>0</v>
      </c>
      <c r="AA875" s="316">
        <f t="shared" si="318"/>
        <v>0</v>
      </c>
    </row>
    <row r="876" spans="1:29" ht="156.75" thickBot="1" x14ac:dyDescent="0.45">
      <c r="A876" s="319" t="s">
        <v>782</v>
      </c>
      <c r="B876" s="320" t="s">
        <v>870</v>
      </c>
      <c r="C876" s="528"/>
      <c r="D876" s="528"/>
      <c r="E876" s="456">
        <f>C876*2.4</f>
        <v>0</v>
      </c>
      <c r="F876" s="358">
        <f t="shared" si="316"/>
        <v>0</v>
      </c>
      <c r="G876" s="548">
        <f>INT(M876)</f>
        <v>0</v>
      </c>
      <c r="H876" s="358" t="s">
        <v>18</v>
      </c>
      <c r="I876" s="548">
        <f>(M876-G876)*64</f>
        <v>0</v>
      </c>
      <c r="J876" s="358" t="s">
        <v>19</v>
      </c>
      <c r="K876" s="358"/>
      <c r="L876" s="358"/>
      <c r="M876" s="358">
        <f t="shared" si="317"/>
        <v>0</v>
      </c>
      <c r="N876" s="324"/>
      <c r="O876" s="324"/>
      <c r="P876" s="324"/>
      <c r="Q876" s="324" t="s">
        <v>18</v>
      </c>
      <c r="R876" s="324"/>
      <c r="S876" s="324" t="s">
        <v>19</v>
      </c>
      <c r="T876" s="528">
        <v>7</v>
      </c>
      <c r="U876" s="324">
        <f>E876/420*60</f>
        <v>0</v>
      </c>
      <c r="V876" s="676"/>
      <c r="W876" s="528"/>
      <c r="X876" s="529"/>
      <c r="Y876" s="648" t="s">
        <v>1131</v>
      </c>
      <c r="Z876" s="312">
        <f t="shared" si="319"/>
        <v>0</v>
      </c>
      <c r="AA876" s="316">
        <f t="shared" si="318"/>
        <v>0</v>
      </c>
    </row>
    <row r="877" spans="1:29" ht="79.5" thickBot="1" x14ac:dyDescent="0.45">
      <c r="A877" s="319" t="s">
        <v>782</v>
      </c>
      <c r="B877" s="320" t="s">
        <v>871</v>
      </c>
      <c r="C877" s="528"/>
      <c r="D877" s="528"/>
      <c r="E877" s="456">
        <f>C877*2.4</f>
        <v>0</v>
      </c>
      <c r="F877" s="358">
        <f t="shared" si="316"/>
        <v>0</v>
      </c>
      <c r="G877" s="548">
        <f t="shared" ref="G877:G903" si="320">INT(M877)</f>
        <v>0</v>
      </c>
      <c r="H877" s="358" t="s">
        <v>18</v>
      </c>
      <c r="I877" s="548">
        <f t="shared" ref="I877:I903" si="321">(M877-G877)*64</f>
        <v>0</v>
      </c>
      <c r="J877" s="358" t="s">
        <v>19</v>
      </c>
      <c r="K877" s="358"/>
      <c r="L877" s="358"/>
      <c r="M877" s="358">
        <f t="shared" si="317"/>
        <v>0</v>
      </c>
      <c r="N877" s="324"/>
      <c r="O877" s="324"/>
      <c r="P877" s="324"/>
      <c r="Q877" s="324" t="s">
        <v>18</v>
      </c>
      <c r="R877" s="324"/>
      <c r="S877" s="324" t="s">
        <v>19</v>
      </c>
      <c r="T877" s="528">
        <v>7</v>
      </c>
      <c r="U877" s="324">
        <f>E877/420*60</f>
        <v>0</v>
      </c>
      <c r="V877" s="676"/>
      <c r="W877" s="528"/>
      <c r="X877" s="529"/>
      <c r="Y877" s="323"/>
      <c r="Z877" s="312">
        <f t="shared" si="319"/>
        <v>0</v>
      </c>
      <c r="AA877" s="316">
        <f t="shared" si="318"/>
        <v>0</v>
      </c>
    </row>
    <row r="878" spans="1:29" ht="156.75" thickBot="1" x14ac:dyDescent="0.45">
      <c r="A878" s="319" t="s">
        <v>782</v>
      </c>
      <c r="B878" s="320" t="s">
        <v>786</v>
      </c>
      <c r="C878" s="528"/>
      <c r="D878" s="528"/>
      <c r="E878" s="456">
        <f t="shared" ref="E878:E886" si="322">C878*4</f>
        <v>0</v>
      </c>
      <c r="F878" s="358">
        <f t="shared" si="316"/>
        <v>0</v>
      </c>
      <c r="G878" s="548">
        <f t="shared" si="320"/>
        <v>0</v>
      </c>
      <c r="H878" s="358" t="s">
        <v>18</v>
      </c>
      <c r="I878" s="548">
        <f t="shared" si="321"/>
        <v>0</v>
      </c>
      <c r="J878" s="358" t="s">
        <v>19</v>
      </c>
      <c r="K878" s="358"/>
      <c r="L878" s="358"/>
      <c r="M878" s="358">
        <f t="shared" si="317"/>
        <v>0</v>
      </c>
      <c r="N878" s="324"/>
      <c r="O878" s="324"/>
      <c r="P878" s="324"/>
      <c r="Q878" s="324" t="s">
        <v>18</v>
      </c>
      <c r="R878" s="324"/>
      <c r="S878" s="324" t="s">
        <v>19</v>
      </c>
      <c r="T878" s="528">
        <v>7</v>
      </c>
      <c r="U878" s="324">
        <f>E878/259*60</f>
        <v>0</v>
      </c>
      <c r="V878" s="676"/>
      <c r="W878" s="528"/>
      <c r="X878" s="529"/>
      <c r="Y878" s="648" t="s">
        <v>1132</v>
      </c>
      <c r="Z878" s="312">
        <f t="shared" si="319"/>
        <v>0</v>
      </c>
      <c r="AA878" s="316">
        <f t="shared" si="318"/>
        <v>0</v>
      </c>
    </row>
    <row r="879" spans="1:29" ht="79.5" thickBot="1" x14ac:dyDescent="0.45">
      <c r="A879" s="319" t="s">
        <v>782</v>
      </c>
      <c r="B879" s="320" t="s">
        <v>630</v>
      </c>
      <c r="C879" s="528"/>
      <c r="D879" s="528"/>
      <c r="E879" s="456">
        <f t="shared" si="322"/>
        <v>0</v>
      </c>
      <c r="F879" s="358">
        <f t="shared" si="316"/>
        <v>0</v>
      </c>
      <c r="G879" s="548">
        <f t="shared" si="320"/>
        <v>0</v>
      </c>
      <c r="H879" s="358" t="s">
        <v>18</v>
      </c>
      <c r="I879" s="548">
        <f t="shared" si="321"/>
        <v>0</v>
      </c>
      <c r="J879" s="358" t="s">
        <v>19</v>
      </c>
      <c r="K879" s="358"/>
      <c r="L879" s="358"/>
      <c r="M879" s="358">
        <f t="shared" si="317"/>
        <v>0</v>
      </c>
      <c r="N879" s="324"/>
      <c r="O879" s="324"/>
      <c r="P879" s="324"/>
      <c r="Q879" s="324" t="s">
        <v>18</v>
      </c>
      <c r="R879" s="324"/>
      <c r="S879" s="324" t="s">
        <v>19</v>
      </c>
      <c r="T879" s="528">
        <v>7</v>
      </c>
      <c r="U879" s="324">
        <f>E879/259*60</f>
        <v>0</v>
      </c>
      <c r="V879" s="676"/>
      <c r="W879" s="528"/>
      <c r="X879" s="529"/>
      <c r="Y879" s="644" t="s">
        <v>1094</v>
      </c>
      <c r="Z879" s="312">
        <f t="shared" si="319"/>
        <v>0</v>
      </c>
      <c r="AA879" s="316">
        <f t="shared" si="318"/>
        <v>0</v>
      </c>
    </row>
    <row r="880" spans="1:29" ht="79.5" thickBot="1" x14ac:dyDescent="0.45">
      <c r="A880" s="319" t="s">
        <v>782</v>
      </c>
      <c r="B880" s="320" t="s">
        <v>1065</v>
      </c>
      <c r="C880" s="528"/>
      <c r="D880" s="528"/>
      <c r="E880" s="460">
        <f>C880*4</f>
        <v>0</v>
      </c>
      <c r="F880" s="324">
        <f>E880*1.02*0.99/147</f>
        <v>0</v>
      </c>
      <c r="G880" s="528">
        <f>INT(M880)</f>
        <v>0</v>
      </c>
      <c r="H880" s="324" t="s">
        <v>18</v>
      </c>
      <c r="I880" s="528">
        <f>(M880-G880)*64</f>
        <v>0</v>
      </c>
      <c r="J880" s="324" t="s">
        <v>19</v>
      </c>
      <c r="K880" s="324"/>
      <c r="L880" s="324"/>
      <c r="M880" s="324">
        <f>F880*4983/2880</f>
        <v>0</v>
      </c>
      <c r="N880" s="324"/>
      <c r="O880" s="324"/>
      <c r="P880" s="324"/>
      <c r="Q880" s="324" t="s">
        <v>18</v>
      </c>
      <c r="R880" s="324"/>
      <c r="S880" s="324" t="s">
        <v>19</v>
      </c>
      <c r="T880" s="528">
        <v>7</v>
      </c>
      <c r="U880" s="324">
        <f>E880/259*60</f>
        <v>0</v>
      </c>
      <c r="V880" s="676"/>
      <c r="W880" s="528"/>
      <c r="X880" s="529"/>
      <c r="Y880" s="711" t="s">
        <v>1094</v>
      </c>
      <c r="Z880" s="312">
        <f>E880/1.02</f>
        <v>0</v>
      </c>
      <c r="AA880" s="316">
        <f>SUM(Z880/513)</f>
        <v>0</v>
      </c>
    </row>
    <row r="881" spans="1:28" ht="79.5" thickBot="1" x14ac:dyDescent="0.45">
      <c r="A881" s="319" t="s">
        <v>782</v>
      </c>
      <c r="B881" s="320" t="s">
        <v>1034</v>
      </c>
      <c r="C881" s="528"/>
      <c r="D881" s="528"/>
      <c r="E881" s="456">
        <f>C881*4</f>
        <v>0</v>
      </c>
      <c r="F881" s="358">
        <f>E881*1.02*0.99/147</f>
        <v>0</v>
      </c>
      <c r="G881" s="548">
        <f>INT(M881)</f>
        <v>0</v>
      </c>
      <c r="H881" s="358" t="s">
        <v>18</v>
      </c>
      <c r="I881" s="548">
        <f>(M881-G881)*64</f>
        <v>0</v>
      </c>
      <c r="J881" s="358" t="s">
        <v>19</v>
      </c>
      <c r="K881" s="358"/>
      <c r="L881" s="358"/>
      <c r="M881" s="358">
        <f>F881*4983/2880</f>
        <v>0</v>
      </c>
      <c r="N881" s="324"/>
      <c r="O881" s="324"/>
      <c r="P881" s="324"/>
      <c r="Q881" s="324" t="s">
        <v>18</v>
      </c>
      <c r="R881" s="324"/>
      <c r="S881" s="324" t="s">
        <v>19</v>
      </c>
      <c r="T881" s="528">
        <v>7</v>
      </c>
      <c r="U881" s="324">
        <f>E881/259*60</f>
        <v>0</v>
      </c>
      <c r="V881" s="676"/>
      <c r="W881" s="528"/>
      <c r="X881" s="529"/>
      <c r="Y881" s="644" t="s">
        <v>1094</v>
      </c>
      <c r="Z881" s="312">
        <f>E881/1.02</f>
        <v>0</v>
      </c>
      <c r="AA881" s="316">
        <f>SUM(Z881/459)</f>
        <v>0</v>
      </c>
    </row>
    <row r="882" spans="1:28" ht="79.5" thickBot="1" x14ac:dyDescent="0.45">
      <c r="A882" s="319" t="s">
        <v>782</v>
      </c>
      <c r="B882" s="320" t="s">
        <v>817</v>
      </c>
      <c r="C882" s="528"/>
      <c r="D882" s="528"/>
      <c r="E882" s="456">
        <f t="shared" si="322"/>
        <v>0</v>
      </c>
      <c r="F882" s="358">
        <f t="shared" si="316"/>
        <v>0</v>
      </c>
      <c r="G882" s="548">
        <f t="shared" si="320"/>
        <v>0</v>
      </c>
      <c r="H882" s="358" t="s">
        <v>18</v>
      </c>
      <c r="I882" s="548">
        <f t="shared" si="321"/>
        <v>0</v>
      </c>
      <c r="J882" s="358" t="s">
        <v>19</v>
      </c>
      <c r="K882" s="358"/>
      <c r="L882" s="358"/>
      <c r="M882" s="358">
        <f t="shared" si="317"/>
        <v>0</v>
      </c>
      <c r="N882" s="324"/>
      <c r="O882" s="324"/>
      <c r="P882" s="324"/>
      <c r="Q882" s="324" t="s">
        <v>18</v>
      </c>
      <c r="R882" s="324"/>
      <c r="S882" s="324" t="s">
        <v>19</v>
      </c>
      <c r="T882" s="528">
        <v>7</v>
      </c>
      <c r="U882" s="324">
        <f>E882/259*60</f>
        <v>0</v>
      </c>
      <c r="V882" s="676"/>
      <c r="W882" s="528"/>
      <c r="X882" s="529"/>
      <c r="Y882" s="644" t="s">
        <v>1094</v>
      </c>
      <c r="Z882" s="312">
        <f t="shared" si="319"/>
        <v>0</v>
      </c>
      <c r="AA882" s="316">
        <f>SUM(Z882/513)</f>
        <v>0</v>
      </c>
    </row>
    <row r="883" spans="1:28" ht="130.5" outlineLevel="1" thickBot="1" x14ac:dyDescent="0.45">
      <c r="A883" s="319" t="s">
        <v>782</v>
      </c>
      <c r="B883" s="320" t="s">
        <v>1219</v>
      </c>
      <c r="C883" s="528"/>
      <c r="D883" s="528"/>
      <c r="E883" s="460">
        <f t="shared" si="322"/>
        <v>0</v>
      </c>
      <c r="F883" s="324">
        <f t="shared" si="316"/>
        <v>0</v>
      </c>
      <c r="G883" s="528">
        <f>INT(M883)</f>
        <v>0</v>
      </c>
      <c r="H883" s="324" t="s">
        <v>18</v>
      </c>
      <c r="I883" s="528">
        <f>(M883-G883)*64</f>
        <v>0</v>
      </c>
      <c r="J883" s="324" t="s">
        <v>19</v>
      </c>
      <c r="K883" s="324"/>
      <c r="L883" s="324"/>
      <c r="M883" s="324">
        <f>F883*5764/2880</f>
        <v>0</v>
      </c>
      <c r="N883" s="324"/>
      <c r="O883" s="324"/>
      <c r="P883" s="324"/>
      <c r="Q883" s="324" t="s">
        <v>18</v>
      </c>
      <c r="R883" s="324"/>
      <c r="S883" s="324" t="s">
        <v>19</v>
      </c>
      <c r="T883" s="528">
        <v>8</v>
      </c>
      <c r="U883" s="722">
        <f>E883/324*60</f>
        <v>0</v>
      </c>
      <c r="V883" s="676"/>
      <c r="W883" s="528"/>
      <c r="X883" s="529"/>
      <c r="Y883" s="360" t="s">
        <v>1122</v>
      </c>
      <c r="Z883" s="312">
        <f>E883/1.05</f>
        <v>0</v>
      </c>
      <c r="AA883" s="316">
        <f>SUM(Z883/459)</f>
        <v>0</v>
      </c>
    </row>
    <row r="884" spans="1:28" ht="130.5" outlineLevel="1" thickBot="1" x14ac:dyDescent="0.45">
      <c r="A884" s="319" t="s">
        <v>782</v>
      </c>
      <c r="B884" s="320" t="s">
        <v>1220</v>
      </c>
      <c r="C884" s="528"/>
      <c r="D884" s="528"/>
      <c r="E884" s="460">
        <f>C884*4</f>
        <v>0</v>
      </c>
      <c r="F884" s="324">
        <f>E884*1.02*0.99/147</f>
        <v>0</v>
      </c>
      <c r="G884" s="528">
        <f>INT(M884)</f>
        <v>0</v>
      </c>
      <c r="H884" s="324" t="s">
        <v>18</v>
      </c>
      <c r="I884" s="528">
        <f>(M884-G884)*64</f>
        <v>0</v>
      </c>
      <c r="J884" s="324" t="s">
        <v>19</v>
      </c>
      <c r="K884" s="324"/>
      <c r="L884" s="324"/>
      <c r="M884" s="324">
        <f>F884*5764/2880</f>
        <v>0</v>
      </c>
      <c r="N884" s="324"/>
      <c r="O884" s="324"/>
      <c r="P884" s="324"/>
      <c r="Q884" s="324" t="s">
        <v>18</v>
      </c>
      <c r="R884" s="324"/>
      <c r="S884" s="324" t="s">
        <v>19</v>
      </c>
      <c r="T884" s="528">
        <v>8</v>
      </c>
      <c r="U884" s="722">
        <f>E884/324*60</f>
        <v>0</v>
      </c>
      <c r="V884" s="676"/>
      <c r="W884" s="528"/>
      <c r="X884" s="529"/>
      <c r="Y884" s="360" t="s">
        <v>1122</v>
      </c>
      <c r="Z884" s="312">
        <f>E884/1.05</f>
        <v>0</v>
      </c>
      <c r="AA884" s="316">
        <f>SUM(Z884/459)</f>
        <v>0</v>
      </c>
    </row>
    <row r="885" spans="1:28" ht="156.75" thickBot="1" x14ac:dyDescent="0.45">
      <c r="A885" s="319" t="s">
        <v>782</v>
      </c>
      <c r="B885" s="362" t="s">
        <v>840</v>
      </c>
      <c r="C885" s="528"/>
      <c r="D885" s="528"/>
      <c r="E885" s="456">
        <f t="shared" si="322"/>
        <v>0</v>
      </c>
      <c r="F885" s="358">
        <f>E885*0.9*1.01/147</f>
        <v>0</v>
      </c>
      <c r="G885" s="548">
        <f>INT(M885)</f>
        <v>0</v>
      </c>
      <c r="H885" s="358" t="s">
        <v>18</v>
      </c>
      <c r="I885" s="548">
        <f>(M885-G885)*64</f>
        <v>0</v>
      </c>
      <c r="J885" s="358" t="s">
        <v>19</v>
      </c>
      <c r="K885" s="358"/>
      <c r="L885" s="358"/>
      <c r="M885" s="358">
        <f>(F885*6533/3456)</f>
        <v>0</v>
      </c>
      <c r="N885" s="358"/>
      <c r="O885" s="358"/>
      <c r="P885" s="358"/>
      <c r="Q885" s="358" t="s">
        <v>18</v>
      </c>
      <c r="R885" s="358"/>
      <c r="S885" s="358" t="s">
        <v>19</v>
      </c>
      <c r="T885" s="528">
        <v>8</v>
      </c>
      <c r="U885" s="324">
        <f>E885/324*60</f>
        <v>0</v>
      </c>
      <c r="V885" s="676"/>
      <c r="W885" s="528"/>
      <c r="X885" s="529"/>
      <c r="Y885" s="645" t="s">
        <v>1128</v>
      </c>
      <c r="Z885" s="312">
        <f>E885/1.05/1.143</f>
        <v>0</v>
      </c>
      <c r="AA885" s="316">
        <f>SUM(AB885/287.3)</f>
        <v>0</v>
      </c>
      <c r="AB885" s="310">
        <f>E885/1.05</f>
        <v>0</v>
      </c>
    </row>
    <row r="886" spans="1:28" ht="156.75" thickBot="1" x14ac:dyDescent="0.45">
      <c r="A886" s="319" t="s">
        <v>782</v>
      </c>
      <c r="B886" s="320" t="s">
        <v>631</v>
      </c>
      <c r="C886" s="528"/>
      <c r="D886" s="528"/>
      <c r="E886" s="456">
        <f t="shared" si="322"/>
        <v>0</v>
      </c>
      <c r="F886" s="358">
        <f t="shared" ref="F886:F891" si="323">E886*1.02*0.99/147</f>
        <v>0</v>
      </c>
      <c r="G886" s="548">
        <f t="shared" si="320"/>
        <v>0</v>
      </c>
      <c r="H886" s="358" t="s">
        <v>18</v>
      </c>
      <c r="I886" s="548">
        <f t="shared" si="321"/>
        <v>0</v>
      </c>
      <c r="J886" s="358" t="s">
        <v>19</v>
      </c>
      <c r="K886" s="358"/>
      <c r="L886" s="358"/>
      <c r="M886" s="358">
        <f t="shared" ref="M886:M891" si="324">F886*4983/2880</f>
        <v>0</v>
      </c>
      <c r="N886" s="324"/>
      <c r="O886" s="324"/>
      <c r="P886" s="324"/>
      <c r="Q886" s="324" t="s">
        <v>18</v>
      </c>
      <c r="R886" s="324"/>
      <c r="S886" s="324" t="s">
        <v>19</v>
      </c>
      <c r="T886" s="528">
        <v>7</v>
      </c>
      <c r="U886" s="324">
        <f t="shared" ref="U886:U891" si="325">E886/259*60</f>
        <v>0</v>
      </c>
      <c r="V886" s="676"/>
      <c r="W886" s="528"/>
      <c r="X886" s="529"/>
      <c r="Y886" s="648" t="s">
        <v>1126</v>
      </c>
      <c r="Z886" s="312">
        <f t="shared" si="319"/>
        <v>0</v>
      </c>
      <c r="AA886" s="316">
        <f t="shared" ref="AA886:AA891" si="326">SUM(Z886/513)</f>
        <v>0</v>
      </c>
    </row>
    <row r="887" spans="1:28" ht="79.5" thickBot="1" x14ac:dyDescent="0.45">
      <c r="A887" s="319" t="s">
        <v>782</v>
      </c>
      <c r="B887" s="320" t="s">
        <v>632</v>
      </c>
      <c r="C887" s="528"/>
      <c r="D887" s="528"/>
      <c r="E887" s="456">
        <f>C887*3.2</f>
        <v>0</v>
      </c>
      <c r="F887" s="358">
        <f t="shared" si="323"/>
        <v>0</v>
      </c>
      <c r="G887" s="548">
        <f t="shared" si="320"/>
        <v>0</v>
      </c>
      <c r="H887" s="358" t="s">
        <v>18</v>
      </c>
      <c r="I887" s="548">
        <f t="shared" si="321"/>
        <v>0</v>
      </c>
      <c r="J887" s="358" t="s">
        <v>19</v>
      </c>
      <c r="K887" s="358"/>
      <c r="L887" s="358"/>
      <c r="M887" s="358">
        <f t="shared" si="324"/>
        <v>0</v>
      </c>
      <c r="N887" s="324"/>
      <c r="O887" s="324"/>
      <c r="P887" s="324"/>
      <c r="Q887" s="324" t="s">
        <v>18</v>
      </c>
      <c r="R887" s="324"/>
      <c r="S887" s="324" t="s">
        <v>19</v>
      </c>
      <c r="T887" s="528">
        <v>7</v>
      </c>
      <c r="U887" s="324">
        <f t="shared" si="325"/>
        <v>0</v>
      </c>
      <c r="V887" s="676"/>
      <c r="W887" s="528"/>
      <c r="X887" s="529"/>
      <c r="Y887" s="914" t="s">
        <v>1155</v>
      </c>
      <c r="Z887" s="312">
        <f t="shared" si="319"/>
        <v>0</v>
      </c>
      <c r="AA887" s="316">
        <f t="shared" si="326"/>
        <v>0</v>
      </c>
    </row>
    <row r="888" spans="1:28" ht="79.5" thickBot="1" x14ac:dyDescent="0.45">
      <c r="A888" s="375" t="s">
        <v>782</v>
      </c>
      <c r="B888" s="343" t="s">
        <v>633</v>
      </c>
      <c r="C888" s="561"/>
      <c r="D888" s="561"/>
      <c r="E888" s="456">
        <f>C888*3.2</f>
        <v>0</v>
      </c>
      <c r="F888" s="358">
        <f t="shared" si="323"/>
        <v>0</v>
      </c>
      <c r="G888" s="548">
        <f t="shared" si="320"/>
        <v>0</v>
      </c>
      <c r="H888" s="358" t="s">
        <v>18</v>
      </c>
      <c r="I888" s="548">
        <f t="shared" si="321"/>
        <v>0</v>
      </c>
      <c r="J888" s="358" t="s">
        <v>19</v>
      </c>
      <c r="K888" s="358"/>
      <c r="L888" s="358"/>
      <c r="M888" s="358">
        <f t="shared" si="324"/>
        <v>0</v>
      </c>
      <c r="N888" s="358"/>
      <c r="O888" s="358"/>
      <c r="P888" s="358"/>
      <c r="Q888" s="358" t="s">
        <v>18</v>
      </c>
      <c r="R888" s="358"/>
      <c r="S888" s="358" t="s">
        <v>19</v>
      </c>
      <c r="T888" s="561">
        <v>7</v>
      </c>
      <c r="U888" s="411">
        <f t="shared" si="325"/>
        <v>0</v>
      </c>
      <c r="V888" s="689"/>
      <c r="W888" s="561"/>
      <c r="X888" s="562"/>
      <c r="Y888" s="915"/>
      <c r="Z888" s="312">
        <f t="shared" si="319"/>
        <v>0</v>
      </c>
      <c r="AA888" s="316">
        <f t="shared" si="326"/>
        <v>0</v>
      </c>
    </row>
    <row r="889" spans="1:28" ht="156.75" thickBot="1" x14ac:dyDescent="0.45">
      <c r="A889" s="319" t="s">
        <v>782</v>
      </c>
      <c r="B889" s="320" t="s">
        <v>1066</v>
      </c>
      <c r="C889" s="528"/>
      <c r="D889" s="528"/>
      <c r="E889" s="460">
        <f>C889*3.2</f>
        <v>0</v>
      </c>
      <c r="F889" s="324">
        <f t="shared" si="323"/>
        <v>0</v>
      </c>
      <c r="G889" s="528">
        <f>INT(M889)</f>
        <v>0</v>
      </c>
      <c r="H889" s="324" t="s">
        <v>18</v>
      </c>
      <c r="I889" s="528">
        <f>(M889-G889)*64</f>
        <v>0</v>
      </c>
      <c r="J889" s="324" t="s">
        <v>19</v>
      </c>
      <c r="K889" s="324"/>
      <c r="L889" s="324"/>
      <c r="M889" s="324">
        <f t="shared" si="324"/>
        <v>0</v>
      </c>
      <c r="N889" s="324"/>
      <c r="O889" s="324"/>
      <c r="P889" s="324"/>
      <c r="Q889" s="324" t="s">
        <v>18</v>
      </c>
      <c r="R889" s="324"/>
      <c r="S889" s="324" t="s">
        <v>19</v>
      </c>
      <c r="T889" s="528">
        <v>7</v>
      </c>
      <c r="U889" s="324">
        <f t="shared" si="325"/>
        <v>0</v>
      </c>
      <c r="V889" s="676"/>
      <c r="W889" s="528"/>
      <c r="X889" s="529"/>
      <c r="Y889" s="360" t="s">
        <v>1156</v>
      </c>
      <c r="Z889" s="312">
        <f>E889/1.02</f>
        <v>0</v>
      </c>
      <c r="AA889" s="316">
        <f t="shared" si="326"/>
        <v>0</v>
      </c>
    </row>
    <row r="890" spans="1:28" ht="156.75" thickBot="1" x14ac:dyDescent="0.45">
      <c r="A890" s="375" t="s">
        <v>782</v>
      </c>
      <c r="B890" s="343" t="s">
        <v>1067</v>
      </c>
      <c r="C890" s="561"/>
      <c r="D890" s="561"/>
      <c r="E890" s="460">
        <f>C890*3.2</f>
        <v>0</v>
      </c>
      <c r="F890" s="324">
        <f t="shared" si="323"/>
        <v>0</v>
      </c>
      <c r="G890" s="528">
        <f>INT(M890)</f>
        <v>0</v>
      </c>
      <c r="H890" s="324" t="s">
        <v>18</v>
      </c>
      <c r="I890" s="528">
        <f>(M890-G890)*64</f>
        <v>0</v>
      </c>
      <c r="J890" s="324" t="s">
        <v>19</v>
      </c>
      <c r="K890" s="324"/>
      <c r="L890" s="324"/>
      <c r="M890" s="324">
        <f t="shared" si="324"/>
        <v>0</v>
      </c>
      <c r="N890" s="324"/>
      <c r="O890" s="324"/>
      <c r="P890" s="324"/>
      <c r="Q890" s="324" t="s">
        <v>18</v>
      </c>
      <c r="R890" s="324"/>
      <c r="S890" s="324" t="s">
        <v>19</v>
      </c>
      <c r="T890" s="561">
        <v>7</v>
      </c>
      <c r="U890" s="411">
        <f t="shared" si="325"/>
        <v>0</v>
      </c>
      <c r="V890" s="689"/>
      <c r="W890" s="561"/>
      <c r="X890" s="562"/>
      <c r="Y890" s="360" t="s">
        <v>1157</v>
      </c>
      <c r="Z890" s="312">
        <f>E890/1.02</f>
        <v>0</v>
      </c>
      <c r="AA890" s="316">
        <f t="shared" si="326"/>
        <v>0</v>
      </c>
    </row>
    <row r="891" spans="1:28" ht="79.5" thickBot="1" x14ac:dyDescent="0.45">
      <c r="A891" s="319" t="s">
        <v>782</v>
      </c>
      <c r="B891" s="320" t="s">
        <v>1081</v>
      </c>
      <c r="C891" s="528"/>
      <c r="D891" s="528"/>
      <c r="E891" s="460">
        <f>C891*3.2</f>
        <v>0</v>
      </c>
      <c r="F891" s="324">
        <f t="shared" si="323"/>
        <v>0</v>
      </c>
      <c r="G891" s="528">
        <f>INT(M891)</f>
        <v>0</v>
      </c>
      <c r="H891" s="324" t="s">
        <v>18</v>
      </c>
      <c r="I891" s="528">
        <f>(M891-G891)*64</f>
        <v>0</v>
      </c>
      <c r="J891" s="324" t="s">
        <v>19</v>
      </c>
      <c r="K891" s="324"/>
      <c r="L891" s="324"/>
      <c r="M891" s="324">
        <f t="shared" si="324"/>
        <v>0</v>
      </c>
      <c r="N891" s="324"/>
      <c r="O891" s="324"/>
      <c r="P891" s="324"/>
      <c r="Q891" s="324" t="s">
        <v>18</v>
      </c>
      <c r="R891" s="324"/>
      <c r="S891" s="324" t="s">
        <v>19</v>
      </c>
      <c r="T891" s="528">
        <v>7</v>
      </c>
      <c r="U891" s="324">
        <f t="shared" si="325"/>
        <v>0</v>
      </c>
      <c r="V891" s="676"/>
      <c r="W891" s="528"/>
      <c r="X891" s="529"/>
      <c r="Y891" s="323"/>
      <c r="Z891" s="312">
        <f>E891/1.02</f>
        <v>0</v>
      </c>
      <c r="AA891" s="316">
        <f t="shared" si="326"/>
        <v>0</v>
      </c>
    </row>
    <row r="892" spans="1:28" ht="132" thickBot="1" x14ac:dyDescent="0.45">
      <c r="A892" s="375" t="s">
        <v>782</v>
      </c>
      <c r="B892" s="802" t="s">
        <v>1192</v>
      </c>
      <c r="C892" s="528"/>
      <c r="D892" s="528"/>
      <c r="E892" s="460">
        <f>C892*1.3</f>
        <v>0</v>
      </c>
      <c r="F892" s="324">
        <f>E892*1.02*1/135</f>
        <v>0</v>
      </c>
      <c r="G892" s="528">
        <f t="shared" si="320"/>
        <v>0</v>
      </c>
      <c r="H892" s="324" t="s">
        <v>18</v>
      </c>
      <c r="I892" s="528">
        <f t="shared" si="321"/>
        <v>0</v>
      </c>
      <c r="J892" s="324" t="s">
        <v>19</v>
      </c>
      <c r="K892" s="324"/>
      <c r="L892" s="324"/>
      <c r="M892" s="324">
        <f>F892*5252/2880</f>
        <v>0</v>
      </c>
      <c r="N892" s="324"/>
      <c r="O892" s="324"/>
      <c r="P892" s="324"/>
      <c r="Q892" s="324" t="s">
        <v>18</v>
      </c>
      <c r="R892" s="324"/>
      <c r="S892" s="324" t="s">
        <v>19</v>
      </c>
      <c r="T892" s="528">
        <v>8</v>
      </c>
      <c r="U892" s="324">
        <f>E892/237*60</f>
        <v>0</v>
      </c>
      <c r="V892" s="676"/>
      <c r="W892" s="528"/>
      <c r="X892" s="529"/>
      <c r="Y892" s="360" t="s">
        <v>954</v>
      </c>
      <c r="Z892" s="312">
        <f>E892/1.05/1.143</f>
        <v>0</v>
      </c>
      <c r="AA892" s="316">
        <f>SUM(AB892/287.3)</f>
        <v>0</v>
      </c>
      <c r="AB892" s="310">
        <f>E892/1.05</f>
        <v>0</v>
      </c>
    </row>
    <row r="893" spans="1:28" ht="79.5" thickBot="1" x14ac:dyDescent="0.45">
      <c r="A893" s="375" t="s">
        <v>782</v>
      </c>
      <c r="B893" s="320" t="s">
        <v>815</v>
      </c>
      <c r="C893" s="528">
        <v>1000</v>
      </c>
      <c r="D893" s="551">
        <f>C893*12</f>
        <v>12000</v>
      </c>
      <c r="E893" s="456">
        <f>D893*0.5</f>
        <v>6000</v>
      </c>
      <c r="F893" s="358">
        <f t="shared" ref="F893:F908" si="327">E893*1.02*0.99/147</f>
        <v>41.216326530612243</v>
      </c>
      <c r="G893" s="548">
        <f>INT(M893)</f>
        <v>75</v>
      </c>
      <c r="H893" s="358" t="s">
        <v>18</v>
      </c>
      <c r="I893" s="548">
        <f>(M893-G893)*64</f>
        <v>14.982857142857029</v>
      </c>
      <c r="J893" s="358" t="s">
        <v>19</v>
      </c>
      <c r="K893" s="358"/>
      <c r="L893" s="358"/>
      <c r="M893" s="358">
        <f>(F893*5257)/2880</f>
        <v>75.234107142857141</v>
      </c>
      <c r="N893" s="358"/>
      <c r="O893" s="358"/>
      <c r="P893" s="358"/>
      <c r="Q893" s="358" t="s">
        <v>18</v>
      </c>
      <c r="R893" s="358"/>
      <c r="S893" s="358" t="s">
        <v>19</v>
      </c>
      <c r="T893" s="528">
        <v>10</v>
      </c>
      <c r="U893" s="324"/>
      <c r="V893" s="676"/>
      <c r="W893" s="528"/>
      <c r="X893" s="529"/>
      <c r="Y893" s="644" t="s">
        <v>1094</v>
      </c>
      <c r="Z893" s="312">
        <f t="shared" si="319"/>
        <v>5882.3529411764703</v>
      </c>
      <c r="AA893" s="316">
        <f t="shared" ref="AA893:AA899" si="328">SUM(Z893/513)</f>
        <v>11.466574934067193</v>
      </c>
    </row>
    <row r="894" spans="1:28" ht="79.5" thickBot="1" x14ac:dyDescent="0.45">
      <c r="A894" s="375" t="s">
        <v>782</v>
      </c>
      <c r="B894" s="320" t="s">
        <v>825</v>
      </c>
      <c r="C894" s="528">
        <v>1000</v>
      </c>
      <c r="D894" s="551">
        <f>C894*12</f>
        <v>12000</v>
      </c>
      <c r="E894" s="456">
        <f>D894*0.5</f>
        <v>6000</v>
      </c>
      <c r="F894" s="358">
        <f t="shared" si="327"/>
        <v>41.216326530612243</v>
      </c>
      <c r="G894" s="548">
        <f>INT(M894)</f>
        <v>75</v>
      </c>
      <c r="H894" s="358" t="s">
        <v>18</v>
      </c>
      <c r="I894" s="548">
        <f>(M894-G894)*64</f>
        <v>14.982857142857029</v>
      </c>
      <c r="J894" s="358" t="s">
        <v>19</v>
      </c>
      <c r="K894" s="358"/>
      <c r="L894" s="358"/>
      <c r="M894" s="358">
        <f>(F894*5257)/2880</f>
        <v>75.234107142857141</v>
      </c>
      <c r="N894" s="358"/>
      <c r="O894" s="358"/>
      <c r="P894" s="358"/>
      <c r="Q894" s="358" t="s">
        <v>18</v>
      </c>
      <c r="R894" s="358"/>
      <c r="S894" s="358" t="s">
        <v>19</v>
      </c>
      <c r="T894" s="528">
        <v>10</v>
      </c>
      <c r="U894" s="324"/>
      <c r="V894" s="676"/>
      <c r="W894" s="528"/>
      <c r="X894" s="529"/>
      <c r="Y894" s="644" t="s">
        <v>1094</v>
      </c>
      <c r="Z894" s="312">
        <f t="shared" si="319"/>
        <v>5882.3529411764703</v>
      </c>
      <c r="AA894" s="316">
        <f t="shared" si="328"/>
        <v>11.466574934067193</v>
      </c>
    </row>
    <row r="895" spans="1:28" ht="79.5" thickBot="1" x14ac:dyDescent="0.45">
      <c r="A895" s="375" t="s">
        <v>782</v>
      </c>
      <c r="B895" s="320" t="s">
        <v>826</v>
      </c>
      <c r="C895" s="528">
        <v>1000</v>
      </c>
      <c r="D895" s="551">
        <f>C895*12</f>
        <v>12000</v>
      </c>
      <c r="E895" s="456">
        <f>D895*0.5</f>
        <v>6000</v>
      </c>
      <c r="F895" s="358">
        <f t="shared" si="327"/>
        <v>41.216326530612243</v>
      </c>
      <c r="G895" s="548">
        <f t="shared" si="320"/>
        <v>75</v>
      </c>
      <c r="H895" s="358" t="s">
        <v>18</v>
      </c>
      <c r="I895" s="548">
        <f t="shared" si="321"/>
        <v>14.982857142857029</v>
      </c>
      <c r="J895" s="358" t="s">
        <v>19</v>
      </c>
      <c r="K895" s="358"/>
      <c r="L895" s="358"/>
      <c r="M895" s="358">
        <f>(F895*5257)/2880</f>
        <v>75.234107142857141</v>
      </c>
      <c r="N895" s="358"/>
      <c r="O895" s="358"/>
      <c r="P895" s="358"/>
      <c r="Q895" s="358" t="s">
        <v>18</v>
      </c>
      <c r="R895" s="358"/>
      <c r="S895" s="358" t="s">
        <v>19</v>
      </c>
      <c r="T895" s="528">
        <v>10</v>
      </c>
      <c r="U895" s="324"/>
      <c r="V895" s="676"/>
      <c r="W895" s="528"/>
      <c r="X895" s="529"/>
      <c r="Y895" s="644" t="s">
        <v>1094</v>
      </c>
      <c r="Z895" s="312">
        <f t="shared" si="319"/>
        <v>5882.3529411764703</v>
      </c>
      <c r="AA895" s="316">
        <f t="shared" si="328"/>
        <v>11.466574934067193</v>
      </c>
    </row>
    <row r="896" spans="1:28" ht="79.5" thickBot="1" x14ac:dyDescent="0.45">
      <c r="A896" s="319" t="s">
        <v>782</v>
      </c>
      <c r="B896" s="320" t="s">
        <v>872</v>
      </c>
      <c r="C896" s="528"/>
      <c r="D896" s="528"/>
      <c r="E896" s="456">
        <f>C896*2.4</f>
        <v>0</v>
      </c>
      <c r="F896" s="358">
        <f t="shared" si="327"/>
        <v>0</v>
      </c>
      <c r="G896" s="548">
        <f t="shared" si="320"/>
        <v>0</v>
      </c>
      <c r="H896" s="358" t="s">
        <v>18</v>
      </c>
      <c r="I896" s="548">
        <f t="shared" si="321"/>
        <v>0</v>
      </c>
      <c r="J896" s="358" t="s">
        <v>19</v>
      </c>
      <c r="K896" s="358"/>
      <c r="L896" s="358"/>
      <c r="M896" s="358">
        <f>F896*4983/2880</f>
        <v>0</v>
      </c>
      <c r="N896" s="324"/>
      <c r="O896" s="324"/>
      <c r="P896" s="324"/>
      <c r="Q896" s="324" t="s">
        <v>18</v>
      </c>
      <c r="R896" s="324"/>
      <c r="S896" s="324" t="s">
        <v>19</v>
      </c>
      <c r="T896" s="528">
        <v>7</v>
      </c>
      <c r="U896" s="324">
        <f t="shared" ref="U896:U906" si="329">E896/420*60</f>
        <v>0</v>
      </c>
      <c r="V896" s="676"/>
      <c r="W896" s="528"/>
      <c r="X896" s="529"/>
      <c r="Y896" s="644" t="s">
        <v>1094</v>
      </c>
      <c r="Z896" s="312">
        <f t="shared" si="319"/>
        <v>0</v>
      </c>
      <c r="AA896" s="316">
        <f t="shared" si="328"/>
        <v>0</v>
      </c>
    </row>
    <row r="897" spans="1:28" ht="79.5" thickBot="1" x14ac:dyDescent="0.45">
      <c r="A897" s="319" t="s">
        <v>782</v>
      </c>
      <c r="B897" s="320" t="s">
        <v>854</v>
      </c>
      <c r="C897" s="528"/>
      <c r="D897" s="528"/>
      <c r="E897" s="456">
        <f t="shared" ref="E897:E903" si="330">C897*1</f>
        <v>0</v>
      </c>
      <c r="F897" s="358">
        <f t="shared" si="327"/>
        <v>0</v>
      </c>
      <c r="G897" s="548">
        <f t="shared" si="320"/>
        <v>0</v>
      </c>
      <c r="H897" s="358" t="s">
        <v>18</v>
      </c>
      <c r="I897" s="548">
        <f t="shared" si="321"/>
        <v>0</v>
      </c>
      <c r="J897" s="358" t="s">
        <v>19</v>
      </c>
      <c r="K897" s="358"/>
      <c r="L897" s="358"/>
      <c r="M897" s="358">
        <f>F897*4983/2880</f>
        <v>0</v>
      </c>
      <c r="N897" s="358"/>
      <c r="O897" s="358"/>
      <c r="P897" s="358"/>
      <c r="Q897" s="358" t="s">
        <v>18</v>
      </c>
      <c r="R897" s="358"/>
      <c r="S897" s="358" t="s">
        <v>19</v>
      </c>
      <c r="T897" s="528">
        <v>8</v>
      </c>
      <c r="U897" s="324">
        <f t="shared" si="329"/>
        <v>0</v>
      </c>
      <c r="V897" s="676"/>
      <c r="W897" s="528"/>
      <c r="X897" s="529"/>
      <c r="Y897" s="323"/>
      <c r="Z897" s="312">
        <f t="shared" si="319"/>
        <v>0</v>
      </c>
      <c r="AA897" s="316">
        <f t="shared" si="328"/>
        <v>0</v>
      </c>
    </row>
    <row r="898" spans="1:28" ht="79.5" thickBot="1" x14ac:dyDescent="0.45">
      <c r="A898" s="319" t="s">
        <v>782</v>
      </c>
      <c r="B898" s="799" t="s">
        <v>1204</v>
      </c>
      <c r="C898" s="528"/>
      <c r="D898" s="528"/>
      <c r="E898" s="456">
        <f>C898*1</f>
        <v>0</v>
      </c>
      <c r="F898" s="358">
        <f>E898*1.02*0.99/147</f>
        <v>0</v>
      </c>
      <c r="G898" s="548">
        <f>INT(M898)</f>
        <v>0</v>
      </c>
      <c r="H898" s="358" t="s">
        <v>18</v>
      </c>
      <c r="I898" s="548">
        <f>(M898-G898)*64</f>
        <v>0</v>
      </c>
      <c r="J898" s="358" t="s">
        <v>19</v>
      </c>
      <c r="K898" s="358"/>
      <c r="L898" s="358"/>
      <c r="M898" s="358">
        <f>F898*4983/2880</f>
        <v>0</v>
      </c>
      <c r="N898" s="358"/>
      <c r="O898" s="358"/>
      <c r="P898" s="358"/>
      <c r="Q898" s="358" t="s">
        <v>18</v>
      </c>
      <c r="R898" s="358"/>
      <c r="S898" s="358" t="s">
        <v>19</v>
      </c>
      <c r="T898" s="528">
        <v>8</v>
      </c>
      <c r="U898" s="324">
        <f>E898/420*60</f>
        <v>0</v>
      </c>
      <c r="V898" s="676"/>
      <c r="W898" s="528"/>
      <c r="X898" s="529"/>
      <c r="Y898" s="323"/>
      <c r="Z898" s="312">
        <f>E898/1.02</f>
        <v>0</v>
      </c>
      <c r="AA898" s="316">
        <f>SUM(Z898/513)</f>
        <v>0</v>
      </c>
    </row>
    <row r="899" spans="1:28" ht="79.5" thickBot="1" x14ac:dyDescent="0.45">
      <c r="A899" s="319" t="s">
        <v>782</v>
      </c>
      <c r="B899" s="320" t="s">
        <v>902</v>
      </c>
      <c r="C899" s="528"/>
      <c r="D899" s="528"/>
      <c r="E899" s="456">
        <f t="shared" si="330"/>
        <v>0</v>
      </c>
      <c r="F899" s="358">
        <f t="shared" si="327"/>
        <v>0</v>
      </c>
      <c r="G899" s="548">
        <f t="shared" si="320"/>
        <v>0</v>
      </c>
      <c r="H899" s="358" t="s">
        <v>18</v>
      </c>
      <c r="I899" s="548">
        <f t="shared" si="321"/>
        <v>0</v>
      </c>
      <c r="J899" s="358" t="s">
        <v>19</v>
      </c>
      <c r="K899" s="358"/>
      <c r="L899" s="358"/>
      <c r="M899" s="358">
        <f>F899*4983/2880</f>
        <v>0</v>
      </c>
      <c r="N899" s="358"/>
      <c r="O899" s="358"/>
      <c r="P899" s="358"/>
      <c r="Q899" s="358" t="s">
        <v>18</v>
      </c>
      <c r="R899" s="358"/>
      <c r="S899" s="358" t="s">
        <v>19</v>
      </c>
      <c r="T899" s="528">
        <v>8</v>
      </c>
      <c r="U899" s="324">
        <f t="shared" si="329"/>
        <v>0</v>
      </c>
      <c r="V899" s="676"/>
      <c r="W899" s="528"/>
      <c r="X899" s="529"/>
      <c r="Y899" s="644" t="s">
        <v>1094</v>
      </c>
      <c r="Z899" s="312">
        <f t="shared" si="319"/>
        <v>0</v>
      </c>
      <c r="AA899" s="316">
        <f t="shared" si="328"/>
        <v>0</v>
      </c>
    </row>
    <row r="900" spans="1:28" ht="79.5" thickBot="1" x14ac:dyDescent="0.45">
      <c r="A900" s="319" t="s">
        <v>782</v>
      </c>
      <c r="B900" s="799" t="s">
        <v>1206</v>
      </c>
      <c r="C900" s="528"/>
      <c r="D900" s="528"/>
      <c r="E900" s="456">
        <f>C900*1</f>
        <v>0</v>
      </c>
      <c r="F900" s="358">
        <f>E900*1.02*0.99/147</f>
        <v>0</v>
      </c>
      <c r="G900" s="548">
        <f>INT(M900)</f>
        <v>0</v>
      </c>
      <c r="H900" s="358" t="s">
        <v>18</v>
      </c>
      <c r="I900" s="548">
        <f>(M900-G900)*64</f>
        <v>0</v>
      </c>
      <c r="J900" s="358" t="s">
        <v>19</v>
      </c>
      <c r="K900" s="358"/>
      <c r="L900" s="358"/>
      <c r="M900" s="358">
        <f>F900*4983/2880</f>
        <v>0</v>
      </c>
      <c r="N900" s="358"/>
      <c r="O900" s="358"/>
      <c r="P900" s="358"/>
      <c r="Q900" s="358" t="s">
        <v>18</v>
      </c>
      <c r="R900" s="358"/>
      <c r="S900" s="358" t="s">
        <v>19</v>
      </c>
      <c r="T900" s="528">
        <v>8</v>
      </c>
      <c r="U900" s="324">
        <f>E900/420*60</f>
        <v>0</v>
      </c>
      <c r="V900" s="676"/>
      <c r="W900" s="528"/>
      <c r="X900" s="529"/>
      <c r="Y900" s="644" t="s">
        <v>1094</v>
      </c>
      <c r="Z900" s="312">
        <f>E900/1.02</f>
        <v>0</v>
      </c>
      <c r="AA900" s="316">
        <f>SUM(Z900/513)</f>
        <v>0</v>
      </c>
    </row>
    <row r="901" spans="1:28" ht="183.75" customHeight="1" thickBot="1" x14ac:dyDescent="0.45">
      <c r="A901" s="319" t="s">
        <v>782</v>
      </c>
      <c r="B901" s="362" t="s">
        <v>900</v>
      </c>
      <c r="C901" s="528"/>
      <c r="D901" s="554"/>
      <c r="E901" s="458">
        <f t="shared" si="330"/>
        <v>0</v>
      </c>
      <c r="F901" s="358">
        <f>E901*0.9*1.01/147</f>
        <v>0</v>
      </c>
      <c r="G901" s="556">
        <f t="shared" si="320"/>
        <v>0</v>
      </c>
      <c r="H901" s="366" t="s">
        <v>18</v>
      </c>
      <c r="I901" s="556">
        <f t="shared" si="321"/>
        <v>0</v>
      </c>
      <c r="J901" s="366" t="s">
        <v>19</v>
      </c>
      <c r="K901" s="366"/>
      <c r="L901" s="366"/>
      <c r="M901" s="358">
        <f>(F901*6533/3456)</f>
        <v>0</v>
      </c>
      <c r="N901" s="366"/>
      <c r="O901" s="366"/>
      <c r="P901" s="366"/>
      <c r="Q901" s="366" t="s">
        <v>18</v>
      </c>
      <c r="R901" s="366"/>
      <c r="S901" s="366" t="s">
        <v>19</v>
      </c>
      <c r="T901" s="528">
        <v>8</v>
      </c>
      <c r="U901" s="324">
        <f t="shared" si="329"/>
        <v>0</v>
      </c>
      <c r="V901" s="676"/>
      <c r="W901" s="528"/>
      <c r="X901" s="529"/>
      <c r="Y901" s="646" t="s">
        <v>1129</v>
      </c>
      <c r="Z901" s="312">
        <f>E901/1.02/1.143</f>
        <v>0</v>
      </c>
      <c r="AA901" s="316">
        <f>SUM(AB901/461.7)</f>
        <v>0</v>
      </c>
      <c r="AB901" s="310">
        <f>E901/1.02</f>
        <v>0</v>
      </c>
    </row>
    <row r="902" spans="1:28" ht="185.25" customHeight="1" thickBot="1" x14ac:dyDescent="0.45">
      <c r="A902" s="319" t="s">
        <v>782</v>
      </c>
      <c r="B902" s="320" t="s">
        <v>901</v>
      </c>
      <c r="C902" s="528"/>
      <c r="D902" s="554"/>
      <c r="E902" s="458">
        <f t="shared" si="330"/>
        <v>0</v>
      </c>
      <c r="F902" s="358">
        <f>E902*0.9*1.01/147</f>
        <v>0</v>
      </c>
      <c r="G902" s="556">
        <f t="shared" si="320"/>
        <v>0</v>
      </c>
      <c r="H902" s="366" t="s">
        <v>18</v>
      </c>
      <c r="I902" s="556">
        <f t="shared" si="321"/>
        <v>0</v>
      </c>
      <c r="J902" s="366" t="s">
        <v>19</v>
      </c>
      <c r="K902" s="366"/>
      <c r="L902" s="366"/>
      <c r="M902" s="358">
        <f>(F902*6533/3456)</f>
        <v>0</v>
      </c>
      <c r="N902" s="366"/>
      <c r="O902" s="366"/>
      <c r="P902" s="366"/>
      <c r="Q902" s="366" t="s">
        <v>18</v>
      </c>
      <c r="R902" s="366"/>
      <c r="S902" s="366" t="s">
        <v>19</v>
      </c>
      <c r="T902" s="528">
        <v>8</v>
      </c>
      <c r="U902" s="324">
        <f t="shared" si="329"/>
        <v>0</v>
      </c>
      <c r="V902" s="676"/>
      <c r="W902" s="528"/>
      <c r="X902" s="529"/>
      <c r="Y902" s="646" t="s">
        <v>1127</v>
      </c>
      <c r="Z902" s="312">
        <f>E902/1.02/1.143</f>
        <v>0</v>
      </c>
      <c r="AA902" s="316">
        <f>SUM(AB902/461.7)</f>
        <v>0</v>
      </c>
      <c r="AB902" s="310">
        <f>E902/1.02</f>
        <v>0</v>
      </c>
    </row>
    <row r="903" spans="1:28" ht="156.75" thickBot="1" x14ac:dyDescent="0.45">
      <c r="A903" s="319" t="s">
        <v>782</v>
      </c>
      <c r="B903" s="320" t="s">
        <v>915</v>
      </c>
      <c r="C903" s="528"/>
      <c r="D903" s="528"/>
      <c r="E903" s="456">
        <f t="shared" si="330"/>
        <v>0</v>
      </c>
      <c r="F903" s="358">
        <f t="shared" si="327"/>
        <v>0</v>
      </c>
      <c r="G903" s="548">
        <f t="shared" si="320"/>
        <v>0</v>
      </c>
      <c r="H903" s="358" t="s">
        <v>18</v>
      </c>
      <c r="I903" s="548">
        <f t="shared" si="321"/>
        <v>0</v>
      </c>
      <c r="J903" s="358" t="s">
        <v>19</v>
      </c>
      <c r="K903" s="358"/>
      <c r="L903" s="358"/>
      <c r="M903" s="358">
        <f>F903*4983/2880</f>
        <v>0</v>
      </c>
      <c r="N903" s="358"/>
      <c r="O903" s="358"/>
      <c r="P903" s="358"/>
      <c r="Q903" s="358" t="s">
        <v>18</v>
      </c>
      <c r="R903" s="358"/>
      <c r="S903" s="358" t="s">
        <v>19</v>
      </c>
      <c r="T903" s="548">
        <v>8</v>
      </c>
      <c r="U903" s="324">
        <f t="shared" si="329"/>
        <v>0</v>
      </c>
      <c r="V903" s="676"/>
      <c r="W903" s="528"/>
      <c r="X903" s="529"/>
      <c r="Y903" s="648" t="s">
        <v>1123</v>
      </c>
      <c r="Z903" s="312">
        <f t="shared" si="319"/>
        <v>0</v>
      </c>
      <c r="AA903" s="316">
        <f>SUM(Z903/513)</f>
        <v>0</v>
      </c>
    </row>
    <row r="904" spans="1:28" ht="156.75" thickBot="1" x14ac:dyDescent="0.45">
      <c r="A904" s="319" t="s">
        <v>782</v>
      </c>
      <c r="B904" s="799" t="s">
        <v>1205</v>
      </c>
      <c r="C904" s="528"/>
      <c r="D904" s="528"/>
      <c r="E904" s="456">
        <f>C904*1</f>
        <v>0</v>
      </c>
      <c r="F904" s="358">
        <f>E904*1.02*0.99/147</f>
        <v>0</v>
      </c>
      <c r="G904" s="548">
        <f>INT(M904)</f>
        <v>0</v>
      </c>
      <c r="H904" s="358" t="s">
        <v>18</v>
      </c>
      <c r="I904" s="548">
        <f>(M904-G904)*64</f>
        <v>0</v>
      </c>
      <c r="J904" s="358" t="s">
        <v>19</v>
      </c>
      <c r="K904" s="358"/>
      <c r="L904" s="358"/>
      <c r="M904" s="358">
        <f>F904*4983/2880</f>
        <v>0</v>
      </c>
      <c r="N904" s="358"/>
      <c r="O904" s="358"/>
      <c r="P904" s="358"/>
      <c r="Q904" s="358" t="s">
        <v>18</v>
      </c>
      <c r="R904" s="358"/>
      <c r="S904" s="358" t="s">
        <v>19</v>
      </c>
      <c r="T904" s="548">
        <v>8</v>
      </c>
      <c r="U904" s="324">
        <f>E904/420*60</f>
        <v>0</v>
      </c>
      <c r="V904" s="676"/>
      <c r="W904" s="528"/>
      <c r="X904" s="529"/>
      <c r="Y904" s="648" t="s">
        <v>1123</v>
      </c>
      <c r="Z904" s="312">
        <f>E904/1.02</f>
        <v>0</v>
      </c>
      <c r="AA904" s="316">
        <f>SUM(Z904/513)</f>
        <v>0</v>
      </c>
    </row>
    <row r="905" spans="1:28" ht="79.5" thickBot="1" x14ac:dyDescent="0.45">
      <c r="A905" s="319" t="s">
        <v>782</v>
      </c>
      <c r="B905" s="320" t="s">
        <v>916</v>
      </c>
      <c r="C905" s="528"/>
      <c r="D905" s="525"/>
      <c r="E905" s="456">
        <f>C905*1</f>
        <v>0</v>
      </c>
      <c r="F905" s="358">
        <f>E905*1.02*0.99/147</f>
        <v>0</v>
      </c>
      <c r="G905" s="548">
        <f>INT(M905)</f>
        <v>0</v>
      </c>
      <c r="H905" s="358" t="s">
        <v>18</v>
      </c>
      <c r="I905" s="548">
        <f>(M905-G905)*64</f>
        <v>0</v>
      </c>
      <c r="J905" s="358" t="s">
        <v>19</v>
      </c>
      <c r="K905" s="358"/>
      <c r="L905" s="358"/>
      <c r="M905" s="358">
        <f>F905*6391/2880</f>
        <v>0</v>
      </c>
      <c r="N905" s="358"/>
      <c r="O905" s="358"/>
      <c r="P905" s="358"/>
      <c r="Q905" s="358" t="s">
        <v>18</v>
      </c>
      <c r="R905" s="358"/>
      <c r="S905" s="358" t="s">
        <v>19</v>
      </c>
      <c r="T905" s="528">
        <v>8</v>
      </c>
      <c r="U905" s="324">
        <f t="shared" si="329"/>
        <v>0</v>
      </c>
      <c r="V905" s="676"/>
      <c r="W905" s="528"/>
      <c r="X905" s="529"/>
      <c r="Y905" s="644" t="s">
        <v>1094</v>
      </c>
      <c r="Z905" s="312">
        <f t="shared" si="319"/>
        <v>0</v>
      </c>
      <c r="AA905" s="316">
        <f>SUM(Z905/513)</f>
        <v>0</v>
      </c>
    </row>
    <row r="906" spans="1:28" ht="79.5" thickBot="1" x14ac:dyDescent="0.45">
      <c r="A906" s="319" t="s">
        <v>782</v>
      </c>
      <c r="B906" s="320" t="s">
        <v>1064</v>
      </c>
      <c r="C906" s="528"/>
      <c r="D906" s="525"/>
      <c r="E906" s="545">
        <f>C906*1</f>
        <v>0</v>
      </c>
      <c r="F906" s="461">
        <f>E906*1.02*0.99/147</f>
        <v>0</v>
      </c>
      <c r="G906" s="525">
        <f>INT(M906)</f>
        <v>0</v>
      </c>
      <c r="H906" s="461" t="s">
        <v>18</v>
      </c>
      <c r="I906" s="525">
        <f>(M906-G906)*64</f>
        <v>0</v>
      </c>
      <c r="J906" s="461" t="s">
        <v>19</v>
      </c>
      <c r="K906" s="461"/>
      <c r="L906" s="461"/>
      <c r="M906" s="461">
        <f>F906*6391/2880</f>
        <v>0</v>
      </c>
      <c r="N906" s="461"/>
      <c r="O906" s="461"/>
      <c r="P906" s="324"/>
      <c r="Q906" s="324" t="s">
        <v>18</v>
      </c>
      <c r="R906" s="324"/>
      <c r="S906" s="324" t="s">
        <v>19</v>
      </c>
      <c r="T906" s="528">
        <v>8</v>
      </c>
      <c r="U906" s="324">
        <f t="shared" si="329"/>
        <v>0</v>
      </c>
      <c r="V906" s="676"/>
      <c r="W906" s="528"/>
      <c r="X906" s="529"/>
      <c r="Y906" s="711" t="s">
        <v>1094</v>
      </c>
      <c r="Z906" s="312">
        <f>E906/1.02</f>
        <v>0</v>
      </c>
      <c r="AA906" s="316">
        <f>SUM(Z906/513)</f>
        <v>0</v>
      </c>
    </row>
    <row r="907" spans="1:28" ht="130.5" thickBot="1" x14ac:dyDescent="0.45">
      <c r="A907" s="319" t="s">
        <v>782</v>
      </c>
      <c r="B907" s="320" t="s">
        <v>1063</v>
      </c>
      <c r="C907" s="528"/>
      <c r="D907" s="528"/>
      <c r="E907" s="460">
        <f>C907*2</f>
        <v>0</v>
      </c>
      <c r="F907" s="324">
        <f>E907*1.02*0.99/147</f>
        <v>0</v>
      </c>
      <c r="G907" s="528">
        <f t="shared" ref="G907:G916" si="331">INT(M907)</f>
        <v>0</v>
      </c>
      <c r="H907" s="324" t="s">
        <v>18</v>
      </c>
      <c r="I907" s="528">
        <f t="shared" ref="I907:I916" si="332">(M907-G907)*64</f>
        <v>0</v>
      </c>
      <c r="J907" s="324" t="s">
        <v>19</v>
      </c>
      <c r="K907" s="324"/>
      <c r="L907" s="324"/>
      <c r="M907" s="324">
        <f>F907*4983/2880</f>
        <v>0</v>
      </c>
      <c r="N907" s="324"/>
      <c r="O907" s="324"/>
      <c r="P907" s="324"/>
      <c r="Q907" s="324" t="s">
        <v>18</v>
      </c>
      <c r="R907" s="324"/>
      <c r="S907" s="324" t="s">
        <v>19</v>
      </c>
      <c r="T907" s="528">
        <v>8</v>
      </c>
      <c r="U907" s="324">
        <f t="shared" ref="U907:U914" si="333">E907/324*60</f>
        <v>0</v>
      </c>
      <c r="V907" s="676"/>
      <c r="W907" s="528"/>
      <c r="X907" s="529"/>
      <c r="Y907" s="360" t="s">
        <v>1104</v>
      </c>
      <c r="Z907" s="312">
        <f>E907/1.05</f>
        <v>0</v>
      </c>
      <c r="AA907" s="316">
        <f>SUM(Z907/459)</f>
        <v>0</v>
      </c>
    </row>
    <row r="908" spans="1:28" ht="130.5" thickBot="1" x14ac:dyDescent="0.45">
      <c r="A908" s="319" t="s">
        <v>782</v>
      </c>
      <c r="B908" s="320" t="s">
        <v>917</v>
      </c>
      <c r="C908" s="528"/>
      <c r="D908" s="528"/>
      <c r="E908" s="456">
        <f>C908*4</f>
        <v>0</v>
      </c>
      <c r="F908" s="358">
        <f t="shared" si="327"/>
        <v>0</v>
      </c>
      <c r="G908" s="548">
        <f t="shared" si="331"/>
        <v>0</v>
      </c>
      <c r="H908" s="358" t="s">
        <v>18</v>
      </c>
      <c r="I908" s="548">
        <f t="shared" si="332"/>
        <v>0</v>
      </c>
      <c r="J908" s="358" t="s">
        <v>19</v>
      </c>
      <c r="K908" s="358"/>
      <c r="L908" s="358"/>
      <c r="M908" s="358">
        <f>F908*4983/2880</f>
        <v>0</v>
      </c>
      <c r="N908" s="358"/>
      <c r="O908" s="358"/>
      <c r="P908" s="358"/>
      <c r="Q908" s="358" t="s">
        <v>18</v>
      </c>
      <c r="R908" s="358"/>
      <c r="S908" s="358" t="s">
        <v>19</v>
      </c>
      <c r="T908" s="528">
        <v>8</v>
      </c>
      <c r="U908" s="324">
        <f t="shared" si="333"/>
        <v>0</v>
      </c>
      <c r="V908" s="676"/>
      <c r="W908" s="528"/>
      <c r="X908" s="529"/>
      <c r="Y908" s="648" t="s">
        <v>1103</v>
      </c>
      <c r="Z908" s="312">
        <f>E908/1.05</f>
        <v>0</v>
      </c>
      <c r="AA908" s="316">
        <f>SUM(Z908/459)</f>
        <v>0</v>
      </c>
    </row>
    <row r="909" spans="1:28" s="327" customFormat="1" ht="79.5" thickBot="1" x14ac:dyDescent="0.45">
      <c r="A909" s="319" t="s">
        <v>782</v>
      </c>
      <c r="B909" s="419" t="s">
        <v>864</v>
      </c>
      <c r="C909" s="553"/>
      <c r="D909" s="554"/>
      <c r="E909" s="458">
        <f>C909*2.5</f>
        <v>0</v>
      </c>
      <c r="F909" s="358">
        <f t="shared" ref="F909:F916" si="334">E909*0.9*1.01/147</f>
        <v>0</v>
      </c>
      <c r="G909" s="556">
        <f t="shared" si="331"/>
        <v>0</v>
      </c>
      <c r="H909" s="366" t="s">
        <v>18</v>
      </c>
      <c r="I909" s="556">
        <f t="shared" si="332"/>
        <v>0</v>
      </c>
      <c r="J909" s="366" t="s">
        <v>19</v>
      </c>
      <c r="K909" s="366"/>
      <c r="L909" s="366"/>
      <c r="M909" s="358">
        <f t="shared" ref="M909:M916" si="335">(F909*6533/3456)</f>
        <v>0</v>
      </c>
      <c r="N909" s="555"/>
      <c r="O909" s="555"/>
      <c r="P909" s="555"/>
      <c r="Q909" s="555" t="s">
        <v>18</v>
      </c>
      <c r="R909" s="555"/>
      <c r="S909" s="555" t="s">
        <v>19</v>
      </c>
      <c r="T909" s="528">
        <v>7</v>
      </c>
      <c r="U909" s="555">
        <f t="shared" si="333"/>
        <v>0</v>
      </c>
      <c r="V909" s="686"/>
      <c r="W909" s="553"/>
      <c r="X909" s="555"/>
      <c r="Y909" s="644" t="s">
        <v>1094</v>
      </c>
      <c r="Z909" s="312">
        <f t="shared" ref="Z909:Z916" si="336">E909/1.02/1.143</f>
        <v>0</v>
      </c>
      <c r="AA909" s="316">
        <f>SUM(AB909/461.7)</f>
        <v>0</v>
      </c>
      <c r="AB909" s="310">
        <f t="shared" ref="AB909:AB916" si="337">E909/1.02</f>
        <v>0</v>
      </c>
    </row>
    <row r="910" spans="1:28" s="327" customFormat="1" ht="79.5" thickBot="1" x14ac:dyDescent="0.45">
      <c r="A910" s="372" t="s">
        <v>782</v>
      </c>
      <c r="B910" s="419" t="s">
        <v>867</v>
      </c>
      <c r="C910" s="553"/>
      <c r="D910" s="554"/>
      <c r="E910" s="458">
        <f>C910*3.5</f>
        <v>0</v>
      </c>
      <c r="F910" s="358">
        <f t="shared" si="334"/>
        <v>0</v>
      </c>
      <c r="G910" s="556">
        <f t="shared" si="331"/>
        <v>0</v>
      </c>
      <c r="H910" s="366" t="s">
        <v>18</v>
      </c>
      <c r="I910" s="556">
        <f t="shared" si="332"/>
        <v>0</v>
      </c>
      <c r="J910" s="366" t="s">
        <v>19</v>
      </c>
      <c r="K910" s="366"/>
      <c r="L910" s="366"/>
      <c r="M910" s="358">
        <f t="shared" si="335"/>
        <v>0</v>
      </c>
      <c r="N910" s="555"/>
      <c r="O910" s="555"/>
      <c r="P910" s="555"/>
      <c r="Q910" s="555" t="s">
        <v>18</v>
      </c>
      <c r="R910" s="555"/>
      <c r="S910" s="555" t="s">
        <v>19</v>
      </c>
      <c r="T910" s="528">
        <v>7</v>
      </c>
      <c r="U910" s="555">
        <f t="shared" si="333"/>
        <v>0</v>
      </c>
      <c r="V910" s="686"/>
      <c r="W910" s="553"/>
      <c r="X910" s="555"/>
      <c r="Y910" s="644" t="s">
        <v>1094</v>
      </c>
      <c r="Z910" s="312">
        <f t="shared" si="336"/>
        <v>0</v>
      </c>
      <c r="AA910" s="316">
        <f>SUM(AB910/461.7)</f>
        <v>0</v>
      </c>
      <c r="AB910" s="310">
        <f t="shared" si="337"/>
        <v>0</v>
      </c>
    </row>
    <row r="911" spans="1:28" s="327" customFormat="1" ht="79.5" thickBot="1" x14ac:dyDescent="0.45">
      <c r="A911" s="372" t="s">
        <v>782</v>
      </c>
      <c r="B911" s="419" t="s">
        <v>839</v>
      </c>
      <c r="C911" s="553"/>
      <c r="D911" s="554"/>
      <c r="E911" s="458">
        <f>C911*4.5</f>
        <v>0</v>
      </c>
      <c r="F911" s="358">
        <f t="shared" si="334"/>
        <v>0</v>
      </c>
      <c r="G911" s="548">
        <f t="shared" si="331"/>
        <v>0</v>
      </c>
      <c r="H911" s="358" t="s">
        <v>18</v>
      </c>
      <c r="I911" s="548">
        <f t="shared" si="332"/>
        <v>0</v>
      </c>
      <c r="J911" s="358" t="s">
        <v>19</v>
      </c>
      <c r="K911" s="358"/>
      <c r="L911" s="358"/>
      <c r="M911" s="358">
        <f t="shared" si="335"/>
        <v>0</v>
      </c>
      <c r="N911" s="555"/>
      <c r="O911" s="555"/>
      <c r="P911" s="555"/>
      <c r="Q911" s="555" t="s">
        <v>18</v>
      </c>
      <c r="R911" s="555"/>
      <c r="S911" s="555" t="s">
        <v>19</v>
      </c>
      <c r="T911" s="528">
        <v>7</v>
      </c>
      <c r="U911" s="555">
        <f t="shared" si="333"/>
        <v>0</v>
      </c>
      <c r="V911" s="686"/>
      <c r="W911" s="553"/>
      <c r="X911" s="555"/>
      <c r="Y911" s="644" t="s">
        <v>1094</v>
      </c>
      <c r="Z911" s="312">
        <f t="shared" si="336"/>
        <v>0</v>
      </c>
      <c r="AA911" s="316">
        <f>SUM(AB911/461.7)</f>
        <v>0</v>
      </c>
      <c r="AB911" s="310">
        <f t="shared" si="337"/>
        <v>0</v>
      </c>
    </row>
    <row r="912" spans="1:28" ht="79.5" thickBot="1" x14ac:dyDescent="0.45">
      <c r="A912" s="372" t="s">
        <v>782</v>
      </c>
      <c r="B912" s="320" t="s">
        <v>1033</v>
      </c>
      <c r="C912" s="528"/>
      <c r="D912" s="528"/>
      <c r="E912" s="324">
        <f>C912*3.2</f>
        <v>0</v>
      </c>
      <c r="F912" s="324">
        <f>E912*1.02*0.99/147</f>
        <v>0</v>
      </c>
      <c r="G912" s="528">
        <f>INT(M912)</f>
        <v>0</v>
      </c>
      <c r="H912" s="324" t="s">
        <v>18</v>
      </c>
      <c r="I912" s="528">
        <f>(M912-G912)*64</f>
        <v>0</v>
      </c>
      <c r="J912" s="324"/>
      <c r="K912" s="324"/>
      <c r="L912" s="324"/>
      <c r="M912" s="324">
        <f>E912/0.0233/2880</f>
        <v>0</v>
      </c>
      <c r="N912" s="324"/>
      <c r="O912" s="324"/>
      <c r="P912" s="324"/>
      <c r="Q912" s="324" t="s">
        <v>18</v>
      </c>
      <c r="R912" s="324"/>
      <c r="S912" s="324" t="s">
        <v>19</v>
      </c>
      <c r="T912" s="528">
        <v>8</v>
      </c>
      <c r="U912" s="324">
        <f>E912/259*60</f>
        <v>0</v>
      </c>
      <c r="V912" s="676"/>
      <c r="W912" s="528"/>
      <c r="X912" s="529"/>
      <c r="Y912" s="644" t="s">
        <v>1094</v>
      </c>
      <c r="Z912" s="312">
        <f>E912/1.02</f>
        <v>0</v>
      </c>
      <c r="AA912" s="316">
        <f>SUM(Z912/435.6)</f>
        <v>0</v>
      </c>
    </row>
    <row r="913" spans="1:28" s="327" customFormat="1" ht="79.5" thickBot="1" x14ac:dyDescent="0.45">
      <c r="A913" s="372" t="s">
        <v>782</v>
      </c>
      <c r="B913" s="419" t="s">
        <v>853</v>
      </c>
      <c r="C913" s="553"/>
      <c r="D913" s="554"/>
      <c r="E913" s="458">
        <f>C913*3.5</f>
        <v>0</v>
      </c>
      <c r="F913" s="358">
        <f t="shared" si="334"/>
        <v>0</v>
      </c>
      <c r="G913" s="548">
        <f t="shared" si="331"/>
        <v>0</v>
      </c>
      <c r="H913" s="358" t="s">
        <v>18</v>
      </c>
      <c r="I913" s="548">
        <f t="shared" si="332"/>
        <v>0</v>
      </c>
      <c r="J913" s="358" t="s">
        <v>19</v>
      </c>
      <c r="K913" s="358"/>
      <c r="L913" s="358"/>
      <c r="M913" s="358">
        <f t="shared" si="335"/>
        <v>0</v>
      </c>
      <c r="N913" s="366"/>
      <c r="O913" s="366"/>
      <c r="P913" s="366"/>
      <c r="Q913" s="366" t="s">
        <v>18</v>
      </c>
      <c r="R913" s="366"/>
      <c r="S913" s="366" t="s">
        <v>19</v>
      </c>
      <c r="T913" s="528">
        <v>7</v>
      </c>
      <c r="U913" s="555">
        <f t="shared" si="333"/>
        <v>0</v>
      </c>
      <c r="V913" s="686"/>
      <c r="W913" s="553"/>
      <c r="X913" s="555"/>
      <c r="Y913" s="644" t="s">
        <v>1094</v>
      </c>
      <c r="Z913" s="312">
        <f t="shared" si="336"/>
        <v>0</v>
      </c>
      <c r="AA913" s="316">
        <f>SUM(AB913/461.7)</f>
        <v>0</v>
      </c>
      <c r="AB913" s="310">
        <f t="shared" si="337"/>
        <v>0</v>
      </c>
    </row>
    <row r="914" spans="1:28" s="327" customFormat="1" ht="79.5" thickBot="1" x14ac:dyDescent="0.45">
      <c r="A914" s="372" t="s">
        <v>782</v>
      </c>
      <c r="B914" s="419" t="s">
        <v>841</v>
      </c>
      <c r="C914" s="553"/>
      <c r="D914" s="554"/>
      <c r="E914" s="458">
        <f>C914*4.5</f>
        <v>0</v>
      </c>
      <c r="F914" s="358">
        <f t="shared" si="334"/>
        <v>0</v>
      </c>
      <c r="G914" s="548">
        <f t="shared" si="331"/>
        <v>0</v>
      </c>
      <c r="H914" s="358" t="s">
        <v>18</v>
      </c>
      <c r="I914" s="548">
        <f t="shared" si="332"/>
        <v>0</v>
      </c>
      <c r="J914" s="358" t="s">
        <v>19</v>
      </c>
      <c r="K914" s="358"/>
      <c r="L914" s="358"/>
      <c r="M914" s="358">
        <f t="shared" si="335"/>
        <v>0</v>
      </c>
      <c r="N914" s="555"/>
      <c r="O914" s="555"/>
      <c r="P914" s="555"/>
      <c r="Q914" s="555" t="s">
        <v>18</v>
      </c>
      <c r="R914" s="555"/>
      <c r="S914" s="555" t="s">
        <v>19</v>
      </c>
      <c r="T914" s="528">
        <v>7</v>
      </c>
      <c r="U914" s="555">
        <f t="shared" si="333"/>
        <v>0</v>
      </c>
      <c r="V914" s="686"/>
      <c r="W914" s="553"/>
      <c r="X914" s="555"/>
      <c r="Y914" s="644" t="s">
        <v>1094</v>
      </c>
      <c r="Z914" s="312">
        <f t="shared" si="336"/>
        <v>0</v>
      </c>
      <c r="AA914" s="316">
        <f>SUM(AB914/461.7)</f>
        <v>0</v>
      </c>
      <c r="AB914" s="310">
        <f t="shared" si="337"/>
        <v>0</v>
      </c>
    </row>
    <row r="915" spans="1:28" s="327" customFormat="1" ht="79.5" thickBot="1" x14ac:dyDescent="0.45">
      <c r="A915" s="372" t="s">
        <v>782</v>
      </c>
      <c r="B915" s="419" t="s">
        <v>903</v>
      </c>
      <c r="C915" s="553"/>
      <c r="D915" s="554"/>
      <c r="E915" s="458">
        <f>C915*4.5</f>
        <v>0</v>
      </c>
      <c r="F915" s="358">
        <f t="shared" si="334"/>
        <v>0</v>
      </c>
      <c r="G915" s="548">
        <f t="shared" si="331"/>
        <v>0</v>
      </c>
      <c r="H915" s="358" t="s">
        <v>18</v>
      </c>
      <c r="I915" s="548">
        <f t="shared" si="332"/>
        <v>0</v>
      </c>
      <c r="J915" s="358" t="s">
        <v>19</v>
      </c>
      <c r="K915" s="358"/>
      <c r="L915" s="358"/>
      <c r="M915" s="358">
        <f t="shared" si="335"/>
        <v>0</v>
      </c>
      <c r="N915" s="555"/>
      <c r="O915" s="555"/>
      <c r="P915" s="555"/>
      <c r="Q915" s="555" t="s">
        <v>18</v>
      </c>
      <c r="R915" s="555"/>
      <c r="S915" s="555" t="s">
        <v>19</v>
      </c>
      <c r="T915" s="528">
        <v>7</v>
      </c>
      <c r="U915" s="555">
        <f>E915/324*60</f>
        <v>0</v>
      </c>
      <c r="V915" s="686"/>
      <c r="W915" s="553"/>
      <c r="X915" s="555"/>
      <c r="Y915" s="323" t="s">
        <v>925</v>
      </c>
      <c r="Z915" s="312">
        <f t="shared" si="336"/>
        <v>0</v>
      </c>
      <c r="AA915" s="316">
        <f>SUM(AB915/413.1)</f>
        <v>0</v>
      </c>
      <c r="AB915" s="310">
        <f t="shared" si="337"/>
        <v>0</v>
      </c>
    </row>
    <row r="916" spans="1:28" s="327" customFormat="1" ht="79.5" thickBot="1" x14ac:dyDescent="0.45">
      <c r="A916" s="372" t="s">
        <v>782</v>
      </c>
      <c r="B916" s="419" t="s">
        <v>914</v>
      </c>
      <c r="C916" s="553"/>
      <c r="D916" s="554"/>
      <c r="E916" s="458">
        <f>C916*4.5</f>
        <v>0</v>
      </c>
      <c r="F916" s="358">
        <f t="shared" si="334"/>
        <v>0</v>
      </c>
      <c r="G916" s="548">
        <f t="shared" si="331"/>
        <v>0</v>
      </c>
      <c r="H916" s="358" t="s">
        <v>18</v>
      </c>
      <c r="I916" s="548">
        <f t="shared" si="332"/>
        <v>0</v>
      </c>
      <c r="J916" s="358" t="s">
        <v>19</v>
      </c>
      <c r="K916" s="358"/>
      <c r="L916" s="358"/>
      <c r="M916" s="358">
        <f t="shared" si="335"/>
        <v>0</v>
      </c>
      <c r="N916" s="555"/>
      <c r="O916" s="555"/>
      <c r="P916" s="555"/>
      <c r="Q916" s="555" t="s">
        <v>18</v>
      </c>
      <c r="R916" s="555"/>
      <c r="S916" s="555" t="s">
        <v>19</v>
      </c>
      <c r="T916" s="528">
        <v>7</v>
      </c>
      <c r="U916" s="555">
        <f>E916/324*60</f>
        <v>0</v>
      </c>
      <c r="V916" s="686"/>
      <c r="W916" s="553"/>
      <c r="X916" s="555"/>
      <c r="Y916" s="323" t="s">
        <v>925</v>
      </c>
      <c r="Z916" s="312">
        <f t="shared" si="336"/>
        <v>0</v>
      </c>
      <c r="AA916" s="316">
        <f>SUM(AB916/413.1)</f>
        <v>0</v>
      </c>
      <c r="AB916" s="310">
        <f t="shared" si="337"/>
        <v>0</v>
      </c>
    </row>
    <row r="917" spans="1:28" thickBot="1" x14ac:dyDescent="0.45">
      <c r="A917" s="376"/>
      <c r="B917" s="377" t="s">
        <v>286</v>
      </c>
      <c r="C917" s="378"/>
      <c r="D917" s="378"/>
      <c r="E917" s="497"/>
      <c r="F917" s="379"/>
      <c r="G917" s="378"/>
      <c r="H917" s="379"/>
      <c r="I917" s="378"/>
      <c r="J917" s="379"/>
      <c r="K917" s="379"/>
      <c r="L917" s="379"/>
      <c r="M917" s="379"/>
      <c r="N917" s="379"/>
      <c r="O917" s="379"/>
      <c r="P917" s="379"/>
      <c r="Q917" s="379"/>
      <c r="R917" s="379"/>
      <c r="S917" s="379"/>
      <c r="T917" s="378"/>
      <c r="U917" s="379"/>
      <c r="V917" s="690"/>
      <c r="W917" s="379"/>
      <c r="X917" s="498"/>
      <c r="Y917" s="380"/>
    </row>
    <row r="918" spans="1:28" ht="79.5" thickBot="1" x14ac:dyDescent="0.45">
      <c r="A918" s="372" t="s">
        <v>782</v>
      </c>
      <c r="B918" s="372" t="s">
        <v>999</v>
      </c>
      <c r="C918" s="563"/>
      <c r="D918" s="551">
        <f>C918*16</f>
        <v>0</v>
      </c>
      <c r="E918" s="456">
        <f>D918*0.25</f>
        <v>0</v>
      </c>
      <c r="F918" s="358">
        <f>E918*0.99*1.03/147</f>
        <v>0</v>
      </c>
      <c r="G918" s="548">
        <f t="shared" ref="G918:G930" si="338">INT(M918)</f>
        <v>0</v>
      </c>
      <c r="H918" s="358" t="s">
        <v>18</v>
      </c>
      <c r="I918" s="548">
        <f t="shared" ref="I918:I930" si="339">(M918-G918)*64</f>
        <v>0</v>
      </c>
      <c r="J918" s="358" t="s">
        <v>19</v>
      </c>
      <c r="K918" s="358"/>
      <c r="L918" s="358"/>
      <c r="M918" s="358">
        <f>(F918*6989)/2880</f>
        <v>0</v>
      </c>
      <c r="N918" s="358"/>
      <c r="O918" s="358"/>
      <c r="P918" s="358"/>
      <c r="Q918" s="358" t="s">
        <v>18</v>
      </c>
      <c r="R918" s="358"/>
      <c r="S918" s="358" t="s">
        <v>19</v>
      </c>
      <c r="T918" s="563">
        <v>5</v>
      </c>
      <c r="U918" s="564">
        <f>E918/390*60</f>
        <v>0</v>
      </c>
      <c r="V918" s="691"/>
      <c r="W918" s="563"/>
      <c r="X918" s="565"/>
      <c r="Y918" s="381"/>
      <c r="Z918" s="312">
        <f t="shared" si="319"/>
        <v>0</v>
      </c>
      <c r="AA918" s="316">
        <f>SUM(Z918/378)</f>
        <v>0</v>
      </c>
    </row>
    <row r="919" spans="1:28" ht="79.5" thickBot="1" x14ac:dyDescent="0.45">
      <c r="A919" s="319" t="s">
        <v>782</v>
      </c>
      <c r="B919" s="319" t="s">
        <v>1002</v>
      </c>
      <c r="C919" s="528"/>
      <c r="D919" s="551">
        <f>C919*16</f>
        <v>0</v>
      </c>
      <c r="E919" s="456">
        <f>D919*0.25</f>
        <v>0</v>
      </c>
      <c r="F919" s="358">
        <f>E919*0.99*1.03/147</f>
        <v>0</v>
      </c>
      <c r="G919" s="548">
        <f t="shared" si="338"/>
        <v>0</v>
      </c>
      <c r="H919" s="358" t="s">
        <v>18</v>
      </c>
      <c r="I919" s="548">
        <f t="shared" si="339"/>
        <v>0</v>
      </c>
      <c r="J919" s="358" t="s">
        <v>19</v>
      </c>
      <c r="K919" s="358"/>
      <c r="L919" s="358"/>
      <c r="M919" s="358">
        <f>(F919*6989)/2880</f>
        <v>0</v>
      </c>
      <c r="N919" s="358"/>
      <c r="O919" s="358"/>
      <c r="P919" s="358"/>
      <c r="Q919" s="358" t="s">
        <v>18</v>
      </c>
      <c r="R919" s="358"/>
      <c r="S919" s="358" t="s">
        <v>19</v>
      </c>
      <c r="T919" s="528">
        <v>5</v>
      </c>
      <c r="U919" s="324">
        <f>E919/390*60</f>
        <v>0</v>
      </c>
      <c r="V919" s="676"/>
      <c r="W919" s="528"/>
      <c r="X919" s="529"/>
      <c r="Y919" s="323"/>
      <c r="Z919" s="312">
        <f t="shared" si="319"/>
        <v>0</v>
      </c>
      <c r="AA919" s="316">
        <f>SUM(Z919/378)</f>
        <v>0</v>
      </c>
    </row>
    <row r="920" spans="1:28" ht="79.5" thickBot="1" x14ac:dyDescent="0.45">
      <c r="A920" s="319" t="s">
        <v>782</v>
      </c>
      <c r="B920" s="320" t="s">
        <v>1000</v>
      </c>
      <c r="C920" s="528"/>
      <c r="D920" s="551">
        <f>C920*16</f>
        <v>0</v>
      </c>
      <c r="E920" s="456">
        <f>D920*0.25</f>
        <v>0</v>
      </c>
      <c r="F920" s="358">
        <f>E920*0.99*1.03/147</f>
        <v>0</v>
      </c>
      <c r="G920" s="548">
        <f t="shared" si="338"/>
        <v>0</v>
      </c>
      <c r="H920" s="358" t="s">
        <v>18</v>
      </c>
      <c r="I920" s="548">
        <f t="shared" si="339"/>
        <v>0</v>
      </c>
      <c r="J920" s="358" t="s">
        <v>19</v>
      </c>
      <c r="K920" s="358"/>
      <c r="L920" s="358"/>
      <c r="M920" s="358">
        <f>(F920*6989)/2880</f>
        <v>0</v>
      </c>
      <c r="N920" s="358"/>
      <c r="O920" s="358"/>
      <c r="P920" s="358"/>
      <c r="Q920" s="358" t="s">
        <v>18</v>
      </c>
      <c r="R920" s="358"/>
      <c r="S920" s="358" t="s">
        <v>19</v>
      </c>
      <c r="T920" s="528">
        <v>5</v>
      </c>
      <c r="U920" s="324">
        <f>E920/403*60</f>
        <v>0</v>
      </c>
      <c r="V920" s="676"/>
      <c r="W920" s="528"/>
      <c r="X920" s="529"/>
      <c r="Y920" s="360" t="s">
        <v>921</v>
      </c>
      <c r="Z920" s="312">
        <f t="shared" si="319"/>
        <v>0</v>
      </c>
      <c r="AA920" s="316">
        <f>SUM(Z920/378)</f>
        <v>0</v>
      </c>
    </row>
    <row r="921" spans="1:28" ht="79.5" thickBot="1" x14ac:dyDescent="0.45">
      <c r="A921" s="319" t="s">
        <v>782</v>
      </c>
      <c r="B921" s="320" t="s">
        <v>636</v>
      </c>
      <c r="C921" s="528"/>
      <c r="D921" s="551">
        <f>C921*14</f>
        <v>0</v>
      </c>
      <c r="E921" s="456">
        <f>D921*0.25</f>
        <v>0</v>
      </c>
      <c r="F921" s="358">
        <f t="shared" ref="F921:F930" si="340">E921*0.99*1.03/147</f>
        <v>0</v>
      </c>
      <c r="G921" s="548">
        <f t="shared" si="338"/>
        <v>0</v>
      </c>
      <c r="H921" s="358" t="s">
        <v>18</v>
      </c>
      <c r="I921" s="548">
        <f t="shared" si="339"/>
        <v>0</v>
      </c>
      <c r="J921" s="358" t="s">
        <v>19</v>
      </c>
      <c r="K921" s="358"/>
      <c r="L921" s="358"/>
      <c r="M921" s="358">
        <f>(F921*6989)/2880</f>
        <v>0</v>
      </c>
      <c r="N921" s="324"/>
      <c r="O921" s="324"/>
      <c r="P921" s="324"/>
      <c r="Q921" s="324" t="s">
        <v>18</v>
      </c>
      <c r="R921" s="324"/>
      <c r="S921" s="324" t="s">
        <v>19</v>
      </c>
      <c r="T921" s="528">
        <v>5</v>
      </c>
      <c r="U921" s="324">
        <f>E921/390*60</f>
        <v>0</v>
      </c>
      <c r="V921" s="676"/>
      <c r="W921" s="528"/>
      <c r="X921" s="529"/>
      <c r="Y921" s="360" t="s">
        <v>921</v>
      </c>
      <c r="Z921" s="312">
        <f t="shared" si="319"/>
        <v>0</v>
      </c>
      <c r="AA921" s="316">
        <f>SUM(Z921/378)</f>
        <v>0</v>
      </c>
    </row>
    <row r="922" spans="1:28" ht="79.5" thickBot="1" x14ac:dyDescent="0.45">
      <c r="A922" s="319" t="s">
        <v>782</v>
      </c>
      <c r="B922" s="320" t="s">
        <v>634</v>
      </c>
      <c r="C922" s="528"/>
      <c r="D922" s="551">
        <f>C922*14</f>
        <v>0</v>
      </c>
      <c r="E922" s="456">
        <f>D922*0.25</f>
        <v>0</v>
      </c>
      <c r="F922" s="358">
        <f t="shared" si="340"/>
        <v>0</v>
      </c>
      <c r="G922" s="548">
        <f t="shared" si="338"/>
        <v>0</v>
      </c>
      <c r="H922" s="358" t="s">
        <v>18</v>
      </c>
      <c r="I922" s="548">
        <f t="shared" si="339"/>
        <v>0</v>
      </c>
      <c r="J922" s="358" t="s">
        <v>19</v>
      </c>
      <c r="K922" s="358"/>
      <c r="L922" s="358"/>
      <c r="M922" s="358">
        <f>(F922*6989)/2880</f>
        <v>0</v>
      </c>
      <c r="N922" s="324"/>
      <c r="O922" s="324"/>
      <c r="P922" s="324"/>
      <c r="Q922" s="324" t="s">
        <v>18</v>
      </c>
      <c r="R922" s="324"/>
      <c r="S922" s="324" t="s">
        <v>19</v>
      </c>
      <c r="T922" s="528">
        <v>5</v>
      </c>
      <c r="U922" s="324">
        <f>E922/390*60</f>
        <v>0</v>
      </c>
      <c r="V922" s="676"/>
      <c r="W922" s="528"/>
      <c r="X922" s="529"/>
      <c r="Y922" s="323"/>
      <c r="Z922" s="312">
        <f t="shared" si="319"/>
        <v>0</v>
      </c>
      <c r="AA922" s="316">
        <f>SUM(Z922/378)</f>
        <v>0</v>
      </c>
    </row>
    <row r="923" spans="1:28" ht="79.5" thickBot="1" x14ac:dyDescent="0.45">
      <c r="A923" s="319" t="s">
        <v>782</v>
      </c>
      <c r="B923" s="320" t="s">
        <v>1037</v>
      </c>
      <c r="C923" s="528"/>
      <c r="D923" s="548">
        <f>C923*16</f>
        <v>0</v>
      </c>
      <c r="E923" s="456">
        <f>D923*0.27</f>
        <v>0</v>
      </c>
      <c r="F923" s="358">
        <f t="shared" si="340"/>
        <v>0</v>
      </c>
      <c r="G923" s="548">
        <f t="shared" si="338"/>
        <v>0</v>
      </c>
      <c r="H923" s="358" t="s">
        <v>18</v>
      </c>
      <c r="I923" s="548">
        <f t="shared" si="339"/>
        <v>0</v>
      </c>
      <c r="J923" s="358" t="s">
        <v>19</v>
      </c>
      <c r="K923" s="358"/>
      <c r="L923" s="358"/>
      <c r="M923" s="358">
        <f>(F923*6391)/2880</f>
        <v>0</v>
      </c>
      <c r="N923" s="358"/>
      <c r="O923" s="358"/>
      <c r="P923" s="358"/>
      <c r="Q923" s="358" t="s">
        <v>18</v>
      </c>
      <c r="R923" s="358"/>
      <c r="S923" s="358" t="s">
        <v>19</v>
      </c>
      <c r="T923" s="528">
        <v>5</v>
      </c>
      <c r="U923" s="324">
        <f t="shared" ref="U923:U929" si="341">E923/403*60</f>
        <v>0</v>
      </c>
      <c r="V923" s="676"/>
      <c r="W923" s="528"/>
      <c r="X923" s="529"/>
      <c r="Y923" s="323"/>
      <c r="Z923" s="312">
        <f t="shared" si="319"/>
        <v>0</v>
      </c>
      <c r="AA923" s="316">
        <f>SUM(Z923/414)</f>
        <v>0</v>
      </c>
    </row>
    <row r="924" spans="1:28" ht="79.5" thickBot="1" x14ac:dyDescent="0.45">
      <c r="A924" s="319" t="s">
        <v>782</v>
      </c>
      <c r="B924" s="343" t="s">
        <v>1038</v>
      </c>
      <c r="C924" s="528"/>
      <c r="D924" s="548">
        <f>C924*16</f>
        <v>0</v>
      </c>
      <c r="E924" s="456">
        <f>D924*0.27</f>
        <v>0</v>
      </c>
      <c r="F924" s="358">
        <f t="shared" si="340"/>
        <v>0</v>
      </c>
      <c r="G924" s="548">
        <f t="shared" si="338"/>
        <v>0</v>
      </c>
      <c r="H924" s="358" t="s">
        <v>18</v>
      </c>
      <c r="I924" s="548">
        <f t="shared" si="339"/>
        <v>0</v>
      </c>
      <c r="J924" s="358" t="s">
        <v>19</v>
      </c>
      <c r="K924" s="358"/>
      <c r="L924" s="358"/>
      <c r="M924" s="358">
        <f>(F924*6391)/2880</f>
        <v>0</v>
      </c>
      <c r="N924" s="358"/>
      <c r="O924" s="358"/>
      <c r="P924" s="358"/>
      <c r="Q924" s="358" t="s">
        <v>18</v>
      </c>
      <c r="R924" s="358"/>
      <c r="S924" s="358" t="s">
        <v>19</v>
      </c>
      <c r="T924" s="528">
        <v>5</v>
      </c>
      <c r="U924" s="324">
        <f t="shared" si="341"/>
        <v>0</v>
      </c>
      <c r="V924" s="676"/>
      <c r="W924" s="528"/>
      <c r="X924" s="529"/>
      <c r="Y924" s="360" t="s">
        <v>921</v>
      </c>
      <c r="Z924" s="312">
        <f t="shared" si="319"/>
        <v>0</v>
      </c>
      <c r="AA924" s="316">
        <f>SUM(Z924/414)</f>
        <v>0</v>
      </c>
    </row>
    <row r="925" spans="1:28" ht="79.5" thickBot="1" x14ac:dyDescent="0.45">
      <c r="A925" s="319" t="s">
        <v>782</v>
      </c>
      <c r="B925" s="319" t="s">
        <v>684</v>
      </c>
      <c r="C925" s="528"/>
      <c r="D925" s="548">
        <f>C925*12</f>
        <v>0</v>
      </c>
      <c r="E925" s="456">
        <f>D925*0.3</f>
        <v>0</v>
      </c>
      <c r="F925" s="358">
        <f t="shared" si="340"/>
        <v>0</v>
      </c>
      <c r="G925" s="548">
        <f t="shared" si="338"/>
        <v>0</v>
      </c>
      <c r="H925" s="358" t="s">
        <v>18</v>
      </c>
      <c r="I925" s="548">
        <f t="shared" si="339"/>
        <v>0</v>
      </c>
      <c r="J925" s="358" t="s">
        <v>19</v>
      </c>
      <c r="K925" s="358"/>
      <c r="L925" s="358"/>
      <c r="M925" s="358">
        <f>(F925*5880)/2880</f>
        <v>0</v>
      </c>
      <c r="N925" s="324"/>
      <c r="O925" s="324"/>
      <c r="P925" s="324"/>
      <c r="Q925" s="324" t="s">
        <v>18</v>
      </c>
      <c r="R925" s="324"/>
      <c r="S925" s="324" t="s">
        <v>19</v>
      </c>
      <c r="T925" s="528">
        <v>5</v>
      </c>
      <c r="U925" s="324">
        <f t="shared" si="341"/>
        <v>0</v>
      </c>
      <c r="V925" s="676"/>
      <c r="W925" s="528"/>
      <c r="X925" s="529"/>
      <c r="Y925" s="644" t="s">
        <v>1094</v>
      </c>
      <c r="Z925" s="312">
        <f t="shared" si="319"/>
        <v>0</v>
      </c>
      <c r="AA925" s="316">
        <f>SUM(Z925/450)</f>
        <v>0</v>
      </c>
    </row>
    <row r="926" spans="1:28" ht="79.5" thickBot="1" x14ac:dyDescent="0.45">
      <c r="A926" s="319" t="s">
        <v>782</v>
      </c>
      <c r="B926" s="319" t="s">
        <v>685</v>
      </c>
      <c r="C926" s="528"/>
      <c r="D926" s="548">
        <f>C926*12</f>
        <v>0</v>
      </c>
      <c r="E926" s="456">
        <f>D926*0.3</f>
        <v>0</v>
      </c>
      <c r="F926" s="358">
        <f t="shared" si="340"/>
        <v>0</v>
      </c>
      <c r="G926" s="548">
        <f t="shared" si="338"/>
        <v>0</v>
      </c>
      <c r="H926" s="358" t="s">
        <v>18</v>
      </c>
      <c r="I926" s="548">
        <f t="shared" si="339"/>
        <v>0</v>
      </c>
      <c r="J926" s="358" t="s">
        <v>19</v>
      </c>
      <c r="K926" s="358"/>
      <c r="L926" s="358"/>
      <c r="M926" s="358">
        <f>(F926*5880)/2880</f>
        <v>0</v>
      </c>
      <c r="N926" s="324"/>
      <c r="O926" s="324"/>
      <c r="P926" s="324"/>
      <c r="Q926" s="324" t="s">
        <v>18</v>
      </c>
      <c r="R926" s="324"/>
      <c r="S926" s="324" t="s">
        <v>19</v>
      </c>
      <c r="T926" s="528">
        <v>5</v>
      </c>
      <c r="U926" s="324">
        <f t="shared" si="341"/>
        <v>0</v>
      </c>
      <c r="V926" s="676"/>
      <c r="W926" s="528"/>
      <c r="X926" s="529"/>
      <c r="Y926" s="644" t="s">
        <v>1094</v>
      </c>
      <c r="Z926" s="312">
        <f t="shared" si="319"/>
        <v>0</v>
      </c>
      <c r="AA926" s="316">
        <f>SUM(Z926/450)</f>
        <v>0</v>
      </c>
    </row>
    <row r="927" spans="1:28" ht="79.5" thickBot="1" x14ac:dyDescent="0.45">
      <c r="A927" s="319" t="s">
        <v>782</v>
      </c>
      <c r="B927" s="854" t="s">
        <v>1196</v>
      </c>
      <c r="C927" s="528"/>
      <c r="D927" s="548">
        <f>C927*14</f>
        <v>0</v>
      </c>
      <c r="E927" s="456">
        <f>D927*0.3</f>
        <v>0</v>
      </c>
      <c r="F927" s="358">
        <f t="shared" si="340"/>
        <v>0</v>
      </c>
      <c r="G927" s="548">
        <f t="shared" si="338"/>
        <v>0</v>
      </c>
      <c r="H927" s="358" t="s">
        <v>18</v>
      </c>
      <c r="I927" s="548">
        <f t="shared" si="339"/>
        <v>0</v>
      </c>
      <c r="J927" s="358" t="s">
        <v>19</v>
      </c>
      <c r="K927" s="358"/>
      <c r="L927" s="358"/>
      <c r="M927" s="358">
        <f>(F927*5880)/2880</f>
        <v>0</v>
      </c>
      <c r="N927" s="324"/>
      <c r="O927" s="324"/>
      <c r="P927" s="324"/>
      <c r="Q927" s="324" t="s">
        <v>18</v>
      </c>
      <c r="R927" s="324"/>
      <c r="S927" s="324" t="s">
        <v>19</v>
      </c>
      <c r="T927" s="528">
        <v>5</v>
      </c>
      <c r="U927" s="324">
        <f t="shared" si="341"/>
        <v>0</v>
      </c>
      <c r="V927" s="676"/>
      <c r="W927" s="528"/>
      <c r="X927" s="529"/>
      <c r="Y927" s="644" t="s">
        <v>1094</v>
      </c>
      <c r="Z927" s="312">
        <f>E927/1.02</f>
        <v>0</v>
      </c>
      <c r="AA927" s="316">
        <f>SUM(Z927/450)</f>
        <v>0</v>
      </c>
    </row>
    <row r="928" spans="1:28" ht="79.5" thickBot="1" x14ac:dyDescent="0.45">
      <c r="A928" s="319" t="s">
        <v>782</v>
      </c>
      <c r="B928" s="855" t="s">
        <v>1197</v>
      </c>
      <c r="C928" s="853"/>
      <c r="D928" s="856">
        <f>C928*16</f>
        <v>0</v>
      </c>
      <c r="E928" s="629">
        <f>D928*0.3</f>
        <v>0</v>
      </c>
      <c r="F928" s="857">
        <f>E928*0.9*1.01/147</f>
        <v>0</v>
      </c>
      <c r="G928" s="858">
        <f>INT(M928)</f>
        <v>0</v>
      </c>
      <c r="H928" s="366"/>
      <c r="I928" s="859">
        <f t="shared" si="339"/>
        <v>0</v>
      </c>
      <c r="J928" s="860" t="s">
        <v>19</v>
      </c>
      <c r="K928" s="860"/>
      <c r="L928" s="860"/>
      <c r="M928" s="861">
        <f>F928*6533/3456</f>
        <v>0</v>
      </c>
      <c r="N928" s="860"/>
      <c r="O928" s="860"/>
      <c r="P928" s="860"/>
      <c r="Q928" s="324" t="s">
        <v>18</v>
      </c>
      <c r="R928" s="324"/>
      <c r="S928" s="324" t="s">
        <v>19</v>
      </c>
      <c r="T928" s="528">
        <v>5</v>
      </c>
      <c r="U928" s="324">
        <f t="shared" si="341"/>
        <v>0</v>
      </c>
      <c r="V928" s="676"/>
      <c r="W928" s="528"/>
      <c r="X928" s="529"/>
      <c r="Y928" s="644" t="s">
        <v>1094</v>
      </c>
      <c r="Z928" s="312">
        <f>E928/1.02/1.143</f>
        <v>0</v>
      </c>
      <c r="AA928" s="316">
        <f>SUM(AB928/450)</f>
        <v>0</v>
      </c>
      <c r="AB928" s="310">
        <f>E928/1.02</f>
        <v>0</v>
      </c>
    </row>
    <row r="929" spans="1:27" ht="79.5" thickBot="1" x14ac:dyDescent="0.45">
      <c r="A929" s="319" t="s">
        <v>782</v>
      </c>
      <c r="B929" s="319" t="s">
        <v>692</v>
      </c>
      <c r="C929" s="528"/>
      <c r="D929" s="548">
        <f>C929*12</f>
        <v>0</v>
      </c>
      <c r="E929" s="456">
        <f>D929*0.3</f>
        <v>0</v>
      </c>
      <c r="F929" s="358">
        <f t="shared" si="340"/>
        <v>0</v>
      </c>
      <c r="G929" s="548">
        <f t="shared" si="338"/>
        <v>0</v>
      </c>
      <c r="H929" s="358" t="s">
        <v>18</v>
      </c>
      <c r="I929" s="548">
        <f t="shared" si="339"/>
        <v>0</v>
      </c>
      <c r="J929" s="358" t="s">
        <v>19</v>
      </c>
      <c r="K929" s="358"/>
      <c r="L929" s="358"/>
      <c r="M929" s="358">
        <f>(F929*5880)/2880</f>
        <v>0</v>
      </c>
      <c r="N929" s="324"/>
      <c r="O929" s="324"/>
      <c r="P929" s="324"/>
      <c r="Q929" s="324" t="s">
        <v>18</v>
      </c>
      <c r="R929" s="324"/>
      <c r="S929" s="324" t="s">
        <v>19</v>
      </c>
      <c r="T929" s="528">
        <v>5</v>
      </c>
      <c r="U929" s="324">
        <f t="shared" si="341"/>
        <v>0</v>
      </c>
      <c r="V929" s="676"/>
      <c r="W929" s="528"/>
      <c r="X929" s="529"/>
      <c r="Y929" s="644" t="s">
        <v>1094</v>
      </c>
      <c r="Z929" s="312">
        <f t="shared" si="319"/>
        <v>0</v>
      </c>
      <c r="AA929" s="316">
        <f>SUM(Z929/450)</f>
        <v>0</v>
      </c>
    </row>
    <row r="930" spans="1:27" ht="79.5" thickBot="1" x14ac:dyDescent="0.45">
      <c r="A930" s="319" t="s">
        <v>782</v>
      </c>
      <c r="B930" s="320" t="s">
        <v>635</v>
      </c>
      <c r="C930" s="528"/>
      <c r="D930" s="551">
        <f>C930*14</f>
        <v>0</v>
      </c>
      <c r="E930" s="456">
        <f>D930*0.25</f>
        <v>0</v>
      </c>
      <c r="F930" s="358">
        <f t="shared" si="340"/>
        <v>0</v>
      </c>
      <c r="G930" s="548">
        <f t="shared" si="338"/>
        <v>0</v>
      </c>
      <c r="H930" s="358" t="s">
        <v>18</v>
      </c>
      <c r="I930" s="548">
        <f t="shared" si="339"/>
        <v>0</v>
      </c>
      <c r="J930" s="358" t="s">
        <v>19</v>
      </c>
      <c r="K930" s="358"/>
      <c r="L930" s="358"/>
      <c r="M930" s="358">
        <f>(F930*6989)/2880</f>
        <v>0</v>
      </c>
      <c r="N930" s="324"/>
      <c r="O930" s="324"/>
      <c r="P930" s="324"/>
      <c r="Q930" s="324" t="s">
        <v>18</v>
      </c>
      <c r="R930" s="324"/>
      <c r="S930" s="324" t="s">
        <v>19</v>
      </c>
      <c r="T930" s="528">
        <v>5</v>
      </c>
      <c r="U930" s="324">
        <f>E930/390*60</f>
        <v>0</v>
      </c>
      <c r="V930" s="676"/>
      <c r="W930" s="528"/>
      <c r="X930" s="529"/>
      <c r="Y930" s="323"/>
      <c r="Z930" s="312">
        <f t="shared" si="319"/>
        <v>0</v>
      </c>
      <c r="AA930" s="316">
        <f t="shared" ref="AA930:AA941" si="342">SUM(Z930/378)</f>
        <v>0</v>
      </c>
    </row>
    <row r="931" spans="1:27" ht="79.5" thickBot="1" x14ac:dyDescent="0.45">
      <c r="A931" s="319" t="s">
        <v>782</v>
      </c>
      <c r="B931" s="344" t="s">
        <v>1170</v>
      </c>
      <c r="C931" s="528"/>
      <c r="D931" s="551">
        <f>C931*16</f>
        <v>0</v>
      </c>
      <c r="E931" s="456">
        <f t="shared" ref="E931:E940" si="343">D931*0.25</f>
        <v>0</v>
      </c>
      <c r="F931" s="358">
        <f t="shared" ref="F931:F941" si="344">E931*0.99*1.03/147</f>
        <v>0</v>
      </c>
      <c r="G931" s="548">
        <f t="shared" ref="G931:G940" si="345">INT(M931)</f>
        <v>0</v>
      </c>
      <c r="H931" s="358" t="s">
        <v>18</v>
      </c>
      <c r="I931" s="548">
        <f t="shared" ref="I931:I940" si="346">(M931-G931)*64</f>
        <v>0</v>
      </c>
      <c r="J931" s="358" t="s">
        <v>19</v>
      </c>
      <c r="K931" s="358"/>
      <c r="L931" s="358"/>
      <c r="M931" s="358">
        <f t="shared" ref="M931:M940" si="347">(F931*6989)/2880</f>
        <v>0</v>
      </c>
      <c r="N931" s="324"/>
      <c r="O931" s="324"/>
      <c r="P931" s="324"/>
      <c r="Q931" s="324" t="s">
        <v>18</v>
      </c>
      <c r="R931" s="324"/>
      <c r="S931" s="324" t="s">
        <v>19</v>
      </c>
      <c r="T931" s="528">
        <v>5</v>
      </c>
      <c r="U931" s="566">
        <f>U291</f>
        <v>0</v>
      </c>
      <c r="V931" s="692"/>
      <c r="W931" s="566"/>
      <c r="X931" s="566"/>
      <c r="Y931" s="323"/>
      <c r="Z931" s="312">
        <f t="shared" si="319"/>
        <v>0</v>
      </c>
      <c r="AA931" s="316">
        <f t="shared" si="342"/>
        <v>0</v>
      </c>
    </row>
    <row r="932" spans="1:27" ht="79.5" thickBot="1" x14ac:dyDescent="0.45">
      <c r="A932" s="319" t="s">
        <v>782</v>
      </c>
      <c r="B932" s="344" t="s">
        <v>1169</v>
      </c>
      <c r="C932" s="528"/>
      <c r="D932" s="551">
        <f>C932*16</f>
        <v>0</v>
      </c>
      <c r="E932" s="456">
        <f t="shared" si="343"/>
        <v>0</v>
      </c>
      <c r="F932" s="358">
        <f t="shared" si="344"/>
        <v>0</v>
      </c>
      <c r="G932" s="548">
        <f t="shared" si="345"/>
        <v>0</v>
      </c>
      <c r="H932" s="358" t="s">
        <v>18</v>
      </c>
      <c r="I932" s="548">
        <f t="shared" si="346"/>
        <v>0</v>
      </c>
      <c r="J932" s="358" t="s">
        <v>19</v>
      </c>
      <c r="K932" s="358"/>
      <c r="L932" s="358"/>
      <c r="M932" s="358">
        <f t="shared" si="347"/>
        <v>0</v>
      </c>
      <c r="N932" s="324"/>
      <c r="O932" s="324"/>
      <c r="P932" s="324"/>
      <c r="Q932" s="324" t="s">
        <v>18</v>
      </c>
      <c r="R932" s="324"/>
      <c r="S932" s="324" t="s">
        <v>19</v>
      </c>
      <c r="T932" s="528">
        <v>5</v>
      </c>
      <c r="U932" s="566">
        <f>U293</f>
        <v>0</v>
      </c>
      <c r="V932" s="692"/>
      <c r="W932" s="566"/>
      <c r="X932" s="566"/>
      <c r="Y932" s="323"/>
      <c r="Z932" s="312">
        <f t="shared" si="319"/>
        <v>0</v>
      </c>
      <c r="AA932" s="316">
        <f t="shared" si="342"/>
        <v>0</v>
      </c>
    </row>
    <row r="933" spans="1:27" ht="79.5" thickBot="1" x14ac:dyDescent="0.45">
      <c r="A933" s="319" t="s">
        <v>782</v>
      </c>
      <c r="B933" s="344" t="s">
        <v>701</v>
      </c>
      <c r="C933" s="528"/>
      <c r="D933" s="551">
        <f t="shared" ref="D933:D941" si="348">C933*12</f>
        <v>0</v>
      </c>
      <c r="E933" s="456">
        <f t="shared" si="343"/>
        <v>0</v>
      </c>
      <c r="F933" s="358">
        <f t="shared" si="344"/>
        <v>0</v>
      </c>
      <c r="G933" s="548">
        <f t="shared" si="345"/>
        <v>0</v>
      </c>
      <c r="H933" s="358" t="s">
        <v>18</v>
      </c>
      <c r="I933" s="548">
        <f t="shared" si="346"/>
        <v>0</v>
      </c>
      <c r="J933" s="358" t="s">
        <v>19</v>
      </c>
      <c r="K933" s="358"/>
      <c r="L933" s="358"/>
      <c r="M933" s="358">
        <f t="shared" si="347"/>
        <v>0</v>
      </c>
      <c r="N933" s="324"/>
      <c r="O933" s="324"/>
      <c r="P933" s="324"/>
      <c r="Q933" s="324" t="s">
        <v>18</v>
      </c>
      <c r="R933" s="324"/>
      <c r="S933" s="324" t="s">
        <v>19</v>
      </c>
      <c r="T933" s="528">
        <v>5</v>
      </c>
      <c r="U933" s="566">
        <f>U295</f>
        <v>0</v>
      </c>
      <c r="V933" s="692"/>
      <c r="W933" s="566"/>
      <c r="X933" s="566"/>
      <c r="Y933" s="323"/>
      <c r="Z933" s="312">
        <f t="shared" si="319"/>
        <v>0</v>
      </c>
      <c r="AA933" s="316">
        <f t="shared" si="342"/>
        <v>0</v>
      </c>
    </row>
    <row r="934" spans="1:27" ht="79.5" thickBot="1" x14ac:dyDescent="0.45">
      <c r="A934" s="319" t="s">
        <v>782</v>
      </c>
      <c r="B934" s="344" t="s">
        <v>702</v>
      </c>
      <c r="C934" s="528"/>
      <c r="D934" s="551">
        <f t="shared" si="348"/>
        <v>0</v>
      </c>
      <c r="E934" s="456">
        <f t="shared" si="343"/>
        <v>0</v>
      </c>
      <c r="F934" s="358">
        <f t="shared" si="344"/>
        <v>0</v>
      </c>
      <c r="G934" s="548">
        <f t="shared" si="345"/>
        <v>0</v>
      </c>
      <c r="H934" s="358" t="s">
        <v>18</v>
      </c>
      <c r="I934" s="548">
        <f t="shared" si="346"/>
        <v>0</v>
      </c>
      <c r="J934" s="358" t="s">
        <v>19</v>
      </c>
      <c r="K934" s="358"/>
      <c r="L934" s="358"/>
      <c r="M934" s="358">
        <f t="shared" si="347"/>
        <v>0</v>
      </c>
      <c r="N934" s="324"/>
      <c r="O934" s="324"/>
      <c r="P934" s="324"/>
      <c r="Q934" s="324" t="s">
        <v>18</v>
      </c>
      <c r="R934" s="324"/>
      <c r="S934" s="324" t="s">
        <v>19</v>
      </c>
      <c r="T934" s="528">
        <v>5</v>
      </c>
      <c r="U934" s="566">
        <f>U296</f>
        <v>0</v>
      </c>
      <c r="V934" s="692"/>
      <c r="W934" s="566"/>
      <c r="X934" s="566"/>
      <c r="Y934" s="323"/>
      <c r="Z934" s="312">
        <f t="shared" si="319"/>
        <v>0</v>
      </c>
      <c r="AA934" s="316">
        <f t="shared" si="342"/>
        <v>0</v>
      </c>
    </row>
    <row r="935" spans="1:27" ht="79.5" thickBot="1" x14ac:dyDescent="0.45">
      <c r="A935" s="319" t="s">
        <v>782</v>
      </c>
      <c r="B935" s="344" t="s">
        <v>1078</v>
      </c>
      <c r="C935" s="528"/>
      <c r="D935" s="530">
        <f>C935*16</f>
        <v>0</v>
      </c>
      <c r="E935" s="460">
        <f>D935*0.25</f>
        <v>0</v>
      </c>
      <c r="F935" s="324">
        <f>E935*0.99*1.03/147</f>
        <v>0</v>
      </c>
      <c r="G935" s="528">
        <f>INT(M935)</f>
        <v>0</v>
      </c>
      <c r="H935" s="324" t="s">
        <v>18</v>
      </c>
      <c r="I935" s="528">
        <f>(M935-G935)*64</f>
        <v>0</v>
      </c>
      <c r="J935" s="324" t="s">
        <v>19</v>
      </c>
      <c r="K935" s="324"/>
      <c r="L935" s="324"/>
      <c r="M935" s="324">
        <f>(F935*6989)/2880</f>
        <v>0</v>
      </c>
      <c r="N935" s="324"/>
      <c r="O935" s="324"/>
      <c r="P935" s="324"/>
      <c r="Q935" s="324" t="s">
        <v>18</v>
      </c>
      <c r="R935" s="324"/>
      <c r="S935" s="324" t="s">
        <v>19</v>
      </c>
      <c r="T935" s="528">
        <v>5</v>
      </c>
      <c r="U935" s="566">
        <f>U297</f>
        <v>0</v>
      </c>
      <c r="V935" s="692"/>
      <c r="W935" s="566"/>
      <c r="X935" s="566"/>
      <c r="Y935" s="323"/>
      <c r="Z935" s="312">
        <f>E935/1.02</f>
        <v>0</v>
      </c>
      <c r="AA935" s="316">
        <f>SUM(Z935/378)</f>
        <v>0</v>
      </c>
    </row>
    <row r="936" spans="1:27" ht="79.5" thickBot="1" x14ac:dyDescent="0.45">
      <c r="A936" s="319" t="s">
        <v>782</v>
      </c>
      <c r="B936" s="344" t="s">
        <v>1077</v>
      </c>
      <c r="C936" s="528"/>
      <c r="D936" s="530">
        <f>C936*16</f>
        <v>0</v>
      </c>
      <c r="E936" s="460">
        <f>D936*0.25</f>
        <v>0</v>
      </c>
      <c r="F936" s="324">
        <f>E936*0.99*1.03/147</f>
        <v>0</v>
      </c>
      <c r="G936" s="528">
        <f>INT(M936)</f>
        <v>0</v>
      </c>
      <c r="H936" s="324" t="s">
        <v>18</v>
      </c>
      <c r="I936" s="528">
        <f>(M936-G936)*64</f>
        <v>0</v>
      </c>
      <c r="J936" s="324" t="s">
        <v>19</v>
      </c>
      <c r="K936" s="324"/>
      <c r="L936" s="324"/>
      <c r="M936" s="324">
        <f>(F936*6989)/2880</f>
        <v>0</v>
      </c>
      <c r="N936" s="324"/>
      <c r="O936" s="324"/>
      <c r="P936" s="324"/>
      <c r="Q936" s="324" t="s">
        <v>18</v>
      </c>
      <c r="R936" s="324"/>
      <c r="S936" s="324" t="s">
        <v>19</v>
      </c>
      <c r="T936" s="528">
        <v>5</v>
      </c>
      <c r="U936" s="566">
        <f>U298</f>
        <v>0</v>
      </c>
      <c r="V936" s="692"/>
      <c r="W936" s="566"/>
      <c r="X936" s="566"/>
      <c r="Y936" s="323"/>
      <c r="Z936" s="312">
        <f>E936/1.02</f>
        <v>0</v>
      </c>
      <c r="AA936" s="316">
        <f>SUM(Z936/378)</f>
        <v>0</v>
      </c>
    </row>
    <row r="937" spans="1:27" ht="79.5" thickBot="1" x14ac:dyDescent="0.45">
      <c r="A937" s="319" t="s">
        <v>782</v>
      </c>
      <c r="B937" s="371" t="s">
        <v>823</v>
      </c>
      <c r="C937" s="528"/>
      <c r="D937" s="551">
        <f t="shared" si="348"/>
        <v>0</v>
      </c>
      <c r="E937" s="456">
        <f t="shared" si="343"/>
        <v>0</v>
      </c>
      <c r="F937" s="358">
        <f t="shared" si="344"/>
        <v>0</v>
      </c>
      <c r="G937" s="548">
        <f t="shared" si="345"/>
        <v>0</v>
      </c>
      <c r="H937" s="358" t="s">
        <v>18</v>
      </c>
      <c r="I937" s="548">
        <f t="shared" si="346"/>
        <v>0</v>
      </c>
      <c r="J937" s="358" t="s">
        <v>19</v>
      </c>
      <c r="K937" s="358"/>
      <c r="L937" s="358"/>
      <c r="M937" s="358">
        <f t="shared" si="347"/>
        <v>0</v>
      </c>
      <c r="N937" s="324"/>
      <c r="O937" s="324"/>
      <c r="P937" s="324"/>
      <c r="Q937" s="324" t="s">
        <v>18</v>
      </c>
      <c r="R937" s="324"/>
      <c r="S937" s="324" t="s">
        <v>19</v>
      </c>
      <c r="T937" s="528">
        <v>5</v>
      </c>
      <c r="U937" s="566">
        <f>U300</f>
        <v>0</v>
      </c>
      <c r="V937" s="692"/>
      <c r="W937" s="566"/>
      <c r="X937" s="566"/>
      <c r="Y937" s="360" t="s">
        <v>919</v>
      </c>
      <c r="Z937" s="312">
        <f t="shared" si="319"/>
        <v>0</v>
      </c>
      <c r="AA937" s="316">
        <f t="shared" si="342"/>
        <v>0</v>
      </c>
    </row>
    <row r="938" spans="1:27" ht="79.5" thickBot="1" x14ac:dyDescent="0.45">
      <c r="A938" s="319" t="s">
        <v>782</v>
      </c>
      <c r="B938" s="371" t="s">
        <v>824</v>
      </c>
      <c r="C938" s="528"/>
      <c r="D938" s="551">
        <f t="shared" si="348"/>
        <v>0</v>
      </c>
      <c r="E938" s="456">
        <f t="shared" si="343"/>
        <v>0</v>
      </c>
      <c r="F938" s="358">
        <f t="shared" si="344"/>
        <v>0</v>
      </c>
      <c r="G938" s="548">
        <f t="shared" si="345"/>
        <v>0</v>
      </c>
      <c r="H938" s="358" t="s">
        <v>18</v>
      </c>
      <c r="I938" s="548">
        <f t="shared" si="346"/>
        <v>0</v>
      </c>
      <c r="J938" s="358" t="s">
        <v>19</v>
      </c>
      <c r="K938" s="358"/>
      <c r="L938" s="358"/>
      <c r="M938" s="358">
        <f t="shared" si="347"/>
        <v>0</v>
      </c>
      <c r="N938" s="324"/>
      <c r="O938" s="324"/>
      <c r="P938" s="324"/>
      <c r="Q938" s="324" t="s">
        <v>18</v>
      </c>
      <c r="R938" s="324"/>
      <c r="S938" s="324" t="s">
        <v>19</v>
      </c>
      <c r="T938" s="528">
        <v>5</v>
      </c>
      <c r="U938" s="566">
        <f>U303</f>
        <v>0</v>
      </c>
      <c r="V938" s="692"/>
      <c r="W938" s="566"/>
      <c r="X938" s="566"/>
      <c r="Y938" s="323"/>
      <c r="Z938" s="312">
        <f t="shared" si="319"/>
        <v>0</v>
      </c>
      <c r="AA938" s="316">
        <f t="shared" si="342"/>
        <v>0</v>
      </c>
    </row>
    <row r="939" spans="1:27" ht="79.5" thickBot="1" x14ac:dyDescent="0.45">
      <c r="A939" s="319" t="s">
        <v>782</v>
      </c>
      <c r="B939" s="344" t="s">
        <v>1006</v>
      </c>
      <c r="C939" s="528"/>
      <c r="D939" s="530">
        <f>C939*16</f>
        <v>0</v>
      </c>
      <c r="E939" s="460">
        <f t="shared" si="343"/>
        <v>0</v>
      </c>
      <c r="F939" s="324">
        <f t="shared" si="344"/>
        <v>0</v>
      </c>
      <c r="G939" s="528">
        <f t="shared" si="345"/>
        <v>0</v>
      </c>
      <c r="H939" s="324" t="s">
        <v>18</v>
      </c>
      <c r="I939" s="528">
        <f t="shared" si="346"/>
        <v>0</v>
      </c>
      <c r="J939" s="324" t="s">
        <v>19</v>
      </c>
      <c r="K939" s="324"/>
      <c r="L939" s="324"/>
      <c r="M939" s="324">
        <f t="shared" si="347"/>
        <v>0</v>
      </c>
      <c r="N939" s="324"/>
      <c r="O939" s="324"/>
      <c r="P939" s="324"/>
      <c r="Q939" s="324" t="s">
        <v>18</v>
      </c>
      <c r="R939" s="324"/>
      <c r="S939" s="324" t="s">
        <v>19</v>
      </c>
      <c r="T939" s="528">
        <v>5</v>
      </c>
      <c r="U939" s="324">
        <f>E939/403*60</f>
        <v>0</v>
      </c>
      <c r="V939" s="676"/>
      <c r="W939" s="528"/>
      <c r="X939" s="529"/>
      <c r="Y939" s="360" t="s">
        <v>919</v>
      </c>
      <c r="Z939" s="312">
        <f>E939/1.02</f>
        <v>0</v>
      </c>
      <c r="AA939" s="316">
        <f>SUM(Z939/378)</f>
        <v>0</v>
      </c>
    </row>
    <row r="940" spans="1:27" ht="79.5" thickBot="1" x14ac:dyDescent="0.45">
      <c r="A940" s="319" t="s">
        <v>782</v>
      </c>
      <c r="B940" s="344" t="s">
        <v>1007</v>
      </c>
      <c r="C940" s="528"/>
      <c r="D940" s="530">
        <f>C940*16</f>
        <v>0</v>
      </c>
      <c r="E940" s="460">
        <f t="shared" si="343"/>
        <v>0</v>
      </c>
      <c r="F940" s="324">
        <f t="shared" si="344"/>
        <v>0</v>
      </c>
      <c r="G940" s="528">
        <f t="shared" si="345"/>
        <v>0</v>
      </c>
      <c r="H940" s="324" t="s">
        <v>18</v>
      </c>
      <c r="I940" s="528">
        <f t="shared" si="346"/>
        <v>0</v>
      </c>
      <c r="J940" s="324" t="s">
        <v>19</v>
      </c>
      <c r="K940" s="324"/>
      <c r="L940" s="324"/>
      <c r="M940" s="324">
        <f t="shared" si="347"/>
        <v>0</v>
      </c>
      <c r="N940" s="324"/>
      <c r="O940" s="324"/>
      <c r="P940" s="324"/>
      <c r="Q940" s="324" t="s">
        <v>18</v>
      </c>
      <c r="R940" s="324"/>
      <c r="S940" s="324" t="s">
        <v>19</v>
      </c>
      <c r="T940" s="528">
        <v>5</v>
      </c>
      <c r="U940" s="324">
        <f>E940/403*60</f>
        <v>0</v>
      </c>
      <c r="V940" s="676"/>
      <c r="W940" s="528"/>
      <c r="X940" s="529"/>
      <c r="Y940" s="360" t="s">
        <v>921</v>
      </c>
      <c r="Z940" s="312">
        <f>E940/1.02</f>
        <v>0</v>
      </c>
      <c r="AA940" s="316">
        <f>SUM(Z940/378)</f>
        <v>0</v>
      </c>
    </row>
    <row r="941" spans="1:27" ht="79.5" thickBot="1" x14ac:dyDescent="0.45">
      <c r="A941" s="319" t="s">
        <v>782</v>
      </c>
      <c r="B941" s="344" t="s">
        <v>703</v>
      </c>
      <c r="C941" s="528"/>
      <c r="D941" s="551">
        <f t="shared" si="348"/>
        <v>0</v>
      </c>
      <c r="E941" s="456">
        <f>D941*0.25</f>
        <v>0</v>
      </c>
      <c r="F941" s="358">
        <f t="shared" si="344"/>
        <v>0</v>
      </c>
      <c r="G941" s="548">
        <f t="shared" ref="G941:G959" si="349">INT(M941)</f>
        <v>0</v>
      </c>
      <c r="H941" s="358" t="s">
        <v>18</v>
      </c>
      <c r="I941" s="548">
        <f t="shared" ref="I941:I959" si="350">(M941-G941)*64</f>
        <v>0</v>
      </c>
      <c r="J941" s="358" t="s">
        <v>19</v>
      </c>
      <c r="K941" s="358"/>
      <c r="L941" s="358"/>
      <c r="M941" s="358">
        <f>(F941*6989)/2880</f>
        <v>0</v>
      </c>
      <c r="N941" s="324"/>
      <c r="O941" s="324"/>
      <c r="P941" s="324"/>
      <c r="Q941" s="324" t="s">
        <v>18</v>
      </c>
      <c r="R941" s="324"/>
      <c r="S941" s="324" t="s">
        <v>19</v>
      </c>
      <c r="T941" s="528">
        <v>5</v>
      </c>
      <c r="U941" s="566">
        <f>U304</f>
        <v>0</v>
      </c>
      <c r="V941" s="692"/>
      <c r="W941" s="566"/>
      <c r="X941" s="566"/>
      <c r="Y941" s="360" t="s">
        <v>921</v>
      </c>
      <c r="Z941" s="312">
        <f t="shared" si="319"/>
        <v>0</v>
      </c>
      <c r="AA941" s="316">
        <f t="shared" si="342"/>
        <v>0</v>
      </c>
    </row>
    <row r="942" spans="1:27" ht="79.5" thickBot="1" x14ac:dyDescent="0.45">
      <c r="A942" s="319" t="s">
        <v>782</v>
      </c>
      <c r="B942" s="344" t="s">
        <v>798</v>
      </c>
      <c r="C942" s="528"/>
      <c r="D942" s="548">
        <f>C942*28</f>
        <v>0</v>
      </c>
      <c r="E942" s="456">
        <f>D942*0.125</f>
        <v>0</v>
      </c>
      <c r="F942" s="358">
        <f>E942*0.99*1.03/147</f>
        <v>0</v>
      </c>
      <c r="G942" s="548">
        <f t="shared" si="349"/>
        <v>0</v>
      </c>
      <c r="H942" s="358" t="s">
        <v>18</v>
      </c>
      <c r="I942" s="548">
        <f t="shared" si="350"/>
        <v>0</v>
      </c>
      <c r="J942" s="358" t="s">
        <v>19</v>
      </c>
      <c r="K942" s="358"/>
      <c r="L942" s="358"/>
      <c r="M942" s="358">
        <f>(F942*6989)/2880</f>
        <v>0</v>
      </c>
      <c r="N942" s="324"/>
      <c r="O942" s="324"/>
      <c r="P942" s="324"/>
      <c r="Q942" s="324" t="s">
        <v>18</v>
      </c>
      <c r="R942" s="324"/>
      <c r="S942" s="324" t="s">
        <v>19</v>
      </c>
      <c r="T942" s="528">
        <v>6</v>
      </c>
      <c r="U942" s="324">
        <f>E942/403*60</f>
        <v>0</v>
      </c>
      <c r="V942" s="676"/>
      <c r="W942" s="528"/>
      <c r="X942" s="529"/>
      <c r="Y942" s="300"/>
      <c r="Z942" s="312">
        <f t="shared" si="319"/>
        <v>0</v>
      </c>
      <c r="AA942" s="316">
        <f>SUM(Z942/352.8)</f>
        <v>0</v>
      </c>
    </row>
    <row r="943" spans="1:27" ht="79.5" thickBot="1" x14ac:dyDescent="0.45">
      <c r="A943" s="319" t="s">
        <v>782</v>
      </c>
      <c r="B943" s="344" t="s">
        <v>791</v>
      </c>
      <c r="C943" s="528"/>
      <c r="D943" s="551">
        <f>C943*28</f>
        <v>0</v>
      </c>
      <c r="E943" s="456">
        <f>D943*0.125</f>
        <v>0</v>
      </c>
      <c r="F943" s="358">
        <f>E943*0.99*1.03/147</f>
        <v>0</v>
      </c>
      <c r="G943" s="548">
        <f t="shared" si="349"/>
        <v>0</v>
      </c>
      <c r="H943" s="358" t="s">
        <v>18</v>
      </c>
      <c r="I943" s="548">
        <f t="shared" si="350"/>
        <v>0</v>
      </c>
      <c r="J943" s="358" t="s">
        <v>19</v>
      </c>
      <c r="K943" s="358"/>
      <c r="L943" s="358"/>
      <c r="M943" s="358">
        <f>(F943*6989)/2880</f>
        <v>0</v>
      </c>
      <c r="N943" s="324"/>
      <c r="O943" s="324"/>
      <c r="P943" s="324"/>
      <c r="Q943" s="324" t="s">
        <v>18</v>
      </c>
      <c r="R943" s="324"/>
      <c r="S943" s="324" t="s">
        <v>19</v>
      </c>
      <c r="T943" s="528">
        <v>6</v>
      </c>
      <c r="U943" s="324">
        <f>E943/403*60</f>
        <v>0</v>
      </c>
      <c r="V943" s="676"/>
      <c r="W943" s="528"/>
      <c r="X943" s="529"/>
      <c r="Y943" s="300"/>
      <c r="Z943" s="312">
        <f t="shared" si="319"/>
        <v>0</v>
      </c>
      <c r="AA943" s="316">
        <f>SUM(Z943/352.8)</f>
        <v>0</v>
      </c>
    </row>
    <row r="944" spans="1:27" ht="79.5" thickBot="1" x14ac:dyDescent="0.45">
      <c r="A944" s="319" t="s">
        <v>782</v>
      </c>
      <c r="B944" s="320" t="s">
        <v>781</v>
      </c>
      <c r="C944" s="528"/>
      <c r="D944" s="548">
        <f>C944*10</f>
        <v>0</v>
      </c>
      <c r="E944" s="456">
        <f>D944*0.18</f>
        <v>0</v>
      </c>
      <c r="F944" s="358">
        <f>E944*0.99*1.03/147</f>
        <v>0</v>
      </c>
      <c r="G944" s="548">
        <f t="shared" si="349"/>
        <v>0</v>
      </c>
      <c r="H944" s="358" t="s">
        <v>18</v>
      </c>
      <c r="I944" s="548">
        <f t="shared" si="350"/>
        <v>0</v>
      </c>
      <c r="J944" s="358" t="s">
        <v>19</v>
      </c>
      <c r="K944" s="358"/>
      <c r="L944" s="358"/>
      <c r="M944" s="358">
        <f>(F944*6400)/2880</f>
        <v>0</v>
      </c>
      <c r="N944" s="324"/>
      <c r="O944" s="324"/>
      <c r="P944" s="324"/>
      <c r="Q944" s="324" t="s">
        <v>18</v>
      </c>
      <c r="R944" s="324"/>
      <c r="S944" s="324" t="s">
        <v>19</v>
      </c>
      <c r="T944" s="528">
        <v>6</v>
      </c>
      <c r="U944" s="324">
        <f>E944/237*60</f>
        <v>0</v>
      </c>
      <c r="V944" s="676"/>
      <c r="W944" s="528"/>
      <c r="X944" s="529"/>
      <c r="Y944" s="323"/>
      <c r="Z944" s="312">
        <f t="shared" si="319"/>
        <v>0</v>
      </c>
      <c r="AA944" s="316">
        <f>SUM(Z944/414)</f>
        <v>0</v>
      </c>
    </row>
    <row r="945" spans="1:28" s="818" customFormat="1" ht="342" outlineLevel="1" thickBot="1" x14ac:dyDescent="0.45">
      <c r="A945" s="636" t="s">
        <v>782</v>
      </c>
      <c r="B945" s="635" t="s">
        <v>1041</v>
      </c>
      <c r="C945" s="819"/>
      <c r="D945" s="819">
        <f>C945*12</f>
        <v>0</v>
      </c>
      <c r="E945" s="820">
        <f t="shared" ref="E945:E951" si="351">D945*0.25</f>
        <v>0</v>
      </c>
      <c r="F945" s="723">
        <f t="shared" ref="F945:F951" si="352">E945*0.9*1.01/147</f>
        <v>0</v>
      </c>
      <c r="G945" s="819">
        <f t="shared" ref="G945:G954" si="353">INT(M945)</f>
        <v>0</v>
      </c>
      <c r="H945" s="723" t="s">
        <v>18</v>
      </c>
      <c r="I945" s="819">
        <f t="shared" ref="I945:I954" si="354">(M945-G945)*64</f>
        <v>0</v>
      </c>
      <c r="J945" s="723" t="s">
        <v>19</v>
      </c>
      <c r="K945" s="723"/>
      <c r="L945" s="723"/>
      <c r="M945" s="723">
        <f>(F945*6533/3456)</f>
        <v>0</v>
      </c>
      <c r="N945" s="723"/>
      <c r="O945" s="723"/>
      <c r="P945" s="723"/>
      <c r="Q945" s="723" t="s">
        <v>18</v>
      </c>
      <c r="R945" s="723"/>
      <c r="S945" s="723" t="s">
        <v>19</v>
      </c>
      <c r="T945" s="819">
        <v>10</v>
      </c>
      <c r="U945" s="546">
        <f t="shared" ref="U945:U952" si="355">E945/390*60</f>
        <v>0</v>
      </c>
      <c r="V945" s="821"/>
      <c r="W945" s="819"/>
      <c r="X945" s="822"/>
      <c r="Y945" s="823" t="s">
        <v>935</v>
      </c>
      <c r="Z945" s="824">
        <f>E945/1.05/1.143</f>
        <v>0</v>
      </c>
      <c r="AA945" s="825">
        <f>SUM(AB945/405)</f>
        <v>0</v>
      </c>
      <c r="AB945" s="818">
        <f>E945/1.05</f>
        <v>0</v>
      </c>
    </row>
    <row r="946" spans="1:28" s="643" customFormat="1" ht="158.25" thickBot="1" x14ac:dyDescent="0.45">
      <c r="A946" s="319" t="s">
        <v>782</v>
      </c>
      <c r="B946" s="362" t="s">
        <v>828</v>
      </c>
      <c r="C946" s="639"/>
      <c r="D946" s="651">
        <f>C946*12</f>
        <v>0</v>
      </c>
      <c r="E946" s="652">
        <f t="shared" si="351"/>
        <v>0</v>
      </c>
      <c r="F946" s="653">
        <f t="shared" si="352"/>
        <v>0</v>
      </c>
      <c r="G946" s="654">
        <f t="shared" si="353"/>
        <v>0</v>
      </c>
      <c r="H946" s="655" t="s">
        <v>18</v>
      </c>
      <c r="I946" s="656">
        <f t="shared" si="354"/>
        <v>0</v>
      </c>
      <c r="J946" s="655" t="s">
        <v>19</v>
      </c>
      <c r="K946" s="655"/>
      <c r="L946" s="655"/>
      <c r="M946" s="655">
        <f t="shared" ref="M946:M951" si="356">(F946*7777/3456)</f>
        <v>0</v>
      </c>
      <c r="N946" s="655"/>
      <c r="O946" s="655"/>
      <c r="P946" s="655"/>
      <c r="Q946" s="649" t="s">
        <v>18</v>
      </c>
      <c r="R946" s="649"/>
      <c r="S946" s="649" t="s">
        <v>19</v>
      </c>
      <c r="T946" s="639">
        <v>5</v>
      </c>
      <c r="U946" s="546">
        <f t="shared" si="355"/>
        <v>0</v>
      </c>
      <c r="V946" s="670"/>
      <c r="W946" s="639"/>
      <c r="X946" s="650"/>
      <c r="Y946" s="660" t="s">
        <v>927</v>
      </c>
      <c r="Z946" s="407">
        <f t="shared" ref="Z946:Z951" si="357">E946/1.02/1.143</f>
        <v>0</v>
      </c>
      <c r="AA946" s="416">
        <f t="shared" ref="AA946:AA951" si="358">SUM(AB946/340.2)</f>
        <v>0</v>
      </c>
      <c r="AB946" s="643">
        <f t="shared" ref="AB946:AB951" si="359">E946/1.02</f>
        <v>0</v>
      </c>
    </row>
    <row r="947" spans="1:28" s="643" customFormat="1" ht="158.25" thickBot="1" x14ac:dyDescent="0.45">
      <c r="A947" s="319" t="s">
        <v>782</v>
      </c>
      <c r="B947" s="362" t="s">
        <v>1017</v>
      </c>
      <c r="C947" s="528"/>
      <c r="D947" s="557">
        <f>C947*12</f>
        <v>0</v>
      </c>
      <c r="E947" s="457">
        <f t="shared" si="351"/>
        <v>0</v>
      </c>
      <c r="F947" s="359">
        <f t="shared" si="352"/>
        <v>0</v>
      </c>
      <c r="G947" s="558">
        <f t="shared" si="353"/>
        <v>0</v>
      </c>
      <c r="H947" s="366" t="s">
        <v>18</v>
      </c>
      <c r="I947" s="556">
        <f t="shared" si="354"/>
        <v>0</v>
      </c>
      <c r="J947" s="366" t="s">
        <v>19</v>
      </c>
      <c r="K947" s="366"/>
      <c r="L947" s="366"/>
      <c r="M947" s="366">
        <f t="shared" si="356"/>
        <v>0</v>
      </c>
      <c r="N947" s="366"/>
      <c r="O947" s="366"/>
      <c r="P947" s="366"/>
      <c r="Q947" s="358" t="s">
        <v>18</v>
      </c>
      <c r="R947" s="358"/>
      <c r="S947" s="649" t="s">
        <v>19</v>
      </c>
      <c r="T947" s="639">
        <v>5</v>
      </c>
      <c r="U947" s="546">
        <f t="shared" si="355"/>
        <v>0</v>
      </c>
      <c r="V947" s="670"/>
      <c r="W947" s="639"/>
      <c r="X947" s="650"/>
      <c r="Y947" s="665" t="s">
        <v>1111</v>
      </c>
      <c r="Z947" s="407">
        <f t="shared" si="357"/>
        <v>0</v>
      </c>
      <c r="AA947" s="416">
        <f t="shared" si="358"/>
        <v>0</v>
      </c>
      <c r="AB947" s="643">
        <f t="shared" si="359"/>
        <v>0</v>
      </c>
    </row>
    <row r="948" spans="1:28" s="643" customFormat="1" ht="158.25" thickBot="1" x14ac:dyDescent="0.45">
      <c r="A948" s="319" t="s">
        <v>782</v>
      </c>
      <c r="B948" s="362" t="s">
        <v>1073</v>
      </c>
      <c r="C948" s="639"/>
      <c r="D948" s="712">
        <f>C948*16</f>
        <v>0</v>
      </c>
      <c r="E948" s="713">
        <f t="shared" si="351"/>
        <v>0</v>
      </c>
      <c r="F948" s="714">
        <f t="shared" si="352"/>
        <v>0</v>
      </c>
      <c r="G948" s="715">
        <f t="shared" si="353"/>
        <v>0</v>
      </c>
      <c r="H948" s="716" t="s">
        <v>18</v>
      </c>
      <c r="I948" s="717">
        <f t="shared" si="354"/>
        <v>0</v>
      </c>
      <c r="J948" s="716" t="s">
        <v>19</v>
      </c>
      <c r="K948" s="716"/>
      <c r="L948" s="716"/>
      <c r="M948" s="716">
        <f t="shared" si="356"/>
        <v>0</v>
      </c>
      <c r="N948" s="716"/>
      <c r="O948" s="716"/>
      <c r="P948" s="716"/>
      <c r="Q948" s="546" t="s">
        <v>18</v>
      </c>
      <c r="R948" s="546"/>
      <c r="S948" s="546" t="s">
        <v>19</v>
      </c>
      <c r="T948" s="639">
        <v>5</v>
      </c>
      <c r="U948" s="546">
        <f t="shared" si="355"/>
        <v>0</v>
      </c>
      <c r="V948" s="670"/>
      <c r="W948" s="639"/>
      <c r="X948" s="650"/>
      <c r="Y948" s="668" t="s">
        <v>927</v>
      </c>
      <c r="Z948" s="407">
        <f t="shared" si="357"/>
        <v>0</v>
      </c>
      <c r="AA948" s="416">
        <f t="shared" si="358"/>
        <v>0</v>
      </c>
      <c r="AB948" s="643">
        <f t="shared" si="359"/>
        <v>0</v>
      </c>
    </row>
    <row r="949" spans="1:28" s="643" customFormat="1" ht="158.25" thickBot="1" x14ac:dyDescent="0.45">
      <c r="A949" s="319" t="s">
        <v>782</v>
      </c>
      <c r="B949" s="362" t="s">
        <v>1074</v>
      </c>
      <c r="C949" s="639"/>
      <c r="D949" s="712">
        <f>C949*16</f>
        <v>0</v>
      </c>
      <c r="E949" s="713">
        <f t="shared" si="351"/>
        <v>0</v>
      </c>
      <c r="F949" s="714">
        <f t="shared" si="352"/>
        <v>0</v>
      </c>
      <c r="G949" s="715">
        <f t="shared" si="353"/>
        <v>0</v>
      </c>
      <c r="H949" s="716" t="s">
        <v>18</v>
      </c>
      <c r="I949" s="717">
        <f t="shared" si="354"/>
        <v>0</v>
      </c>
      <c r="J949" s="716" t="s">
        <v>19</v>
      </c>
      <c r="K949" s="716"/>
      <c r="L949" s="716"/>
      <c r="M949" s="716">
        <f t="shared" si="356"/>
        <v>0</v>
      </c>
      <c r="N949" s="716"/>
      <c r="O949" s="716"/>
      <c r="P949" s="716"/>
      <c r="Q949" s="546" t="s">
        <v>18</v>
      </c>
      <c r="R949" s="546"/>
      <c r="S949" s="546" t="s">
        <v>19</v>
      </c>
      <c r="T949" s="639">
        <v>5</v>
      </c>
      <c r="U949" s="546">
        <f t="shared" si="355"/>
        <v>0</v>
      </c>
      <c r="V949" s="670"/>
      <c r="W949" s="639"/>
      <c r="X949" s="650"/>
      <c r="Y949" s="660" t="s">
        <v>927</v>
      </c>
      <c r="Z949" s="407">
        <f t="shared" si="357"/>
        <v>0</v>
      </c>
      <c r="AA949" s="416">
        <f t="shared" si="358"/>
        <v>0</v>
      </c>
      <c r="AB949" s="643">
        <f t="shared" si="359"/>
        <v>0</v>
      </c>
    </row>
    <row r="950" spans="1:28" s="643" customFormat="1" ht="158.25" thickBot="1" x14ac:dyDescent="0.45">
      <c r="A950" s="319" t="s">
        <v>782</v>
      </c>
      <c r="B950" s="362" t="s">
        <v>1184</v>
      </c>
      <c r="C950" s="639"/>
      <c r="D950" s="651">
        <f>C950*16</f>
        <v>0</v>
      </c>
      <c r="E950" s="652">
        <f t="shared" si="351"/>
        <v>0</v>
      </c>
      <c r="F950" s="653">
        <f t="shared" si="352"/>
        <v>0</v>
      </c>
      <c r="G950" s="654">
        <f t="shared" si="353"/>
        <v>0</v>
      </c>
      <c r="H950" s="655" t="s">
        <v>18</v>
      </c>
      <c r="I950" s="656">
        <f t="shared" si="354"/>
        <v>0</v>
      </c>
      <c r="J950" s="655" t="s">
        <v>19</v>
      </c>
      <c r="K950" s="655"/>
      <c r="L950" s="655"/>
      <c r="M950" s="655">
        <f t="shared" si="356"/>
        <v>0</v>
      </c>
      <c r="N950" s="655"/>
      <c r="O950" s="655"/>
      <c r="P950" s="655"/>
      <c r="Q950" s="649" t="s">
        <v>18</v>
      </c>
      <c r="R950" s="649"/>
      <c r="S950" s="649" t="s">
        <v>19</v>
      </c>
      <c r="T950" s="639">
        <v>5</v>
      </c>
      <c r="U950" s="546">
        <f t="shared" si="355"/>
        <v>0</v>
      </c>
      <c r="V950" s="670"/>
      <c r="W950" s="639"/>
      <c r="X950" s="650"/>
      <c r="Y950" s="659" t="s">
        <v>927</v>
      </c>
      <c r="Z950" s="407">
        <f t="shared" si="357"/>
        <v>0</v>
      </c>
      <c r="AA950" s="416">
        <f t="shared" si="358"/>
        <v>0</v>
      </c>
      <c r="AB950" s="643">
        <f t="shared" si="359"/>
        <v>0</v>
      </c>
    </row>
    <row r="951" spans="1:28" s="643" customFormat="1" ht="158.25" thickBot="1" x14ac:dyDescent="0.45">
      <c r="A951" s="319" t="s">
        <v>782</v>
      </c>
      <c r="B951" s="362" t="s">
        <v>856</v>
      </c>
      <c r="C951" s="639"/>
      <c r="D951" s="651">
        <f>C951*16</f>
        <v>0</v>
      </c>
      <c r="E951" s="652">
        <f t="shared" si="351"/>
        <v>0</v>
      </c>
      <c r="F951" s="653">
        <f t="shared" si="352"/>
        <v>0</v>
      </c>
      <c r="G951" s="654">
        <f t="shared" si="353"/>
        <v>0</v>
      </c>
      <c r="H951" s="655" t="s">
        <v>18</v>
      </c>
      <c r="I951" s="656">
        <f t="shared" si="354"/>
        <v>0</v>
      </c>
      <c r="J951" s="655" t="s">
        <v>19</v>
      </c>
      <c r="K951" s="655"/>
      <c r="L951" s="655"/>
      <c r="M951" s="655">
        <f t="shared" si="356"/>
        <v>0</v>
      </c>
      <c r="N951" s="655"/>
      <c r="O951" s="655"/>
      <c r="P951" s="655"/>
      <c r="Q951" s="649" t="s">
        <v>18</v>
      </c>
      <c r="R951" s="649"/>
      <c r="S951" s="649" t="s">
        <v>19</v>
      </c>
      <c r="T951" s="639">
        <v>5</v>
      </c>
      <c r="U951" s="546">
        <f t="shared" si="355"/>
        <v>0</v>
      </c>
      <c r="V951" s="670"/>
      <c r="W951" s="639"/>
      <c r="X951" s="650"/>
      <c r="Y951" s="367" t="s">
        <v>927</v>
      </c>
      <c r="Z951" s="407">
        <f t="shared" si="357"/>
        <v>0</v>
      </c>
      <c r="AA951" s="416">
        <f t="shared" si="358"/>
        <v>0</v>
      </c>
      <c r="AB951" s="643">
        <f t="shared" si="359"/>
        <v>0</v>
      </c>
    </row>
    <row r="952" spans="1:28" ht="79.5" thickBot="1" x14ac:dyDescent="0.45">
      <c r="A952" s="319" t="s">
        <v>782</v>
      </c>
      <c r="B952" s="802" t="s">
        <v>1207</v>
      </c>
      <c r="C952" s="528"/>
      <c r="D952" s="550">
        <f>C952*12</f>
        <v>0</v>
      </c>
      <c r="E952" s="456">
        <f>D952*0.27</f>
        <v>0</v>
      </c>
      <c r="F952" s="358">
        <f>E952*0.87*1.01/151</f>
        <v>0</v>
      </c>
      <c r="G952" s="358">
        <f>INT(M952)</f>
        <v>0</v>
      </c>
      <c r="H952" s="358" t="s">
        <v>18</v>
      </c>
      <c r="I952" s="548">
        <f>(M952-G952)*64</f>
        <v>0</v>
      </c>
      <c r="J952" s="358" t="s">
        <v>19</v>
      </c>
      <c r="K952" s="358"/>
      <c r="L952" s="358"/>
      <c r="M952" s="358">
        <f>F952*7889/3456</f>
        <v>0</v>
      </c>
      <c r="N952" s="461"/>
      <c r="O952" s="461"/>
      <c r="P952" s="366"/>
      <c r="Q952" s="358" t="s">
        <v>18</v>
      </c>
      <c r="R952" s="358"/>
      <c r="S952" s="358" t="s">
        <v>19</v>
      </c>
      <c r="T952" s="528">
        <v>10</v>
      </c>
      <c r="U952" s="324">
        <f t="shared" si="355"/>
        <v>0</v>
      </c>
      <c r="V952" s="676"/>
      <c r="W952" s="528"/>
      <c r="X952" s="529"/>
      <c r="Y952" s="367"/>
      <c r="Z952" s="312">
        <f>E952/1.051/1.143</f>
        <v>0</v>
      </c>
      <c r="AA952" s="316">
        <f>SUM(AB952/405)</f>
        <v>0</v>
      </c>
      <c r="AB952" s="310">
        <f>E952/1.051</f>
        <v>0</v>
      </c>
    </row>
    <row r="953" spans="1:28" ht="79.5" thickBot="1" x14ac:dyDescent="0.45">
      <c r="A953" s="319" t="s">
        <v>782</v>
      </c>
      <c r="B953" s="802" t="s">
        <v>1221</v>
      </c>
      <c r="C953" s="528"/>
      <c r="D953" s="550">
        <f>C953*7</f>
        <v>0</v>
      </c>
      <c r="E953" s="456">
        <f>D953*0.27</f>
        <v>0</v>
      </c>
      <c r="F953" s="358">
        <f>E953*0.87*1.01/151</f>
        <v>0</v>
      </c>
      <c r="G953" s="358">
        <f>INT(M953)</f>
        <v>0</v>
      </c>
      <c r="H953" s="358" t="s">
        <v>18</v>
      </c>
      <c r="I953" s="548">
        <f>(M953-G953)*64</f>
        <v>0</v>
      </c>
      <c r="J953" s="358" t="s">
        <v>19</v>
      </c>
      <c r="K953" s="358"/>
      <c r="L953" s="358"/>
      <c r="M953" s="358">
        <f>F953*7889/3456</f>
        <v>0</v>
      </c>
      <c r="N953" s="461"/>
      <c r="O953" s="461"/>
      <c r="P953" s="366"/>
      <c r="Q953" s="358" t="s">
        <v>18</v>
      </c>
      <c r="R953" s="358"/>
      <c r="S953" s="358" t="s">
        <v>19</v>
      </c>
      <c r="T953" s="528">
        <v>10</v>
      </c>
      <c r="U953" s="324">
        <f>E953/390*60</f>
        <v>0</v>
      </c>
      <c r="V953" s="676"/>
      <c r="W953" s="528"/>
      <c r="X953" s="529"/>
      <c r="Y953" s="367"/>
      <c r="Z953" s="312">
        <f>E953/1.051/1.143</f>
        <v>0</v>
      </c>
      <c r="AA953" s="316">
        <f>SUM(AB953/405)</f>
        <v>0</v>
      </c>
      <c r="AB953" s="310">
        <f>E953/1.051</f>
        <v>0</v>
      </c>
    </row>
    <row r="954" spans="1:28" ht="231" thickBot="1" x14ac:dyDescent="0.45">
      <c r="A954" s="319" t="s">
        <v>782</v>
      </c>
      <c r="B954" s="320" t="s">
        <v>1028</v>
      </c>
      <c r="C954" s="528"/>
      <c r="D954" s="567">
        <f>C954*12</f>
        <v>0</v>
      </c>
      <c r="E954" s="324">
        <f>D954*0.18</f>
        <v>0</v>
      </c>
      <c r="F954" s="324">
        <f>E954*0.99*1.03/147</f>
        <v>0</v>
      </c>
      <c r="G954" s="324">
        <f t="shared" si="353"/>
        <v>0</v>
      </c>
      <c r="H954" s="324" t="s">
        <v>18</v>
      </c>
      <c r="I954" s="528">
        <f t="shared" si="354"/>
        <v>0</v>
      </c>
      <c r="J954" s="324" t="s">
        <v>19</v>
      </c>
      <c r="K954" s="324"/>
      <c r="L954" s="324"/>
      <c r="M954" s="324">
        <f>C954*12*6/45/64*1.03</f>
        <v>0</v>
      </c>
      <c r="N954" s="324"/>
      <c r="O954" s="324"/>
      <c r="P954" s="324"/>
      <c r="Q954" s="324" t="s">
        <v>18</v>
      </c>
      <c r="R954" s="324"/>
      <c r="S954" s="324" t="s">
        <v>19</v>
      </c>
      <c r="T954" s="528">
        <v>9</v>
      </c>
      <c r="U954" s="324">
        <f>E954/237*60</f>
        <v>0</v>
      </c>
      <c r="V954" s="676"/>
      <c r="W954" s="528"/>
      <c r="X954" s="529"/>
      <c r="Y954" s="300" t="s">
        <v>1142</v>
      </c>
      <c r="Z954" s="312">
        <f>E954/1.02</f>
        <v>0</v>
      </c>
      <c r="AA954" s="316">
        <f>SUM(Z954/504)</f>
        <v>0</v>
      </c>
    </row>
    <row r="955" spans="1:28" ht="231" thickBot="1" x14ac:dyDescent="0.45">
      <c r="A955" s="319" t="s">
        <v>782</v>
      </c>
      <c r="B955" s="320" t="s">
        <v>996</v>
      </c>
      <c r="C955" s="528"/>
      <c r="D955" s="567">
        <f>C955*12</f>
        <v>0</v>
      </c>
      <c r="E955" s="324">
        <f>D955*0.18</f>
        <v>0</v>
      </c>
      <c r="F955" s="324">
        <f>E955*0.99*1.03/147</f>
        <v>0</v>
      </c>
      <c r="G955" s="324">
        <f t="shared" si="349"/>
        <v>0</v>
      </c>
      <c r="H955" s="324" t="s">
        <v>18</v>
      </c>
      <c r="I955" s="528">
        <f t="shared" si="350"/>
        <v>0</v>
      </c>
      <c r="J955" s="324" t="s">
        <v>19</v>
      </c>
      <c r="K955" s="324"/>
      <c r="L955" s="324"/>
      <c r="M955" s="324">
        <f>C955*12*6/45/64*1.03</f>
        <v>0</v>
      </c>
      <c r="N955" s="324"/>
      <c r="O955" s="324"/>
      <c r="P955" s="324"/>
      <c r="Q955" s="324" t="s">
        <v>18</v>
      </c>
      <c r="R955" s="324"/>
      <c r="S955" s="324" t="s">
        <v>19</v>
      </c>
      <c r="T955" s="528">
        <v>9</v>
      </c>
      <c r="U955" s="324">
        <f>E955/237*60</f>
        <v>0</v>
      </c>
      <c r="V955" s="676"/>
      <c r="W955" s="528"/>
      <c r="X955" s="529"/>
      <c r="Y955" s="300" t="s">
        <v>1143</v>
      </c>
      <c r="Z955" s="312">
        <f>E955/1.02</f>
        <v>0</v>
      </c>
      <c r="AA955" s="316">
        <f>SUM(Z955/504)</f>
        <v>0</v>
      </c>
    </row>
    <row r="956" spans="1:28" ht="231" thickBot="1" x14ac:dyDescent="0.45">
      <c r="A956" s="319" t="s">
        <v>782</v>
      </c>
      <c r="B956" s="320" t="s">
        <v>997</v>
      </c>
      <c r="C956" s="528"/>
      <c r="D956" s="567">
        <f>C956*12</f>
        <v>0</v>
      </c>
      <c r="E956" s="324">
        <f>D956*0.18</f>
        <v>0</v>
      </c>
      <c r="F956" s="324">
        <f>E956*0.99*1.03/147</f>
        <v>0</v>
      </c>
      <c r="G956" s="324">
        <f t="shared" si="349"/>
        <v>0</v>
      </c>
      <c r="H956" s="324" t="s">
        <v>18</v>
      </c>
      <c r="I956" s="528">
        <f t="shared" si="350"/>
        <v>0</v>
      </c>
      <c r="J956" s="324" t="s">
        <v>19</v>
      </c>
      <c r="K956" s="324"/>
      <c r="L956" s="324"/>
      <c r="M956" s="324">
        <f>C956*12*6/45/64*1.03</f>
        <v>0</v>
      </c>
      <c r="N956" s="324"/>
      <c r="O956" s="324"/>
      <c r="P956" s="324"/>
      <c r="Q956" s="324" t="s">
        <v>18</v>
      </c>
      <c r="R956" s="324"/>
      <c r="S956" s="324" t="s">
        <v>19</v>
      </c>
      <c r="T956" s="528">
        <v>9</v>
      </c>
      <c r="U956" s="324">
        <f>E956/237*60</f>
        <v>0</v>
      </c>
      <c r="V956" s="676"/>
      <c r="W956" s="528"/>
      <c r="X956" s="529"/>
      <c r="Y956" s="300" t="s">
        <v>1144</v>
      </c>
      <c r="Z956" s="312">
        <f>E956/1.02</f>
        <v>0</v>
      </c>
      <c r="AA956" s="316">
        <f>SUM(Z956/504)</f>
        <v>0</v>
      </c>
    </row>
    <row r="957" spans="1:28" ht="105.75" thickBot="1" x14ac:dyDescent="0.45">
      <c r="A957" s="319" t="s">
        <v>782</v>
      </c>
      <c r="B957" s="320" t="s">
        <v>998</v>
      </c>
      <c r="C957" s="528"/>
      <c r="D957" s="567">
        <f>C957*26</f>
        <v>0</v>
      </c>
      <c r="E957" s="324">
        <f>D957*0.18</f>
        <v>0</v>
      </c>
      <c r="F957" s="324">
        <f>E957*0.99*1.03/147</f>
        <v>0</v>
      </c>
      <c r="G957" s="324">
        <f t="shared" si="349"/>
        <v>0</v>
      </c>
      <c r="H957" s="324" t="s">
        <v>18</v>
      </c>
      <c r="I957" s="528">
        <f t="shared" si="350"/>
        <v>0</v>
      </c>
      <c r="J957" s="324" t="s">
        <v>19</v>
      </c>
      <c r="K957" s="324"/>
      <c r="L957" s="324"/>
      <c r="M957" s="324">
        <f>C957*26*6/45/64*1.03</f>
        <v>0</v>
      </c>
      <c r="N957" s="324"/>
      <c r="O957" s="324"/>
      <c r="P957" s="324"/>
      <c r="Q957" s="324" t="s">
        <v>18</v>
      </c>
      <c r="R957" s="324"/>
      <c r="S957" s="324" t="s">
        <v>19</v>
      </c>
      <c r="T957" s="528">
        <v>9</v>
      </c>
      <c r="U957" s="324">
        <f>E957/237*60</f>
        <v>0</v>
      </c>
      <c r="V957" s="676"/>
      <c r="W957" s="528"/>
      <c r="X957" s="529"/>
      <c r="Y957" s="711" t="s">
        <v>1140</v>
      </c>
      <c r="Z957" s="312">
        <f>E957/1.02</f>
        <v>0</v>
      </c>
      <c r="AA957" s="316">
        <f>SUM(Z957/504)</f>
        <v>0</v>
      </c>
    </row>
    <row r="958" spans="1:28" ht="182.25" customHeight="1" thickBot="1" x14ac:dyDescent="0.45">
      <c r="A958" s="319" t="s">
        <v>782</v>
      </c>
      <c r="B958" s="362" t="s">
        <v>904</v>
      </c>
      <c r="C958" s="528"/>
      <c r="D958" s="569">
        <f>C958*12</f>
        <v>0</v>
      </c>
      <c r="E958" s="458">
        <f>D958*0.55</f>
        <v>0</v>
      </c>
      <c r="F958" s="358">
        <f>E958*0.9*1.01/147</f>
        <v>0</v>
      </c>
      <c r="G958" s="556">
        <f t="shared" si="349"/>
        <v>0</v>
      </c>
      <c r="H958" s="366" t="s">
        <v>18</v>
      </c>
      <c r="I958" s="556">
        <f t="shared" si="350"/>
        <v>0</v>
      </c>
      <c r="J958" s="366" t="s">
        <v>19</v>
      </c>
      <c r="K958" s="366"/>
      <c r="L958" s="366"/>
      <c r="M958" s="570">
        <f>(F958*5300/3456)</f>
        <v>0</v>
      </c>
      <c r="N958" s="366"/>
      <c r="O958" s="366"/>
      <c r="P958" s="366"/>
      <c r="Q958" s="366" t="s">
        <v>18</v>
      </c>
      <c r="R958" s="366"/>
      <c r="S958" s="366" t="s">
        <v>19</v>
      </c>
      <c r="T958" s="528">
        <v>10</v>
      </c>
      <c r="U958" s="324"/>
      <c r="V958" s="676"/>
      <c r="W958" s="528"/>
      <c r="X958" s="529"/>
      <c r="Y958" s="671" t="s">
        <v>1130</v>
      </c>
      <c r="Z958" s="312">
        <f>E958/1.02/1.143</f>
        <v>0</v>
      </c>
      <c r="AA958" s="316">
        <f>SUM(AB958/510.3)</f>
        <v>0</v>
      </c>
      <c r="AB958" s="310">
        <f>E958/1.02</f>
        <v>0</v>
      </c>
    </row>
    <row r="959" spans="1:28" ht="186.75" customHeight="1" thickBot="1" x14ac:dyDescent="0.45">
      <c r="A959" s="319" t="s">
        <v>782</v>
      </c>
      <c r="B959" s="362" t="s">
        <v>905</v>
      </c>
      <c r="C959" s="528"/>
      <c r="D959" s="569">
        <f>C959*12</f>
        <v>0</v>
      </c>
      <c r="E959" s="458">
        <f>D959*0.55</f>
        <v>0</v>
      </c>
      <c r="F959" s="358">
        <f>E959*0.9*1.01/147</f>
        <v>0</v>
      </c>
      <c r="G959" s="556">
        <f t="shared" si="349"/>
        <v>0</v>
      </c>
      <c r="H959" s="366" t="s">
        <v>18</v>
      </c>
      <c r="I959" s="556">
        <f t="shared" si="350"/>
        <v>0</v>
      </c>
      <c r="J959" s="366" t="s">
        <v>19</v>
      </c>
      <c r="K959" s="366"/>
      <c r="L959" s="366"/>
      <c r="M959" s="570">
        <f>(F959*5300/3456)</f>
        <v>0</v>
      </c>
      <c r="N959" s="366"/>
      <c r="O959" s="366"/>
      <c r="P959" s="366"/>
      <c r="Q959" s="366" t="s">
        <v>18</v>
      </c>
      <c r="R959" s="366"/>
      <c r="S959" s="366" t="s">
        <v>19</v>
      </c>
      <c r="T959" s="528">
        <v>10</v>
      </c>
      <c r="U959" s="324"/>
      <c r="V959" s="676"/>
      <c r="W959" s="528"/>
      <c r="X959" s="529"/>
      <c r="Y959" s="664" t="s">
        <v>1113</v>
      </c>
      <c r="Z959" s="312">
        <f>E959/1.02/1.143</f>
        <v>0</v>
      </c>
      <c r="AA959" s="316">
        <f>SUM(AB959/510.3)</f>
        <v>0</v>
      </c>
      <c r="AB959" s="310">
        <f>E959/1.02</f>
        <v>0</v>
      </c>
    </row>
    <row r="960" spans="1:28" ht="79.5" thickBot="1" x14ac:dyDescent="0.45">
      <c r="A960" s="319" t="s">
        <v>782</v>
      </c>
      <c r="B960" s="362" t="s">
        <v>773</v>
      </c>
      <c r="C960" s="528"/>
      <c r="D960" s="528">
        <f>C960*6</f>
        <v>0</v>
      </c>
      <c r="E960" s="460">
        <f>D960*0.25</f>
        <v>0</v>
      </c>
      <c r="F960" s="324">
        <f>E960*1.05*0.99/135</f>
        <v>0</v>
      </c>
      <c r="G960" s="528">
        <f t="shared" ref="G960:G978" si="360">INT(M960)</f>
        <v>0</v>
      </c>
      <c r="H960" s="324" t="s">
        <v>18</v>
      </c>
      <c r="I960" s="528">
        <f t="shared" ref="I960:I978" si="361">(M960-G960)*64</f>
        <v>0</v>
      </c>
      <c r="J960" s="324" t="s">
        <v>19</v>
      </c>
      <c r="K960" s="324"/>
      <c r="L960" s="324"/>
      <c r="M960" s="324">
        <f>(F960*6253)/2880</f>
        <v>0</v>
      </c>
      <c r="N960" s="324"/>
      <c r="O960" s="324"/>
      <c r="P960" s="564"/>
      <c r="Q960" s="564" t="s">
        <v>18</v>
      </c>
      <c r="R960" s="564"/>
      <c r="S960" s="564" t="s">
        <v>19</v>
      </c>
      <c r="T960" s="528">
        <v>5</v>
      </c>
      <c r="U960" s="324">
        <f>E960/226*60</f>
        <v>0</v>
      </c>
      <c r="V960" s="676"/>
      <c r="W960" s="528"/>
      <c r="X960" s="529"/>
      <c r="Y960" s="661" t="s">
        <v>950</v>
      </c>
      <c r="Z960" s="312">
        <f t="shared" si="319"/>
        <v>0</v>
      </c>
      <c r="AA960" s="316">
        <f>SUM(Z960/378)</f>
        <v>0</v>
      </c>
    </row>
    <row r="961" spans="1:27" ht="79.5" thickBot="1" x14ac:dyDescent="0.45">
      <c r="A961" s="319" t="s">
        <v>782</v>
      </c>
      <c r="B961" s="362" t="s">
        <v>637</v>
      </c>
      <c r="C961" s="528"/>
      <c r="D961" s="528">
        <f>C961*12</f>
        <v>0</v>
      </c>
      <c r="E961" s="460">
        <f>D961*0.25</f>
        <v>0</v>
      </c>
      <c r="F961" s="324">
        <f>E961*1.05*0.99/135</f>
        <v>0</v>
      </c>
      <c r="G961" s="528">
        <f t="shared" si="360"/>
        <v>0</v>
      </c>
      <c r="H961" s="324" t="s">
        <v>18</v>
      </c>
      <c r="I961" s="528">
        <f t="shared" si="361"/>
        <v>0</v>
      </c>
      <c r="J961" s="324" t="s">
        <v>19</v>
      </c>
      <c r="K961" s="324"/>
      <c r="L961" s="324"/>
      <c r="M961" s="324">
        <f>(F961*6253)/2880</f>
        <v>0</v>
      </c>
      <c r="N961" s="324"/>
      <c r="O961" s="324"/>
      <c r="P961" s="564"/>
      <c r="Q961" s="564" t="s">
        <v>18</v>
      </c>
      <c r="R961" s="564"/>
      <c r="S961" s="564" t="s">
        <v>19</v>
      </c>
      <c r="T961" s="528">
        <v>5</v>
      </c>
      <c r="U961" s="324">
        <f>E961/226*60</f>
        <v>0</v>
      </c>
      <c r="V961" s="676"/>
      <c r="W961" s="528"/>
      <c r="X961" s="529"/>
      <c r="Y961" s="360" t="s">
        <v>950</v>
      </c>
      <c r="Z961" s="312">
        <f t="shared" si="319"/>
        <v>0</v>
      </c>
      <c r="AA961" s="316">
        <f>SUM(Z961/378)</f>
        <v>0</v>
      </c>
    </row>
    <row r="962" spans="1:27" ht="79.5" thickBot="1" x14ac:dyDescent="0.45">
      <c r="A962" s="319" t="s">
        <v>782</v>
      </c>
      <c r="B962" s="802" t="s">
        <v>1214</v>
      </c>
      <c r="C962" s="528"/>
      <c r="D962" s="528">
        <f>C962*14</f>
        <v>0</v>
      </c>
      <c r="E962" s="460">
        <f>D962*0.25</f>
        <v>0</v>
      </c>
      <c r="F962" s="324">
        <f>E962*1.05*0.99/135</f>
        <v>0</v>
      </c>
      <c r="G962" s="528">
        <f>INT(M962)</f>
        <v>0</v>
      </c>
      <c r="H962" s="324" t="s">
        <v>18</v>
      </c>
      <c r="I962" s="528">
        <f>(M962-G962)*64</f>
        <v>0</v>
      </c>
      <c r="J962" s="324" t="s">
        <v>19</v>
      </c>
      <c r="K962" s="324"/>
      <c r="L962" s="324"/>
      <c r="M962" s="324">
        <f>(F962*6253)/2880</f>
        <v>0</v>
      </c>
      <c r="N962" s="324"/>
      <c r="O962" s="324"/>
      <c r="P962" s="564"/>
      <c r="Q962" s="564" t="s">
        <v>18</v>
      </c>
      <c r="R962" s="564"/>
      <c r="S962" s="564" t="s">
        <v>19</v>
      </c>
      <c r="T962" s="528">
        <v>5</v>
      </c>
      <c r="U962" s="324">
        <f>E962/226*60</f>
        <v>0</v>
      </c>
      <c r="V962" s="676"/>
      <c r="W962" s="528"/>
      <c r="X962" s="529"/>
      <c r="Y962" s="360" t="s">
        <v>950</v>
      </c>
      <c r="Z962" s="312">
        <f>E962/1.02</f>
        <v>0</v>
      </c>
      <c r="AA962" s="316">
        <f>SUM(Z962/378)</f>
        <v>0</v>
      </c>
    </row>
    <row r="963" spans="1:27" s="728" customFormat="1" ht="261.75" outlineLevel="1" thickBot="1" x14ac:dyDescent="0.45">
      <c r="A963" s="636" t="s">
        <v>1088</v>
      </c>
      <c r="B963" s="634" t="s">
        <v>1042</v>
      </c>
      <c r="C963" s="720"/>
      <c r="D963" s="741">
        <f>C963*12</f>
        <v>0</v>
      </c>
      <c r="E963" s="721">
        <f>D963*0.25</f>
        <v>0</v>
      </c>
      <c r="F963" s="722">
        <f>E963*0.99*1.02/147</f>
        <v>0</v>
      </c>
      <c r="G963" s="720">
        <f t="shared" si="360"/>
        <v>0</v>
      </c>
      <c r="H963" s="722" t="s">
        <v>18</v>
      </c>
      <c r="I963" s="720">
        <f t="shared" si="361"/>
        <v>0</v>
      </c>
      <c r="J963" s="722" t="s">
        <v>19</v>
      </c>
      <c r="K963" s="722"/>
      <c r="L963" s="722"/>
      <c r="M963" s="722">
        <f>(F963*5880)/3456</f>
        <v>0</v>
      </c>
      <c r="N963" s="722"/>
      <c r="O963" s="722"/>
      <c r="P963" s="722"/>
      <c r="Q963" s="722" t="s">
        <v>18</v>
      </c>
      <c r="R963" s="722"/>
      <c r="S963" s="722" t="s">
        <v>19</v>
      </c>
      <c r="T963" s="720">
        <v>12</v>
      </c>
      <c r="U963" s="722">
        <f>E963/390*60</f>
        <v>0</v>
      </c>
      <c r="V963" s="724"/>
      <c r="W963" s="720"/>
      <c r="X963" s="725"/>
      <c r="Y963" s="736" t="s">
        <v>1133</v>
      </c>
      <c r="Z963" s="727">
        <f t="shared" si="319"/>
        <v>0</v>
      </c>
      <c r="AA963" s="815">
        <f>SUM(Z963/450)</f>
        <v>0</v>
      </c>
    </row>
    <row r="964" spans="1:27" ht="79.5" thickBot="1" x14ac:dyDescent="0.45">
      <c r="A964" s="319" t="s">
        <v>782</v>
      </c>
      <c r="B964" s="320" t="s">
        <v>809</v>
      </c>
      <c r="C964" s="528"/>
      <c r="D964" s="551">
        <f>C964*8</f>
        <v>0</v>
      </c>
      <c r="E964" s="456">
        <f>D964*0.34</f>
        <v>0</v>
      </c>
      <c r="F964" s="358">
        <f>E964*0.99*1.01/147</f>
        <v>0</v>
      </c>
      <c r="G964" s="548">
        <f t="shared" si="360"/>
        <v>0</v>
      </c>
      <c r="H964" s="358" t="s">
        <v>18</v>
      </c>
      <c r="I964" s="548">
        <f t="shared" si="361"/>
        <v>0</v>
      </c>
      <c r="J964" s="358" t="s">
        <v>19</v>
      </c>
      <c r="K964" s="358"/>
      <c r="L964" s="358"/>
      <c r="M964" s="358">
        <f>(F964*5250)/2880</f>
        <v>0</v>
      </c>
      <c r="N964" s="358"/>
      <c r="O964" s="358"/>
      <c r="P964" s="358"/>
      <c r="Q964" s="358" t="s">
        <v>18</v>
      </c>
      <c r="R964" s="358"/>
      <c r="S964" s="358" t="s">
        <v>19</v>
      </c>
      <c r="T964" s="528">
        <v>12</v>
      </c>
      <c r="U964" s="324"/>
      <c r="V964" s="676"/>
      <c r="W964" s="528"/>
      <c r="X964" s="529"/>
      <c r="Y964" s="644" t="s">
        <v>1094</v>
      </c>
      <c r="Z964" s="312">
        <f t="shared" si="319"/>
        <v>0</v>
      </c>
      <c r="AA964" s="316">
        <f>SUM(Z964/504)</f>
        <v>0</v>
      </c>
    </row>
    <row r="965" spans="1:27" ht="156.75" thickBot="1" x14ac:dyDescent="0.45">
      <c r="A965" s="319" t="s">
        <v>782</v>
      </c>
      <c r="B965" s="320" t="s">
        <v>811</v>
      </c>
      <c r="C965" s="528"/>
      <c r="D965" s="551">
        <f>C965*8</f>
        <v>0</v>
      </c>
      <c r="E965" s="456">
        <f>D965*0.34</f>
        <v>0</v>
      </c>
      <c r="F965" s="358">
        <f>E965*0.99*1.01/147</f>
        <v>0</v>
      </c>
      <c r="G965" s="548">
        <f t="shared" si="360"/>
        <v>0</v>
      </c>
      <c r="H965" s="358" t="s">
        <v>18</v>
      </c>
      <c r="I965" s="548">
        <f t="shared" si="361"/>
        <v>0</v>
      </c>
      <c r="J965" s="358" t="s">
        <v>19</v>
      </c>
      <c r="K965" s="358"/>
      <c r="L965" s="358"/>
      <c r="M965" s="358">
        <f>(F965*5250)/2880</f>
        <v>0</v>
      </c>
      <c r="N965" s="358"/>
      <c r="O965" s="358"/>
      <c r="P965" s="358"/>
      <c r="Q965" s="358" t="s">
        <v>18</v>
      </c>
      <c r="R965" s="358"/>
      <c r="S965" s="358" t="s">
        <v>19</v>
      </c>
      <c r="T965" s="528">
        <v>12</v>
      </c>
      <c r="U965" s="324"/>
      <c r="V965" s="676"/>
      <c r="W965" s="528"/>
      <c r="X965" s="529"/>
      <c r="Y965" s="648" t="s">
        <v>1125</v>
      </c>
      <c r="Z965" s="312">
        <f t="shared" si="319"/>
        <v>0</v>
      </c>
      <c r="AA965" s="316">
        <f>SUM(Z965/504)</f>
        <v>0</v>
      </c>
    </row>
    <row r="966" spans="1:27" ht="79.5" thickBot="1" x14ac:dyDescent="0.45">
      <c r="A966" s="319" t="s">
        <v>782</v>
      </c>
      <c r="B966" s="320" t="s">
        <v>812</v>
      </c>
      <c r="C966" s="528"/>
      <c r="D966" s="551">
        <f>C966*15</f>
        <v>0</v>
      </c>
      <c r="E966" s="456">
        <f>D966*0.18</f>
        <v>0</v>
      </c>
      <c r="F966" s="358">
        <f t="shared" ref="F966:F972" si="362">E966*0.99*1.03/147</f>
        <v>0</v>
      </c>
      <c r="G966" s="548">
        <f t="shared" si="360"/>
        <v>0</v>
      </c>
      <c r="H966" s="358" t="s">
        <v>18</v>
      </c>
      <c r="I966" s="548">
        <f t="shared" si="361"/>
        <v>0</v>
      </c>
      <c r="J966" s="358" t="s">
        <v>19</v>
      </c>
      <c r="K966" s="358"/>
      <c r="L966" s="358"/>
      <c r="M966" s="358">
        <f>(F966*6450)/2880</f>
        <v>0</v>
      </c>
      <c r="N966" s="358"/>
      <c r="O966" s="358"/>
      <c r="P966" s="358"/>
      <c r="Q966" s="358" t="s">
        <v>18</v>
      </c>
      <c r="R966" s="358"/>
      <c r="S966" s="358" t="s">
        <v>19</v>
      </c>
      <c r="T966" s="528">
        <v>14</v>
      </c>
      <c r="U966" s="324">
        <f>E966/237*60</f>
        <v>0</v>
      </c>
      <c r="V966" s="676"/>
      <c r="W966" s="528"/>
      <c r="X966" s="529"/>
      <c r="Y966" s="323"/>
      <c r="Z966" s="312">
        <f t="shared" si="319"/>
        <v>0</v>
      </c>
      <c r="AA966" s="316">
        <f>SUM(Z966/414)</f>
        <v>0</v>
      </c>
    </row>
    <row r="967" spans="1:27" ht="79.5" thickBot="1" x14ac:dyDescent="0.45">
      <c r="A967" s="319" t="s">
        <v>782</v>
      </c>
      <c r="B967" s="344" t="s">
        <v>860</v>
      </c>
      <c r="C967" s="528"/>
      <c r="D967" s="548">
        <f>C967*12</f>
        <v>0</v>
      </c>
      <c r="E967" s="456">
        <f>D967*0.2</f>
        <v>0</v>
      </c>
      <c r="F967" s="358">
        <f t="shared" si="362"/>
        <v>0</v>
      </c>
      <c r="G967" s="548">
        <f t="shared" si="360"/>
        <v>0</v>
      </c>
      <c r="H967" s="358" t="s">
        <v>18</v>
      </c>
      <c r="I967" s="548">
        <f t="shared" si="361"/>
        <v>0</v>
      </c>
      <c r="J967" s="358" t="s">
        <v>19</v>
      </c>
      <c r="K967" s="358"/>
      <c r="L967" s="358"/>
      <c r="M967" s="358">
        <f>(F967*8655)/2880</f>
        <v>0</v>
      </c>
      <c r="N967" s="358"/>
      <c r="O967" s="358"/>
      <c r="P967" s="358"/>
      <c r="Q967" s="358" t="s">
        <v>18</v>
      </c>
      <c r="R967" s="358"/>
      <c r="S967" s="358" t="s">
        <v>19</v>
      </c>
      <c r="T967" s="528">
        <v>5</v>
      </c>
      <c r="U967" s="324">
        <f t="shared" ref="U967:U972" si="363">E967/403*60</f>
        <v>0</v>
      </c>
      <c r="V967" s="676"/>
      <c r="W967" s="528"/>
      <c r="X967" s="529"/>
      <c r="Y967" s="323"/>
      <c r="Z967" s="312">
        <f t="shared" si="319"/>
        <v>0</v>
      </c>
      <c r="AA967" s="316">
        <f>SUM(Z967/297)</f>
        <v>0</v>
      </c>
    </row>
    <row r="968" spans="1:27" ht="79.5" thickBot="1" x14ac:dyDescent="0.45">
      <c r="A968" s="319" t="s">
        <v>782</v>
      </c>
      <c r="B968" s="344" t="s">
        <v>861</v>
      </c>
      <c r="C968" s="528"/>
      <c r="D968" s="548">
        <f>C968*12</f>
        <v>0</v>
      </c>
      <c r="E968" s="456">
        <f>D968*0.2</f>
        <v>0</v>
      </c>
      <c r="F968" s="358">
        <f t="shared" si="362"/>
        <v>0</v>
      </c>
      <c r="G968" s="548">
        <f t="shared" si="360"/>
        <v>0</v>
      </c>
      <c r="H968" s="358" t="s">
        <v>18</v>
      </c>
      <c r="I968" s="548">
        <f t="shared" si="361"/>
        <v>0</v>
      </c>
      <c r="J968" s="358" t="s">
        <v>19</v>
      </c>
      <c r="K968" s="358"/>
      <c r="L968" s="358"/>
      <c r="M968" s="358">
        <f>(F968*8655)/2880</f>
        <v>0</v>
      </c>
      <c r="N968" s="358"/>
      <c r="O968" s="358"/>
      <c r="P968" s="358"/>
      <c r="Q968" s="358" t="s">
        <v>18</v>
      </c>
      <c r="R968" s="358"/>
      <c r="S968" s="358" t="s">
        <v>19</v>
      </c>
      <c r="T968" s="528">
        <v>5</v>
      </c>
      <c r="U968" s="324">
        <f t="shared" si="363"/>
        <v>0</v>
      </c>
      <c r="V968" s="676"/>
      <c r="W968" s="528"/>
      <c r="X968" s="529"/>
      <c r="Y968" s="323"/>
      <c r="Z968" s="312">
        <f t="shared" si="319"/>
        <v>0</v>
      </c>
      <c r="AA968" s="316">
        <f>SUM(Z968/297)</f>
        <v>0</v>
      </c>
    </row>
    <row r="969" spans="1:27" ht="79.5" thickBot="1" x14ac:dyDescent="0.45">
      <c r="A969" s="319" t="s">
        <v>782</v>
      </c>
      <c r="B969" s="344" t="s">
        <v>846</v>
      </c>
      <c r="C969" s="528"/>
      <c r="D969" s="551">
        <f>C969*12</f>
        <v>0</v>
      </c>
      <c r="E969" s="456">
        <f>D969*0.25</f>
        <v>0</v>
      </c>
      <c r="F969" s="358">
        <f t="shared" si="362"/>
        <v>0</v>
      </c>
      <c r="G969" s="548">
        <f t="shared" si="360"/>
        <v>0</v>
      </c>
      <c r="H969" s="358" t="s">
        <v>18</v>
      </c>
      <c r="I969" s="548">
        <f t="shared" si="361"/>
        <v>0</v>
      </c>
      <c r="J969" s="358" t="s">
        <v>19</v>
      </c>
      <c r="K969" s="358"/>
      <c r="L969" s="358"/>
      <c r="M969" s="358">
        <f>(F969*6989)/2880</f>
        <v>0</v>
      </c>
      <c r="N969" s="358"/>
      <c r="O969" s="358"/>
      <c r="P969" s="358"/>
      <c r="Q969" s="358" t="s">
        <v>18</v>
      </c>
      <c r="R969" s="358"/>
      <c r="S969" s="358" t="s">
        <v>19</v>
      </c>
      <c r="T969" s="528">
        <v>5</v>
      </c>
      <c r="U969" s="324">
        <f t="shared" si="363"/>
        <v>0</v>
      </c>
      <c r="V969" s="676"/>
      <c r="W969" s="528"/>
      <c r="X969" s="529"/>
      <c r="Y969" s="323"/>
      <c r="Z969" s="312">
        <f t="shared" si="319"/>
        <v>0</v>
      </c>
      <c r="AA969" s="316">
        <f>SUM(Z969/378)</f>
        <v>0</v>
      </c>
    </row>
    <row r="970" spans="1:27" ht="79.5" thickBot="1" x14ac:dyDescent="0.45">
      <c r="A970" s="319" t="s">
        <v>782</v>
      </c>
      <c r="B970" s="344" t="s">
        <v>847</v>
      </c>
      <c r="C970" s="528"/>
      <c r="D970" s="551">
        <f>C970*12</f>
        <v>0</v>
      </c>
      <c r="E970" s="456">
        <f>D970*0.25</f>
        <v>0</v>
      </c>
      <c r="F970" s="358">
        <f t="shared" si="362"/>
        <v>0</v>
      </c>
      <c r="G970" s="548">
        <f t="shared" si="360"/>
        <v>0</v>
      </c>
      <c r="H970" s="358" t="s">
        <v>18</v>
      </c>
      <c r="I970" s="548">
        <f t="shared" si="361"/>
        <v>0</v>
      </c>
      <c r="J970" s="358" t="s">
        <v>19</v>
      </c>
      <c r="K970" s="358"/>
      <c r="L970" s="358"/>
      <c r="M970" s="358">
        <f>(F970*6989)/2880</f>
        <v>0</v>
      </c>
      <c r="N970" s="358"/>
      <c r="O970" s="358"/>
      <c r="P970" s="358"/>
      <c r="Q970" s="358" t="s">
        <v>18</v>
      </c>
      <c r="R970" s="358"/>
      <c r="S970" s="358" t="s">
        <v>19</v>
      </c>
      <c r="T970" s="528">
        <v>5</v>
      </c>
      <c r="U970" s="324">
        <f t="shared" si="363"/>
        <v>0</v>
      </c>
      <c r="V970" s="676"/>
      <c r="W970" s="528"/>
      <c r="X970" s="529"/>
      <c r="Y970" s="323"/>
      <c r="Z970" s="312">
        <f t="shared" si="319"/>
        <v>0</v>
      </c>
      <c r="AA970" s="316">
        <f>SUM(Z970/378)</f>
        <v>0</v>
      </c>
    </row>
    <row r="971" spans="1:27" ht="79.5" thickBot="1" x14ac:dyDescent="0.45">
      <c r="A971" s="319" t="s">
        <v>782</v>
      </c>
      <c r="B971" s="879" t="s">
        <v>1211</v>
      </c>
      <c r="C971" s="528"/>
      <c r="D971" s="551">
        <f>C971*14</f>
        <v>0</v>
      </c>
      <c r="E971" s="456">
        <f>D971*0.25</f>
        <v>0</v>
      </c>
      <c r="F971" s="358">
        <f t="shared" si="362"/>
        <v>0</v>
      </c>
      <c r="G971" s="548">
        <f>INT(M971)</f>
        <v>0</v>
      </c>
      <c r="H971" s="358" t="s">
        <v>18</v>
      </c>
      <c r="I971" s="548">
        <f>(M971-G971)*64</f>
        <v>0</v>
      </c>
      <c r="J971" s="358" t="s">
        <v>19</v>
      </c>
      <c r="K971" s="358"/>
      <c r="L971" s="358"/>
      <c r="M971" s="358">
        <f>(F971*6989)/2880</f>
        <v>0</v>
      </c>
      <c r="N971" s="358"/>
      <c r="O971" s="358"/>
      <c r="P971" s="358"/>
      <c r="Q971" s="358" t="s">
        <v>18</v>
      </c>
      <c r="R971" s="358"/>
      <c r="S971" s="358" t="s">
        <v>19</v>
      </c>
      <c r="T971" s="528">
        <v>5</v>
      </c>
      <c r="U971" s="324">
        <f t="shared" si="363"/>
        <v>0</v>
      </c>
      <c r="V971" s="676"/>
      <c r="W971" s="528"/>
      <c r="X971" s="529"/>
      <c r="Y971" s="323"/>
      <c r="Z971" s="312">
        <f>E971/1.02</f>
        <v>0</v>
      </c>
      <c r="AA971" s="316">
        <f>SUM(Z971/378)</f>
        <v>0</v>
      </c>
    </row>
    <row r="972" spans="1:27" ht="79.5" thickBot="1" x14ac:dyDescent="0.45">
      <c r="A972" s="319" t="s">
        <v>782</v>
      </c>
      <c r="B972" s="879" t="s">
        <v>1213</v>
      </c>
      <c r="C972" s="528"/>
      <c r="D972" s="551">
        <f>C972*14</f>
        <v>0</v>
      </c>
      <c r="E972" s="456">
        <f>D972*0.25</f>
        <v>0</v>
      </c>
      <c r="F972" s="358">
        <f t="shared" si="362"/>
        <v>0</v>
      </c>
      <c r="G972" s="548">
        <f>INT(M972)</f>
        <v>0</v>
      </c>
      <c r="H972" s="358" t="s">
        <v>18</v>
      </c>
      <c r="I972" s="548">
        <f>(M972-G972)*64</f>
        <v>0</v>
      </c>
      <c r="J972" s="358" t="s">
        <v>19</v>
      </c>
      <c r="K972" s="358"/>
      <c r="L972" s="358"/>
      <c r="M972" s="358">
        <f>(F972*6989)/2880</f>
        <v>0</v>
      </c>
      <c r="N972" s="358"/>
      <c r="O972" s="358"/>
      <c r="P972" s="358"/>
      <c r="Q972" s="358" t="s">
        <v>18</v>
      </c>
      <c r="R972" s="358"/>
      <c r="S972" s="358" t="s">
        <v>19</v>
      </c>
      <c r="T972" s="528">
        <v>5</v>
      </c>
      <c r="U972" s="324">
        <f t="shared" si="363"/>
        <v>0</v>
      </c>
      <c r="V972" s="676"/>
      <c r="W972" s="528"/>
      <c r="X972" s="529"/>
      <c r="Y972" s="323"/>
      <c r="Z972" s="312">
        <f>E972/1.02</f>
        <v>0</v>
      </c>
      <c r="AA972" s="316">
        <f>SUM(Z972/378)</f>
        <v>0</v>
      </c>
    </row>
    <row r="973" spans="1:27" ht="79.5" thickBot="1" x14ac:dyDescent="0.45">
      <c r="A973" s="319" t="s">
        <v>782</v>
      </c>
      <c r="B973" s="362" t="s">
        <v>1021</v>
      </c>
      <c r="C973" s="528"/>
      <c r="D973" s="530">
        <f>C973*22</f>
        <v>0</v>
      </c>
      <c r="E973" s="460">
        <f>D973*0.13</f>
        <v>0</v>
      </c>
      <c r="F973" s="324">
        <f t="shared" ref="F973:F978" si="364">E973*0.99*1.02/170</f>
        <v>0</v>
      </c>
      <c r="G973" s="324">
        <f>INT(M973)</f>
        <v>0</v>
      </c>
      <c r="H973" s="324" t="s">
        <v>18</v>
      </c>
      <c r="I973" s="528">
        <f>(M973-G973)*64</f>
        <v>0</v>
      </c>
      <c r="J973" s="324" t="s">
        <v>19</v>
      </c>
      <c r="K973" s="324"/>
      <c r="L973" s="324"/>
      <c r="M973" s="324">
        <f t="shared" ref="M973:M978" si="365">(F973*8500)/3456</f>
        <v>0</v>
      </c>
      <c r="N973" s="324"/>
      <c r="O973" s="324"/>
      <c r="P973" s="324"/>
      <c r="Q973" s="324" t="s">
        <v>18</v>
      </c>
      <c r="R973" s="324"/>
      <c r="S973" s="324" t="s">
        <v>19</v>
      </c>
      <c r="T973" s="528">
        <v>5</v>
      </c>
      <c r="U973" s="324">
        <f>E973/237*60</f>
        <v>0</v>
      </c>
      <c r="V973" s="676"/>
      <c r="W973" s="528"/>
      <c r="X973" s="529"/>
      <c r="Y973" s="323" t="s">
        <v>1024</v>
      </c>
      <c r="Z973" s="312">
        <f t="shared" ref="Z973:Z978" si="366">E973/1.026</f>
        <v>0</v>
      </c>
      <c r="AA973" s="316">
        <f>SUM(Z973/369.6)</f>
        <v>0</v>
      </c>
    </row>
    <row r="974" spans="1:27" ht="79.5" thickBot="1" x14ac:dyDescent="0.45">
      <c r="A974" s="319" t="s">
        <v>782</v>
      </c>
      <c r="B974" s="802" t="s">
        <v>1223</v>
      </c>
      <c r="C974" s="528"/>
      <c r="D974" s="530">
        <f>C974*12</f>
        <v>0</v>
      </c>
      <c r="E974" s="460">
        <f>D974*0.13</f>
        <v>0</v>
      </c>
      <c r="F974" s="324">
        <f t="shared" si="364"/>
        <v>0</v>
      </c>
      <c r="G974" s="324">
        <f>INT(M974)</f>
        <v>0</v>
      </c>
      <c r="H974" s="324" t="s">
        <v>18</v>
      </c>
      <c r="I974" s="528">
        <f>(M974-G974)*64</f>
        <v>0</v>
      </c>
      <c r="J974" s="324" t="s">
        <v>19</v>
      </c>
      <c r="K974" s="324"/>
      <c r="L974" s="324"/>
      <c r="M974" s="324">
        <f t="shared" si="365"/>
        <v>0</v>
      </c>
      <c r="N974" s="324"/>
      <c r="O974" s="324"/>
      <c r="P974" s="324"/>
      <c r="Q974" s="324" t="s">
        <v>18</v>
      </c>
      <c r="R974" s="324"/>
      <c r="S974" s="324" t="s">
        <v>19</v>
      </c>
      <c r="T974" s="528">
        <v>5</v>
      </c>
      <c r="U974" s="324">
        <f>E974/237*60</f>
        <v>0</v>
      </c>
      <c r="V974" s="676"/>
      <c r="W974" s="528"/>
      <c r="X974" s="529"/>
      <c r="Y974" s="323" t="s">
        <v>1024</v>
      </c>
      <c r="Z974" s="312">
        <f t="shared" si="366"/>
        <v>0</v>
      </c>
      <c r="AA974" s="316">
        <f>SUM(Z974/369.6)</f>
        <v>0</v>
      </c>
    </row>
    <row r="975" spans="1:27" ht="79.5" thickBot="1" x14ac:dyDescent="0.45">
      <c r="A975" s="319" t="s">
        <v>782</v>
      </c>
      <c r="B975" s="362" t="s">
        <v>1023</v>
      </c>
      <c r="C975" s="528"/>
      <c r="D975" s="530">
        <f>C975*8</f>
        <v>0</v>
      </c>
      <c r="E975" s="460">
        <f>D975*0.16</f>
        <v>0</v>
      </c>
      <c r="F975" s="324">
        <f t="shared" si="364"/>
        <v>0</v>
      </c>
      <c r="G975" s="324">
        <f>INT(M975)</f>
        <v>0</v>
      </c>
      <c r="H975" s="324" t="s">
        <v>18</v>
      </c>
      <c r="I975" s="528">
        <f>(M975-G975)*64</f>
        <v>0</v>
      </c>
      <c r="J975" s="324" t="s">
        <v>19</v>
      </c>
      <c r="K975" s="324"/>
      <c r="L975" s="324"/>
      <c r="M975" s="324">
        <f t="shared" si="365"/>
        <v>0</v>
      </c>
      <c r="N975" s="324"/>
      <c r="O975" s="324"/>
      <c r="P975" s="324"/>
      <c r="Q975" s="324" t="s">
        <v>18</v>
      </c>
      <c r="R975" s="324"/>
      <c r="S975" s="324" t="s">
        <v>19</v>
      </c>
      <c r="T975" s="528">
        <v>5</v>
      </c>
      <c r="U975" s="324">
        <f>E975/237*60</f>
        <v>0</v>
      </c>
      <c r="V975" s="676"/>
      <c r="W975" s="528"/>
      <c r="X975" s="529"/>
      <c r="Y975" s="323" t="s">
        <v>1022</v>
      </c>
      <c r="Z975" s="312">
        <f t="shared" si="366"/>
        <v>0</v>
      </c>
      <c r="AA975" s="316">
        <f>SUM(Z975/360)</f>
        <v>0</v>
      </c>
    </row>
    <row r="976" spans="1:27" ht="79.5" thickBot="1" x14ac:dyDescent="0.45">
      <c r="A976" s="319" t="s">
        <v>782</v>
      </c>
      <c r="B976" s="362" t="s">
        <v>1194</v>
      </c>
      <c r="C976" s="528"/>
      <c r="D976" s="551">
        <f>C976*12</f>
        <v>0</v>
      </c>
      <c r="E976" s="456">
        <f>D976*0.16</f>
        <v>0</v>
      </c>
      <c r="F976" s="358">
        <f t="shared" si="364"/>
        <v>0</v>
      </c>
      <c r="G976" s="358">
        <f t="shared" si="360"/>
        <v>0</v>
      </c>
      <c r="H976" s="358" t="s">
        <v>18</v>
      </c>
      <c r="I976" s="548">
        <f t="shared" si="361"/>
        <v>0</v>
      </c>
      <c r="J976" s="358" t="s">
        <v>19</v>
      </c>
      <c r="K976" s="358"/>
      <c r="L976" s="358"/>
      <c r="M976" s="358">
        <f t="shared" si="365"/>
        <v>0</v>
      </c>
      <c r="N976" s="324"/>
      <c r="O976" s="324"/>
      <c r="P976" s="324"/>
      <c r="Q976" s="324" t="s">
        <v>18</v>
      </c>
      <c r="R976" s="324"/>
      <c r="S976" s="324" t="s">
        <v>19</v>
      </c>
      <c r="T976" s="528">
        <v>5</v>
      </c>
      <c r="U976" s="324">
        <f>E976/403*60</f>
        <v>0</v>
      </c>
      <c r="V976" s="676"/>
      <c r="W976" s="528"/>
      <c r="X976" s="529"/>
      <c r="Y976" s="323" t="s">
        <v>1022</v>
      </c>
      <c r="Z976" s="312">
        <f t="shared" si="366"/>
        <v>0</v>
      </c>
      <c r="AA976" s="316">
        <f>SUM(Z976/360)</f>
        <v>0</v>
      </c>
    </row>
    <row r="977" spans="1:27" ht="79.5" thickBot="1" x14ac:dyDescent="0.45">
      <c r="A977" s="319" t="s">
        <v>782</v>
      </c>
      <c r="B977" s="802" t="s">
        <v>1215</v>
      </c>
      <c r="C977" s="528"/>
      <c r="D977" s="551">
        <f>C977*10</f>
        <v>0</v>
      </c>
      <c r="E977" s="456">
        <f>D977*0.16</f>
        <v>0</v>
      </c>
      <c r="F977" s="358">
        <f t="shared" si="364"/>
        <v>0</v>
      </c>
      <c r="G977" s="358">
        <f t="shared" si="360"/>
        <v>0</v>
      </c>
      <c r="H977" s="358" t="s">
        <v>18</v>
      </c>
      <c r="I977" s="548">
        <f t="shared" si="361"/>
        <v>0</v>
      </c>
      <c r="J977" s="358" t="s">
        <v>19</v>
      </c>
      <c r="K977" s="358"/>
      <c r="L977" s="358"/>
      <c r="M977" s="358">
        <f t="shared" si="365"/>
        <v>0</v>
      </c>
      <c r="N977" s="324"/>
      <c r="O977" s="324"/>
      <c r="P977" s="324"/>
      <c r="Q977" s="324" t="s">
        <v>18</v>
      </c>
      <c r="R977" s="324"/>
      <c r="S977" s="324" t="s">
        <v>19</v>
      </c>
      <c r="T977" s="528">
        <v>5</v>
      </c>
      <c r="U977" s="324">
        <f>E977/237*60</f>
        <v>0</v>
      </c>
      <c r="V977" s="676"/>
      <c r="W977" s="528"/>
      <c r="X977" s="529"/>
      <c r="Y977" s="323" t="s">
        <v>1022</v>
      </c>
      <c r="Z977" s="312">
        <f t="shared" si="366"/>
        <v>0</v>
      </c>
      <c r="AA977" s="316">
        <f>SUM(Z977/360)</f>
        <v>0</v>
      </c>
    </row>
    <row r="978" spans="1:27" ht="79.5" thickBot="1" x14ac:dyDescent="0.45">
      <c r="A978" s="319" t="s">
        <v>782</v>
      </c>
      <c r="B978" s="362" t="s">
        <v>1182</v>
      </c>
      <c r="C978" s="528"/>
      <c r="D978" s="530">
        <f>C978*10</f>
        <v>0</v>
      </c>
      <c r="E978" s="460">
        <f>D978*0.26</f>
        <v>0</v>
      </c>
      <c r="F978" s="324">
        <f t="shared" si="364"/>
        <v>0</v>
      </c>
      <c r="G978" s="324">
        <f t="shared" si="360"/>
        <v>0</v>
      </c>
      <c r="H978" s="324" t="s">
        <v>18</v>
      </c>
      <c r="I978" s="528">
        <f t="shared" si="361"/>
        <v>0</v>
      </c>
      <c r="J978" s="324" t="s">
        <v>19</v>
      </c>
      <c r="K978" s="324"/>
      <c r="L978" s="324"/>
      <c r="M978" s="324">
        <f t="shared" si="365"/>
        <v>0</v>
      </c>
      <c r="N978" s="324"/>
      <c r="O978" s="324"/>
      <c r="P978" s="324"/>
      <c r="Q978" s="324" t="s">
        <v>18</v>
      </c>
      <c r="R978" s="324"/>
      <c r="S978" s="324" t="s">
        <v>19</v>
      </c>
      <c r="T978" s="528">
        <v>5</v>
      </c>
      <c r="U978" s="324">
        <f>E978/237*60</f>
        <v>0</v>
      </c>
      <c r="V978" s="676"/>
      <c r="W978" s="528"/>
      <c r="X978" s="529"/>
      <c r="Y978" s="323" t="s">
        <v>1022</v>
      </c>
      <c r="Z978" s="312">
        <f t="shared" si="366"/>
        <v>0</v>
      </c>
      <c r="AA978" s="316">
        <f>SUM(Z978/369.6)</f>
        <v>0</v>
      </c>
    </row>
    <row r="979" spans="1:27" thickBot="1" x14ac:dyDescent="0.45">
      <c r="A979" s="319"/>
      <c r="B979" s="319"/>
      <c r="C979" s="528"/>
      <c r="D979" s="528"/>
      <c r="E979" s="460"/>
      <c r="F979" s="324"/>
      <c r="G979" s="528"/>
      <c r="H979" s="324"/>
      <c r="I979" s="528"/>
      <c r="J979" s="324"/>
      <c r="K979" s="324"/>
      <c r="L979" s="324"/>
      <c r="M979" s="324"/>
      <c r="N979" s="324"/>
      <c r="O979" s="324"/>
      <c r="P979" s="324"/>
      <c r="Q979" s="324"/>
      <c r="R979" s="324"/>
      <c r="S979" s="324"/>
      <c r="T979" s="528"/>
      <c r="U979" s="324"/>
      <c r="V979" s="676"/>
      <c r="W979" s="528"/>
      <c r="X979" s="529"/>
      <c r="Y979" s="323"/>
    </row>
    <row r="980" spans="1:27" thickBot="1" x14ac:dyDescent="0.45">
      <c r="A980" s="319"/>
      <c r="B980" s="319"/>
      <c r="C980" s="528"/>
      <c r="D980" s="528"/>
      <c r="E980" s="460"/>
      <c r="F980" s="324"/>
      <c r="G980" s="528"/>
      <c r="H980" s="324"/>
      <c r="I980" s="528"/>
      <c r="J980" s="324"/>
      <c r="K980" s="324"/>
      <c r="L980" s="324"/>
      <c r="M980" s="324"/>
      <c r="N980" s="324"/>
      <c r="O980" s="324"/>
      <c r="P980" s="324"/>
      <c r="Q980" s="324"/>
      <c r="R980" s="324"/>
      <c r="S980" s="324"/>
      <c r="T980" s="528"/>
      <c r="U980" s="324"/>
      <c r="V980" s="676"/>
      <c r="W980" s="528"/>
      <c r="X980" s="529"/>
      <c r="Y980" s="323"/>
    </row>
    <row r="981" spans="1:27" thickBot="1" x14ac:dyDescent="0.45">
      <c r="A981" s="829"/>
      <c r="B981" s="332" t="s">
        <v>120</v>
      </c>
      <c r="C981" s="537"/>
      <c r="D981" s="537"/>
      <c r="E981" s="496">
        <f>SUM(E812:E979)</f>
        <v>20400</v>
      </c>
      <c r="F981" s="354">
        <f>SUM(F812:F979)</f>
        <v>140.13551020408161</v>
      </c>
      <c r="G981" s="528"/>
      <c r="H981" s="324"/>
      <c r="I981" s="528"/>
      <c r="J981" s="324"/>
      <c r="K981" s="324"/>
      <c r="L981" s="324"/>
      <c r="M981" s="324"/>
      <c r="N981" s="324"/>
      <c r="O981" s="324"/>
      <c r="P981" s="324"/>
      <c r="Q981" s="324"/>
      <c r="R981" s="324"/>
      <c r="S981" s="324"/>
      <c r="T981" s="528"/>
      <c r="U981" s="324"/>
      <c r="V981" s="676"/>
      <c r="W981" s="528"/>
      <c r="X981" s="529"/>
      <c r="Y981" s="323"/>
    </row>
    <row r="982" spans="1:27" ht="205.5" thickBot="1" x14ac:dyDescent="0.45">
      <c r="A982" s="829"/>
      <c r="B982" s="304" t="s">
        <v>705</v>
      </c>
      <c r="C982" s="537"/>
      <c r="D982" s="537"/>
      <c r="E982" s="499">
        <v>105</v>
      </c>
      <c r="F982" s="544"/>
      <c r="G982" s="528"/>
      <c r="H982" s="324"/>
      <c r="I982" s="528"/>
      <c r="J982" s="324"/>
      <c r="K982" s="324"/>
      <c r="L982" s="324"/>
      <c r="M982" s="324"/>
      <c r="N982" s="324"/>
      <c r="O982" s="324"/>
      <c r="P982" s="324"/>
      <c r="Q982" s="324"/>
      <c r="R982" s="324"/>
      <c r="S982" s="324"/>
      <c r="T982" s="528"/>
      <c r="U982" s="324"/>
      <c r="V982" s="676"/>
      <c r="W982" s="528"/>
      <c r="X982" s="529"/>
      <c r="Y982" s="397" t="s">
        <v>1051</v>
      </c>
    </row>
    <row r="983" spans="1:27" thickBot="1" x14ac:dyDescent="0.45">
      <c r="A983" s="829"/>
      <c r="B983" s="304"/>
      <c r="C983" s="537"/>
      <c r="D983" s="537"/>
      <c r="E983" s="500"/>
      <c r="F983" s="544"/>
      <c r="G983" s="528"/>
      <c r="H983" s="324"/>
      <c r="I983" s="528"/>
      <c r="J983" s="324"/>
      <c r="K983" s="324"/>
      <c r="L983" s="324"/>
      <c r="M983" s="324"/>
      <c r="N983" s="324"/>
      <c r="O983" s="324"/>
      <c r="P983" s="324"/>
      <c r="Q983" s="324"/>
      <c r="R983" s="324"/>
      <c r="S983" s="324"/>
      <c r="T983" s="528"/>
      <c r="U983" s="324"/>
      <c r="V983" s="676"/>
      <c r="W983" s="528"/>
      <c r="X983" s="529"/>
      <c r="Y983" s="323"/>
    </row>
    <row r="984" spans="1:27" thickBot="1" x14ac:dyDescent="0.45">
      <c r="A984" s="829"/>
      <c r="B984" s="319"/>
      <c r="C984" s="528"/>
      <c r="D984" s="528"/>
      <c r="E984" s="460"/>
      <c r="F984" s="324"/>
      <c r="G984" s="528"/>
      <c r="H984" s="324"/>
      <c r="I984" s="528"/>
      <c r="J984" s="324"/>
      <c r="K984" s="324"/>
      <c r="L984" s="324"/>
      <c r="M984" s="324"/>
      <c r="N984" s="324"/>
      <c r="O984" s="324"/>
      <c r="P984" s="324"/>
      <c r="Q984" s="324"/>
      <c r="R984" s="324"/>
      <c r="S984" s="324"/>
      <c r="T984" s="528"/>
      <c r="U984" s="324"/>
      <c r="V984" s="676"/>
      <c r="W984" s="528"/>
      <c r="X984" s="529"/>
      <c r="Y984" s="323"/>
    </row>
    <row r="985" spans="1:27" thickBot="1" x14ac:dyDescent="0.45">
      <c r="A985" s="829"/>
      <c r="B985" s="303" t="s">
        <v>1089</v>
      </c>
      <c r="C985" s="528"/>
      <c r="D985" s="528"/>
      <c r="E985" s="460"/>
      <c r="F985" s="324"/>
      <c r="G985" s="528"/>
      <c r="H985" s="324"/>
      <c r="I985" s="528"/>
      <c r="J985" s="324"/>
      <c r="K985" s="324"/>
      <c r="L985" s="324"/>
      <c r="M985" s="324"/>
      <c r="N985" s="324"/>
      <c r="O985" s="324"/>
      <c r="P985" s="324"/>
      <c r="Q985" s="324"/>
      <c r="R985" s="324"/>
      <c r="S985" s="324"/>
      <c r="T985" s="528"/>
      <c r="U985" s="324"/>
      <c r="V985" s="676"/>
      <c r="W985" s="324"/>
      <c r="X985" s="529"/>
      <c r="Y985" s="350"/>
    </row>
    <row r="986" spans="1:27" thickBot="1" x14ac:dyDescent="0.45">
      <c r="A986" s="829"/>
      <c r="B986" s="641" t="s">
        <v>1090</v>
      </c>
      <c r="C986" s="568"/>
      <c r="D986" s="568"/>
      <c r="E986" s="640"/>
      <c r="F986" s="473"/>
      <c r="G986" s="568"/>
      <c r="H986" s="473"/>
      <c r="I986" s="568"/>
      <c r="J986" s="473"/>
      <c r="K986" s="473"/>
      <c r="L986" s="473"/>
      <c r="M986" s="473"/>
      <c r="N986" s="324"/>
      <c r="O986" s="324"/>
      <c r="P986" s="324"/>
      <c r="Q986" s="324"/>
      <c r="R986" s="324"/>
      <c r="S986" s="324"/>
      <c r="T986" s="528"/>
      <c r="U986" s="324"/>
      <c r="V986" s="676"/>
      <c r="W986" s="324"/>
      <c r="X986" s="529"/>
      <c r="Y986" s="350"/>
    </row>
    <row r="987" spans="1:27" thickBot="1" x14ac:dyDescent="0.45">
      <c r="A987" s="829"/>
      <c r="B987" s="789" t="s">
        <v>1179</v>
      </c>
      <c r="C987" s="790"/>
      <c r="D987" s="790"/>
      <c r="E987" s="791"/>
      <c r="F987" s="792"/>
      <c r="G987" s="790"/>
      <c r="H987" s="792"/>
      <c r="I987" s="790"/>
      <c r="J987" s="792"/>
      <c r="K987" s="792"/>
      <c r="L987" s="792"/>
      <c r="M987" s="792"/>
      <c r="N987" s="792"/>
      <c r="O987" s="792"/>
      <c r="P987" s="333"/>
      <c r="Q987" s="333"/>
      <c r="R987" s="333"/>
      <c r="S987" s="333"/>
      <c r="T987" s="539"/>
      <c r="U987" s="333"/>
      <c r="V987" s="681"/>
      <c r="W987" s="333"/>
      <c r="X987" s="333"/>
      <c r="Y987" s="793"/>
    </row>
    <row r="988" spans="1:27" thickBot="1" x14ac:dyDescent="0.45">
      <c r="A988" s="829"/>
      <c r="B988" s="642" t="s">
        <v>1091</v>
      </c>
      <c r="C988" s="539"/>
      <c r="D988" s="539"/>
      <c r="E988" s="502"/>
      <c r="F988" s="333"/>
      <c r="G988" s="539"/>
      <c r="H988" s="333"/>
      <c r="I988" s="539"/>
      <c r="J988" s="333"/>
      <c r="K988" s="333"/>
      <c r="L988" s="333"/>
      <c r="M988" s="333"/>
      <c r="N988" s="333"/>
      <c r="O988" s="333"/>
      <c r="P988" s="333"/>
      <c r="Q988" s="333"/>
      <c r="R988" s="333"/>
      <c r="S988" s="333"/>
      <c r="T988" s="539"/>
      <c r="U988" s="333"/>
      <c r="V988" s="681"/>
      <c r="W988" s="539"/>
      <c r="X988" s="333"/>
      <c r="Y988" s="323"/>
    </row>
    <row r="989" spans="1:27" thickBot="1" x14ac:dyDescent="0.45">
      <c r="A989" s="829"/>
      <c r="B989" s="642" t="s">
        <v>1092</v>
      </c>
      <c r="C989" s="539"/>
      <c r="D989" s="539"/>
      <c r="E989" s="502"/>
      <c r="F989" s="333"/>
      <c r="G989" s="539"/>
      <c r="H989" s="333"/>
      <c r="I989" s="539"/>
      <c r="J989" s="333"/>
      <c r="K989" s="333"/>
      <c r="L989" s="333"/>
      <c r="M989" s="333"/>
      <c r="N989" s="333"/>
      <c r="O989" s="333"/>
      <c r="P989" s="333"/>
      <c r="Q989" s="333"/>
      <c r="R989" s="333"/>
      <c r="S989" s="333"/>
      <c r="T989" s="539"/>
      <c r="U989" s="333"/>
      <c r="V989" s="681"/>
      <c r="W989" s="539"/>
      <c r="X989" s="333"/>
      <c r="Y989" s="323"/>
    </row>
    <row r="990" spans="1:27" thickBot="1" x14ac:dyDescent="0.45">
      <c r="A990" s="829"/>
      <c r="B990" s="302" t="s">
        <v>289</v>
      </c>
      <c r="C990" s="347"/>
      <c r="D990" s="347"/>
      <c r="E990" s="494"/>
      <c r="F990" s="348"/>
      <c r="G990" s="347"/>
      <c r="H990" s="348"/>
      <c r="I990" s="347"/>
      <c r="J990" s="348"/>
      <c r="K990" s="348"/>
      <c r="L990" s="348"/>
      <c r="M990" s="348"/>
      <c r="N990" s="348"/>
      <c r="O990" s="348"/>
      <c r="P990" s="348"/>
      <c r="Q990" s="348"/>
      <c r="R990" s="348"/>
      <c r="S990" s="348"/>
      <c r="T990" s="347"/>
      <c r="U990" s="348"/>
      <c r="V990" s="356"/>
      <c r="W990" s="348"/>
      <c r="X990" s="495"/>
      <c r="Y990" s="349"/>
    </row>
    <row r="991" spans="1:27" thickBot="1" x14ac:dyDescent="0.45">
      <c r="A991" s="830"/>
      <c r="B991" s="332" t="s">
        <v>285</v>
      </c>
      <c r="C991" s="347"/>
      <c r="D991" s="347"/>
      <c r="E991" s="494"/>
      <c r="F991" s="348"/>
      <c r="G991" s="347"/>
      <c r="H991" s="348"/>
      <c r="I991" s="347"/>
      <c r="J991" s="348"/>
      <c r="K991" s="348"/>
      <c r="L991" s="348"/>
      <c r="M991" s="348"/>
      <c r="N991" s="348"/>
      <c r="O991" s="348"/>
      <c r="P991" s="348"/>
      <c r="Q991" s="348"/>
      <c r="R991" s="348"/>
      <c r="S991" s="348"/>
      <c r="T991" s="347"/>
      <c r="U991" s="348"/>
      <c r="V991" s="356"/>
      <c r="W991" s="348"/>
      <c r="X991" s="495"/>
      <c r="Y991" s="357"/>
    </row>
    <row r="992" spans="1:27" thickBot="1" x14ac:dyDescent="0.45">
      <c r="A992" s="830"/>
      <c r="B992" s="332" t="s">
        <v>299</v>
      </c>
      <c r="C992" s="347"/>
      <c r="D992" s="347"/>
      <c r="E992" s="494"/>
      <c r="F992" s="348"/>
      <c r="G992" s="347"/>
      <c r="H992" s="348"/>
      <c r="I992" s="347"/>
      <c r="J992" s="348"/>
      <c r="K992" s="348"/>
      <c r="L992" s="348"/>
      <c r="M992" s="348"/>
      <c r="N992" s="348"/>
      <c r="O992" s="348"/>
      <c r="P992" s="348"/>
      <c r="Q992" s="348"/>
      <c r="R992" s="348"/>
      <c r="S992" s="348"/>
      <c r="T992" s="347"/>
      <c r="U992" s="348"/>
      <c r="V992" s="356"/>
      <c r="W992" s="348"/>
      <c r="X992" s="495"/>
      <c r="Y992" s="357"/>
    </row>
    <row r="993" spans="1:28" ht="234.75" customHeight="1" thickBot="1" x14ac:dyDescent="0.45">
      <c r="A993" s="319" t="s">
        <v>875</v>
      </c>
      <c r="B993" s="320" t="s">
        <v>783</v>
      </c>
      <c r="C993" s="528"/>
      <c r="D993" s="530"/>
      <c r="E993" s="456">
        <f>C993*4</f>
        <v>0</v>
      </c>
      <c r="F993" s="358">
        <f t="shared" ref="F993:F998" si="367">E993*1.01*0.72/147</f>
        <v>0</v>
      </c>
      <c r="G993" s="548">
        <f t="shared" ref="G993:G998" si="368">INT(M993)</f>
        <v>0</v>
      </c>
      <c r="H993" s="358" t="s">
        <v>18</v>
      </c>
      <c r="I993" s="548">
        <f t="shared" ref="I993:I998" si="369">(M993-G993)*64</f>
        <v>0</v>
      </c>
      <c r="J993" s="358" t="s">
        <v>19</v>
      </c>
      <c r="K993" s="358"/>
      <c r="L993" s="358"/>
      <c r="M993" s="358">
        <f t="shared" ref="M993:M998" si="370">(F993*6035/3456)</f>
        <v>0</v>
      </c>
      <c r="N993" s="324"/>
      <c r="O993" s="324"/>
      <c r="P993" s="324"/>
      <c r="Q993" s="324" t="s">
        <v>18</v>
      </c>
      <c r="R993" s="324"/>
      <c r="S993" s="324" t="s">
        <v>19</v>
      </c>
      <c r="T993" s="528"/>
      <c r="U993" s="324">
        <f>E993/324*60</f>
        <v>0</v>
      </c>
      <c r="V993" s="676"/>
      <c r="W993" s="528"/>
      <c r="X993" s="529"/>
      <c r="Y993" s="645" t="s">
        <v>1134</v>
      </c>
      <c r="Z993" s="312">
        <f t="shared" ref="Z993:Z998" si="371">E993/1.21/1.143</f>
        <v>0</v>
      </c>
      <c r="AA993" s="316">
        <f t="shared" ref="AA993:AA998" si="372">SUM(AB993/453.6)</f>
        <v>0</v>
      </c>
      <c r="AB993" s="310">
        <f t="shared" ref="AB993:AB998" si="373">E993/1.21</f>
        <v>0</v>
      </c>
    </row>
    <row r="994" spans="1:28" ht="236.25" customHeight="1" thickBot="1" x14ac:dyDescent="0.45">
      <c r="A994" s="319" t="s">
        <v>875</v>
      </c>
      <c r="B994" s="320" t="s">
        <v>784</v>
      </c>
      <c r="C994" s="528"/>
      <c r="D994" s="530"/>
      <c r="E994" s="456">
        <f>C994*4</f>
        <v>0</v>
      </c>
      <c r="F994" s="358">
        <f t="shared" si="367"/>
        <v>0</v>
      </c>
      <c r="G994" s="548">
        <f t="shared" si="368"/>
        <v>0</v>
      </c>
      <c r="H994" s="358" t="s">
        <v>18</v>
      </c>
      <c r="I994" s="548">
        <f t="shared" si="369"/>
        <v>0</v>
      </c>
      <c r="J994" s="358" t="s">
        <v>19</v>
      </c>
      <c r="K994" s="358"/>
      <c r="L994" s="358"/>
      <c r="M994" s="358">
        <f t="shared" si="370"/>
        <v>0</v>
      </c>
      <c r="N994" s="324"/>
      <c r="O994" s="324"/>
      <c r="P994" s="324"/>
      <c r="Q994" s="324" t="s">
        <v>18</v>
      </c>
      <c r="R994" s="324"/>
      <c r="S994" s="324" t="s">
        <v>19</v>
      </c>
      <c r="T994" s="528"/>
      <c r="U994" s="324">
        <f>E994/324*60</f>
        <v>0</v>
      </c>
      <c r="V994" s="676"/>
      <c r="W994" s="528"/>
      <c r="X994" s="529"/>
      <c r="Y994" s="645" t="s">
        <v>1135</v>
      </c>
      <c r="Z994" s="312">
        <f t="shared" si="371"/>
        <v>0</v>
      </c>
      <c r="AA994" s="316">
        <f t="shared" si="372"/>
        <v>0</v>
      </c>
      <c r="AB994" s="310">
        <f t="shared" si="373"/>
        <v>0</v>
      </c>
    </row>
    <row r="995" spans="1:28" ht="261.75" thickBot="1" x14ac:dyDescent="0.45">
      <c r="A995" s="319" t="s">
        <v>875</v>
      </c>
      <c r="B995" s="320" t="s">
        <v>744</v>
      </c>
      <c r="C995" s="528"/>
      <c r="D995" s="528"/>
      <c r="E995" s="456">
        <f>C995*4</f>
        <v>0</v>
      </c>
      <c r="F995" s="358">
        <f t="shared" si="367"/>
        <v>0</v>
      </c>
      <c r="G995" s="548">
        <f t="shared" si="368"/>
        <v>0</v>
      </c>
      <c r="H995" s="358" t="s">
        <v>18</v>
      </c>
      <c r="I995" s="548">
        <f t="shared" si="369"/>
        <v>0</v>
      </c>
      <c r="J995" s="358" t="s">
        <v>19</v>
      </c>
      <c r="K995" s="358"/>
      <c r="L995" s="358"/>
      <c r="M995" s="358">
        <f t="shared" si="370"/>
        <v>0</v>
      </c>
      <c r="N995" s="324"/>
      <c r="O995" s="324"/>
      <c r="P995" s="324"/>
      <c r="Q995" s="324" t="s">
        <v>18</v>
      </c>
      <c r="R995" s="324"/>
      <c r="S995" s="324" t="s">
        <v>19</v>
      </c>
      <c r="T995" s="528"/>
      <c r="U995" s="324">
        <f t="shared" ref="U995:U1005" si="374">E995/324*60</f>
        <v>0</v>
      </c>
      <c r="V995" s="676"/>
      <c r="W995" s="528"/>
      <c r="X995" s="529"/>
      <c r="Y995" s="645" t="s">
        <v>1107</v>
      </c>
      <c r="Z995" s="312">
        <f t="shared" si="371"/>
        <v>0</v>
      </c>
      <c r="AA995" s="316">
        <f>SUM(AB995/520.8)</f>
        <v>0</v>
      </c>
      <c r="AB995" s="310">
        <f t="shared" si="373"/>
        <v>0</v>
      </c>
    </row>
    <row r="996" spans="1:28" ht="261.75" thickBot="1" x14ac:dyDescent="0.45">
      <c r="A996" s="319" t="s">
        <v>875</v>
      </c>
      <c r="B996" s="320" t="s">
        <v>745</v>
      </c>
      <c r="C996" s="528"/>
      <c r="D996" s="528"/>
      <c r="E996" s="456">
        <f>C996*2.5</f>
        <v>0</v>
      </c>
      <c r="F996" s="358">
        <f t="shared" si="367"/>
        <v>0</v>
      </c>
      <c r="G996" s="548">
        <f t="shared" si="368"/>
        <v>0</v>
      </c>
      <c r="H996" s="358" t="s">
        <v>18</v>
      </c>
      <c r="I996" s="548">
        <f t="shared" si="369"/>
        <v>0</v>
      </c>
      <c r="J996" s="358" t="s">
        <v>19</v>
      </c>
      <c r="K996" s="358"/>
      <c r="L996" s="358"/>
      <c r="M996" s="358">
        <f t="shared" si="370"/>
        <v>0</v>
      </c>
      <c r="N996" s="324"/>
      <c r="O996" s="324"/>
      <c r="P996" s="324"/>
      <c r="Q996" s="324" t="s">
        <v>18</v>
      </c>
      <c r="R996" s="324"/>
      <c r="S996" s="324" t="s">
        <v>19</v>
      </c>
      <c r="T996" s="528">
        <v>7</v>
      </c>
      <c r="U996" s="324">
        <f t="shared" si="374"/>
        <v>0</v>
      </c>
      <c r="V996" s="676"/>
      <c r="W996" s="528"/>
      <c r="X996" s="529"/>
      <c r="Y996" s="645" t="s">
        <v>1109</v>
      </c>
      <c r="Z996" s="312">
        <f t="shared" si="371"/>
        <v>0</v>
      </c>
      <c r="AA996" s="316">
        <f>SUM(AB996/520.8)</f>
        <v>0</v>
      </c>
      <c r="AB996" s="310">
        <f t="shared" si="373"/>
        <v>0</v>
      </c>
    </row>
    <row r="997" spans="1:28" ht="261.75" thickBot="1" x14ac:dyDescent="0.45">
      <c r="A997" s="319" t="s">
        <v>875</v>
      </c>
      <c r="B997" s="320" t="s">
        <v>746</v>
      </c>
      <c r="C997" s="528"/>
      <c r="D997" s="528"/>
      <c r="E997" s="456">
        <f>C997*4</f>
        <v>0</v>
      </c>
      <c r="F997" s="358">
        <f t="shared" si="367"/>
        <v>0</v>
      </c>
      <c r="G997" s="548">
        <f t="shared" si="368"/>
        <v>0</v>
      </c>
      <c r="H997" s="358" t="s">
        <v>18</v>
      </c>
      <c r="I997" s="548">
        <f t="shared" si="369"/>
        <v>0</v>
      </c>
      <c r="J997" s="358" t="s">
        <v>19</v>
      </c>
      <c r="K997" s="358"/>
      <c r="L997" s="358"/>
      <c r="M997" s="358">
        <f t="shared" si="370"/>
        <v>0</v>
      </c>
      <c r="N997" s="324"/>
      <c r="O997" s="324"/>
      <c r="P997" s="324"/>
      <c r="Q997" s="324" t="s">
        <v>18</v>
      </c>
      <c r="R997" s="324"/>
      <c r="S997" s="324" t="s">
        <v>19</v>
      </c>
      <c r="T997" s="528"/>
      <c r="U997" s="324">
        <f t="shared" si="374"/>
        <v>0</v>
      </c>
      <c r="V997" s="676"/>
      <c r="W997" s="528"/>
      <c r="X997" s="529"/>
      <c r="Y997" s="645" t="s">
        <v>1110</v>
      </c>
      <c r="Z997" s="312">
        <f t="shared" si="371"/>
        <v>0</v>
      </c>
      <c r="AA997" s="316">
        <f>SUM(AB997/453.6)</f>
        <v>0</v>
      </c>
      <c r="AB997" s="310">
        <f t="shared" si="373"/>
        <v>0</v>
      </c>
    </row>
    <row r="998" spans="1:28" ht="184.5" thickBot="1" x14ac:dyDescent="0.45">
      <c r="A998" s="319" t="s">
        <v>875</v>
      </c>
      <c r="B998" s="320" t="s">
        <v>747</v>
      </c>
      <c r="C998" s="528"/>
      <c r="D998" s="528"/>
      <c r="E998" s="456">
        <f>C998*2.5</f>
        <v>0</v>
      </c>
      <c r="F998" s="358">
        <f t="shared" si="367"/>
        <v>0</v>
      </c>
      <c r="G998" s="548">
        <f t="shared" si="368"/>
        <v>0</v>
      </c>
      <c r="H998" s="358" t="s">
        <v>18</v>
      </c>
      <c r="I998" s="548">
        <f t="shared" si="369"/>
        <v>0</v>
      </c>
      <c r="J998" s="358" t="s">
        <v>19</v>
      </c>
      <c r="K998" s="358"/>
      <c r="L998" s="358"/>
      <c r="M998" s="358">
        <f t="shared" si="370"/>
        <v>0</v>
      </c>
      <c r="N998" s="324"/>
      <c r="O998" s="324"/>
      <c r="P998" s="324"/>
      <c r="Q998" s="324" t="s">
        <v>18</v>
      </c>
      <c r="R998" s="324"/>
      <c r="S998" s="324" t="s">
        <v>19</v>
      </c>
      <c r="T998" s="528">
        <v>7</v>
      </c>
      <c r="U998" s="324">
        <f t="shared" si="374"/>
        <v>0</v>
      </c>
      <c r="V998" s="676"/>
      <c r="W998" s="528"/>
      <c r="X998" s="529"/>
      <c r="Y998" s="323" t="s">
        <v>932</v>
      </c>
      <c r="Z998" s="312">
        <f t="shared" si="371"/>
        <v>0</v>
      </c>
      <c r="AA998" s="316">
        <f t="shared" si="372"/>
        <v>0</v>
      </c>
      <c r="AB998" s="310">
        <f t="shared" si="373"/>
        <v>0</v>
      </c>
    </row>
    <row r="999" spans="1:28" ht="183" thickBot="1" x14ac:dyDescent="0.45">
      <c r="A999" s="319" t="s">
        <v>875</v>
      </c>
      <c r="B999" s="320" t="s">
        <v>748</v>
      </c>
      <c r="C999" s="528"/>
      <c r="D999" s="528"/>
      <c r="E999" s="456">
        <f>C999*2.5</f>
        <v>0</v>
      </c>
      <c r="F999" s="358">
        <f>E999*1.03*0.82/147</f>
        <v>0</v>
      </c>
      <c r="G999" s="549">
        <f t="shared" ref="G999:G1016" si="375">INT(M999)</f>
        <v>0</v>
      </c>
      <c r="H999" s="359" t="s">
        <v>18</v>
      </c>
      <c r="I999" s="549">
        <f t="shared" ref="I999:I1016" si="376">(M999-G999)*64</f>
        <v>0</v>
      </c>
      <c r="J999" s="359" t="s">
        <v>19</v>
      </c>
      <c r="K999" s="358"/>
      <c r="L999" s="358"/>
      <c r="M999" s="358">
        <f>(F999*5547/3456)</f>
        <v>0</v>
      </c>
      <c r="N999" s="324"/>
      <c r="O999" s="324"/>
      <c r="P999" s="324"/>
      <c r="Q999" s="324" t="s">
        <v>18</v>
      </c>
      <c r="R999" s="324"/>
      <c r="S999" s="324" t="s">
        <v>19</v>
      </c>
      <c r="T999" s="528">
        <v>7</v>
      </c>
      <c r="U999" s="324">
        <f t="shared" si="374"/>
        <v>0</v>
      </c>
      <c r="V999" s="676"/>
      <c r="W999" s="528"/>
      <c r="X999" s="529"/>
      <c r="Y999" s="645" t="s">
        <v>1116</v>
      </c>
      <c r="Z999" s="312">
        <f>E999/1.21</f>
        <v>0</v>
      </c>
      <c r="AA999" s="316">
        <f>SUM(Z999/520.8)</f>
        <v>0</v>
      </c>
    </row>
    <row r="1000" spans="1:28" ht="183" thickBot="1" x14ac:dyDescent="0.45">
      <c r="A1000" s="319" t="s">
        <v>875</v>
      </c>
      <c r="B1000" s="320" t="s">
        <v>749</v>
      </c>
      <c r="C1000" s="528"/>
      <c r="D1000" s="528"/>
      <c r="E1000" s="456">
        <f>C1000*4</f>
        <v>0</v>
      </c>
      <c r="F1000" s="358">
        <f>E1000*1.03*0.82/147</f>
        <v>0</v>
      </c>
      <c r="G1000" s="548">
        <f t="shared" si="375"/>
        <v>0</v>
      </c>
      <c r="H1000" s="358" t="s">
        <v>18</v>
      </c>
      <c r="I1000" s="548">
        <f t="shared" si="376"/>
        <v>0</v>
      </c>
      <c r="J1000" s="358" t="s">
        <v>19</v>
      </c>
      <c r="K1000" s="358"/>
      <c r="L1000" s="358"/>
      <c r="M1000" s="358">
        <f>(F1000*5547/3456)</f>
        <v>0</v>
      </c>
      <c r="N1000" s="324"/>
      <c r="O1000" s="324"/>
      <c r="P1000" s="324"/>
      <c r="Q1000" s="324" t="s">
        <v>18</v>
      </c>
      <c r="R1000" s="324"/>
      <c r="S1000" s="324" t="s">
        <v>19</v>
      </c>
      <c r="T1000" s="528"/>
      <c r="U1000" s="324">
        <f t="shared" si="374"/>
        <v>0</v>
      </c>
      <c r="V1000" s="685"/>
      <c r="W1000" s="528"/>
      <c r="X1000" s="529"/>
      <c r="Y1000" s="645" t="s">
        <v>1119</v>
      </c>
      <c r="Z1000" s="312">
        <f t="shared" ref="Z1000:Z1018" si="377">E1000/1.21</f>
        <v>0</v>
      </c>
      <c r="AA1000" s="316">
        <f>SUM(Z1000/520.8)</f>
        <v>0</v>
      </c>
    </row>
    <row r="1001" spans="1:28" ht="182.25" customHeight="1" thickBot="1" x14ac:dyDescent="0.45">
      <c r="A1001" s="319" t="s">
        <v>875</v>
      </c>
      <c r="B1001" s="320" t="s">
        <v>1149</v>
      </c>
      <c r="C1001" s="528"/>
      <c r="D1001" s="528"/>
      <c r="E1001" s="456">
        <f>C1001*4</f>
        <v>0</v>
      </c>
      <c r="F1001" s="358">
        <f>E1001*1.03*0.82/147</f>
        <v>0</v>
      </c>
      <c r="G1001" s="548">
        <f t="shared" si="375"/>
        <v>0</v>
      </c>
      <c r="H1001" s="358" t="s">
        <v>18</v>
      </c>
      <c r="I1001" s="548">
        <f t="shared" si="376"/>
        <v>0</v>
      </c>
      <c r="J1001" s="358" t="s">
        <v>19</v>
      </c>
      <c r="K1001" s="358"/>
      <c r="L1001" s="358"/>
      <c r="M1001" s="358">
        <f>(F1001*5547/3456)</f>
        <v>0</v>
      </c>
      <c r="N1001" s="324"/>
      <c r="O1001" s="324"/>
      <c r="P1001" s="324"/>
      <c r="Q1001" s="324" t="s">
        <v>18</v>
      </c>
      <c r="R1001" s="324"/>
      <c r="S1001" s="324" t="s">
        <v>19</v>
      </c>
      <c r="T1001" s="528"/>
      <c r="U1001" s="324">
        <f t="shared" si="374"/>
        <v>0</v>
      </c>
      <c r="V1001" s="676"/>
      <c r="W1001" s="528"/>
      <c r="X1001" s="529"/>
      <c r="Y1001" s="645" t="s">
        <v>1150</v>
      </c>
      <c r="Z1001" s="312">
        <f t="shared" si="377"/>
        <v>0</v>
      </c>
      <c r="AA1001" s="316">
        <f>SUM(Z1001/520.8)</f>
        <v>0</v>
      </c>
    </row>
    <row r="1002" spans="1:28" ht="183" outlineLevel="1" thickBot="1" x14ac:dyDescent="0.45">
      <c r="A1002" s="319" t="s">
        <v>875</v>
      </c>
      <c r="B1002" s="799" t="s">
        <v>1209</v>
      </c>
      <c r="C1002" s="528"/>
      <c r="D1002" s="528"/>
      <c r="E1002" s="456">
        <f>C1002*4</f>
        <v>0</v>
      </c>
      <c r="F1002" s="358">
        <f>E1002*1.03*0.82/147</f>
        <v>0</v>
      </c>
      <c r="G1002" s="548">
        <f t="shared" si="375"/>
        <v>0</v>
      </c>
      <c r="H1002" s="358" t="s">
        <v>18</v>
      </c>
      <c r="I1002" s="548">
        <f t="shared" si="376"/>
        <v>0</v>
      </c>
      <c r="J1002" s="358" t="s">
        <v>19</v>
      </c>
      <c r="K1002" s="358"/>
      <c r="L1002" s="358"/>
      <c r="M1002" s="358">
        <f>(F1002*5547/3456)</f>
        <v>0</v>
      </c>
      <c r="N1002" s="324"/>
      <c r="O1002" s="324"/>
      <c r="P1002" s="324"/>
      <c r="Q1002" s="324" t="s">
        <v>18</v>
      </c>
      <c r="R1002" s="324"/>
      <c r="S1002" s="324" t="s">
        <v>19</v>
      </c>
      <c r="T1002" s="528"/>
      <c r="U1002" s="324">
        <f>E1002/324*60</f>
        <v>0</v>
      </c>
      <c r="V1002" s="676"/>
      <c r="W1002" s="528"/>
      <c r="X1002" s="529"/>
      <c r="Y1002" s="323" t="s">
        <v>1101</v>
      </c>
      <c r="Z1002" s="312">
        <f t="shared" si="377"/>
        <v>0</v>
      </c>
      <c r="AA1002" s="316">
        <f>SUM(Z1002/520.8)</f>
        <v>0</v>
      </c>
    </row>
    <row r="1003" spans="1:28" ht="231" customHeight="1" thickBot="1" x14ac:dyDescent="0.45">
      <c r="A1003" s="319" t="s">
        <v>875</v>
      </c>
      <c r="B1003" s="320" t="s">
        <v>751</v>
      </c>
      <c r="C1003" s="528"/>
      <c r="D1003" s="528"/>
      <c r="E1003" s="456">
        <f>C1003*4</f>
        <v>0</v>
      </c>
      <c r="F1003" s="358">
        <f>E1003*1.01*0.72/147</f>
        <v>0</v>
      </c>
      <c r="G1003" s="548">
        <f>INT(M1003)</f>
        <v>0</v>
      </c>
      <c r="H1003" s="358" t="s">
        <v>18</v>
      </c>
      <c r="I1003" s="548">
        <f>(M1003-G1003)*64</f>
        <v>0</v>
      </c>
      <c r="J1003" s="358" t="s">
        <v>19</v>
      </c>
      <c r="K1003" s="358"/>
      <c r="L1003" s="358"/>
      <c r="M1003" s="358">
        <f>(F1003*6035/3456)</f>
        <v>0</v>
      </c>
      <c r="N1003" s="324"/>
      <c r="O1003" s="324"/>
      <c r="P1003" s="324"/>
      <c r="Q1003" s="324" t="s">
        <v>18</v>
      </c>
      <c r="R1003" s="324"/>
      <c r="S1003" s="324" t="s">
        <v>19</v>
      </c>
      <c r="T1003" s="528"/>
      <c r="U1003" s="324">
        <f t="shared" si="374"/>
        <v>0</v>
      </c>
      <c r="V1003" s="676"/>
      <c r="W1003" s="528"/>
      <c r="X1003" s="529"/>
      <c r="Y1003" s="645" t="s">
        <v>1151</v>
      </c>
      <c r="Z1003" s="312">
        <f>E1003/1.21/1.143</f>
        <v>0</v>
      </c>
      <c r="AA1003" s="316">
        <f>SUM(AB1003/453.6)</f>
        <v>0</v>
      </c>
      <c r="AB1003" s="310">
        <f>E1003/1.21</f>
        <v>0</v>
      </c>
    </row>
    <row r="1004" spans="1:28" ht="183" thickBot="1" x14ac:dyDescent="0.45">
      <c r="A1004" s="319" t="s">
        <v>875</v>
      </c>
      <c r="B1004" s="343" t="s">
        <v>752</v>
      </c>
      <c r="C1004" s="528"/>
      <c r="D1004" s="528"/>
      <c r="E1004" s="457">
        <f>C1004*3</f>
        <v>0</v>
      </c>
      <c r="F1004" s="358">
        <f>E1004*1.03*0.82/147</f>
        <v>0</v>
      </c>
      <c r="G1004" s="549">
        <f>INT(M1004)</f>
        <v>0</v>
      </c>
      <c r="H1004" s="359" t="s">
        <v>18</v>
      </c>
      <c r="I1004" s="549">
        <f>(M1004-G1004)*64</f>
        <v>0</v>
      </c>
      <c r="J1004" s="359" t="s">
        <v>19</v>
      </c>
      <c r="K1004" s="358"/>
      <c r="L1004" s="358"/>
      <c r="M1004" s="358">
        <f>(F1004*5547/3456)</f>
        <v>0</v>
      </c>
      <c r="N1004" s="324"/>
      <c r="O1004" s="324"/>
      <c r="P1004" s="324"/>
      <c r="Q1004" s="324" t="s">
        <v>18</v>
      </c>
      <c r="R1004" s="324"/>
      <c r="S1004" s="324" t="s">
        <v>19</v>
      </c>
      <c r="T1004" s="528"/>
      <c r="U1004" s="324">
        <f t="shared" si="374"/>
        <v>0</v>
      </c>
      <c r="V1004" s="676"/>
      <c r="W1004" s="528"/>
      <c r="X1004" s="529"/>
      <c r="Y1004" s="645" t="s">
        <v>1153</v>
      </c>
      <c r="Z1004" s="312">
        <f t="shared" si="377"/>
        <v>0</v>
      </c>
      <c r="AA1004" s="316">
        <f>SUM(Z1004/511.5)</f>
        <v>0</v>
      </c>
    </row>
    <row r="1005" spans="1:28" ht="183" thickBot="1" x14ac:dyDescent="0.45">
      <c r="A1005" s="319" t="s">
        <v>875</v>
      </c>
      <c r="B1005" s="344" t="s">
        <v>879</v>
      </c>
      <c r="C1005" s="528"/>
      <c r="D1005" s="528"/>
      <c r="E1005" s="457">
        <f>C1005*3</f>
        <v>0</v>
      </c>
      <c r="F1005" s="358">
        <f>E1005*1.03*0.82/147</f>
        <v>0</v>
      </c>
      <c r="G1005" s="549">
        <f>INT(M1005)</f>
        <v>0</v>
      </c>
      <c r="H1005" s="359" t="s">
        <v>18</v>
      </c>
      <c r="I1005" s="549">
        <f>(M1005-G1005)*64</f>
        <v>0</v>
      </c>
      <c r="J1005" s="359" t="s">
        <v>19</v>
      </c>
      <c r="K1005" s="358"/>
      <c r="L1005" s="358"/>
      <c r="M1005" s="358">
        <f>(F1005*5547/3456)</f>
        <v>0</v>
      </c>
      <c r="N1005" s="324"/>
      <c r="O1005" s="324"/>
      <c r="P1005" s="324"/>
      <c r="Q1005" s="324" t="s">
        <v>18</v>
      </c>
      <c r="R1005" s="324"/>
      <c r="S1005" s="324" t="s">
        <v>19</v>
      </c>
      <c r="T1005" s="528"/>
      <c r="U1005" s="324">
        <f t="shared" si="374"/>
        <v>0</v>
      </c>
      <c r="V1005" s="676"/>
      <c r="W1005" s="528"/>
      <c r="X1005" s="529"/>
      <c r="Y1005" s="645" t="s">
        <v>1137</v>
      </c>
      <c r="Z1005" s="312">
        <f t="shared" si="377"/>
        <v>0</v>
      </c>
      <c r="AA1005" s="316">
        <f>SUM(Z1005/520.8)</f>
        <v>0</v>
      </c>
    </row>
    <row r="1006" spans="1:28" ht="183" outlineLevel="1" thickBot="1" x14ac:dyDescent="0.45">
      <c r="A1006" s="319" t="s">
        <v>875</v>
      </c>
      <c r="B1006" s="320" t="s">
        <v>895</v>
      </c>
      <c r="C1006" s="528"/>
      <c r="D1006" s="528"/>
      <c r="E1006" s="456">
        <f>C1006*1.7</f>
        <v>0</v>
      </c>
      <c r="F1006" s="358">
        <f>E1006*1.03*0.82/147</f>
        <v>0</v>
      </c>
      <c r="G1006" s="549">
        <f t="shared" si="375"/>
        <v>0</v>
      </c>
      <c r="H1006" s="359" t="s">
        <v>18</v>
      </c>
      <c r="I1006" s="549">
        <f t="shared" si="376"/>
        <v>0</v>
      </c>
      <c r="J1006" s="359" t="s">
        <v>19</v>
      </c>
      <c r="K1006" s="358"/>
      <c r="L1006" s="358"/>
      <c r="M1006" s="358">
        <f>(F1006*5547/3456)</f>
        <v>0</v>
      </c>
      <c r="N1006" s="358"/>
      <c r="O1006" s="358"/>
      <c r="P1006" s="358"/>
      <c r="Q1006" s="358" t="s">
        <v>18</v>
      </c>
      <c r="R1006" s="358"/>
      <c r="S1006" s="358" t="s">
        <v>19</v>
      </c>
      <c r="T1006" s="528"/>
      <c r="U1006" s="324">
        <f t="shared" ref="U1006:U1016" si="378">E1006/324*60</f>
        <v>0</v>
      </c>
      <c r="V1006" s="685"/>
      <c r="W1006" s="528"/>
      <c r="X1006" s="529"/>
      <c r="Y1006" s="645" t="s">
        <v>1100</v>
      </c>
      <c r="Z1006" s="312">
        <f t="shared" si="377"/>
        <v>0</v>
      </c>
      <c r="AA1006" s="316">
        <f>SUM(Z1006/520.8)</f>
        <v>0</v>
      </c>
    </row>
    <row r="1007" spans="1:28" ht="183" thickBot="1" x14ac:dyDescent="0.45">
      <c r="A1007" s="319" t="s">
        <v>875</v>
      </c>
      <c r="B1007" s="799" t="s">
        <v>1185</v>
      </c>
      <c r="C1007" s="528"/>
      <c r="D1007" s="528"/>
      <c r="E1007" s="456">
        <f>C1007*1.7</f>
        <v>0</v>
      </c>
      <c r="F1007" s="358">
        <f>E1007*1.03*0.82/147</f>
        <v>0</v>
      </c>
      <c r="G1007" s="549">
        <f t="shared" si="375"/>
        <v>0</v>
      </c>
      <c r="H1007" s="359" t="s">
        <v>18</v>
      </c>
      <c r="I1007" s="549">
        <f t="shared" si="376"/>
        <v>0</v>
      </c>
      <c r="J1007" s="359" t="s">
        <v>19</v>
      </c>
      <c r="K1007" s="358"/>
      <c r="L1007" s="358"/>
      <c r="M1007" s="358">
        <f>(F1007*5547/3456)</f>
        <v>0</v>
      </c>
      <c r="N1007" s="358"/>
      <c r="O1007" s="358"/>
      <c r="P1007" s="358"/>
      <c r="Q1007" s="358" t="s">
        <v>18</v>
      </c>
      <c r="R1007" s="358"/>
      <c r="S1007" s="358" t="s">
        <v>19</v>
      </c>
      <c r="T1007" s="528"/>
      <c r="U1007" s="324">
        <f t="shared" si="378"/>
        <v>0</v>
      </c>
      <c r="V1007" s="685"/>
      <c r="W1007" s="528"/>
      <c r="X1007" s="529"/>
      <c r="Y1007" s="645" t="s">
        <v>1118</v>
      </c>
      <c r="Z1007" s="312">
        <f t="shared" si="377"/>
        <v>0</v>
      </c>
      <c r="AA1007" s="316">
        <f>SUM(Z1007/520.8)</f>
        <v>0</v>
      </c>
    </row>
    <row r="1008" spans="1:28" ht="261.75" thickBot="1" x14ac:dyDescent="0.45">
      <c r="A1008" s="319" t="s">
        <v>875</v>
      </c>
      <c r="B1008" s="799" t="s">
        <v>1187</v>
      </c>
      <c r="C1008" s="528"/>
      <c r="D1008" s="528"/>
      <c r="E1008" s="456">
        <f>C1008*1.7</f>
        <v>0</v>
      </c>
      <c r="F1008" s="358">
        <f>E1008*1.01*0.72/147</f>
        <v>0</v>
      </c>
      <c r="G1008" s="548">
        <f t="shared" si="375"/>
        <v>0</v>
      </c>
      <c r="H1008" s="358" t="s">
        <v>18</v>
      </c>
      <c r="I1008" s="548">
        <f t="shared" si="376"/>
        <v>0</v>
      </c>
      <c r="J1008" s="358" t="s">
        <v>19</v>
      </c>
      <c r="K1008" s="358"/>
      <c r="L1008" s="358"/>
      <c r="M1008" s="358">
        <f>(F1008*6035/3456)</f>
        <v>0</v>
      </c>
      <c r="N1008" s="324"/>
      <c r="O1008" s="324"/>
      <c r="P1008" s="324"/>
      <c r="Q1008" s="324" t="s">
        <v>18</v>
      </c>
      <c r="R1008" s="324"/>
      <c r="S1008" s="324" t="s">
        <v>19</v>
      </c>
      <c r="T1008" s="528"/>
      <c r="U1008" s="324">
        <f t="shared" si="378"/>
        <v>0</v>
      </c>
      <c r="V1008" s="676"/>
      <c r="W1008" s="528"/>
      <c r="X1008" s="529"/>
      <c r="Y1008" s="645" t="s">
        <v>1110</v>
      </c>
      <c r="Z1008" s="312">
        <f>E1008/1.21/1.143</f>
        <v>0</v>
      </c>
      <c r="AA1008" s="316">
        <f>SUM(AB1008/453.6)</f>
        <v>0</v>
      </c>
      <c r="AB1008" s="310">
        <f>E1008/1.21</f>
        <v>0</v>
      </c>
    </row>
    <row r="1009" spans="1:28" ht="261.75" thickBot="1" x14ac:dyDescent="0.45">
      <c r="A1009" s="319" t="s">
        <v>875</v>
      </c>
      <c r="B1009" s="320" t="s">
        <v>896</v>
      </c>
      <c r="C1009" s="528"/>
      <c r="D1009" s="528"/>
      <c r="E1009" s="456">
        <f>C1009*1.2</f>
        <v>0</v>
      </c>
      <c r="F1009" s="358">
        <f>E1009*1.01*0.72/147</f>
        <v>0</v>
      </c>
      <c r="G1009" s="548">
        <f t="shared" si="375"/>
        <v>0</v>
      </c>
      <c r="H1009" s="358" t="s">
        <v>18</v>
      </c>
      <c r="I1009" s="548">
        <f t="shared" si="376"/>
        <v>0</v>
      </c>
      <c r="J1009" s="358" t="s">
        <v>19</v>
      </c>
      <c r="K1009" s="358"/>
      <c r="L1009" s="358"/>
      <c r="M1009" s="358">
        <f>(F1009*6035/3456)</f>
        <v>0</v>
      </c>
      <c r="N1009" s="358"/>
      <c r="O1009" s="358"/>
      <c r="P1009" s="358"/>
      <c r="Q1009" s="358" t="s">
        <v>18</v>
      </c>
      <c r="R1009" s="358"/>
      <c r="S1009" s="358" t="s">
        <v>19</v>
      </c>
      <c r="T1009" s="528">
        <v>7</v>
      </c>
      <c r="U1009" s="324">
        <f t="shared" si="378"/>
        <v>0</v>
      </c>
      <c r="V1009" s="685"/>
      <c r="W1009" s="528"/>
      <c r="X1009" s="529"/>
      <c r="Y1009" s="645" t="s">
        <v>1108</v>
      </c>
      <c r="Z1009" s="312">
        <f>E1009/1.21/1.143</f>
        <v>0</v>
      </c>
      <c r="AA1009" s="316">
        <f>SUM(AB1009/429.3)</f>
        <v>0</v>
      </c>
      <c r="AB1009" s="310">
        <f>E1009/1.21</f>
        <v>0</v>
      </c>
    </row>
    <row r="1010" spans="1:28" ht="158.25" thickBot="1" x14ac:dyDescent="0.45">
      <c r="A1010" s="319" t="s">
        <v>875</v>
      </c>
      <c r="B1010" s="320" t="s">
        <v>1082</v>
      </c>
      <c r="C1010" s="528"/>
      <c r="D1010" s="528"/>
      <c r="E1010" s="460">
        <f>C1010*1.2</f>
        <v>0</v>
      </c>
      <c r="F1010" s="324">
        <f>E1010*1.01*0.72/147</f>
        <v>0</v>
      </c>
      <c r="G1010" s="528">
        <f t="shared" ref="G1010:G1015" si="379">INT(M1010)</f>
        <v>0</v>
      </c>
      <c r="H1010" s="324" t="s">
        <v>18</v>
      </c>
      <c r="I1010" s="528">
        <f t="shared" ref="I1010:I1015" si="380">(M1010-G1010)*64</f>
        <v>0</v>
      </c>
      <c r="J1010" s="324" t="s">
        <v>19</v>
      </c>
      <c r="K1010" s="324"/>
      <c r="L1010" s="324"/>
      <c r="M1010" s="324">
        <f>(F1010*6035/3456)</f>
        <v>0</v>
      </c>
      <c r="N1010" s="324"/>
      <c r="O1010" s="324"/>
      <c r="P1010" s="324"/>
      <c r="Q1010" s="324" t="s">
        <v>18</v>
      </c>
      <c r="R1010" s="324"/>
      <c r="S1010" s="324" t="s">
        <v>19</v>
      </c>
      <c r="T1010" s="528">
        <v>7</v>
      </c>
      <c r="U1010" s="324">
        <f>E1010/324*60</f>
        <v>0</v>
      </c>
      <c r="V1010" s="685"/>
      <c r="W1010" s="528"/>
      <c r="X1010" s="529"/>
      <c r="Y1010" s="323" t="s">
        <v>930</v>
      </c>
      <c r="Z1010" s="312">
        <f>E1010/1.21/1.143</f>
        <v>0</v>
      </c>
      <c r="AA1010" s="316">
        <f>SUM(AB1010/429.3)</f>
        <v>0</v>
      </c>
      <c r="AB1010" s="310">
        <f>E1010/1.21</f>
        <v>0</v>
      </c>
    </row>
    <row r="1011" spans="1:28" ht="158.25" thickBot="1" x14ac:dyDescent="0.45">
      <c r="A1011" s="319" t="s">
        <v>875</v>
      </c>
      <c r="B1011" s="320" t="s">
        <v>1010</v>
      </c>
      <c r="C1011" s="528"/>
      <c r="D1011" s="528"/>
      <c r="E1011" s="460">
        <f>C1011*2</f>
        <v>0</v>
      </c>
      <c r="F1011" s="324">
        <f>E1011*1.01*0.72/147</f>
        <v>0</v>
      </c>
      <c r="G1011" s="528">
        <f t="shared" si="379"/>
        <v>0</v>
      </c>
      <c r="H1011" s="324" t="s">
        <v>18</v>
      </c>
      <c r="I1011" s="528">
        <f t="shared" si="380"/>
        <v>0</v>
      </c>
      <c r="J1011" s="324" t="s">
        <v>19</v>
      </c>
      <c r="K1011" s="324"/>
      <c r="L1011" s="324"/>
      <c r="M1011" s="324">
        <f>(F1011*6035/3456)</f>
        <v>0</v>
      </c>
      <c r="N1011" s="324"/>
      <c r="O1011" s="324"/>
      <c r="P1011" s="324"/>
      <c r="Q1011" s="324" t="s">
        <v>18</v>
      </c>
      <c r="R1011" s="324"/>
      <c r="S1011" s="324" t="s">
        <v>19</v>
      </c>
      <c r="T1011" s="528"/>
      <c r="U1011" s="324">
        <f t="shared" si="378"/>
        <v>0</v>
      </c>
      <c r="V1011" s="685"/>
      <c r="W1011" s="528"/>
      <c r="X1011" s="529"/>
      <c r="Y1011" s="323" t="s">
        <v>930</v>
      </c>
      <c r="Z1011" s="312">
        <f>E1011/1.21/1.143</f>
        <v>0</v>
      </c>
      <c r="AA1011" s="316">
        <f>SUM(AB1011/429.3)</f>
        <v>0</v>
      </c>
      <c r="AB1011" s="310">
        <f>E1011/1.21</f>
        <v>0</v>
      </c>
    </row>
    <row r="1012" spans="1:28" ht="158.25" thickBot="1" x14ac:dyDescent="0.45">
      <c r="A1012" s="319" t="s">
        <v>875</v>
      </c>
      <c r="B1012" s="320" t="s">
        <v>1011</v>
      </c>
      <c r="C1012" s="528"/>
      <c r="D1012" s="528"/>
      <c r="E1012" s="460">
        <f>C1012*2</f>
        <v>0</v>
      </c>
      <c r="F1012" s="324">
        <f>E1012*1.01*0.72/147</f>
        <v>0</v>
      </c>
      <c r="G1012" s="528">
        <f t="shared" si="379"/>
        <v>0</v>
      </c>
      <c r="H1012" s="324" t="s">
        <v>18</v>
      </c>
      <c r="I1012" s="528">
        <f t="shared" si="380"/>
        <v>0</v>
      </c>
      <c r="J1012" s="324" t="s">
        <v>19</v>
      </c>
      <c r="K1012" s="324"/>
      <c r="L1012" s="324"/>
      <c r="M1012" s="324">
        <f>(F1012*6035/3456)</f>
        <v>0</v>
      </c>
      <c r="N1012" s="324"/>
      <c r="O1012" s="324"/>
      <c r="P1012" s="324"/>
      <c r="Q1012" s="324" t="s">
        <v>18</v>
      </c>
      <c r="R1012" s="324"/>
      <c r="S1012" s="324" t="s">
        <v>19</v>
      </c>
      <c r="T1012" s="528"/>
      <c r="U1012" s="324">
        <f t="shared" si="378"/>
        <v>0</v>
      </c>
      <c r="V1012" s="685"/>
      <c r="W1012" s="528"/>
      <c r="X1012" s="529"/>
      <c r="Y1012" s="323" t="s">
        <v>930</v>
      </c>
      <c r="Z1012" s="312">
        <f>E1012/1.21/1.143</f>
        <v>0</v>
      </c>
      <c r="AA1012" s="316">
        <f>SUM(AB1012/429.3)</f>
        <v>0</v>
      </c>
      <c r="AB1012" s="310">
        <f>E1012/1.21</f>
        <v>0</v>
      </c>
    </row>
    <row r="1013" spans="1:28" ht="183" thickBot="1" x14ac:dyDescent="0.45">
      <c r="A1013" s="319" t="s">
        <v>875</v>
      </c>
      <c r="B1013" s="320" t="s">
        <v>1009</v>
      </c>
      <c r="C1013" s="528"/>
      <c r="D1013" s="528"/>
      <c r="E1013" s="460">
        <f>C1013*2</f>
        <v>0</v>
      </c>
      <c r="F1013" s="324">
        <f>E1013*1.03*0.82/147</f>
        <v>0</v>
      </c>
      <c r="G1013" s="537">
        <f t="shared" si="379"/>
        <v>0</v>
      </c>
      <c r="H1013" s="354" t="s">
        <v>18</v>
      </c>
      <c r="I1013" s="537">
        <f t="shared" si="380"/>
        <v>0</v>
      </c>
      <c r="J1013" s="354" t="s">
        <v>19</v>
      </c>
      <c r="K1013" s="324"/>
      <c r="L1013" s="324"/>
      <c r="M1013" s="324">
        <f>(F1013*5547/3456)</f>
        <v>0</v>
      </c>
      <c r="N1013" s="324"/>
      <c r="O1013" s="324"/>
      <c r="P1013" s="324"/>
      <c r="Q1013" s="324" t="s">
        <v>18</v>
      </c>
      <c r="R1013" s="324"/>
      <c r="S1013" s="324" t="s">
        <v>19</v>
      </c>
      <c r="T1013" s="528"/>
      <c r="U1013" s="324">
        <f t="shared" si="378"/>
        <v>0</v>
      </c>
      <c r="V1013" s="685"/>
      <c r="W1013" s="528"/>
      <c r="X1013" s="529"/>
      <c r="Y1013" s="323" t="s">
        <v>1114</v>
      </c>
      <c r="Z1013" s="312">
        <f>E1013/1.21</f>
        <v>0</v>
      </c>
      <c r="AA1013" s="316">
        <f>SUM(Z1013/492.9)</f>
        <v>0</v>
      </c>
    </row>
    <row r="1014" spans="1:28" ht="183" thickBot="1" x14ac:dyDescent="0.45">
      <c r="A1014" s="319" t="s">
        <v>875</v>
      </c>
      <c r="B1014" s="320" t="s">
        <v>1043</v>
      </c>
      <c r="C1014" s="528"/>
      <c r="D1014" s="528"/>
      <c r="E1014" s="460">
        <f>C1014*2</f>
        <v>0</v>
      </c>
      <c r="F1014" s="324">
        <f>E1014*1.03*0.82/147</f>
        <v>0</v>
      </c>
      <c r="G1014" s="537">
        <f t="shared" si="379"/>
        <v>0</v>
      </c>
      <c r="H1014" s="354" t="s">
        <v>18</v>
      </c>
      <c r="I1014" s="537">
        <f t="shared" si="380"/>
        <v>0</v>
      </c>
      <c r="J1014" s="354" t="s">
        <v>19</v>
      </c>
      <c r="K1014" s="324"/>
      <c r="L1014" s="324"/>
      <c r="M1014" s="324">
        <f>(F1014*5547/3456)</f>
        <v>0</v>
      </c>
      <c r="N1014" s="324"/>
      <c r="O1014" s="324"/>
      <c r="P1014" s="324"/>
      <c r="Q1014" s="324" t="s">
        <v>18</v>
      </c>
      <c r="R1014" s="324"/>
      <c r="S1014" s="324" t="s">
        <v>19</v>
      </c>
      <c r="T1014" s="528"/>
      <c r="U1014" s="324">
        <f>E1014/324*60</f>
        <v>0</v>
      </c>
      <c r="V1014" s="685"/>
      <c r="W1014" s="528"/>
      <c r="X1014" s="529"/>
      <c r="Y1014" s="323" t="s">
        <v>1106</v>
      </c>
      <c r="Z1014" s="312">
        <f>E1014/1.21</f>
        <v>0</v>
      </c>
      <c r="AA1014" s="316">
        <f>SUM(Z1014/492.9)</f>
        <v>0</v>
      </c>
    </row>
    <row r="1015" spans="1:28" ht="183" thickBot="1" x14ac:dyDescent="0.45">
      <c r="A1015" s="319" t="s">
        <v>875</v>
      </c>
      <c r="B1015" s="320" t="s">
        <v>897</v>
      </c>
      <c r="C1015" s="528"/>
      <c r="D1015" s="528"/>
      <c r="E1015" s="456">
        <f>C1015*1.2</f>
        <v>0</v>
      </c>
      <c r="F1015" s="358">
        <f>E1015*1.03*0.82/147</f>
        <v>0</v>
      </c>
      <c r="G1015" s="549">
        <f t="shared" si="379"/>
        <v>0</v>
      </c>
      <c r="H1015" s="359" t="s">
        <v>18</v>
      </c>
      <c r="I1015" s="549">
        <f t="shared" si="380"/>
        <v>0</v>
      </c>
      <c r="J1015" s="359" t="s">
        <v>19</v>
      </c>
      <c r="K1015" s="358"/>
      <c r="L1015" s="358"/>
      <c r="M1015" s="358">
        <f>(F1015*5547/3456)</f>
        <v>0</v>
      </c>
      <c r="N1015" s="358"/>
      <c r="O1015" s="358"/>
      <c r="P1015" s="358"/>
      <c r="Q1015" s="358" t="s">
        <v>18</v>
      </c>
      <c r="R1015" s="358"/>
      <c r="S1015" s="358" t="s">
        <v>19</v>
      </c>
      <c r="T1015" s="528">
        <v>7</v>
      </c>
      <c r="U1015" s="324">
        <f>E1015/324*60</f>
        <v>0</v>
      </c>
      <c r="V1015" s="685"/>
      <c r="W1015" s="528"/>
      <c r="X1015" s="529"/>
      <c r="Y1015" s="645" t="s">
        <v>1115</v>
      </c>
      <c r="Z1015" s="312">
        <f>E1015/1.21</f>
        <v>0</v>
      </c>
      <c r="AA1015" s="316">
        <f>SUM(Z1015/492.9)</f>
        <v>0</v>
      </c>
    </row>
    <row r="1016" spans="1:28" ht="183" thickBot="1" x14ac:dyDescent="0.45">
      <c r="A1016" s="319" t="s">
        <v>875</v>
      </c>
      <c r="B1016" s="799" t="s">
        <v>1203</v>
      </c>
      <c r="C1016" s="528"/>
      <c r="D1016" s="528"/>
      <c r="E1016" s="456">
        <f>C1016*1.2</f>
        <v>0</v>
      </c>
      <c r="F1016" s="358">
        <f>E1016*1.03*0.82/147</f>
        <v>0</v>
      </c>
      <c r="G1016" s="549">
        <f t="shared" si="375"/>
        <v>0</v>
      </c>
      <c r="H1016" s="359" t="s">
        <v>18</v>
      </c>
      <c r="I1016" s="549">
        <f t="shared" si="376"/>
        <v>0</v>
      </c>
      <c r="J1016" s="359" t="s">
        <v>19</v>
      </c>
      <c r="K1016" s="358"/>
      <c r="L1016" s="358"/>
      <c r="M1016" s="358">
        <f>(F1016*5547/3456)</f>
        <v>0</v>
      </c>
      <c r="N1016" s="358"/>
      <c r="O1016" s="358"/>
      <c r="P1016" s="358"/>
      <c r="Q1016" s="358" t="s">
        <v>18</v>
      </c>
      <c r="R1016" s="358"/>
      <c r="S1016" s="358" t="s">
        <v>19</v>
      </c>
      <c r="T1016" s="528">
        <v>7</v>
      </c>
      <c r="U1016" s="324">
        <f t="shared" si="378"/>
        <v>0</v>
      </c>
      <c r="V1016" s="685"/>
      <c r="W1016" s="528"/>
      <c r="X1016" s="529"/>
      <c r="Y1016" s="645" t="s">
        <v>1115</v>
      </c>
      <c r="Z1016" s="312">
        <f t="shared" si="377"/>
        <v>0</v>
      </c>
      <c r="AA1016" s="316">
        <f>SUM(Z1016/492.9)</f>
        <v>0</v>
      </c>
    </row>
    <row r="1017" spans="1:28" thickBot="1" x14ac:dyDescent="0.45">
      <c r="A1017" s="830"/>
      <c r="B1017" s="332" t="s">
        <v>286</v>
      </c>
      <c r="C1017" s="347"/>
      <c r="D1017" s="347"/>
      <c r="E1017" s="494"/>
      <c r="F1017" s="348"/>
      <c r="G1017" s="347"/>
      <c r="H1017" s="348"/>
      <c r="I1017" s="347"/>
      <c r="J1017" s="348"/>
      <c r="K1017" s="348"/>
      <c r="L1017" s="348"/>
      <c r="M1017" s="348"/>
      <c r="N1017" s="348"/>
      <c r="O1017" s="348"/>
      <c r="P1017" s="348"/>
      <c r="Q1017" s="348"/>
      <c r="R1017" s="348"/>
      <c r="S1017" s="348"/>
      <c r="T1017" s="347"/>
      <c r="U1017" s="348"/>
      <c r="V1017" s="356"/>
      <c r="W1017" s="348"/>
      <c r="X1017" s="495"/>
      <c r="Y1017" s="357"/>
    </row>
    <row r="1018" spans="1:28" ht="157.5" customHeight="1" thickBot="1" x14ac:dyDescent="0.45">
      <c r="A1018" s="319" t="s">
        <v>875</v>
      </c>
      <c r="B1018" s="343" t="s">
        <v>928</v>
      </c>
      <c r="C1018" s="528"/>
      <c r="D1018" s="548">
        <f>C1018*12</f>
        <v>0</v>
      </c>
      <c r="E1018" s="456">
        <f>D1018*0.6</f>
        <v>0</v>
      </c>
      <c r="F1018" s="358">
        <f>E1018*1.03*0.82/147</f>
        <v>0</v>
      </c>
      <c r="G1018" s="549">
        <f t="shared" ref="G1018:G1049" si="381">INT(M1018)</f>
        <v>0</v>
      </c>
      <c r="H1018" s="359" t="s">
        <v>18</v>
      </c>
      <c r="I1018" s="549">
        <f t="shared" ref="I1018:I1049" si="382">(M1018-G1018)*64</f>
        <v>0</v>
      </c>
      <c r="J1018" s="359" t="s">
        <v>19</v>
      </c>
      <c r="K1018" s="358"/>
      <c r="L1018" s="358"/>
      <c r="M1018" s="358">
        <f>(F1018*5250/3456)</f>
        <v>0</v>
      </c>
      <c r="N1018" s="358"/>
      <c r="O1018" s="358"/>
      <c r="P1018" s="358"/>
      <c r="Q1018" s="358" t="s">
        <v>18</v>
      </c>
      <c r="R1018" s="358"/>
      <c r="S1018" s="358" t="s">
        <v>19</v>
      </c>
      <c r="T1018" s="528">
        <v>10</v>
      </c>
      <c r="U1018" s="324">
        <f>E1018/324*60</f>
        <v>0</v>
      </c>
      <c r="V1018" s="676"/>
      <c r="W1018" s="528"/>
      <c r="X1018" s="529"/>
      <c r="Y1018" s="645" t="s">
        <v>1117</v>
      </c>
      <c r="Z1018" s="312">
        <f t="shared" si="377"/>
        <v>0</v>
      </c>
      <c r="AA1018" s="316">
        <f>SUM(Z1018/511.5)</f>
        <v>0</v>
      </c>
    </row>
    <row r="1019" spans="1:28" ht="105.75" thickBot="1" x14ac:dyDescent="0.45">
      <c r="A1019" s="319" t="s">
        <v>875</v>
      </c>
      <c r="B1019" s="343" t="s">
        <v>1015</v>
      </c>
      <c r="C1019" s="528"/>
      <c r="D1019" s="528">
        <f>C1019*12</f>
        <v>0</v>
      </c>
      <c r="E1019" s="460">
        <f>D1019*0.5</f>
        <v>0</v>
      </c>
      <c r="F1019" s="324">
        <f>E1019*1.03*0.82/147</f>
        <v>0</v>
      </c>
      <c r="G1019" s="537">
        <f>INT(M1019)</f>
        <v>0</v>
      </c>
      <c r="H1019" s="354" t="s">
        <v>18</v>
      </c>
      <c r="I1019" s="537">
        <f>(M1019-G1019)*64</f>
        <v>0</v>
      </c>
      <c r="J1019" s="354" t="s">
        <v>19</v>
      </c>
      <c r="K1019" s="324"/>
      <c r="L1019" s="324"/>
      <c r="M1019" s="324">
        <f>(F1019*5250/3456)</f>
        <v>0</v>
      </c>
      <c r="N1019" s="324"/>
      <c r="O1019" s="324"/>
      <c r="P1019" s="324"/>
      <c r="Q1019" s="324" t="s">
        <v>18</v>
      </c>
      <c r="R1019" s="324"/>
      <c r="S1019" s="324" t="s">
        <v>19</v>
      </c>
      <c r="T1019" s="528">
        <v>10</v>
      </c>
      <c r="U1019" s="324">
        <f>E1019/324*60</f>
        <v>0</v>
      </c>
      <c r="V1019" s="676"/>
      <c r="W1019" s="528"/>
      <c r="X1019" s="529"/>
      <c r="Y1019" s="323" t="s">
        <v>929</v>
      </c>
      <c r="Z1019" s="312">
        <f>E1019/1.21</f>
        <v>0</v>
      </c>
      <c r="AA1019" s="316">
        <f>SUM(Z1019/427.8)</f>
        <v>0</v>
      </c>
    </row>
    <row r="1020" spans="1:28" ht="213.75" customHeight="1" thickBot="1" x14ac:dyDescent="0.45">
      <c r="A1020" s="319" t="s">
        <v>875</v>
      </c>
      <c r="B1020" s="343" t="s">
        <v>857</v>
      </c>
      <c r="C1020" s="528"/>
      <c r="D1020" s="551">
        <f>C1020*12</f>
        <v>0</v>
      </c>
      <c r="E1020" s="456">
        <f>D1020*0.6</f>
        <v>0</v>
      </c>
      <c r="F1020" s="358">
        <f>E1020*1.01*0.72/147</f>
        <v>0</v>
      </c>
      <c r="G1020" s="548">
        <f t="shared" si="381"/>
        <v>0</v>
      </c>
      <c r="H1020" s="358" t="s">
        <v>18</v>
      </c>
      <c r="I1020" s="548">
        <f t="shared" si="382"/>
        <v>0</v>
      </c>
      <c r="J1020" s="358" t="s">
        <v>19</v>
      </c>
      <c r="K1020" s="358"/>
      <c r="L1020" s="358"/>
      <c r="M1020" s="358">
        <f>(F1020*6100/3456)</f>
        <v>0</v>
      </c>
      <c r="N1020" s="358"/>
      <c r="O1020" s="358"/>
      <c r="P1020" s="358"/>
      <c r="Q1020" s="358" t="s">
        <v>18</v>
      </c>
      <c r="R1020" s="358"/>
      <c r="S1020" s="358" t="s">
        <v>19</v>
      </c>
      <c r="T1020" s="528">
        <v>10</v>
      </c>
      <c r="U1020" s="324">
        <f>E1020/324*60</f>
        <v>0</v>
      </c>
      <c r="V1020" s="676"/>
      <c r="W1020" s="528"/>
      <c r="X1020" s="529"/>
      <c r="Y1020" s="645" t="s">
        <v>1152</v>
      </c>
      <c r="Z1020" s="312">
        <f>E1020/1.21/1.143</f>
        <v>0</v>
      </c>
      <c r="AA1020" s="316">
        <f>SUM(AB1020/445.5)</f>
        <v>0</v>
      </c>
      <c r="AB1020" s="310">
        <f>E1020/1.21</f>
        <v>0</v>
      </c>
    </row>
    <row r="1021" spans="1:28" ht="261.75" thickBot="1" x14ac:dyDescent="0.45">
      <c r="A1021" s="319" t="s">
        <v>875</v>
      </c>
      <c r="B1021" s="343" t="s">
        <v>908</v>
      </c>
      <c r="C1021" s="528"/>
      <c r="D1021" s="551">
        <f>C1021*12</f>
        <v>0</v>
      </c>
      <c r="E1021" s="456">
        <f>D1021*0.6</f>
        <v>0</v>
      </c>
      <c r="F1021" s="358">
        <f>E1021*1.01*0.72/147</f>
        <v>0</v>
      </c>
      <c r="G1021" s="548">
        <f t="shared" si="381"/>
        <v>0</v>
      </c>
      <c r="H1021" s="358" t="s">
        <v>18</v>
      </c>
      <c r="I1021" s="548">
        <f t="shared" si="382"/>
        <v>0</v>
      </c>
      <c r="J1021" s="358" t="s">
        <v>19</v>
      </c>
      <c r="K1021" s="358"/>
      <c r="L1021" s="358"/>
      <c r="M1021" s="358">
        <f>(F1021*6100/3456)</f>
        <v>0</v>
      </c>
      <c r="N1021" s="358"/>
      <c r="O1021" s="358"/>
      <c r="P1021" s="358"/>
      <c r="Q1021" s="358" t="s">
        <v>18</v>
      </c>
      <c r="R1021" s="358"/>
      <c r="S1021" s="358" t="s">
        <v>19</v>
      </c>
      <c r="T1021" s="528">
        <v>10</v>
      </c>
      <c r="U1021" s="324">
        <f>E1021/324*60</f>
        <v>0</v>
      </c>
      <c r="V1021" s="676"/>
      <c r="W1021" s="528"/>
      <c r="X1021" s="529"/>
      <c r="Y1021" s="645" t="s">
        <v>1121</v>
      </c>
      <c r="Z1021" s="312">
        <f>E1021/1.21/1.143</f>
        <v>0</v>
      </c>
      <c r="AA1021" s="316">
        <f>SUM(AB1021/445.5)</f>
        <v>0</v>
      </c>
      <c r="AB1021" s="310">
        <f>E1021/1.21</f>
        <v>0</v>
      </c>
    </row>
    <row r="1022" spans="1:28" ht="208.5" thickBot="1" x14ac:dyDescent="0.45">
      <c r="A1022" s="319" t="s">
        <v>875</v>
      </c>
      <c r="B1022" s="320" t="s">
        <v>1036</v>
      </c>
      <c r="C1022" s="528"/>
      <c r="D1022" s="550">
        <f>C1022*22</f>
        <v>0</v>
      </c>
      <c r="E1022" s="456">
        <f>D1022*0.2</f>
        <v>0</v>
      </c>
      <c r="F1022" s="358">
        <f>E1022*1.03*0.82/147</f>
        <v>0</v>
      </c>
      <c r="G1022" s="548">
        <f t="shared" si="381"/>
        <v>0</v>
      </c>
      <c r="H1022" s="358" t="s">
        <v>18</v>
      </c>
      <c r="I1022" s="548">
        <f t="shared" si="382"/>
        <v>0</v>
      </c>
      <c r="J1022" s="358" t="s">
        <v>19</v>
      </c>
      <c r="K1022" s="358"/>
      <c r="L1022" s="358"/>
      <c r="M1022" s="358">
        <f>F1022*5250/3456</f>
        <v>0</v>
      </c>
      <c r="N1022" s="358"/>
      <c r="O1022" s="358"/>
      <c r="P1022" s="358"/>
      <c r="Q1022" s="358" t="s">
        <v>18</v>
      </c>
      <c r="R1022" s="358"/>
      <c r="S1022" s="358" t="s">
        <v>19</v>
      </c>
      <c r="T1022" s="528">
        <v>6</v>
      </c>
      <c r="U1022" s="324">
        <f>E1022/220*60</f>
        <v>0</v>
      </c>
      <c r="V1022" s="676"/>
      <c r="W1022" s="528"/>
      <c r="X1022" s="529"/>
      <c r="Y1022" s="647" t="s">
        <v>1099</v>
      </c>
      <c r="Z1022" s="312">
        <f>E1022/1.21</f>
        <v>0</v>
      </c>
      <c r="AA1022" s="316">
        <f>SUM(Z1022/453.6)</f>
        <v>0</v>
      </c>
    </row>
    <row r="1023" spans="1:28" ht="208.5" thickBot="1" x14ac:dyDescent="0.45">
      <c r="A1023" s="319" t="s">
        <v>875</v>
      </c>
      <c r="B1023" s="320" t="s">
        <v>1001</v>
      </c>
      <c r="C1023" s="528"/>
      <c r="D1023" s="551">
        <f>C1023*22</f>
        <v>0</v>
      </c>
      <c r="E1023" s="456">
        <f>D1023*0.2</f>
        <v>0</v>
      </c>
      <c r="F1023" s="358">
        <f>E1023*1.03*0.82/147</f>
        <v>0</v>
      </c>
      <c r="G1023" s="548">
        <f t="shared" si="381"/>
        <v>0</v>
      </c>
      <c r="H1023" s="358" t="s">
        <v>18</v>
      </c>
      <c r="I1023" s="548">
        <f t="shared" si="382"/>
        <v>0</v>
      </c>
      <c r="J1023" s="358" t="s">
        <v>19</v>
      </c>
      <c r="K1023" s="358"/>
      <c r="L1023" s="358"/>
      <c r="M1023" s="358">
        <f>F1023*5250/3456</f>
        <v>0</v>
      </c>
      <c r="N1023" s="358"/>
      <c r="O1023" s="358"/>
      <c r="P1023" s="358"/>
      <c r="Q1023" s="358" t="s">
        <v>18</v>
      </c>
      <c r="R1023" s="358"/>
      <c r="S1023" s="358" t="s">
        <v>19</v>
      </c>
      <c r="T1023" s="528">
        <v>6</v>
      </c>
      <c r="U1023" s="324">
        <f>E1023/220*60</f>
        <v>0</v>
      </c>
      <c r="V1023" s="676"/>
      <c r="W1023" s="528"/>
      <c r="X1023" s="529"/>
      <c r="Y1023" s="647" t="s">
        <v>1102</v>
      </c>
      <c r="Z1023" s="312">
        <f>E1023/1.21</f>
        <v>0</v>
      </c>
      <c r="AA1023" s="316">
        <f>SUM(Z1023/453.6)</f>
        <v>0</v>
      </c>
    </row>
    <row r="1024" spans="1:28" ht="261.75" thickBot="1" x14ac:dyDescent="0.45">
      <c r="A1024" s="319" t="s">
        <v>875</v>
      </c>
      <c r="B1024" s="362" t="s">
        <v>796</v>
      </c>
      <c r="C1024" s="528"/>
      <c r="D1024" s="551">
        <f>C1024*8</f>
        <v>0</v>
      </c>
      <c r="E1024" s="456">
        <f>D1024*0.25</f>
        <v>0</v>
      </c>
      <c r="F1024" s="358">
        <f>E1024*1.015*0.72/147</f>
        <v>0</v>
      </c>
      <c r="G1024" s="548">
        <f t="shared" si="381"/>
        <v>0</v>
      </c>
      <c r="H1024" s="358" t="s">
        <v>18</v>
      </c>
      <c r="I1024" s="548">
        <f t="shared" si="382"/>
        <v>0</v>
      </c>
      <c r="J1024" s="358" t="s">
        <v>19</v>
      </c>
      <c r="K1024" s="358"/>
      <c r="L1024" s="358"/>
      <c r="M1024" s="552">
        <f>(F1024*6447/3456)</f>
        <v>0</v>
      </c>
      <c r="N1024" s="324"/>
      <c r="O1024" s="324"/>
      <c r="P1024" s="324"/>
      <c r="Q1024" s="324" t="s">
        <v>18</v>
      </c>
      <c r="R1024" s="324"/>
      <c r="S1024" s="324" t="s">
        <v>19</v>
      </c>
      <c r="T1024" s="528">
        <v>6</v>
      </c>
      <c r="U1024" s="324">
        <f>E1024/259*60</f>
        <v>0</v>
      </c>
      <c r="V1024" s="676"/>
      <c r="W1024" s="528"/>
      <c r="X1024" s="529"/>
      <c r="Y1024" s="645" t="s">
        <v>1120</v>
      </c>
      <c r="Z1024" s="312">
        <f>E1024/1.21/1.143</f>
        <v>0</v>
      </c>
      <c r="AA1024" s="316">
        <f>SUM(AB1024/421.2)</f>
        <v>0</v>
      </c>
      <c r="AB1024" s="310">
        <f>E1024/1.21</f>
        <v>0</v>
      </c>
    </row>
    <row r="1025" spans="1:28" s="728" customFormat="1" ht="184.5" outlineLevel="1" thickBot="1" x14ac:dyDescent="0.45">
      <c r="A1025" s="636" t="s">
        <v>875</v>
      </c>
      <c r="B1025" s="635" t="s">
        <v>797</v>
      </c>
      <c r="C1025" s="720"/>
      <c r="D1025" s="741">
        <f>C1025*8</f>
        <v>0</v>
      </c>
      <c r="E1025" s="721">
        <f>D1025*0.25</f>
        <v>0</v>
      </c>
      <c r="F1025" s="722">
        <f>E1025*1.015*0.72/147</f>
        <v>0</v>
      </c>
      <c r="G1025" s="720">
        <f t="shared" si="381"/>
        <v>0</v>
      </c>
      <c r="H1025" s="722" t="s">
        <v>18</v>
      </c>
      <c r="I1025" s="720">
        <f t="shared" si="382"/>
        <v>0</v>
      </c>
      <c r="J1025" s="722" t="s">
        <v>19</v>
      </c>
      <c r="K1025" s="722"/>
      <c r="L1025" s="722"/>
      <c r="M1025" s="816">
        <f>(F1025*6447/3456)</f>
        <v>0</v>
      </c>
      <c r="N1025" s="722"/>
      <c r="O1025" s="722"/>
      <c r="P1025" s="722"/>
      <c r="Q1025" s="722" t="s">
        <v>18</v>
      </c>
      <c r="R1025" s="722"/>
      <c r="S1025" s="722" t="s">
        <v>19</v>
      </c>
      <c r="T1025" s="720">
        <v>6</v>
      </c>
      <c r="U1025" s="722">
        <f>E1025/259*60</f>
        <v>0</v>
      </c>
      <c r="V1025" s="724"/>
      <c r="W1025" s="720"/>
      <c r="X1025" s="725"/>
      <c r="Y1025" s="736" t="s">
        <v>934</v>
      </c>
      <c r="Z1025" s="727">
        <f>E1025/1.21/1.143</f>
        <v>0</v>
      </c>
      <c r="AA1025" s="815">
        <f>SUM(AB1025/421.2)</f>
        <v>0</v>
      </c>
      <c r="AB1025" s="728">
        <f>E1025/1.21</f>
        <v>0</v>
      </c>
    </row>
    <row r="1026" spans="1:28" s="728" customFormat="1" ht="105.75" outlineLevel="1" thickBot="1" x14ac:dyDescent="0.45">
      <c r="A1026" s="636" t="s">
        <v>875</v>
      </c>
      <c r="B1026" s="814" t="s">
        <v>683</v>
      </c>
      <c r="C1026" s="720"/>
      <c r="D1026" s="720">
        <f>C1026*10</f>
        <v>0</v>
      </c>
      <c r="E1026" s="721">
        <f>D1026*0.2</f>
        <v>0</v>
      </c>
      <c r="F1026" s="722">
        <f>E1026*1.03*0.82/147</f>
        <v>0</v>
      </c>
      <c r="G1026" s="720">
        <f t="shared" si="381"/>
        <v>0</v>
      </c>
      <c r="H1026" s="722" t="s">
        <v>18</v>
      </c>
      <c r="I1026" s="720">
        <f t="shared" si="382"/>
        <v>0</v>
      </c>
      <c r="J1026" s="722" t="s">
        <v>19</v>
      </c>
      <c r="K1026" s="722"/>
      <c r="L1026" s="722"/>
      <c r="M1026" s="722">
        <f>(F1026*8750/3456)</f>
        <v>0</v>
      </c>
      <c r="N1026" s="722"/>
      <c r="O1026" s="722"/>
      <c r="P1026" s="722"/>
      <c r="Q1026" s="722" t="s">
        <v>18</v>
      </c>
      <c r="R1026" s="722"/>
      <c r="S1026" s="722" t="s">
        <v>19</v>
      </c>
      <c r="T1026" s="720">
        <v>7</v>
      </c>
      <c r="U1026" s="722">
        <f>E1026/220*60</f>
        <v>0</v>
      </c>
      <c r="V1026" s="724"/>
      <c r="W1026" s="720"/>
      <c r="X1026" s="725"/>
      <c r="Y1026" s="736" t="s">
        <v>964</v>
      </c>
      <c r="Z1026" s="727">
        <f>E1026/1.21</f>
        <v>0</v>
      </c>
      <c r="AA1026" s="815">
        <f>SUM(Z1026/316.2)</f>
        <v>0</v>
      </c>
    </row>
    <row r="1027" spans="1:28" s="728" customFormat="1" ht="184.5" outlineLevel="1" thickBot="1" x14ac:dyDescent="0.45">
      <c r="A1027" s="636" t="s">
        <v>875</v>
      </c>
      <c r="B1027" s="634" t="s">
        <v>759</v>
      </c>
      <c r="C1027" s="720"/>
      <c r="D1027" s="720">
        <f>C1027*10</f>
        <v>0</v>
      </c>
      <c r="E1027" s="721">
        <f>D1027*0.2</f>
        <v>0</v>
      </c>
      <c r="F1027" s="722">
        <f>E1027*1.015*0.72/147</f>
        <v>0</v>
      </c>
      <c r="G1027" s="720">
        <f t="shared" si="381"/>
        <v>0</v>
      </c>
      <c r="H1027" s="722" t="s">
        <v>18</v>
      </c>
      <c r="I1027" s="720">
        <f t="shared" si="382"/>
        <v>0</v>
      </c>
      <c r="J1027" s="722" t="s">
        <v>19</v>
      </c>
      <c r="K1027" s="722"/>
      <c r="L1027" s="722"/>
      <c r="M1027" s="722">
        <f>(F1027*8070/3456)</f>
        <v>0</v>
      </c>
      <c r="N1027" s="722"/>
      <c r="O1027" s="722"/>
      <c r="P1027" s="722"/>
      <c r="Q1027" s="722" t="s">
        <v>18</v>
      </c>
      <c r="R1027" s="722"/>
      <c r="S1027" s="722" t="s">
        <v>19</v>
      </c>
      <c r="T1027" s="720">
        <v>6</v>
      </c>
      <c r="U1027" s="722">
        <f>E1027/259*60</f>
        <v>0</v>
      </c>
      <c r="V1027" s="724"/>
      <c r="W1027" s="720"/>
      <c r="X1027" s="725"/>
      <c r="Y1027" s="736" t="s">
        <v>931</v>
      </c>
      <c r="Z1027" s="727">
        <f>E1027/1.21/1.143</f>
        <v>0</v>
      </c>
      <c r="AA1027" s="815">
        <f>SUM(AB1027/340.2)</f>
        <v>0</v>
      </c>
      <c r="AB1027" s="728">
        <f>E1027/1.21</f>
        <v>0</v>
      </c>
    </row>
    <row r="1028" spans="1:28" s="728" customFormat="1" ht="184.5" outlineLevel="1" thickBot="1" x14ac:dyDescent="0.45">
      <c r="A1028" s="636" t="s">
        <v>875</v>
      </c>
      <c r="B1028" s="634" t="s">
        <v>760</v>
      </c>
      <c r="C1028" s="720"/>
      <c r="D1028" s="720">
        <f>C1028*10</f>
        <v>0</v>
      </c>
      <c r="E1028" s="721">
        <f>D1028*0.2</f>
        <v>0</v>
      </c>
      <c r="F1028" s="722">
        <f>E1028*1.015*0.72/147</f>
        <v>0</v>
      </c>
      <c r="G1028" s="720">
        <f t="shared" si="381"/>
        <v>0</v>
      </c>
      <c r="H1028" s="722" t="s">
        <v>18</v>
      </c>
      <c r="I1028" s="720">
        <f t="shared" si="382"/>
        <v>0</v>
      </c>
      <c r="J1028" s="722" t="s">
        <v>19</v>
      </c>
      <c r="K1028" s="722"/>
      <c r="L1028" s="722"/>
      <c r="M1028" s="722">
        <f>(F1028*8070/3456)</f>
        <v>0</v>
      </c>
      <c r="N1028" s="722"/>
      <c r="O1028" s="722"/>
      <c r="P1028" s="722"/>
      <c r="Q1028" s="722" t="s">
        <v>18</v>
      </c>
      <c r="R1028" s="722"/>
      <c r="S1028" s="722" t="s">
        <v>19</v>
      </c>
      <c r="T1028" s="720">
        <v>6</v>
      </c>
      <c r="U1028" s="722">
        <f>E1028/259*60</f>
        <v>0</v>
      </c>
      <c r="V1028" s="724"/>
      <c r="W1028" s="720"/>
      <c r="X1028" s="725"/>
      <c r="Y1028" s="736" t="s">
        <v>931</v>
      </c>
      <c r="Z1028" s="727">
        <f>E1028/1.21/1.143</f>
        <v>0</v>
      </c>
      <c r="AA1028" s="815">
        <f>SUM(AB1028/340.2)</f>
        <v>0</v>
      </c>
      <c r="AB1028" s="728">
        <f>E1028/1.21</f>
        <v>0</v>
      </c>
    </row>
    <row r="1029" spans="1:28" ht="294" customHeight="1" thickBot="1" x14ac:dyDescent="0.45">
      <c r="A1029" s="319" t="s">
        <v>875</v>
      </c>
      <c r="B1029" s="320" t="s">
        <v>627</v>
      </c>
      <c r="C1029" s="528"/>
      <c r="D1029" s="548">
        <f>C1029*18</f>
        <v>0</v>
      </c>
      <c r="E1029" s="456">
        <f>D1029*0.2</f>
        <v>0</v>
      </c>
      <c r="F1029" s="358">
        <f>E1029*1.05*0.8/140</f>
        <v>0</v>
      </c>
      <c r="G1029" s="548">
        <f t="shared" si="381"/>
        <v>0</v>
      </c>
      <c r="H1029" s="358" t="s">
        <v>18</v>
      </c>
      <c r="I1029" s="548">
        <f t="shared" si="382"/>
        <v>0</v>
      </c>
      <c r="J1029" s="358" t="s">
        <v>19</v>
      </c>
      <c r="K1029" s="358"/>
      <c r="L1029" s="358"/>
      <c r="M1029" s="358">
        <f>F1029*5111/3456</f>
        <v>0</v>
      </c>
      <c r="N1029" s="324"/>
      <c r="O1029" s="324"/>
      <c r="P1029" s="324"/>
      <c r="Q1029" s="324" t="s">
        <v>18</v>
      </c>
      <c r="R1029" s="324"/>
      <c r="S1029" s="324" t="s">
        <v>19</v>
      </c>
      <c r="T1029" s="528">
        <v>6</v>
      </c>
      <c r="U1029" s="324">
        <f t="shared" ref="U1029:U1034" si="383">E1029/220*60</f>
        <v>0</v>
      </c>
      <c r="V1029" s="676"/>
      <c r="W1029" s="528"/>
      <c r="X1029" s="529"/>
      <c r="Y1029" s="648" t="s">
        <v>1136</v>
      </c>
      <c r="Z1029" s="312">
        <f>E1029/1.21</f>
        <v>0</v>
      </c>
      <c r="AA1029" s="316">
        <f>SUM(Z1029/453.6)</f>
        <v>0</v>
      </c>
    </row>
    <row r="1030" spans="1:28" ht="105.75" thickBot="1" x14ac:dyDescent="0.45">
      <c r="A1030" s="319" t="s">
        <v>875</v>
      </c>
      <c r="B1030" s="364" t="s">
        <v>694</v>
      </c>
      <c r="C1030" s="528"/>
      <c r="D1030" s="548">
        <f>C1030*10</f>
        <v>0</v>
      </c>
      <c r="E1030" s="456">
        <f>D1030*0.25</f>
        <v>0</v>
      </c>
      <c r="F1030" s="358">
        <f>E1030*1.03*0.81/147</f>
        <v>0</v>
      </c>
      <c r="G1030" s="548">
        <f t="shared" si="381"/>
        <v>0</v>
      </c>
      <c r="H1030" s="358" t="s">
        <v>18</v>
      </c>
      <c r="I1030" s="548">
        <f t="shared" si="382"/>
        <v>0</v>
      </c>
      <c r="J1030" s="358" t="s">
        <v>19</v>
      </c>
      <c r="K1030" s="358"/>
      <c r="L1030" s="358"/>
      <c r="M1030" s="358">
        <f>(F1030*8820/3456)</f>
        <v>0</v>
      </c>
      <c r="N1030" s="324"/>
      <c r="O1030" s="324"/>
      <c r="P1030" s="324"/>
      <c r="Q1030" s="324" t="s">
        <v>18</v>
      </c>
      <c r="R1030" s="324"/>
      <c r="S1030" s="324" t="s">
        <v>19</v>
      </c>
      <c r="T1030" s="528">
        <v>7</v>
      </c>
      <c r="U1030" s="324">
        <f t="shared" si="383"/>
        <v>0</v>
      </c>
      <c r="V1030" s="676"/>
      <c r="W1030" s="528"/>
      <c r="X1030" s="529"/>
      <c r="Y1030" s="323" t="s">
        <v>933</v>
      </c>
      <c r="Z1030" s="312">
        <f>E1030/1.21</f>
        <v>0</v>
      </c>
      <c r="AA1030" s="316">
        <f>SUM(Z1030/390.6)</f>
        <v>0</v>
      </c>
    </row>
    <row r="1031" spans="1:28" ht="105.75" thickBot="1" x14ac:dyDescent="0.45">
      <c r="A1031" s="319" t="s">
        <v>875</v>
      </c>
      <c r="B1031" s="364" t="s">
        <v>1068</v>
      </c>
      <c r="C1031" s="528"/>
      <c r="D1031" s="528">
        <f>C1031*10</f>
        <v>0</v>
      </c>
      <c r="E1031" s="460">
        <f>D1031*0.25</f>
        <v>0</v>
      </c>
      <c r="F1031" s="324">
        <f>E1031*1.03*0.81/147</f>
        <v>0</v>
      </c>
      <c r="G1031" s="528">
        <f>INT(M1031)</f>
        <v>0</v>
      </c>
      <c r="H1031" s="324" t="s">
        <v>18</v>
      </c>
      <c r="I1031" s="528">
        <f>(M1031-G1031)*64</f>
        <v>0</v>
      </c>
      <c r="J1031" s="324" t="s">
        <v>19</v>
      </c>
      <c r="K1031" s="324"/>
      <c r="L1031" s="324"/>
      <c r="M1031" s="324">
        <f>(F1031*8820/3456)</f>
        <v>0</v>
      </c>
      <c r="N1031" s="324"/>
      <c r="O1031" s="324"/>
      <c r="P1031" s="324"/>
      <c r="Q1031" s="324" t="s">
        <v>18</v>
      </c>
      <c r="R1031" s="324"/>
      <c r="S1031" s="324" t="s">
        <v>19</v>
      </c>
      <c r="T1031" s="528">
        <v>7</v>
      </c>
      <c r="U1031" s="324">
        <f t="shared" si="383"/>
        <v>0</v>
      </c>
      <c r="V1031" s="676"/>
      <c r="W1031" s="528"/>
      <c r="X1031" s="529"/>
      <c r="Y1031" s="323" t="s">
        <v>933</v>
      </c>
      <c r="Z1031" s="312">
        <f>E1031/1.21</f>
        <v>0</v>
      </c>
      <c r="AA1031" s="316">
        <f>SUM(Z1031/390.6)</f>
        <v>0</v>
      </c>
    </row>
    <row r="1032" spans="1:28" ht="105.75" thickBot="1" x14ac:dyDescent="0.45">
      <c r="A1032" s="319" t="s">
        <v>875</v>
      </c>
      <c r="B1032" s="364" t="s">
        <v>1072</v>
      </c>
      <c r="C1032" s="528"/>
      <c r="D1032" s="528">
        <f>C1032*10</f>
        <v>0</v>
      </c>
      <c r="E1032" s="460">
        <f>D1032*0.25</f>
        <v>0</v>
      </c>
      <c r="F1032" s="324">
        <f>E1032*1.03*0.81/147</f>
        <v>0</v>
      </c>
      <c r="G1032" s="528">
        <f>INT(M1032)</f>
        <v>0</v>
      </c>
      <c r="H1032" s="324" t="s">
        <v>18</v>
      </c>
      <c r="I1032" s="528">
        <f>(M1032-G1032)*64</f>
        <v>0</v>
      </c>
      <c r="J1032" s="324" t="s">
        <v>19</v>
      </c>
      <c r="K1032" s="324"/>
      <c r="L1032" s="324"/>
      <c r="M1032" s="324">
        <f>(F1032*8820/3456)</f>
        <v>0</v>
      </c>
      <c r="N1032" s="324"/>
      <c r="O1032" s="324"/>
      <c r="P1032" s="324"/>
      <c r="Q1032" s="324" t="s">
        <v>18</v>
      </c>
      <c r="R1032" s="324"/>
      <c r="S1032" s="324" t="s">
        <v>19</v>
      </c>
      <c r="T1032" s="528">
        <v>7</v>
      </c>
      <c r="U1032" s="324">
        <f t="shared" si="383"/>
        <v>0</v>
      </c>
      <c r="V1032" s="676"/>
      <c r="W1032" s="528"/>
      <c r="X1032" s="529"/>
      <c r="Y1032" s="323" t="s">
        <v>933</v>
      </c>
      <c r="Z1032" s="312">
        <f>E1032/1.21</f>
        <v>0</v>
      </c>
      <c r="AA1032" s="316">
        <f>SUM(Z1032/334.8)</f>
        <v>0</v>
      </c>
    </row>
    <row r="1033" spans="1:28" ht="208.5" thickBot="1" x14ac:dyDescent="0.45">
      <c r="A1033" s="319" t="s">
        <v>875</v>
      </c>
      <c r="B1033" s="320" t="s">
        <v>951</v>
      </c>
      <c r="C1033" s="528"/>
      <c r="D1033" s="551">
        <f>C1033*18</f>
        <v>0</v>
      </c>
      <c r="E1033" s="456">
        <f>D1033*0.2</f>
        <v>0</v>
      </c>
      <c r="F1033" s="358">
        <f>E1033*1.03*0.82/147</f>
        <v>0</v>
      </c>
      <c r="G1033" s="548">
        <f t="shared" si="381"/>
        <v>0</v>
      </c>
      <c r="H1033" s="358" t="s">
        <v>18</v>
      </c>
      <c r="I1033" s="548">
        <f t="shared" si="382"/>
        <v>0</v>
      </c>
      <c r="J1033" s="358" t="s">
        <v>19</v>
      </c>
      <c r="K1033" s="358"/>
      <c r="L1033" s="358"/>
      <c r="M1033" s="358">
        <f>F1033*5250/3456</f>
        <v>0</v>
      </c>
      <c r="N1033" s="324"/>
      <c r="O1033" s="324"/>
      <c r="P1033" s="324"/>
      <c r="Q1033" s="324" t="s">
        <v>18</v>
      </c>
      <c r="R1033" s="324"/>
      <c r="S1033" s="324" t="s">
        <v>19</v>
      </c>
      <c r="T1033" s="528">
        <v>6</v>
      </c>
      <c r="U1033" s="324">
        <f t="shared" si="383"/>
        <v>0</v>
      </c>
      <c r="V1033" s="676"/>
      <c r="W1033" s="528"/>
      <c r="X1033" s="529"/>
      <c r="Y1033" s="647" t="s">
        <v>1145</v>
      </c>
      <c r="Z1033" s="312">
        <f>E1033/1.21</f>
        <v>0</v>
      </c>
      <c r="AA1033" s="316">
        <f>SUM(Z1033/453.6)</f>
        <v>0</v>
      </c>
    </row>
    <row r="1034" spans="1:28" ht="231.75" customHeight="1" thickBot="1" x14ac:dyDescent="0.45">
      <c r="A1034" s="319" t="s">
        <v>875</v>
      </c>
      <c r="B1034" s="320" t="s">
        <v>952</v>
      </c>
      <c r="C1034" s="528"/>
      <c r="D1034" s="551">
        <f>C1034*18</f>
        <v>0</v>
      </c>
      <c r="E1034" s="456">
        <f>D1034*0.2</f>
        <v>0</v>
      </c>
      <c r="F1034" s="358">
        <f>E1034*1.03*0.729/147</f>
        <v>0</v>
      </c>
      <c r="G1034" s="548">
        <f t="shared" si="381"/>
        <v>0</v>
      </c>
      <c r="H1034" s="358" t="s">
        <v>18</v>
      </c>
      <c r="I1034" s="548">
        <f t="shared" si="382"/>
        <v>0</v>
      </c>
      <c r="J1034" s="358" t="s">
        <v>19</v>
      </c>
      <c r="K1034" s="358"/>
      <c r="L1034" s="358"/>
      <c r="M1034" s="358">
        <f>F1034*5880/3456</f>
        <v>0</v>
      </c>
      <c r="N1034" s="324"/>
      <c r="O1034" s="324"/>
      <c r="P1034" s="324"/>
      <c r="Q1034" s="324" t="s">
        <v>18</v>
      </c>
      <c r="R1034" s="324"/>
      <c r="S1034" s="324" t="s">
        <v>19</v>
      </c>
      <c r="T1034" s="528">
        <v>6</v>
      </c>
      <c r="U1034" s="324">
        <f t="shared" si="383"/>
        <v>0</v>
      </c>
      <c r="V1034" s="676"/>
      <c r="W1034" s="528"/>
      <c r="X1034" s="529"/>
      <c r="Y1034" s="645" t="s">
        <v>1146</v>
      </c>
      <c r="Z1034" s="312">
        <f>E1034/1.21/1.143</f>
        <v>0</v>
      </c>
      <c r="AA1034" s="316">
        <f>SUM(AB1034/437.4)</f>
        <v>0</v>
      </c>
      <c r="AB1034" s="310">
        <f>E1034/1.21</f>
        <v>0</v>
      </c>
    </row>
    <row r="1035" spans="1:28" s="728" customFormat="1" ht="237" outlineLevel="1" thickBot="1" x14ac:dyDescent="0.45">
      <c r="A1035" s="636" t="s">
        <v>875</v>
      </c>
      <c r="B1035" s="634" t="s">
        <v>1040</v>
      </c>
      <c r="C1035" s="720"/>
      <c r="D1035" s="720">
        <f>C1035*12</f>
        <v>0</v>
      </c>
      <c r="E1035" s="721">
        <f>D1035*0.25</f>
        <v>0</v>
      </c>
      <c r="F1035" s="722">
        <f>E1035*1.03*0.729/147</f>
        <v>0</v>
      </c>
      <c r="G1035" s="720">
        <f t="shared" si="381"/>
        <v>0</v>
      </c>
      <c r="H1035" s="722" t="s">
        <v>18</v>
      </c>
      <c r="I1035" s="720">
        <f t="shared" si="382"/>
        <v>0</v>
      </c>
      <c r="J1035" s="722" t="s">
        <v>19</v>
      </c>
      <c r="K1035" s="722"/>
      <c r="L1035" s="722"/>
      <c r="M1035" s="722">
        <f>(F1035*7840/3456)</f>
        <v>0</v>
      </c>
      <c r="N1035" s="722"/>
      <c r="O1035" s="722"/>
      <c r="P1035" s="722"/>
      <c r="Q1035" s="722" t="s">
        <v>18</v>
      </c>
      <c r="R1035" s="722"/>
      <c r="S1035" s="722" t="s">
        <v>19</v>
      </c>
      <c r="T1035" s="720">
        <v>7</v>
      </c>
      <c r="U1035" s="722">
        <f>E1035/390*60</f>
        <v>0</v>
      </c>
      <c r="V1035" s="724"/>
      <c r="W1035" s="720"/>
      <c r="X1035" s="725"/>
      <c r="Y1035" s="736" t="s">
        <v>926</v>
      </c>
      <c r="Z1035" s="727">
        <f>E1035/1.21/1.143</f>
        <v>0</v>
      </c>
      <c r="AA1035" s="815">
        <f>SUM(AB1035/324)</f>
        <v>0</v>
      </c>
      <c r="AB1035" s="728">
        <f>E1035/1.21</f>
        <v>0</v>
      </c>
    </row>
    <row r="1036" spans="1:28" ht="237.75" customHeight="1" thickBot="1" x14ac:dyDescent="0.45">
      <c r="A1036" s="319" t="s">
        <v>875</v>
      </c>
      <c r="B1036" s="320" t="s">
        <v>953</v>
      </c>
      <c r="C1036" s="528"/>
      <c r="D1036" s="551">
        <f>C1036*18</f>
        <v>0</v>
      </c>
      <c r="E1036" s="456">
        <f>D1036*0.2</f>
        <v>0</v>
      </c>
      <c r="F1036" s="358">
        <f>E1036*1.03*0.729/147</f>
        <v>0</v>
      </c>
      <c r="G1036" s="548">
        <f t="shared" si="381"/>
        <v>0</v>
      </c>
      <c r="H1036" s="358" t="s">
        <v>18</v>
      </c>
      <c r="I1036" s="548">
        <f t="shared" si="382"/>
        <v>0</v>
      </c>
      <c r="J1036" s="358" t="s">
        <v>19</v>
      </c>
      <c r="K1036" s="358"/>
      <c r="L1036" s="358"/>
      <c r="M1036" s="358">
        <f>F1036*5880/3456</f>
        <v>0</v>
      </c>
      <c r="N1036" s="324"/>
      <c r="O1036" s="324"/>
      <c r="P1036" s="324"/>
      <c r="Q1036" s="324" t="s">
        <v>18</v>
      </c>
      <c r="R1036" s="324"/>
      <c r="S1036" s="324" t="s">
        <v>19</v>
      </c>
      <c r="T1036" s="528">
        <v>6</v>
      </c>
      <c r="U1036" s="324">
        <f t="shared" ref="U1036:U1045" si="384">E1036/220*60</f>
        <v>0</v>
      </c>
      <c r="V1036" s="676"/>
      <c r="W1036" s="528"/>
      <c r="X1036" s="529"/>
      <c r="Y1036" s="645" t="s">
        <v>1148</v>
      </c>
      <c r="Z1036" s="312">
        <f>E1036/1.21/1.143</f>
        <v>0</v>
      </c>
      <c r="AA1036" s="316">
        <f>SUM(AB1036/437.4)</f>
        <v>0</v>
      </c>
      <c r="AB1036" s="310">
        <f>E1036/1.21</f>
        <v>0</v>
      </c>
    </row>
    <row r="1037" spans="1:28" ht="189" customHeight="1" thickBot="1" x14ac:dyDescent="0.45">
      <c r="A1037" s="319" t="s">
        <v>875</v>
      </c>
      <c r="B1037" s="343" t="s">
        <v>880</v>
      </c>
      <c r="C1037" s="528"/>
      <c r="D1037" s="550">
        <f>C1037*18</f>
        <v>0</v>
      </c>
      <c r="E1037" s="358">
        <f>D1037*0.24</f>
        <v>0</v>
      </c>
      <c r="F1037" s="358">
        <f>E1037*0.81/147</f>
        <v>0</v>
      </c>
      <c r="G1037" s="548">
        <f t="shared" si="381"/>
        <v>0</v>
      </c>
      <c r="H1037" s="358" t="s">
        <v>18</v>
      </c>
      <c r="I1037" s="548">
        <f t="shared" si="382"/>
        <v>0</v>
      </c>
      <c r="J1037" s="358" t="s">
        <v>19</v>
      </c>
      <c r="K1037" s="358"/>
      <c r="L1037" s="358"/>
      <c r="M1037" s="358">
        <f>F1037*6125/3456</f>
        <v>0</v>
      </c>
      <c r="N1037" s="358"/>
      <c r="O1037" s="358"/>
      <c r="P1037" s="358"/>
      <c r="Q1037" s="358" t="s">
        <v>18</v>
      </c>
      <c r="R1037" s="358"/>
      <c r="S1037" s="358" t="s">
        <v>19</v>
      </c>
      <c r="T1037" s="528">
        <v>6</v>
      </c>
      <c r="U1037" s="324">
        <f t="shared" si="384"/>
        <v>0</v>
      </c>
      <c r="V1037" s="676"/>
      <c r="W1037" s="528"/>
      <c r="X1037" s="529"/>
      <c r="Y1037" s="645" t="s">
        <v>1138</v>
      </c>
      <c r="Z1037" s="312">
        <f t="shared" ref="Z1037:Z1050" si="385">E1037/1.21</f>
        <v>0</v>
      </c>
      <c r="AA1037" s="316">
        <f>SUM(Z1037/446.4)</f>
        <v>0</v>
      </c>
    </row>
    <row r="1038" spans="1:28" ht="79.5" thickBot="1" x14ac:dyDescent="0.45">
      <c r="A1038" s="329" t="s">
        <v>875</v>
      </c>
      <c r="B1038" s="878" t="s">
        <v>1208</v>
      </c>
      <c r="C1038" s="872"/>
      <c r="D1038" s="548">
        <f>C1038*12</f>
        <v>0</v>
      </c>
      <c r="E1038" s="456">
        <f>D1038*0.3</f>
        <v>0</v>
      </c>
      <c r="F1038" s="358">
        <f>E1038*1.01*0.79/152</f>
        <v>0</v>
      </c>
      <c r="G1038" s="549">
        <f>INT(M1038)</f>
        <v>0</v>
      </c>
      <c r="H1038" s="359" t="s">
        <v>18</v>
      </c>
      <c r="I1038" s="549">
        <f>(M1038-G1038)*64</f>
        <v>0</v>
      </c>
      <c r="J1038" s="359" t="s">
        <v>19</v>
      </c>
      <c r="K1038" s="358"/>
      <c r="L1038" s="358"/>
      <c r="M1038" s="358">
        <f>F1038*7696/3456</f>
        <v>0</v>
      </c>
      <c r="N1038" s="461"/>
      <c r="O1038" s="461"/>
      <c r="P1038" s="358"/>
      <c r="Q1038" s="358" t="s">
        <v>18</v>
      </c>
      <c r="R1038" s="358"/>
      <c r="S1038" s="358" t="s">
        <v>19</v>
      </c>
      <c r="T1038" s="528">
        <v>10</v>
      </c>
      <c r="U1038" s="324">
        <f t="shared" si="384"/>
        <v>0</v>
      </c>
      <c r="V1038" s="676"/>
      <c r="W1038" s="528"/>
      <c r="X1038" s="529"/>
      <c r="Y1038" s="323"/>
      <c r="Z1038" s="312">
        <f>E1038/1.21</f>
        <v>0</v>
      </c>
      <c r="AA1038" s="316">
        <f>SUM(Z1038/324)</f>
        <v>0</v>
      </c>
    </row>
    <row r="1039" spans="1:28" ht="132" thickBot="1" x14ac:dyDescent="0.45">
      <c r="A1039" s="319" t="s">
        <v>875</v>
      </c>
      <c r="B1039" s="876" t="s">
        <v>893</v>
      </c>
      <c r="C1039" s="528"/>
      <c r="D1039" s="551">
        <f>C1039*18</f>
        <v>0</v>
      </c>
      <c r="E1039" s="456">
        <f>D1039*0.18</f>
        <v>0</v>
      </c>
      <c r="F1039" s="358">
        <f t="shared" ref="F1039:F1044" si="386">E1039*1.03*0.8/147</f>
        <v>0</v>
      </c>
      <c r="G1039" s="548">
        <f t="shared" si="381"/>
        <v>0</v>
      </c>
      <c r="H1039" s="358" t="s">
        <v>18</v>
      </c>
      <c r="I1039" s="548">
        <f t="shared" si="382"/>
        <v>0</v>
      </c>
      <c r="J1039" s="358" t="s">
        <v>19</v>
      </c>
      <c r="K1039" s="358"/>
      <c r="L1039" s="358"/>
      <c r="M1039" s="358">
        <f>F1039*5960/3456</f>
        <v>0</v>
      </c>
      <c r="N1039" s="324"/>
      <c r="O1039" s="324"/>
      <c r="P1039" s="324"/>
      <c r="Q1039" s="324" t="s">
        <v>18</v>
      </c>
      <c r="R1039" s="324"/>
      <c r="S1039" s="324" t="s">
        <v>19</v>
      </c>
      <c r="T1039" s="528">
        <v>6</v>
      </c>
      <c r="U1039" s="324">
        <f t="shared" si="384"/>
        <v>0</v>
      </c>
      <c r="V1039" s="676"/>
      <c r="W1039" s="528"/>
      <c r="X1039" s="529"/>
      <c r="Y1039" s="300" t="s">
        <v>955</v>
      </c>
      <c r="Z1039" s="312">
        <f t="shared" si="385"/>
        <v>0</v>
      </c>
      <c r="AA1039" s="316">
        <f>SUM(Z1039/417.6)</f>
        <v>0</v>
      </c>
    </row>
    <row r="1040" spans="1:28" ht="132" thickBot="1" x14ac:dyDescent="0.45">
      <c r="A1040" s="319" t="s">
        <v>875</v>
      </c>
      <c r="B1040" s="320" t="s">
        <v>858</v>
      </c>
      <c r="C1040" s="528"/>
      <c r="D1040" s="551">
        <f>C1040*18</f>
        <v>0</v>
      </c>
      <c r="E1040" s="456">
        <f>D1040*0.18</f>
        <v>0</v>
      </c>
      <c r="F1040" s="358">
        <f t="shared" si="386"/>
        <v>0</v>
      </c>
      <c r="G1040" s="548">
        <f t="shared" si="381"/>
        <v>0</v>
      </c>
      <c r="H1040" s="358" t="s">
        <v>18</v>
      </c>
      <c r="I1040" s="548">
        <f t="shared" si="382"/>
        <v>0</v>
      </c>
      <c r="J1040" s="358" t="s">
        <v>19</v>
      </c>
      <c r="K1040" s="358"/>
      <c r="L1040" s="358"/>
      <c r="M1040" s="358">
        <f>F1040*5960/3456</f>
        <v>0</v>
      </c>
      <c r="N1040" s="324"/>
      <c r="O1040" s="324"/>
      <c r="P1040" s="324"/>
      <c r="Q1040" s="324" t="s">
        <v>18</v>
      </c>
      <c r="R1040" s="324"/>
      <c r="S1040" s="324" t="s">
        <v>19</v>
      </c>
      <c r="T1040" s="528">
        <v>6</v>
      </c>
      <c r="U1040" s="324">
        <f t="shared" si="384"/>
        <v>0</v>
      </c>
      <c r="V1040" s="676"/>
      <c r="W1040" s="528"/>
      <c r="X1040" s="529"/>
      <c r="Y1040" s="300" t="s">
        <v>956</v>
      </c>
      <c r="Z1040" s="312">
        <f t="shared" si="385"/>
        <v>0</v>
      </c>
      <c r="AA1040" s="316">
        <f>SUM(Z1040/417.6)</f>
        <v>0</v>
      </c>
    </row>
    <row r="1041" spans="1:28" ht="132" thickBot="1" x14ac:dyDescent="0.45">
      <c r="A1041" s="319" t="s">
        <v>875</v>
      </c>
      <c r="B1041" s="320" t="s">
        <v>1031</v>
      </c>
      <c r="C1041" s="528"/>
      <c r="D1041" s="530">
        <f>C1041*22</f>
        <v>0</v>
      </c>
      <c r="E1041" s="460">
        <f>D1041*0.18</f>
        <v>0</v>
      </c>
      <c r="F1041" s="324">
        <f t="shared" si="386"/>
        <v>0</v>
      </c>
      <c r="G1041" s="528">
        <f t="shared" si="381"/>
        <v>0</v>
      </c>
      <c r="H1041" s="324" t="s">
        <v>18</v>
      </c>
      <c r="I1041" s="528">
        <f t="shared" si="382"/>
        <v>0</v>
      </c>
      <c r="J1041" s="324" t="s">
        <v>19</v>
      </c>
      <c r="K1041" s="324"/>
      <c r="L1041" s="324"/>
      <c r="M1041" s="324">
        <f>F1041*5960/3456</f>
        <v>0</v>
      </c>
      <c r="N1041" s="324"/>
      <c r="O1041" s="324"/>
      <c r="P1041" s="324"/>
      <c r="Q1041" s="324" t="s">
        <v>18</v>
      </c>
      <c r="R1041" s="324"/>
      <c r="S1041" s="324" t="s">
        <v>19</v>
      </c>
      <c r="T1041" s="528">
        <v>6</v>
      </c>
      <c r="U1041" s="324">
        <f>E1041/220*60</f>
        <v>0</v>
      </c>
      <c r="V1041" s="676"/>
      <c r="W1041" s="528"/>
      <c r="X1041" s="529"/>
      <c r="Y1041" s="300" t="s">
        <v>956</v>
      </c>
      <c r="Z1041" s="312">
        <f>E1041/1.21</f>
        <v>0</v>
      </c>
      <c r="AA1041" s="316">
        <f>SUM(Z1041/417.6)</f>
        <v>0</v>
      </c>
    </row>
    <row r="1042" spans="1:28" ht="183" thickBot="1" x14ac:dyDescent="0.45">
      <c r="A1042" s="319" t="s">
        <v>875</v>
      </c>
      <c r="B1042" s="320" t="s">
        <v>909</v>
      </c>
      <c r="C1042" s="528"/>
      <c r="D1042" s="550">
        <f>C1042*12</f>
        <v>0</v>
      </c>
      <c r="E1042" s="358">
        <f>D1042*0.36</f>
        <v>0</v>
      </c>
      <c r="F1042" s="358">
        <f t="shared" si="386"/>
        <v>0</v>
      </c>
      <c r="G1042" s="548">
        <f t="shared" si="381"/>
        <v>0</v>
      </c>
      <c r="H1042" s="358" t="s">
        <v>18</v>
      </c>
      <c r="I1042" s="548">
        <f t="shared" si="382"/>
        <v>0</v>
      </c>
      <c r="J1042" s="358" t="s">
        <v>19</v>
      </c>
      <c r="K1042" s="358"/>
      <c r="L1042" s="358"/>
      <c r="M1042" s="358">
        <f>F1042*6000/3456</f>
        <v>0</v>
      </c>
      <c r="N1042" s="358"/>
      <c r="O1042" s="358"/>
      <c r="P1042" s="358"/>
      <c r="Q1042" s="358" t="s">
        <v>18</v>
      </c>
      <c r="R1042" s="358"/>
      <c r="S1042" s="358" t="s">
        <v>19</v>
      </c>
      <c r="T1042" s="528">
        <v>6</v>
      </c>
      <c r="U1042" s="324">
        <f t="shared" si="384"/>
        <v>0</v>
      </c>
      <c r="V1042" s="676"/>
      <c r="W1042" s="528"/>
      <c r="X1042" s="529"/>
      <c r="Y1042" s="645" t="s">
        <v>1137</v>
      </c>
      <c r="Z1042" s="312">
        <f t="shared" si="385"/>
        <v>0</v>
      </c>
      <c r="AA1042" s="316">
        <f>SUM(Z1042/446.4)</f>
        <v>0</v>
      </c>
    </row>
    <row r="1043" spans="1:28" ht="161.25" customHeight="1" thickBot="1" x14ac:dyDescent="0.45">
      <c r="A1043" s="319" t="s">
        <v>875</v>
      </c>
      <c r="B1043" s="320" t="s">
        <v>1004</v>
      </c>
      <c r="C1043" s="528"/>
      <c r="D1043" s="567">
        <f>C1043*14</f>
        <v>0</v>
      </c>
      <c r="E1043" s="324">
        <f>D1043*0.36</f>
        <v>0</v>
      </c>
      <c r="F1043" s="324">
        <f t="shared" si="386"/>
        <v>0</v>
      </c>
      <c r="G1043" s="528">
        <f>INT(M1043)</f>
        <v>0</v>
      </c>
      <c r="H1043" s="324" t="s">
        <v>18</v>
      </c>
      <c r="I1043" s="528">
        <f>(M1043-G1043)*64</f>
        <v>0</v>
      </c>
      <c r="J1043" s="324" t="s">
        <v>19</v>
      </c>
      <c r="K1043" s="324"/>
      <c r="L1043" s="324"/>
      <c r="M1043" s="324">
        <f>F1043*6000/3456</f>
        <v>0</v>
      </c>
      <c r="N1043" s="324"/>
      <c r="O1043" s="324"/>
      <c r="P1043" s="324"/>
      <c r="Q1043" s="324" t="s">
        <v>18</v>
      </c>
      <c r="R1043" s="324"/>
      <c r="S1043" s="324" t="s">
        <v>19</v>
      </c>
      <c r="T1043" s="528">
        <v>6</v>
      </c>
      <c r="U1043" s="324">
        <f t="shared" si="384"/>
        <v>0</v>
      </c>
      <c r="V1043" s="676"/>
      <c r="W1043" s="528"/>
      <c r="X1043" s="529"/>
      <c r="Y1043" s="323" t="s">
        <v>1139</v>
      </c>
      <c r="Z1043" s="312">
        <f>E1043/1.21</f>
        <v>0</v>
      </c>
      <c r="AA1043" s="316">
        <f>SUM(Z1043/446.4)</f>
        <v>0</v>
      </c>
    </row>
    <row r="1044" spans="1:28" ht="105.75" thickBot="1" x14ac:dyDescent="0.45">
      <c r="A1044" s="319" t="s">
        <v>875</v>
      </c>
      <c r="B1044" s="320" t="s">
        <v>1027</v>
      </c>
      <c r="C1044" s="528"/>
      <c r="D1044" s="567">
        <f>C1044*7</f>
        <v>0</v>
      </c>
      <c r="E1044" s="460">
        <f>D1044*0.36</f>
        <v>0</v>
      </c>
      <c r="F1044" s="324">
        <f t="shared" si="386"/>
        <v>0</v>
      </c>
      <c r="G1044" s="528">
        <f>INT(M1044)</f>
        <v>0</v>
      </c>
      <c r="H1044" s="324" t="s">
        <v>18</v>
      </c>
      <c r="I1044" s="528">
        <f>(M1044-G1044)*64</f>
        <v>0</v>
      </c>
      <c r="J1044" s="324" t="s">
        <v>19</v>
      </c>
      <c r="K1044" s="324"/>
      <c r="L1044" s="324"/>
      <c r="M1044" s="324">
        <f>F1044*6000/3456</f>
        <v>0</v>
      </c>
      <c r="N1044" s="324"/>
      <c r="O1044" s="324"/>
      <c r="P1044" s="324"/>
      <c r="Q1044" s="324" t="s">
        <v>18</v>
      </c>
      <c r="R1044" s="324"/>
      <c r="S1044" s="324" t="s">
        <v>19</v>
      </c>
      <c r="T1044" s="528">
        <v>6</v>
      </c>
      <c r="U1044" s="324">
        <f>E1044/220*60</f>
        <v>0</v>
      </c>
      <c r="V1044" s="676"/>
      <c r="W1044" s="528"/>
      <c r="X1044" s="529"/>
      <c r="Y1044" s="323" t="s">
        <v>1003</v>
      </c>
      <c r="Z1044" s="312">
        <f>E1044/1.21/1.143</f>
        <v>0</v>
      </c>
      <c r="AA1044" s="316">
        <f>SUM(AB1044/291.6)</f>
        <v>0</v>
      </c>
      <c r="AB1044" s="310">
        <f>E1044/1.21</f>
        <v>0</v>
      </c>
    </row>
    <row r="1045" spans="1:28" ht="184.5" thickBot="1" x14ac:dyDescent="0.45">
      <c r="A1045" s="319" t="s">
        <v>875</v>
      </c>
      <c r="B1045" s="364" t="s">
        <v>992</v>
      </c>
      <c r="C1045" s="528"/>
      <c r="D1045" s="528">
        <f>C1045*12</f>
        <v>0</v>
      </c>
      <c r="E1045" s="324">
        <f>D1045*0.25</f>
        <v>0</v>
      </c>
      <c r="F1045" s="324">
        <f>E1045*1.03*0.81/170</f>
        <v>0</v>
      </c>
      <c r="G1045" s="528">
        <f>INT(M1045)</f>
        <v>0</v>
      </c>
      <c r="H1045" s="324" t="s">
        <v>18</v>
      </c>
      <c r="I1045" s="528">
        <f>(M1045-G1045)*64</f>
        <v>0</v>
      </c>
      <c r="J1045" s="324" t="s">
        <v>19</v>
      </c>
      <c r="K1045" s="324"/>
      <c r="L1045" s="324"/>
      <c r="M1045" s="324">
        <f>(F1045*8820/3456)</f>
        <v>0</v>
      </c>
      <c r="N1045" s="324"/>
      <c r="O1045" s="324"/>
      <c r="P1045" s="324"/>
      <c r="Q1045" s="324" t="s">
        <v>18</v>
      </c>
      <c r="R1045" s="324"/>
      <c r="S1045" s="324" t="s">
        <v>19</v>
      </c>
      <c r="T1045" s="528">
        <v>10</v>
      </c>
      <c r="U1045" s="324">
        <f t="shared" si="384"/>
        <v>0</v>
      </c>
      <c r="V1045" s="676"/>
      <c r="W1045" s="528"/>
      <c r="X1045" s="529"/>
      <c r="Y1045" s="323" t="s">
        <v>1105</v>
      </c>
      <c r="Z1045" s="312">
        <f>E1045/1.21</f>
        <v>0</v>
      </c>
      <c r="AA1045" s="316">
        <f>SUM(Z1045/364.5)</f>
        <v>0</v>
      </c>
    </row>
    <row r="1046" spans="1:28" ht="183" thickBot="1" x14ac:dyDescent="0.45">
      <c r="A1046" s="319" t="s">
        <v>875</v>
      </c>
      <c r="B1046" s="343" t="s">
        <v>970</v>
      </c>
      <c r="C1046" s="528"/>
      <c r="D1046" s="548"/>
      <c r="E1046" s="456">
        <f>C1046*0.3</f>
        <v>0</v>
      </c>
      <c r="F1046" s="358">
        <f>E1046*1.03*0.82/147</f>
        <v>0</v>
      </c>
      <c r="G1046" s="549">
        <f t="shared" si="381"/>
        <v>0</v>
      </c>
      <c r="H1046" s="359" t="s">
        <v>18</v>
      </c>
      <c r="I1046" s="549">
        <f t="shared" si="382"/>
        <v>0</v>
      </c>
      <c r="J1046" s="359" t="s">
        <v>19</v>
      </c>
      <c r="K1046" s="358"/>
      <c r="L1046" s="358"/>
      <c r="M1046" s="358">
        <f>(F1046*5547/3456)</f>
        <v>0</v>
      </c>
      <c r="N1046" s="461"/>
      <c r="O1046" s="461"/>
      <c r="P1046" s="461"/>
      <c r="Q1046" s="358" t="s">
        <v>18</v>
      </c>
      <c r="R1046" s="358"/>
      <c r="S1046" s="358" t="s">
        <v>19</v>
      </c>
      <c r="T1046" s="528">
        <v>10</v>
      </c>
      <c r="U1046" s="324">
        <f>E1046/324*60</f>
        <v>0</v>
      </c>
      <c r="V1046" s="676"/>
      <c r="W1046" s="528"/>
      <c r="X1046" s="529"/>
      <c r="Y1046" s="645" t="s">
        <v>1095</v>
      </c>
      <c r="Z1046" s="312">
        <f t="shared" si="385"/>
        <v>0</v>
      </c>
      <c r="AA1046" s="316">
        <f>SUM(Z1046/511.5)</f>
        <v>0</v>
      </c>
    </row>
    <row r="1047" spans="1:28" ht="183" thickBot="1" x14ac:dyDescent="0.45">
      <c r="A1047" s="319" t="s">
        <v>875</v>
      </c>
      <c r="B1047" s="887" t="s">
        <v>1225</v>
      </c>
      <c r="C1047" s="528"/>
      <c r="D1047" s="528">
        <f>C1047*10</f>
        <v>0</v>
      </c>
      <c r="E1047" s="460">
        <f>D1047*0.3</f>
        <v>0</v>
      </c>
      <c r="F1047" s="324">
        <f>E1047*1.03*0.82/147</f>
        <v>0</v>
      </c>
      <c r="G1047" s="537">
        <f>INT(M1047)</f>
        <v>0</v>
      </c>
      <c r="H1047" s="354"/>
      <c r="I1047" s="537">
        <f>(M1047-G1047)*64</f>
        <v>0</v>
      </c>
      <c r="J1047" s="354"/>
      <c r="K1047" s="324"/>
      <c r="L1047" s="324"/>
      <c r="M1047" s="324">
        <f>(F1047*4900/2880)</f>
        <v>0</v>
      </c>
      <c r="N1047" s="324"/>
      <c r="O1047" s="324"/>
      <c r="P1047" s="324"/>
      <c r="Q1047" s="324"/>
      <c r="R1047" s="324"/>
      <c r="S1047" s="324"/>
      <c r="T1047" s="528"/>
      <c r="U1047" s="324"/>
      <c r="V1047" s="676"/>
      <c r="W1047" s="528"/>
      <c r="X1047" s="529"/>
      <c r="Y1047" s="645" t="s">
        <v>1095</v>
      </c>
      <c r="Z1047" s="312">
        <f>E1047/1.21</f>
        <v>0</v>
      </c>
      <c r="AA1047" s="316">
        <f>SUM(Z1047/511.5)</f>
        <v>0</v>
      </c>
    </row>
    <row r="1048" spans="1:28" ht="183" thickBot="1" x14ac:dyDescent="0.45">
      <c r="A1048" s="319" t="s">
        <v>875</v>
      </c>
      <c r="B1048" s="343" t="s">
        <v>967</v>
      </c>
      <c r="C1048" s="528"/>
      <c r="D1048" s="548"/>
      <c r="E1048" s="456">
        <f>C1048*0.3</f>
        <v>0</v>
      </c>
      <c r="F1048" s="358">
        <f>E1048*1.03*0.82/147</f>
        <v>0</v>
      </c>
      <c r="G1048" s="549">
        <f t="shared" si="381"/>
        <v>0</v>
      </c>
      <c r="H1048" s="359" t="s">
        <v>18</v>
      </c>
      <c r="I1048" s="549">
        <f t="shared" si="382"/>
        <v>0</v>
      </c>
      <c r="J1048" s="359" t="s">
        <v>19</v>
      </c>
      <c r="K1048" s="358"/>
      <c r="L1048" s="358"/>
      <c r="M1048" s="358">
        <f>(F1048*5547/3456)</f>
        <v>0</v>
      </c>
      <c r="N1048" s="461"/>
      <c r="O1048" s="461"/>
      <c r="P1048" s="461"/>
      <c r="Q1048" s="358" t="s">
        <v>18</v>
      </c>
      <c r="R1048" s="358"/>
      <c r="S1048" s="358" t="s">
        <v>19</v>
      </c>
      <c r="T1048" s="528">
        <v>10</v>
      </c>
      <c r="U1048" s="324">
        <f>E1048/324*60</f>
        <v>0</v>
      </c>
      <c r="V1048" s="676"/>
      <c r="W1048" s="528"/>
      <c r="X1048" s="529"/>
      <c r="Y1048" s="645" t="s">
        <v>1095</v>
      </c>
      <c r="Z1048" s="312">
        <f t="shared" si="385"/>
        <v>0</v>
      </c>
      <c r="AA1048" s="316">
        <f>SUM(Z1048/511.5)</f>
        <v>0</v>
      </c>
    </row>
    <row r="1049" spans="1:28" ht="183" thickBot="1" x14ac:dyDescent="0.45">
      <c r="A1049" s="319" t="s">
        <v>875</v>
      </c>
      <c r="B1049" s="343" t="s">
        <v>968</v>
      </c>
      <c r="C1049" s="528"/>
      <c r="D1049" s="548"/>
      <c r="E1049" s="456">
        <f>C1049*0.3</f>
        <v>0</v>
      </c>
      <c r="F1049" s="358">
        <f>E1049*1.03*0.72/147</f>
        <v>0</v>
      </c>
      <c r="G1049" s="548">
        <f t="shared" si="381"/>
        <v>0</v>
      </c>
      <c r="H1049" s="358" t="s">
        <v>18</v>
      </c>
      <c r="I1049" s="548">
        <f t="shared" si="382"/>
        <v>0</v>
      </c>
      <c r="J1049" s="358" t="s">
        <v>19</v>
      </c>
      <c r="K1049" s="358"/>
      <c r="L1049" s="358"/>
      <c r="M1049" s="358">
        <f>(F1049*6035/3456)</f>
        <v>0</v>
      </c>
      <c r="N1049" s="461"/>
      <c r="O1049" s="461"/>
      <c r="P1049" s="461"/>
      <c r="Q1049" s="358" t="s">
        <v>18</v>
      </c>
      <c r="R1049" s="358"/>
      <c r="S1049" s="358" t="s">
        <v>19</v>
      </c>
      <c r="T1049" s="528">
        <v>10</v>
      </c>
      <c r="U1049" s="324">
        <f>E1049/324*60</f>
        <v>0</v>
      </c>
      <c r="V1049" s="676"/>
      <c r="W1049" s="528"/>
      <c r="X1049" s="529"/>
      <c r="Y1049" s="645" t="s">
        <v>1095</v>
      </c>
      <c r="Z1049" s="312">
        <f t="shared" si="385"/>
        <v>0</v>
      </c>
      <c r="AA1049" s="316">
        <f>SUM(AB1049/445.5)</f>
        <v>0</v>
      </c>
      <c r="AB1049" s="310">
        <f>E1049/1.21</f>
        <v>0</v>
      </c>
    </row>
    <row r="1050" spans="1:28" ht="183" thickBot="1" x14ac:dyDescent="0.45">
      <c r="A1050" s="319" t="s">
        <v>875</v>
      </c>
      <c r="B1050" s="343" t="s">
        <v>1141</v>
      </c>
      <c r="C1050" s="528"/>
      <c r="D1050" s="548"/>
      <c r="E1050" s="456">
        <f>C1050*0.3</f>
        <v>0</v>
      </c>
      <c r="F1050" s="358">
        <f>E1050*1.03*0.72/147</f>
        <v>0</v>
      </c>
      <c r="G1050" s="548">
        <f>INT(M1050)</f>
        <v>0</v>
      </c>
      <c r="H1050" s="358" t="s">
        <v>18</v>
      </c>
      <c r="I1050" s="548">
        <f>(M1050-G1050)*64</f>
        <v>0</v>
      </c>
      <c r="J1050" s="358" t="s">
        <v>19</v>
      </c>
      <c r="K1050" s="358"/>
      <c r="L1050" s="358"/>
      <c r="M1050" s="358">
        <f>(F1050*6035/3456)</f>
        <v>0</v>
      </c>
      <c r="N1050" s="461"/>
      <c r="O1050" s="461"/>
      <c r="P1050" s="461"/>
      <c r="Q1050" s="358" t="s">
        <v>18</v>
      </c>
      <c r="R1050" s="358"/>
      <c r="S1050" s="358" t="s">
        <v>19</v>
      </c>
      <c r="T1050" s="528">
        <v>10</v>
      </c>
      <c r="U1050" s="324">
        <f>E1050/324*60</f>
        <v>0</v>
      </c>
      <c r="V1050" s="676"/>
      <c r="W1050" s="528"/>
      <c r="X1050" s="529"/>
      <c r="Y1050" s="645" t="s">
        <v>1095</v>
      </c>
      <c r="Z1050" s="312">
        <f t="shared" si="385"/>
        <v>0</v>
      </c>
      <c r="AA1050" s="316">
        <f>SUM(AB1050/445.5)</f>
        <v>0</v>
      </c>
      <c r="AB1050" s="310">
        <f>E1050/1.21</f>
        <v>0</v>
      </c>
    </row>
    <row r="1051" spans="1:28" thickBot="1" x14ac:dyDescent="0.45">
      <c r="A1051" s="830"/>
      <c r="B1051" s="332" t="s">
        <v>287</v>
      </c>
      <c r="C1051" s="347"/>
      <c r="D1051" s="347"/>
      <c r="E1051" s="494"/>
      <c r="F1051" s="348"/>
      <c r="G1051" s="347"/>
      <c r="H1051" s="348"/>
      <c r="I1051" s="347"/>
      <c r="J1051" s="348"/>
      <c r="K1051" s="348"/>
      <c r="L1051" s="348"/>
      <c r="M1051" s="348"/>
      <c r="N1051" s="348"/>
      <c r="O1051" s="348"/>
      <c r="P1051" s="348"/>
      <c r="Q1051" s="348"/>
      <c r="R1051" s="348"/>
      <c r="S1051" s="348"/>
      <c r="T1051" s="347"/>
      <c r="U1051" s="348"/>
      <c r="V1051" s="356"/>
      <c r="W1051" s="348"/>
      <c r="X1051" s="495"/>
      <c r="Y1051" s="357"/>
    </row>
    <row r="1052" spans="1:28" thickBot="1" x14ac:dyDescent="0.45">
      <c r="A1052" s="830"/>
      <c r="B1052" s="332" t="s">
        <v>299</v>
      </c>
      <c r="C1052" s="347"/>
      <c r="D1052" s="347"/>
      <c r="E1052" s="494"/>
      <c r="F1052" s="348"/>
      <c r="G1052" s="347"/>
      <c r="H1052" s="348"/>
      <c r="I1052" s="347"/>
      <c r="J1052" s="348"/>
      <c r="K1052" s="348"/>
      <c r="L1052" s="348"/>
      <c r="M1052" s="348"/>
      <c r="N1052" s="348"/>
      <c r="O1052" s="348"/>
      <c r="P1052" s="348"/>
      <c r="Q1052" s="348"/>
      <c r="R1052" s="348"/>
      <c r="S1052" s="348"/>
      <c r="T1052" s="347"/>
      <c r="U1052" s="348"/>
      <c r="V1052" s="356"/>
      <c r="W1052" s="348"/>
      <c r="X1052" s="495"/>
      <c r="Y1052" s="357"/>
    </row>
    <row r="1053" spans="1:28" ht="79.5" thickBot="1" x14ac:dyDescent="0.45">
      <c r="A1053" s="319" t="s">
        <v>875</v>
      </c>
      <c r="B1053" s="320" t="s">
        <v>868</v>
      </c>
      <c r="C1053" s="528"/>
      <c r="D1053" s="528"/>
      <c r="E1053" s="456">
        <f>C1053*2.4</f>
        <v>0</v>
      </c>
      <c r="F1053" s="358">
        <f t="shared" ref="F1053:F1064" si="387">E1053*1.02*0.99/147</f>
        <v>0</v>
      </c>
      <c r="G1053" s="548">
        <f t="shared" ref="G1053:G1063" si="388">INT(M1053)</f>
        <v>0</v>
      </c>
      <c r="H1053" s="358" t="s">
        <v>18</v>
      </c>
      <c r="I1053" s="548">
        <f t="shared" ref="I1053:I1063" si="389">(M1053-G1053)*64</f>
        <v>0</v>
      </c>
      <c r="J1053" s="358" t="s">
        <v>19</v>
      </c>
      <c r="K1053" s="358"/>
      <c r="L1053" s="358"/>
      <c r="M1053" s="358">
        <f t="shared" ref="M1053:M1063" si="390">F1053*4983/2880</f>
        <v>0</v>
      </c>
      <c r="N1053" s="324"/>
      <c r="O1053" s="324"/>
      <c r="P1053" s="324"/>
      <c r="Q1053" s="324" t="s">
        <v>18</v>
      </c>
      <c r="R1053" s="324"/>
      <c r="S1053" s="324" t="s">
        <v>19</v>
      </c>
      <c r="T1053" s="528">
        <v>7</v>
      </c>
      <c r="U1053" s="324">
        <f>E1053/420*60</f>
        <v>0</v>
      </c>
      <c r="V1053" s="676"/>
      <c r="W1053" s="528"/>
      <c r="X1053" s="529"/>
      <c r="Y1053" s="644" t="s">
        <v>1094</v>
      </c>
      <c r="Z1053" s="312">
        <f>E1053/1.02</f>
        <v>0</v>
      </c>
      <c r="AA1053" s="316">
        <f t="shared" ref="AA1053:AA1060" si="391">SUM(Z1053/530.1)</f>
        <v>0</v>
      </c>
    </row>
    <row r="1054" spans="1:28" ht="79.5" thickBot="1" x14ac:dyDescent="0.45">
      <c r="A1054" s="319" t="s">
        <v>875</v>
      </c>
      <c r="B1054" s="320" t="s">
        <v>628</v>
      </c>
      <c r="C1054" s="528"/>
      <c r="D1054" s="528"/>
      <c r="E1054" s="456">
        <f>C1054*3.2</f>
        <v>0</v>
      </c>
      <c r="F1054" s="358">
        <f t="shared" si="387"/>
        <v>0</v>
      </c>
      <c r="G1054" s="548">
        <f t="shared" si="388"/>
        <v>0</v>
      </c>
      <c r="H1054" s="358" t="s">
        <v>18</v>
      </c>
      <c r="I1054" s="548">
        <f t="shared" si="389"/>
        <v>0</v>
      </c>
      <c r="J1054" s="358" t="s">
        <v>19</v>
      </c>
      <c r="K1054" s="358"/>
      <c r="L1054" s="358"/>
      <c r="M1054" s="358">
        <f t="shared" si="390"/>
        <v>0</v>
      </c>
      <c r="N1054" s="324"/>
      <c r="O1054" s="324"/>
      <c r="P1054" s="324"/>
      <c r="Q1054" s="324" t="s">
        <v>18</v>
      </c>
      <c r="R1054" s="324"/>
      <c r="S1054" s="324" t="s">
        <v>19</v>
      </c>
      <c r="T1054" s="528">
        <v>7</v>
      </c>
      <c r="U1054" s="324">
        <f>E1054/259*60</f>
        <v>0</v>
      </c>
      <c r="V1054" s="676"/>
      <c r="W1054" s="528"/>
      <c r="X1054" s="529"/>
      <c r="Y1054" s="644" t="s">
        <v>1094</v>
      </c>
      <c r="Z1054" s="312">
        <f t="shared" ref="Z1054:Z1062" si="392">E1054/1.02</f>
        <v>0</v>
      </c>
      <c r="AA1054" s="316">
        <f t="shared" si="391"/>
        <v>0</v>
      </c>
    </row>
    <row r="1055" spans="1:28" ht="79.5" thickBot="1" x14ac:dyDescent="0.45">
      <c r="A1055" s="319" t="s">
        <v>875</v>
      </c>
      <c r="B1055" s="320" t="s">
        <v>629</v>
      </c>
      <c r="C1055" s="528"/>
      <c r="D1055" s="528"/>
      <c r="E1055" s="456">
        <f>C1055*4</f>
        <v>0</v>
      </c>
      <c r="F1055" s="358">
        <f t="shared" si="387"/>
        <v>0</v>
      </c>
      <c r="G1055" s="548">
        <f t="shared" si="388"/>
        <v>0</v>
      </c>
      <c r="H1055" s="358" t="s">
        <v>18</v>
      </c>
      <c r="I1055" s="548">
        <f t="shared" si="389"/>
        <v>0</v>
      </c>
      <c r="J1055" s="358" t="s">
        <v>19</v>
      </c>
      <c r="K1055" s="358"/>
      <c r="L1055" s="358"/>
      <c r="M1055" s="358">
        <f t="shared" si="390"/>
        <v>0</v>
      </c>
      <c r="N1055" s="324"/>
      <c r="O1055" s="324"/>
      <c r="P1055" s="324"/>
      <c r="Q1055" s="324" t="s">
        <v>18</v>
      </c>
      <c r="R1055" s="324"/>
      <c r="S1055" s="324" t="s">
        <v>19</v>
      </c>
      <c r="T1055" s="528">
        <v>7</v>
      </c>
      <c r="U1055" s="324">
        <f>E1055/259*60</f>
        <v>0</v>
      </c>
      <c r="V1055" s="676"/>
      <c r="W1055" s="528"/>
      <c r="X1055" s="529"/>
      <c r="Y1055" s="644" t="s">
        <v>1094</v>
      </c>
      <c r="Z1055" s="312">
        <f t="shared" si="392"/>
        <v>0</v>
      </c>
      <c r="AA1055" s="316">
        <f t="shared" si="391"/>
        <v>0</v>
      </c>
    </row>
    <row r="1056" spans="1:28" ht="156.75" thickBot="1" x14ac:dyDescent="0.45">
      <c r="A1056" s="319" t="s">
        <v>875</v>
      </c>
      <c r="B1056" s="320" t="s">
        <v>869</v>
      </c>
      <c r="C1056" s="528"/>
      <c r="D1056" s="528"/>
      <c r="E1056" s="456">
        <f>C1056*2.4</f>
        <v>0</v>
      </c>
      <c r="F1056" s="358">
        <f t="shared" si="387"/>
        <v>0</v>
      </c>
      <c r="G1056" s="548">
        <f t="shared" si="388"/>
        <v>0</v>
      </c>
      <c r="H1056" s="358" t="s">
        <v>18</v>
      </c>
      <c r="I1056" s="548">
        <f t="shared" si="389"/>
        <v>0</v>
      </c>
      <c r="J1056" s="358" t="s">
        <v>19</v>
      </c>
      <c r="K1056" s="358"/>
      <c r="L1056" s="358"/>
      <c r="M1056" s="358">
        <f t="shared" si="390"/>
        <v>0</v>
      </c>
      <c r="N1056" s="324"/>
      <c r="O1056" s="324"/>
      <c r="P1056" s="324"/>
      <c r="Q1056" s="324" t="s">
        <v>18</v>
      </c>
      <c r="R1056" s="324"/>
      <c r="S1056" s="324" t="s">
        <v>19</v>
      </c>
      <c r="T1056" s="528">
        <v>7</v>
      </c>
      <c r="U1056" s="324">
        <f>E1056/420*60</f>
        <v>0</v>
      </c>
      <c r="V1056" s="676"/>
      <c r="W1056" s="528"/>
      <c r="X1056" s="529"/>
      <c r="Y1056" s="648" t="s">
        <v>1124</v>
      </c>
      <c r="Z1056" s="312">
        <f t="shared" si="392"/>
        <v>0</v>
      </c>
      <c r="AA1056" s="316">
        <f t="shared" si="391"/>
        <v>0</v>
      </c>
    </row>
    <row r="1057" spans="1:28" ht="156.75" thickBot="1" x14ac:dyDescent="0.45">
      <c r="A1057" s="319" t="s">
        <v>875</v>
      </c>
      <c r="B1057" s="320" t="s">
        <v>870</v>
      </c>
      <c r="C1057" s="528"/>
      <c r="D1057" s="528"/>
      <c r="E1057" s="456">
        <f>C1057*2.4</f>
        <v>0</v>
      </c>
      <c r="F1057" s="358">
        <f t="shared" si="387"/>
        <v>0</v>
      </c>
      <c r="G1057" s="548">
        <f t="shared" si="388"/>
        <v>0</v>
      </c>
      <c r="H1057" s="358" t="s">
        <v>18</v>
      </c>
      <c r="I1057" s="548">
        <f t="shared" si="389"/>
        <v>0</v>
      </c>
      <c r="J1057" s="358" t="s">
        <v>19</v>
      </c>
      <c r="K1057" s="358"/>
      <c r="L1057" s="358"/>
      <c r="M1057" s="358">
        <f t="shared" si="390"/>
        <v>0</v>
      </c>
      <c r="N1057" s="324"/>
      <c r="O1057" s="324"/>
      <c r="P1057" s="324"/>
      <c r="Q1057" s="324" t="s">
        <v>18</v>
      </c>
      <c r="R1057" s="324"/>
      <c r="S1057" s="324" t="s">
        <v>19</v>
      </c>
      <c r="T1057" s="528">
        <v>7</v>
      </c>
      <c r="U1057" s="324">
        <f>E1057/420*60</f>
        <v>0</v>
      </c>
      <c r="V1057" s="676"/>
      <c r="W1057" s="528"/>
      <c r="X1057" s="529"/>
      <c r="Y1057" s="648" t="s">
        <v>1131</v>
      </c>
      <c r="Z1057" s="312">
        <f t="shared" si="392"/>
        <v>0</v>
      </c>
      <c r="AA1057" s="316">
        <f t="shared" si="391"/>
        <v>0</v>
      </c>
    </row>
    <row r="1058" spans="1:28" ht="79.5" thickBot="1" x14ac:dyDescent="0.45">
      <c r="A1058" s="319" t="s">
        <v>875</v>
      </c>
      <c r="B1058" s="320" t="s">
        <v>871</v>
      </c>
      <c r="C1058" s="528"/>
      <c r="D1058" s="528"/>
      <c r="E1058" s="456">
        <f>C1058*2.4</f>
        <v>0</v>
      </c>
      <c r="F1058" s="358">
        <f t="shared" si="387"/>
        <v>0</v>
      </c>
      <c r="G1058" s="548">
        <f t="shared" si="388"/>
        <v>0</v>
      </c>
      <c r="H1058" s="358" t="s">
        <v>18</v>
      </c>
      <c r="I1058" s="548">
        <f t="shared" si="389"/>
        <v>0</v>
      </c>
      <c r="J1058" s="358" t="s">
        <v>19</v>
      </c>
      <c r="K1058" s="358"/>
      <c r="L1058" s="358"/>
      <c r="M1058" s="358">
        <f t="shared" si="390"/>
        <v>0</v>
      </c>
      <c r="N1058" s="324"/>
      <c r="O1058" s="324"/>
      <c r="P1058" s="324"/>
      <c r="Q1058" s="324" t="s">
        <v>18</v>
      </c>
      <c r="R1058" s="324"/>
      <c r="S1058" s="324" t="s">
        <v>19</v>
      </c>
      <c r="T1058" s="528">
        <v>7</v>
      </c>
      <c r="U1058" s="324">
        <f>E1058/420*60</f>
        <v>0</v>
      </c>
      <c r="V1058" s="676"/>
      <c r="W1058" s="528"/>
      <c r="X1058" s="529"/>
      <c r="Y1058" s="323"/>
      <c r="Z1058" s="312">
        <f t="shared" si="392"/>
        <v>0</v>
      </c>
      <c r="AA1058" s="316">
        <f t="shared" si="391"/>
        <v>0</v>
      </c>
    </row>
    <row r="1059" spans="1:28" ht="156.75" thickBot="1" x14ac:dyDescent="0.45">
      <c r="A1059" s="319" t="s">
        <v>875</v>
      </c>
      <c r="B1059" s="320" t="s">
        <v>786</v>
      </c>
      <c r="C1059" s="528"/>
      <c r="D1059" s="528"/>
      <c r="E1059" s="456">
        <f t="shared" ref="E1059:E1066" si="393">C1059*4</f>
        <v>0</v>
      </c>
      <c r="F1059" s="358">
        <f t="shared" si="387"/>
        <v>0</v>
      </c>
      <c r="G1059" s="548">
        <f t="shared" si="388"/>
        <v>0</v>
      </c>
      <c r="H1059" s="358" t="s">
        <v>18</v>
      </c>
      <c r="I1059" s="548">
        <f t="shared" si="389"/>
        <v>0</v>
      </c>
      <c r="J1059" s="358" t="s">
        <v>19</v>
      </c>
      <c r="K1059" s="358"/>
      <c r="L1059" s="358"/>
      <c r="M1059" s="358">
        <f t="shared" si="390"/>
        <v>0</v>
      </c>
      <c r="N1059" s="324"/>
      <c r="O1059" s="324"/>
      <c r="P1059" s="324"/>
      <c r="Q1059" s="324" t="s">
        <v>18</v>
      </c>
      <c r="R1059" s="324"/>
      <c r="S1059" s="324" t="s">
        <v>19</v>
      </c>
      <c r="T1059" s="528">
        <v>7</v>
      </c>
      <c r="U1059" s="324">
        <f>E1059/259*60</f>
        <v>0</v>
      </c>
      <c r="V1059" s="676"/>
      <c r="W1059" s="528"/>
      <c r="X1059" s="529"/>
      <c r="Y1059" s="648" t="s">
        <v>1132</v>
      </c>
      <c r="Z1059" s="312">
        <f t="shared" si="392"/>
        <v>0</v>
      </c>
      <c r="AA1059" s="316">
        <f t="shared" si="391"/>
        <v>0</v>
      </c>
    </row>
    <row r="1060" spans="1:28" ht="79.5" thickBot="1" x14ac:dyDescent="0.45">
      <c r="A1060" s="319" t="s">
        <v>875</v>
      </c>
      <c r="B1060" s="320" t="s">
        <v>630</v>
      </c>
      <c r="C1060" s="528"/>
      <c r="D1060" s="528"/>
      <c r="E1060" s="456">
        <f t="shared" si="393"/>
        <v>0</v>
      </c>
      <c r="F1060" s="358">
        <f t="shared" si="387"/>
        <v>0</v>
      </c>
      <c r="G1060" s="548">
        <f t="shared" si="388"/>
        <v>0</v>
      </c>
      <c r="H1060" s="358" t="s">
        <v>18</v>
      </c>
      <c r="I1060" s="548">
        <f t="shared" si="389"/>
        <v>0</v>
      </c>
      <c r="J1060" s="358" t="s">
        <v>19</v>
      </c>
      <c r="K1060" s="358"/>
      <c r="L1060" s="358"/>
      <c r="M1060" s="358">
        <f t="shared" si="390"/>
        <v>0</v>
      </c>
      <c r="N1060" s="324"/>
      <c r="O1060" s="324"/>
      <c r="P1060" s="324"/>
      <c r="Q1060" s="324" t="s">
        <v>18</v>
      </c>
      <c r="R1060" s="324"/>
      <c r="S1060" s="324" t="s">
        <v>19</v>
      </c>
      <c r="T1060" s="528">
        <v>7</v>
      </c>
      <c r="U1060" s="324">
        <f>E1060/259*60</f>
        <v>0</v>
      </c>
      <c r="V1060" s="676"/>
      <c r="W1060" s="528"/>
      <c r="X1060" s="529"/>
      <c r="Y1060" s="644" t="s">
        <v>1094</v>
      </c>
      <c r="Z1060" s="312">
        <f t="shared" si="392"/>
        <v>0</v>
      </c>
      <c r="AA1060" s="316">
        <f t="shared" si="391"/>
        <v>0</v>
      </c>
    </row>
    <row r="1061" spans="1:28" ht="79.5" thickBot="1" x14ac:dyDescent="0.45">
      <c r="A1061" s="319" t="s">
        <v>875</v>
      </c>
      <c r="B1061" s="320" t="s">
        <v>1065</v>
      </c>
      <c r="C1061" s="528"/>
      <c r="D1061" s="528"/>
      <c r="E1061" s="460">
        <f>C1061*4</f>
        <v>0</v>
      </c>
      <c r="F1061" s="324">
        <f>E1061*1.02*0.99/147</f>
        <v>0</v>
      </c>
      <c r="G1061" s="528">
        <f>INT(M1061)</f>
        <v>0</v>
      </c>
      <c r="H1061" s="324" t="s">
        <v>18</v>
      </c>
      <c r="I1061" s="528">
        <f>(M1061-G1061)*64</f>
        <v>0</v>
      </c>
      <c r="J1061" s="324" t="s">
        <v>19</v>
      </c>
      <c r="K1061" s="324"/>
      <c r="L1061" s="324"/>
      <c r="M1061" s="324">
        <f>F1061*4983/2880</f>
        <v>0</v>
      </c>
      <c r="N1061" s="324"/>
      <c r="O1061" s="324"/>
      <c r="P1061" s="324"/>
      <c r="Q1061" s="324" t="s">
        <v>18</v>
      </c>
      <c r="R1061" s="324"/>
      <c r="S1061" s="324" t="s">
        <v>19</v>
      </c>
      <c r="T1061" s="528">
        <v>7</v>
      </c>
      <c r="U1061" s="324">
        <f>E1061/259*60</f>
        <v>0</v>
      </c>
      <c r="V1061" s="676"/>
      <c r="W1061" s="528"/>
      <c r="X1061" s="529"/>
      <c r="Y1061" s="711" t="s">
        <v>1094</v>
      </c>
      <c r="Z1061" s="312">
        <f>E1061/1.02</f>
        <v>0</v>
      </c>
      <c r="AA1061" s="316">
        <f>SUM(Z1061/530.1)</f>
        <v>0</v>
      </c>
    </row>
    <row r="1062" spans="1:28" ht="79.5" thickBot="1" x14ac:dyDescent="0.45">
      <c r="A1062" s="319" t="s">
        <v>875</v>
      </c>
      <c r="B1062" s="320" t="s">
        <v>817</v>
      </c>
      <c r="C1062" s="528"/>
      <c r="D1062" s="528"/>
      <c r="E1062" s="456">
        <f t="shared" si="393"/>
        <v>0</v>
      </c>
      <c r="F1062" s="358">
        <f t="shared" si="387"/>
        <v>0</v>
      </c>
      <c r="G1062" s="548">
        <f t="shared" si="388"/>
        <v>0</v>
      </c>
      <c r="H1062" s="358" t="s">
        <v>18</v>
      </c>
      <c r="I1062" s="548">
        <f t="shared" si="389"/>
        <v>0</v>
      </c>
      <c r="J1062" s="358" t="s">
        <v>19</v>
      </c>
      <c r="K1062" s="358"/>
      <c r="L1062" s="358"/>
      <c r="M1062" s="358">
        <f t="shared" si="390"/>
        <v>0</v>
      </c>
      <c r="N1062" s="324"/>
      <c r="O1062" s="324"/>
      <c r="P1062" s="324"/>
      <c r="Q1062" s="324" t="s">
        <v>18</v>
      </c>
      <c r="R1062" s="324"/>
      <c r="S1062" s="324" t="s">
        <v>19</v>
      </c>
      <c r="T1062" s="528">
        <v>7</v>
      </c>
      <c r="U1062" s="324">
        <f>E1062/259*60</f>
        <v>0</v>
      </c>
      <c r="V1062" s="676"/>
      <c r="W1062" s="528"/>
      <c r="X1062" s="529"/>
      <c r="Y1062" s="644" t="s">
        <v>1094</v>
      </c>
      <c r="Z1062" s="312">
        <f t="shared" si="392"/>
        <v>0</v>
      </c>
      <c r="AA1062" s="316">
        <f>SUM(Z1062/530.1)</f>
        <v>0</v>
      </c>
    </row>
    <row r="1063" spans="1:28" ht="156.75" thickBot="1" x14ac:dyDescent="0.45">
      <c r="A1063" s="319" t="s">
        <v>875</v>
      </c>
      <c r="B1063" s="320" t="s">
        <v>631</v>
      </c>
      <c r="C1063" s="528"/>
      <c r="D1063" s="528"/>
      <c r="E1063" s="456">
        <f t="shared" si="393"/>
        <v>0</v>
      </c>
      <c r="F1063" s="358">
        <f t="shared" si="387"/>
        <v>0</v>
      </c>
      <c r="G1063" s="548">
        <f t="shared" si="388"/>
        <v>0</v>
      </c>
      <c r="H1063" s="358" t="s">
        <v>18</v>
      </c>
      <c r="I1063" s="548">
        <f t="shared" si="389"/>
        <v>0</v>
      </c>
      <c r="J1063" s="358" t="s">
        <v>19</v>
      </c>
      <c r="K1063" s="358"/>
      <c r="L1063" s="358"/>
      <c r="M1063" s="358">
        <f t="shared" si="390"/>
        <v>0</v>
      </c>
      <c r="N1063" s="324"/>
      <c r="O1063" s="324"/>
      <c r="P1063" s="324"/>
      <c r="Q1063" s="324" t="s">
        <v>18</v>
      </c>
      <c r="R1063" s="324"/>
      <c r="S1063" s="324" t="s">
        <v>19</v>
      </c>
      <c r="T1063" s="528">
        <v>7</v>
      </c>
      <c r="U1063" s="324">
        <f>E1063/259*60</f>
        <v>0</v>
      </c>
      <c r="V1063" s="676"/>
      <c r="W1063" s="528"/>
      <c r="X1063" s="529"/>
      <c r="Y1063" s="648" t="s">
        <v>1126</v>
      </c>
      <c r="Z1063" s="312">
        <f>E1063/1.02</f>
        <v>0</v>
      </c>
      <c r="AA1063" s="316">
        <f>SUM(Z1063/530.1)</f>
        <v>0</v>
      </c>
    </row>
    <row r="1064" spans="1:28" ht="130.5" outlineLevel="1" thickBot="1" x14ac:dyDescent="0.45">
      <c r="A1064" s="319" t="s">
        <v>875</v>
      </c>
      <c r="B1064" s="320" t="s">
        <v>1219</v>
      </c>
      <c r="C1064" s="528"/>
      <c r="D1064" s="528"/>
      <c r="E1064" s="460">
        <f t="shared" si="393"/>
        <v>0</v>
      </c>
      <c r="F1064" s="324">
        <f t="shared" si="387"/>
        <v>0</v>
      </c>
      <c r="G1064" s="528">
        <f t="shared" ref="G1064:G1084" si="394">INT(M1064)</f>
        <v>0</v>
      </c>
      <c r="H1064" s="324" t="s">
        <v>18</v>
      </c>
      <c r="I1064" s="528">
        <f t="shared" ref="I1064:I1084" si="395">(M1064-G1064)*64</f>
        <v>0</v>
      </c>
      <c r="J1064" s="324" t="s">
        <v>19</v>
      </c>
      <c r="K1064" s="324"/>
      <c r="L1064" s="324"/>
      <c r="M1064" s="324">
        <f>F1064*5764/2880</f>
        <v>0</v>
      </c>
      <c r="N1064" s="324"/>
      <c r="O1064" s="324"/>
      <c r="P1064" s="324"/>
      <c r="Q1064" s="324" t="s">
        <v>18</v>
      </c>
      <c r="R1064" s="324"/>
      <c r="S1064" s="324" t="s">
        <v>19</v>
      </c>
      <c r="T1064" s="528">
        <v>8</v>
      </c>
      <c r="U1064" s="722">
        <f>E1064/324*60</f>
        <v>0</v>
      </c>
      <c r="V1064" s="676"/>
      <c r="W1064" s="528"/>
      <c r="X1064" s="529"/>
      <c r="Y1064" s="360" t="s">
        <v>1122</v>
      </c>
      <c r="Z1064" s="312">
        <f>E1064/1.05</f>
        <v>0</v>
      </c>
      <c r="AA1064" s="316">
        <f>SUM(Z1064/474.3)</f>
        <v>0</v>
      </c>
    </row>
    <row r="1065" spans="1:28" ht="130.5" outlineLevel="1" thickBot="1" x14ac:dyDescent="0.45">
      <c r="A1065" s="319" t="s">
        <v>875</v>
      </c>
      <c r="B1065" s="320" t="s">
        <v>1220</v>
      </c>
      <c r="C1065" s="528"/>
      <c r="D1065" s="528"/>
      <c r="E1065" s="460">
        <f>C1065*4</f>
        <v>0</v>
      </c>
      <c r="F1065" s="324">
        <f>E1065*1.02*0.99/147</f>
        <v>0</v>
      </c>
      <c r="G1065" s="528">
        <f t="shared" si="394"/>
        <v>0</v>
      </c>
      <c r="H1065" s="324" t="s">
        <v>18</v>
      </c>
      <c r="I1065" s="528">
        <f t="shared" si="395"/>
        <v>0</v>
      </c>
      <c r="J1065" s="324" t="s">
        <v>19</v>
      </c>
      <c r="K1065" s="324"/>
      <c r="L1065" s="324"/>
      <c r="M1065" s="324">
        <f>F1065*5764/2880</f>
        <v>0</v>
      </c>
      <c r="N1065" s="324"/>
      <c r="O1065" s="324"/>
      <c r="P1065" s="324"/>
      <c r="Q1065" s="324" t="s">
        <v>18</v>
      </c>
      <c r="R1065" s="324"/>
      <c r="S1065" s="324" t="s">
        <v>19</v>
      </c>
      <c r="T1065" s="528">
        <v>8</v>
      </c>
      <c r="U1065" s="722">
        <f>E1065/324*60</f>
        <v>0</v>
      </c>
      <c r="V1065" s="676"/>
      <c r="W1065" s="528"/>
      <c r="X1065" s="529"/>
      <c r="Y1065" s="360" t="s">
        <v>1122</v>
      </c>
      <c r="Z1065" s="312">
        <f>E1065/1.05</f>
        <v>0</v>
      </c>
      <c r="AA1065" s="316">
        <f>SUM(Z1065/474.3)</f>
        <v>0</v>
      </c>
    </row>
    <row r="1066" spans="1:28" ht="156.75" thickBot="1" x14ac:dyDescent="0.45">
      <c r="A1066" s="319" t="s">
        <v>875</v>
      </c>
      <c r="B1066" s="320" t="s">
        <v>840</v>
      </c>
      <c r="C1066" s="528"/>
      <c r="D1066" s="528"/>
      <c r="E1066" s="456">
        <f t="shared" si="393"/>
        <v>0</v>
      </c>
      <c r="F1066" s="358">
        <f>E1066*0.9*1.01/147</f>
        <v>0</v>
      </c>
      <c r="G1066" s="548">
        <f t="shared" si="394"/>
        <v>0</v>
      </c>
      <c r="H1066" s="358" t="s">
        <v>18</v>
      </c>
      <c r="I1066" s="548">
        <f t="shared" si="395"/>
        <v>0</v>
      </c>
      <c r="J1066" s="358" t="s">
        <v>19</v>
      </c>
      <c r="K1066" s="358"/>
      <c r="L1066" s="358"/>
      <c r="M1066" s="358">
        <f>(F1066*6533/3456)</f>
        <v>0</v>
      </c>
      <c r="N1066" s="358"/>
      <c r="O1066" s="358"/>
      <c r="P1066" s="358"/>
      <c r="Q1066" s="358" t="s">
        <v>18</v>
      </c>
      <c r="R1066" s="358"/>
      <c r="S1066" s="358" t="s">
        <v>19</v>
      </c>
      <c r="T1066" s="528">
        <v>8</v>
      </c>
      <c r="U1066" s="324">
        <f>E1066/324*60</f>
        <v>0</v>
      </c>
      <c r="V1066" s="676"/>
      <c r="W1066" s="528"/>
      <c r="X1066" s="529"/>
      <c r="Y1066" s="645" t="s">
        <v>1128</v>
      </c>
      <c r="Z1066" s="312">
        <f>E1066/1.05/1.143</f>
        <v>0</v>
      </c>
      <c r="AA1066" s="316">
        <f>SUM(AB1066/287.3)</f>
        <v>0</v>
      </c>
      <c r="AB1066" s="310">
        <f>E1066/1.05</f>
        <v>0</v>
      </c>
    </row>
    <row r="1067" spans="1:28" ht="132" thickBot="1" x14ac:dyDescent="0.45">
      <c r="A1067" s="319" t="s">
        <v>875</v>
      </c>
      <c r="B1067" s="799" t="s">
        <v>1192</v>
      </c>
      <c r="C1067" s="528"/>
      <c r="D1067" s="528"/>
      <c r="E1067" s="460">
        <f>C1067*1.3</f>
        <v>0</v>
      </c>
      <c r="F1067" s="324">
        <f>E1067*1.02*1/135</f>
        <v>0</v>
      </c>
      <c r="G1067" s="528">
        <f t="shared" si="394"/>
        <v>0</v>
      </c>
      <c r="H1067" s="324" t="s">
        <v>18</v>
      </c>
      <c r="I1067" s="528">
        <f t="shared" si="395"/>
        <v>0</v>
      </c>
      <c r="J1067" s="324" t="s">
        <v>19</v>
      </c>
      <c r="K1067" s="324"/>
      <c r="L1067" s="324"/>
      <c r="M1067" s="324">
        <f>F1067*5252/2880</f>
        <v>0</v>
      </c>
      <c r="N1067" s="324"/>
      <c r="O1067" s="324"/>
      <c r="P1067" s="324"/>
      <c r="Q1067" s="324" t="s">
        <v>18</v>
      </c>
      <c r="R1067" s="324"/>
      <c r="S1067" s="324" t="s">
        <v>19</v>
      </c>
      <c r="T1067" s="528">
        <v>8</v>
      </c>
      <c r="U1067" s="324">
        <f>E1067/237*60</f>
        <v>0</v>
      </c>
      <c r="V1067" s="676"/>
      <c r="W1067" s="528"/>
      <c r="X1067" s="529"/>
      <c r="Y1067" s="360" t="s">
        <v>954</v>
      </c>
      <c r="Z1067" s="312">
        <f>E1067/1.05/1.143</f>
        <v>0</v>
      </c>
      <c r="AA1067" s="316">
        <f>SUM(AB1067/287.3)</f>
        <v>0</v>
      </c>
      <c r="AB1067" s="310">
        <f>E1067/1.05</f>
        <v>0</v>
      </c>
    </row>
    <row r="1068" spans="1:28" ht="79.5" thickBot="1" x14ac:dyDescent="0.45">
      <c r="A1068" s="319" t="s">
        <v>875</v>
      </c>
      <c r="B1068" s="320" t="s">
        <v>632</v>
      </c>
      <c r="C1068" s="528"/>
      <c r="D1068" s="528"/>
      <c r="E1068" s="456">
        <f>C1068*3.2</f>
        <v>0</v>
      </c>
      <c r="F1068" s="358">
        <f>E1068*1.02*0.99/147</f>
        <v>0</v>
      </c>
      <c r="G1068" s="548">
        <f t="shared" si="394"/>
        <v>0</v>
      </c>
      <c r="H1068" s="358" t="s">
        <v>18</v>
      </c>
      <c r="I1068" s="548">
        <f t="shared" si="395"/>
        <v>0</v>
      </c>
      <c r="J1068" s="358" t="s">
        <v>19</v>
      </c>
      <c r="K1068" s="358"/>
      <c r="L1068" s="358"/>
      <c r="M1068" s="358">
        <f>F1068*4983/2880</f>
        <v>0</v>
      </c>
      <c r="N1068" s="324"/>
      <c r="O1068" s="324"/>
      <c r="P1068" s="324"/>
      <c r="Q1068" s="324" t="s">
        <v>18</v>
      </c>
      <c r="R1068" s="324"/>
      <c r="S1068" s="324" t="s">
        <v>19</v>
      </c>
      <c r="T1068" s="528">
        <v>7</v>
      </c>
      <c r="U1068" s="324">
        <f>E1068/259*60</f>
        <v>0</v>
      </c>
      <c r="V1068" s="676"/>
      <c r="W1068" s="528"/>
      <c r="X1068" s="529"/>
      <c r="Y1068" s="680" t="s">
        <v>1094</v>
      </c>
      <c r="Z1068" s="312">
        <f t="shared" ref="Z1068:Z1076" si="396">E1068/1.02</f>
        <v>0</v>
      </c>
      <c r="AA1068" s="316">
        <f>SUM(Z1068/530.1)</f>
        <v>0</v>
      </c>
    </row>
    <row r="1069" spans="1:28" ht="79.5" thickBot="1" x14ac:dyDescent="0.45">
      <c r="A1069" s="319" t="s">
        <v>875</v>
      </c>
      <c r="B1069" s="320" t="s">
        <v>785</v>
      </c>
      <c r="C1069" s="528"/>
      <c r="D1069" s="551">
        <f>C1069*14</f>
        <v>0</v>
      </c>
      <c r="E1069" s="456">
        <f>D1069*0.25</f>
        <v>0</v>
      </c>
      <c r="F1069" s="358">
        <f>E1069*0.99*1.03/147</f>
        <v>0</v>
      </c>
      <c r="G1069" s="548">
        <f t="shared" si="394"/>
        <v>0</v>
      </c>
      <c r="H1069" s="358" t="s">
        <v>18</v>
      </c>
      <c r="I1069" s="548">
        <f t="shared" si="395"/>
        <v>0</v>
      </c>
      <c r="J1069" s="358" t="s">
        <v>19</v>
      </c>
      <c r="K1069" s="358"/>
      <c r="L1069" s="358"/>
      <c r="M1069" s="358">
        <f>(F1069*6989)/2880</f>
        <v>0</v>
      </c>
      <c r="N1069" s="324"/>
      <c r="O1069" s="324"/>
      <c r="P1069" s="324"/>
      <c r="Q1069" s="324" t="s">
        <v>18</v>
      </c>
      <c r="R1069" s="324"/>
      <c r="S1069" s="324" t="s">
        <v>19</v>
      </c>
      <c r="T1069" s="528">
        <v>5</v>
      </c>
      <c r="U1069" s="324">
        <f>E1069/390*60</f>
        <v>0</v>
      </c>
      <c r="V1069" s="676"/>
      <c r="W1069" s="528"/>
      <c r="X1069" s="529"/>
      <c r="Y1069" s="360" t="s">
        <v>921</v>
      </c>
      <c r="Z1069" s="312">
        <f t="shared" si="396"/>
        <v>0</v>
      </c>
      <c r="AA1069" s="316">
        <f>SUM(Z1069/390.6)</f>
        <v>0</v>
      </c>
    </row>
    <row r="1070" spans="1:28" ht="156.75" thickBot="1" x14ac:dyDescent="0.45">
      <c r="A1070" s="319" t="s">
        <v>875</v>
      </c>
      <c r="B1070" s="320" t="s">
        <v>633</v>
      </c>
      <c r="C1070" s="528"/>
      <c r="D1070" s="528"/>
      <c r="E1070" s="456">
        <f>C1070*3.2</f>
        <v>0</v>
      </c>
      <c r="F1070" s="358">
        <f t="shared" ref="F1070:F1076" si="397">E1070*1.02*0.99/147</f>
        <v>0</v>
      </c>
      <c r="G1070" s="548">
        <f t="shared" si="394"/>
        <v>0</v>
      </c>
      <c r="H1070" s="358" t="s">
        <v>18</v>
      </c>
      <c r="I1070" s="548">
        <f t="shared" si="395"/>
        <v>0</v>
      </c>
      <c r="J1070" s="358" t="s">
        <v>19</v>
      </c>
      <c r="K1070" s="358"/>
      <c r="L1070" s="358"/>
      <c r="M1070" s="358">
        <f>F1070*4983/2880</f>
        <v>0</v>
      </c>
      <c r="N1070" s="358"/>
      <c r="O1070" s="358"/>
      <c r="P1070" s="358"/>
      <c r="Q1070" s="358" t="s">
        <v>18</v>
      </c>
      <c r="R1070" s="358"/>
      <c r="S1070" s="358" t="s">
        <v>19</v>
      </c>
      <c r="T1070" s="528">
        <v>7</v>
      </c>
      <c r="U1070" s="324">
        <f>E1070/259*60</f>
        <v>0</v>
      </c>
      <c r="V1070" s="676"/>
      <c r="W1070" s="528"/>
      <c r="X1070" s="529"/>
      <c r="Y1070" s="648" t="s">
        <v>1154</v>
      </c>
      <c r="Z1070" s="312">
        <f t="shared" si="396"/>
        <v>0</v>
      </c>
      <c r="AA1070" s="316">
        <f t="shared" ref="AA1070:AA1076" si="398">SUM(Z1070/530.1)</f>
        <v>0</v>
      </c>
    </row>
    <row r="1071" spans="1:28" ht="156.75" thickBot="1" x14ac:dyDescent="0.45">
      <c r="A1071" s="319" t="s">
        <v>875</v>
      </c>
      <c r="B1071" s="320" t="s">
        <v>1066</v>
      </c>
      <c r="C1071" s="528"/>
      <c r="D1071" s="528"/>
      <c r="E1071" s="460">
        <f>C1071*3.2</f>
        <v>0</v>
      </c>
      <c r="F1071" s="324">
        <f t="shared" si="397"/>
        <v>0</v>
      </c>
      <c r="G1071" s="528">
        <f>INT(M1071)</f>
        <v>0</v>
      </c>
      <c r="H1071" s="324" t="s">
        <v>18</v>
      </c>
      <c r="I1071" s="528">
        <f>(M1071-G1071)*64</f>
        <v>0</v>
      </c>
      <c r="J1071" s="324" t="s">
        <v>19</v>
      </c>
      <c r="K1071" s="324"/>
      <c r="L1071" s="324"/>
      <c r="M1071" s="324">
        <f>F1071*4983/2880</f>
        <v>0</v>
      </c>
      <c r="N1071" s="324"/>
      <c r="O1071" s="324"/>
      <c r="P1071" s="324"/>
      <c r="Q1071" s="324" t="s">
        <v>18</v>
      </c>
      <c r="R1071" s="324"/>
      <c r="S1071" s="324" t="s">
        <v>19</v>
      </c>
      <c r="T1071" s="528">
        <v>7</v>
      </c>
      <c r="U1071" s="324">
        <f>E1071/259*60</f>
        <v>0</v>
      </c>
      <c r="V1071" s="676"/>
      <c r="W1071" s="528"/>
      <c r="X1071" s="529"/>
      <c r="Y1071" s="360" t="s">
        <v>1156</v>
      </c>
      <c r="Z1071" s="312">
        <f>E1071/1.02</f>
        <v>0</v>
      </c>
      <c r="AA1071" s="316">
        <f t="shared" si="398"/>
        <v>0</v>
      </c>
    </row>
    <row r="1072" spans="1:28" ht="156.75" thickBot="1" x14ac:dyDescent="0.45">
      <c r="A1072" s="319" t="s">
        <v>875</v>
      </c>
      <c r="B1072" s="320" t="s">
        <v>1067</v>
      </c>
      <c r="C1072" s="528"/>
      <c r="D1072" s="528"/>
      <c r="E1072" s="460">
        <f>C1072*3.2</f>
        <v>0</v>
      </c>
      <c r="F1072" s="324">
        <f t="shared" si="397"/>
        <v>0</v>
      </c>
      <c r="G1072" s="528">
        <f>INT(M1072)</f>
        <v>0</v>
      </c>
      <c r="H1072" s="324" t="s">
        <v>18</v>
      </c>
      <c r="I1072" s="528">
        <f>(M1072-G1072)*64</f>
        <v>0</v>
      </c>
      <c r="J1072" s="324" t="s">
        <v>19</v>
      </c>
      <c r="K1072" s="324"/>
      <c r="L1072" s="324"/>
      <c r="M1072" s="324">
        <f>F1072*4983/2880</f>
        <v>0</v>
      </c>
      <c r="N1072" s="324"/>
      <c r="O1072" s="324"/>
      <c r="P1072" s="324"/>
      <c r="Q1072" s="324" t="s">
        <v>18</v>
      </c>
      <c r="R1072" s="324"/>
      <c r="S1072" s="324" t="s">
        <v>19</v>
      </c>
      <c r="T1072" s="528">
        <v>7</v>
      </c>
      <c r="U1072" s="324">
        <f>E1072/259*60</f>
        <v>0</v>
      </c>
      <c r="V1072" s="676"/>
      <c r="W1072" s="528"/>
      <c r="X1072" s="529"/>
      <c r="Y1072" s="360" t="s">
        <v>1157</v>
      </c>
      <c r="Z1072" s="312">
        <f>E1072/1.02</f>
        <v>0</v>
      </c>
      <c r="AA1072" s="316">
        <f t="shared" si="398"/>
        <v>0</v>
      </c>
    </row>
    <row r="1073" spans="1:28" ht="79.5" thickBot="1" x14ac:dyDescent="0.45">
      <c r="A1073" s="319" t="s">
        <v>875</v>
      </c>
      <c r="B1073" s="320" t="s">
        <v>1081</v>
      </c>
      <c r="C1073" s="528"/>
      <c r="D1073" s="528"/>
      <c r="E1073" s="460">
        <f>C1073*3.2</f>
        <v>0</v>
      </c>
      <c r="F1073" s="324">
        <f>E1073*1.02*0.99/147</f>
        <v>0</v>
      </c>
      <c r="G1073" s="528">
        <f>INT(M1073)</f>
        <v>0</v>
      </c>
      <c r="H1073" s="324" t="s">
        <v>18</v>
      </c>
      <c r="I1073" s="528">
        <f>(M1073-G1073)*64</f>
        <v>0</v>
      </c>
      <c r="J1073" s="324" t="s">
        <v>19</v>
      </c>
      <c r="K1073" s="324"/>
      <c r="L1073" s="324"/>
      <c r="M1073" s="324">
        <f>F1073*4983/2880</f>
        <v>0</v>
      </c>
      <c r="N1073" s="324"/>
      <c r="O1073" s="324"/>
      <c r="P1073" s="324"/>
      <c r="Q1073" s="324" t="s">
        <v>18</v>
      </c>
      <c r="R1073" s="324"/>
      <c r="S1073" s="324" t="s">
        <v>19</v>
      </c>
      <c r="T1073" s="528">
        <v>7</v>
      </c>
      <c r="U1073" s="324">
        <f>E1073/259*60</f>
        <v>0</v>
      </c>
      <c r="V1073" s="676"/>
      <c r="W1073" s="528"/>
      <c r="X1073" s="529"/>
      <c r="Y1073" s="323"/>
      <c r="Z1073" s="312">
        <f>E1073/1.02</f>
        <v>0</v>
      </c>
      <c r="AA1073" s="316">
        <f t="shared" si="398"/>
        <v>0</v>
      </c>
    </row>
    <row r="1074" spans="1:28" ht="79.5" thickBot="1" x14ac:dyDescent="0.45">
      <c r="A1074" s="319" t="s">
        <v>875</v>
      </c>
      <c r="B1074" s="320" t="s">
        <v>815</v>
      </c>
      <c r="C1074" s="528"/>
      <c r="D1074" s="551">
        <f>C1074*12</f>
        <v>0</v>
      </c>
      <c r="E1074" s="456">
        <f>D1074*0.5</f>
        <v>0</v>
      </c>
      <c r="F1074" s="358">
        <f t="shared" si="397"/>
        <v>0</v>
      </c>
      <c r="G1074" s="548">
        <f>INT(M1074)</f>
        <v>0</v>
      </c>
      <c r="H1074" s="358" t="s">
        <v>18</v>
      </c>
      <c r="I1074" s="548">
        <f>(M1074-G1074)*64</f>
        <v>0</v>
      </c>
      <c r="J1074" s="358" t="s">
        <v>19</v>
      </c>
      <c r="K1074" s="358"/>
      <c r="L1074" s="358"/>
      <c r="M1074" s="358">
        <f>(F1074*5257)/2880</f>
        <v>0</v>
      </c>
      <c r="N1074" s="358"/>
      <c r="O1074" s="358"/>
      <c r="P1074" s="358"/>
      <c r="Q1074" s="358" t="s">
        <v>18</v>
      </c>
      <c r="R1074" s="358"/>
      <c r="S1074" s="358" t="s">
        <v>19</v>
      </c>
      <c r="T1074" s="528">
        <v>10</v>
      </c>
      <c r="U1074" s="324"/>
      <c r="V1074" s="676"/>
      <c r="W1074" s="528"/>
      <c r="X1074" s="529"/>
      <c r="Y1074" s="644" t="s">
        <v>1094</v>
      </c>
      <c r="Z1074" s="312">
        <f t="shared" si="396"/>
        <v>0</v>
      </c>
      <c r="AA1074" s="316">
        <f t="shared" si="398"/>
        <v>0</v>
      </c>
    </row>
    <row r="1075" spans="1:28" ht="79.5" thickBot="1" x14ac:dyDescent="0.45">
      <c r="A1075" s="319" t="s">
        <v>875</v>
      </c>
      <c r="B1075" s="320" t="s">
        <v>825</v>
      </c>
      <c r="C1075" s="528"/>
      <c r="D1075" s="551">
        <f>C1075*12</f>
        <v>0</v>
      </c>
      <c r="E1075" s="456">
        <f>D1075*0.5</f>
        <v>0</v>
      </c>
      <c r="F1075" s="358">
        <f t="shared" si="397"/>
        <v>0</v>
      </c>
      <c r="G1075" s="548">
        <f>INT(M1075)</f>
        <v>0</v>
      </c>
      <c r="H1075" s="358" t="s">
        <v>18</v>
      </c>
      <c r="I1075" s="548">
        <f>(M1075-G1075)*64</f>
        <v>0</v>
      </c>
      <c r="J1075" s="358" t="s">
        <v>19</v>
      </c>
      <c r="K1075" s="358"/>
      <c r="L1075" s="358"/>
      <c r="M1075" s="358">
        <f>(F1075*5257)/2880</f>
        <v>0</v>
      </c>
      <c r="N1075" s="358"/>
      <c r="O1075" s="358"/>
      <c r="P1075" s="358"/>
      <c r="Q1075" s="358" t="s">
        <v>18</v>
      </c>
      <c r="R1075" s="358"/>
      <c r="S1075" s="358" t="s">
        <v>19</v>
      </c>
      <c r="T1075" s="528">
        <v>10</v>
      </c>
      <c r="U1075" s="324"/>
      <c r="V1075" s="676"/>
      <c r="W1075" s="528"/>
      <c r="X1075" s="529"/>
      <c r="Y1075" s="644" t="s">
        <v>1094</v>
      </c>
      <c r="Z1075" s="312">
        <f t="shared" si="396"/>
        <v>0</v>
      </c>
      <c r="AA1075" s="316">
        <f t="shared" si="398"/>
        <v>0</v>
      </c>
    </row>
    <row r="1076" spans="1:28" ht="79.5" thickBot="1" x14ac:dyDescent="0.45">
      <c r="A1076" s="319" t="s">
        <v>875</v>
      </c>
      <c r="B1076" s="320" t="s">
        <v>826</v>
      </c>
      <c r="C1076" s="528"/>
      <c r="D1076" s="551">
        <f>C1076*12</f>
        <v>0</v>
      </c>
      <c r="E1076" s="456">
        <f>D1076*0.5</f>
        <v>0</v>
      </c>
      <c r="F1076" s="358">
        <f t="shared" si="397"/>
        <v>0</v>
      </c>
      <c r="G1076" s="548">
        <f t="shared" si="394"/>
        <v>0</v>
      </c>
      <c r="H1076" s="358" t="s">
        <v>18</v>
      </c>
      <c r="I1076" s="548">
        <f t="shared" si="395"/>
        <v>0</v>
      </c>
      <c r="J1076" s="358" t="s">
        <v>19</v>
      </c>
      <c r="K1076" s="358"/>
      <c r="L1076" s="358"/>
      <c r="M1076" s="358">
        <f>(F1076*5257)/2880</f>
        <v>0</v>
      </c>
      <c r="N1076" s="358"/>
      <c r="O1076" s="358"/>
      <c r="P1076" s="358"/>
      <c r="Q1076" s="358" t="s">
        <v>18</v>
      </c>
      <c r="R1076" s="358"/>
      <c r="S1076" s="358" t="s">
        <v>19</v>
      </c>
      <c r="T1076" s="528">
        <v>10</v>
      </c>
      <c r="U1076" s="324"/>
      <c r="V1076" s="676"/>
      <c r="W1076" s="528"/>
      <c r="X1076" s="529"/>
      <c r="Y1076" s="644" t="s">
        <v>1094</v>
      </c>
      <c r="Z1076" s="312">
        <f t="shared" si="396"/>
        <v>0</v>
      </c>
      <c r="AA1076" s="316">
        <f t="shared" si="398"/>
        <v>0</v>
      </c>
    </row>
    <row r="1077" spans="1:28" s="327" customFormat="1" ht="235.5" thickBot="1" x14ac:dyDescent="0.45">
      <c r="A1077" s="319" t="s">
        <v>875</v>
      </c>
      <c r="B1077" s="365" t="s">
        <v>839</v>
      </c>
      <c r="C1077" s="553"/>
      <c r="D1077" s="554"/>
      <c r="E1077" s="458">
        <f>C1077*4.5</f>
        <v>0</v>
      </c>
      <c r="F1077" s="358">
        <f>E1077*0.9*1.01/147</f>
        <v>0</v>
      </c>
      <c r="G1077" s="548">
        <f t="shared" si="394"/>
        <v>0</v>
      </c>
      <c r="H1077" s="358" t="s">
        <v>18</v>
      </c>
      <c r="I1077" s="548">
        <f t="shared" si="395"/>
        <v>0</v>
      </c>
      <c r="J1077" s="358" t="s">
        <v>19</v>
      </c>
      <c r="K1077" s="358"/>
      <c r="L1077" s="358"/>
      <c r="M1077" s="358">
        <f>(F1077*6533/3456)</f>
        <v>0</v>
      </c>
      <c r="N1077" s="555"/>
      <c r="O1077" s="555"/>
      <c r="P1077" s="555"/>
      <c r="Q1077" s="555" t="s">
        <v>18</v>
      </c>
      <c r="R1077" s="555"/>
      <c r="S1077" s="555" t="s">
        <v>19</v>
      </c>
      <c r="T1077" s="528">
        <v>7</v>
      </c>
      <c r="U1077" s="555">
        <f>E1077/324*60</f>
        <v>0</v>
      </c>
      <c r="V1077" s="686"/>
      <c r="W1077" s="553"/>
      <c r="X1077" s="555"/>
      <c r="Y1077" s="646" t="s">
        <v>1096</v>
      </c>
      <c r="Z1077" s="312">
        <f>E1077/1.02/1.143</f>
        <v>0</v>
      </c>
      <c r="AA1077" s="316">
        <f>SUM(AB1077/461.7)</f>
        <v>0</v>
      </c>
      <c r="AB1077" s="310">
        <f>E1077/1.02</f>
        <v>0</v>
      </c>
    </row>
    <row r="1078" spans="1:28" ht="79.5" thickBot="1" x14ac:dyDescent="0.45">
      <c r="A1078" s="319" t="s">
        <v>875</v>
      </c>
      <c r="B1078" s="320" t="s">
        <v>1033</v>
      </c>
      <c r="C1078" s="528"/>
      <c r="D1078" s="528"/>
      <c r="E1078" s="324">
        <f>C1078*3.2</f>
        <v>0</v>
      </c>
      <c r="F1078" s="324">
        <f>E1078*1.02*0.99/147</f>
        <v>0</v>
      </c>
      <c r="G1078" s="528">
        <f>INT(M1078)</f>
        <v>0</v>
      </c>
      <c r="H1078" s="324" t="s">
        <v>18</v>
      </c>
      <c r="I1078" s="528">
        <f>(M1078-G1078)*64</f>
        <v>0</v>
      </c>
      <c r="J1078" s="324"/>
      <c r="K1078" s="324"/>
      <c r="L1078" s="324"/>
      <c r="M1078" s="324">
        <f>E1078/0.0233/2880</f>
        <v>0</v>
      </c>
      <c r="N1078" s="324"/>
      <c r="O1078" s="324"/>
      <c r="P1078" s="324"/>
      <c r="Q1078" s="324" t="s">
        <v>18</v>
      </c>
      <c r="R1078" s="324"/>
      <c r="S1078" s="324" t="s">
        <v>19</v>
      </c>
      <c r="T1078" s="528">
        <v>8</v>
      </c>
      <c r="U1078" s="324">
        <f>E1078/259*60</f>
        <v>0</v>
      </c>
      <c r="V1078" s="676"/>
      <c r="W1078" s="528"/>
      <c r="X1078" s="529"/>
      <c r="Y1078" s="644" t="s">
        <v>1094</v>
      </c>
      <c r="Z1078" s="312">
        <f>E1078/1.02</f>
        <v>0</v>
      </c>
      <c r="AA1078" s="316">
        <f>SUM(Z1078/450.1)</f>
        <v>0</v>
      </c>
    </row>
    <row r="1079" spans="1:28" s="327" customFormat="1" ht="235.5" thickBot="1" x14ac:dyDescent="0.45">
      <c r="A1079" s="319" t="s">
        <v>875</v>
      </c>
      <c r="B1079" s="365" t="s">
        <v>867</v>
      </c>
      <c r="C1079" s="553"/>
      <c r="D1079" s="554"/>
      <c r="E1079" s="458">
        <f>C1079*3.5</f>
        <v>0</v>
      </c>
      <c r="F1079" s="358">
        <f>E1079*0.9*1.01/147</f>
        <v>0</v>
      </c>
      <c r="G1079" s="556">
        <f t="shared" si="394"/>
        <v>0</v>
      </c>
      <c r="H1079" s="366" t="s">
        <v>18</v>
      </c>
      <c r="I1079" s="556">
        <f t="shared" si="395"/>
        <v>0</v>
      </c>
      <c r="J1079" s="366" t="s">
        <v>19</v>
      </c>
      <c r="K1079" s="366"/>
      <c r="L1079" s="366"/>
      <c r="M1079" s="358">
        <f>(F1079*6533/3456)</f>
        <v>0</v>
      </c>
      <c r="N1079" s="555"/>
      <c r="O1079" s="555"/>
      <c r="P1079" s="555"/>
      <c r="Q1079" s="555" t="s">
        <v>18</v>
      </c>
      <c r="R1079" s="555"/>
      <c r="S1079" s="555" t="s">
        <v>19</v>
      </c>
      <c r="T1079" s="528">
        <v>7</v>
      </c>
      <c r="U1079" s="555">
        <f>E1079/324*60</f>
        <v>0</v>
      </c>
      <c r="V1079" s="686"/>
      <c r="W1079" s="553"/>
      <c r="X1079" s="555"/>
      <c r="Y1079" s="646" t="s">
        <v>1096</v>
      </c>
      <c r="Z1079" s="312">
        <f t="shared" ref="Z1079:Z1085" si="399">E1079/1.02/1.143</f>
        <v>0</v>
      </c>
      <c r="AA1079" s="316">
        <f>SUM(AB1079/461.7)</f>
        <v>0</v>
      </c>
      <c r="AB1079" s="310">
        <f t="shared" ref="AB1079:AB1085" si="400">E1079/1.02</f>
        <v>0</v>
      </c>
    </row>
    <row r="1080" spans="1:28" s="327" customFormat="1" ht="235.5" thickBot="1" x14ac:dyDescent="0.45">
      <c r="A1080" s="319" t="s">
        <v>875</v>
      </c>
      <c r="B1080" s="365" t="s">
        <v>864</v>
      </c>
      <c r="C1080" s="553"/>
      <c r="D1080" s="554"/>
      <c r="E1080" s="458">
        <f>C1080*2.5</f>
        <v>0</v>
      </c>
      <c r="F1080" s="358">
        <f>E1080*0.9*1.01/147</f>
        <v>0</v>
      </c>
      <c r="G1080" s="556">
        <f t="shared" si="394"/>
        <v>0</v>
      </c>
      <c r="H1080" s="366" t="s">
        <v>18</v>
      </c>
      <c r="I1080" s="556">
        <f t="shared" si="395"/>
        <v>0</v>
      </c>
      <c r="J1080" s="366" t="s">
        <v>19</v>
      </c>
      <c r="K1080" s="366"/>
      <c r="L1080" s="366"/>
      <c r="M1080" s="358">
        <f>(F1080*6533/3456)</f>
        <v>0</v>
      </c>
      <c r="N1080" s="555"/>
      <c r="O1080" s="555"/>
      <c r="P1080" s="555"/>
      <c r="Q1080" s="555" t="s">
        <v>18</v>
      </c>
      <c r="R1080" s="555"/>
      <c r="S1080" s="555" t="s">
        <v>19</v>
      </c>
      <c r="T1080" s="528">
        <v>7</v>
      </c>
      <c r="U1080" s="555">
        <f>E1080/324*60</f>
        <v>0</v>
      </c>
      <c r="V1080" s="686"/>
      <c r="W1080" s="553"/>
      <c r="X1080" s="555"/>
      <c r="Y1080" s="646" t="s">
        <v>1096</v>
      </c>
      <c r="Z1080" s="312">
        <f t="shared" si="399"/>
        <v>0</v>
      </c>
      <c r="AA1080" s="316">
        <f>SUM(AB1080/461.7)</f>
        <v>0</v>
      </c>
      <c r="AB1080" s="310">
        <f t="shared" si="400"/>
        <v>0</v>
      </c>
    </row>
    <row r="1081" spans="1:28" ht="79.5" thickBot="1" x14ac:dyDescent="0.45">
      <c r="A1081" s="319" t="s">
        <v>875</v>
      </c>
      <c r="B1081" s="320" t="s">
        <v>872</v>
      </c>
      <c r="C1081" s="528"/>
      <c r="D1081" s="528"/>
      <c r="E1081" s="456">
        <f>C1081*2.4</f>
        <v>0</v>
      </c>
      <c r="F1081" s="358">
        <f>E1081*1.02*0.99/147</f>
        <v>0</v>
      </c>
      <c r="G1081" s="548">
        <f t="shared" si="394"/>
        <v>0</v>
      </c>
      <c r="H1081" s="358" t="s">
        <v>18</v>
      </c>
      <c r="I1081" s="548">
        <f t="shared" si="395"/>
        <v>0</v>
      </c>
      <c r="J1081" s="358" t="s">
        <v>19</v>
      </c>
      <c r="K1081" s="358"/>
      <c r="L1081" s="358"/>
      <c r="M1081" s="358">
        <f>F1081*4983/2880</f>
        <v>0</v>
      </c>
      <c r="N1081" s="324"/>
      <c r="O1081" s="324"/>
      <c r="P1081" s="324"/>
      <c r="Q1081" s="324" t="s">
        <v>18</v>
      </c>
      <c r="R1081" s="324"/>
      <c r="S1081" s="324" t="s">
        <v>19</v>
      </c>
      <c r="T1081" s="528">
        <v>7</v>
      </c>
      <c r="U1081" s="324">
        <f>E1081/420*60</f>
        <v>0</v>
      </c>
      <c r="V1081" s="676"/>
      <c r="W1081" s="528"/>
      <c r="X1081" s="529"/>
      <c r="Y1081" s="644" t="s">
        <v>1094</v>
      </c>
      <c r="Z1081" s="312">
        <f>E1081/1.02</f>
        <v>0</v>
      </c>
      <c r="AA1081" s="316">
        <f>SUM(Z1081/530.1)</f>
        <v>0</v>
      </c>
    </row>
    <row r="1082" spans="1:28" s="327" customFormat="1" ht="235.5" thickBot="1" x14ac:dyDescent="0.45">
      <c r="A1082" s="319" t="s">
        <v>875</v>
      </c>
      <c r="B1082" s="365" t="s">
        <v>841</v>
      </c>
      <c r="C1082" s="553"/>
      <c r="D1082" s="554"/>
      <c r="E1082" s="458">
        <f>C1082*4.5</f>
        <v>0</v>
      </c>
      <c r="F1082" s="358">
        <f>E1082*0.9*1.01/147</f>
        <v>0</v>
      </c>
      <c r="G1082" s="548">
        <f t="shared" si="394"/>
        <v>0</v>
      </c>
      <c r="H1082" s="358" t="s">
        <v>18</v>
      </c>
      <c r="I1082" s="548">
        <f t="shared" si="395"/>
        <v>0</v>
      </c>
      <c r="J1082" s="358" t="s">
        <v>19</v>
      </c>
      <c r="K1082" s="358"/>
      <c r="L1082" s="358"/>
      <c r="M1082" s="358">
        <f>(F1082*6533/3456)</f>
        <v>0</v>
      </c>
      <c r="N1082" s="555"/>
      <c r="O1082" s="555"/>
      <c r="P1082" s="555"/>
      <c r="Q1082" s="555" t="s">
        <v>18</v>
      </c>
      <c r="R1082" s="555"/>
      <c r="S1082" s="555" t="s">
        <v>19</v>
      </c>
      <c r="T1082" s="528">
        <v>7</v>
      </c>
      <c r="U1082" s="555">
        <f>E1082/324*60</f>
        <v>0</v>
      </c>
      <c r="V1082" s="686"/>
      <c r="W1082" s="553"/>
      <c r="X1082" s="555"/>
      <c r="Y1082" s="646" t="s">
        <v>1096</v>
      </c>
      <c r="Z1082" s="312">
        <f t="shared" si="399"/>
        <v>0</v>
      </c>
      <c r="AA1082" s="316">
        <f>SUM(AB1082/461.7)</f>
        <v>0</v>
      </c>
      <c r="AB1082" s="310">
        <f t="shared" si="400"/>
        <v>0</v>
      </c>
    </row>
    <row r="1083" spans="1:28" s="327" customFormat="1" ht="79.5" thickBot="1" x14ac:dyDescent="0.45">
      <c r="A1083" s="319" t="s">
        <v>875</v>
      </c>
      <c r="B1083" s="365" t="s">
        <v>903</v>
      </c>
      <c r="C1083" s="553"/>
      <c r="D1083" s="554"/>
      <c r="E1083" s="458">
        <f>C1083*4.5</f>
        <v>0</v>
      </c>
      <c r="F1083" s="358">
        <f>E1083*0.9*1.01/147</f>
        <v>0</v>
      </c>
      <c r="G1083" s="548">
        <f t="shared" si="394"/>
        <v>0</v>
      </c>
      <c r="H1083" s="358" t="s">
        <v>18</v>
      </c>
      <c r="I1083" s="548">
        <f t="shared" si="395"/>
        <v>0</v>
      </c>
      <c r="J1083" s="358" t="s">
        <v>19</v>
      </c>
      <c r="K1083" s="358"/>
      <c r="L1083" s="358"/>
      <c r="M1083" s="358">
        <f>(F1083*6533/3456)</f>
        <v>0</v>
      </c>
      <c r="N1083" s="555"/>
      <c r="O1083" s="555"/>
      <c r="P1083" s="555"/>
      <c r="Q1083" s="555" t="s">
        <v>18</v>
      </c>
      <c r="R1083" s="555"/>
      <c r="S1083" s="555" t="s">
        <v>19</v>
      </c>
      <c r="T1083" s="528">
        <v>7</v>
      </c>
      <c r="U1083" s="555">
        <f>E1083/324*60</f>
        <v>0</v>
      </c>
      <c r="V1083" s="686"/>
      <c r="W1083" s="553"/>
      <c r="X1083" s="555"/>
      <c r="Y1083" s="323" t="s">
        <v>925</v>
      </c>
      <c r="Z1083" s="312">
        <f t="shared" si="399"/>
        <v>0</v>
      </c>
      <c r="AA1083" s="316">
        <f>SUM(AB1083/413.1)</f>
        <v>0</v>
      </c>
      <c r="AB1083" s="310">
        <f t="shared" si="400"/>
        <v>0</v>
      </c>
    </row>
    <row r="1084" spans="1:28" s="327" customFormat="1" ht="79.5" thickBot="1" x14ac:dyDescent="0.45">
      <c r="A1084" s="319" t="s">
        <v>875</v>
      </c>
      <c r="B1084" s="365" t="s">
        <v>914</v>
      </c>
      <c r="C1084" s="553"/>
      <c r="D1084" s="554"/>
      <c r="E1084" s="458">
        <f>C1084*4.5</f>
        <v>0</v>
      </c>
      <c r="F1084" s="358">
        <f>E1084*0.9*1.01/147</f>
        <v>0</v>
      </c>
      <c r="G1084" s="548">
        <f t="shared" si="394"/>
        <v>0</v>
      </c>
      <c r="H1084" s="358" t="s">
        <v>18</v>
      </c>
      <c r="I1084" s="548">
        <f t="shared" si="395"/>
        <v>0</v>
      </c>
      <c r="J1084" s="358" t="s">
        <v>19</v>
      </c>
      <c r="K1084" s="358"/>
      <c r="L1084" s="358"/>
      <c r="M1084" s="358">
        <f>(F1084*6533/3456)</f>
        <v>0</v>
      </c>
      <c r="N1084" s="555"/>
      <c r="O1084" s="555"/>
      <c r="P1084" s="555"/>
      <c r="Q1084" s="555" t="s">
        <v>18</v>
      </c>
      <c r="R1084" s="555"/>
      <c r="S1084" s="555" t="s">
        <v>19</v>
      </c>
      <c r="T1084" s="528">
        <v>7</v>
      </c>
      <c r="U1084" s="555">
        <f>E1084/324*60</f>
        <v>0</v>
      </c>
      <c r="V1084" s="686"/>
      <c r="W1084" s="553"/>
      <c r="X1084" s="555"/>
      <c r="Y1084" s="323" t="s">
        <v>925</v>
      </c>
      <c r="Z1084" s="312">
        <f t="shared" si="399"/>
        <v>0</v>
      </c>
      <c r="AA1084" s="316">
        <f>SUM(AB1084/413.1)</f>
        <v>0</v>
      </c>
      <c r="AB1084" s="310">
        <f t="shared" si="400"/>
        <v>0</v>
      </c>
    </row>
    <row r="1085" spans="1:28" s="327" customFormat="1" ht="235.5" thickBot="1" x14ac:dyDescent="0.45">
      <c r="A1085" s="319" t="s">
        <v>875</v>
      </c>
      <c r="B1085" s="365" t="s">
        <v>853</v>
      </c>
      <c r="C1085" s="553"/>
      <c r="D1085" s="554"/>
      <c r="E1085" s="458">
        <f>C1085*3.5</f>
        <v>0</v>
      </c>
      <c r="F1085" s="358">
        <f>E1085*0.9*1.01/147</f>
        <v>0</v>
      </c>
      <c r="G1085" s="548">
        <f>INT(M1085)</f>
        <v>0</v>
      </c>
      <c r="H1085" s="358" t="s">
        <v>18</v>
      </c>
      <c r="I1085" s="548">
        <f>(M1085-G1085)*64</f>
        <v>0</v>
      </c>
      <c r="J1085" s="358" t="s">
        <v>19</v>
      </c>
      <c r="K1085" s="358"/>
      <c r="L1085" s="358"/>
      <c r="M1085" s="358">
        <f>(F1085*6533/3456)</f>
        <v>0</v>
      </c>
      <c r="N1085" s="366"/>
      <c r="O1085" s="366"/>
      <c r="P1085" s="366"/>
      <c r="Q1085" s="366" t="s">
        <v>18</v>
      </c>
      <c r="R1085" s="366"/>
      <c r="S1085" s="366" t="s">
        <v>19</v>
      </c>
      <c r="T1085" s="528">
        <v>7</v>
      </c>
      <c r="U1085" s="555">
        <f>E1085/324*60</f>
        <v>0</v>
      </c>
      <c r="V1085" s="686"/>
      <c r="W1085" s="553"/>
      <c r="X1085" s="555"/>
      <c r="Y1085" s="646" t="s">
        <v>1097</v>
      </c>
      <c r="Z1085" s="312">
        <f t="shared" si="399"/>
        <v>0</v>
      </c>
      <c r="AA1085" s="316">
        <f>SUM(AB1085/461.7)</f>
        <v>0</v>
      </c>
      <c r="AB1085" s="310">
        <f t="shared" si="400"/>
        <v>0</v>
      </c>
    </row>
    <row r="1086" spans="1:28" ht="79.5" thickBot="1" x14ac:dyDescent="0.45">
      <c r="A1086" s="319" t="s">
        <v>875</v>
      </c>
      <c r="B1086" s="320" t="s">
        <v>854</v>
      </c>
      <c r="C1086" s="528"/>
      <c r="D1086" s="528"/>
      <c r="E1086" s="456">
        <f t="shared" ref="E1086:E1092" si="401">C1086*1</f>
        <v>0</v>
      </c>
      <c r="F1086" s="358">
        <f>E1086*1.02*0.99/147</f>
        <v>0</v>
      </c>
      <c r="G1086" s="548">
        <f t="shared" ref="G1086:G1092" si="402">INT(M1086)</f>
        <v>0</v>
      </c>
      <c r="H1086" s="358" t="s">
        <v>18</v>
      </c>
      <c r="I1086" s="548">
        <f t="shared" ref="I1086:I1092" si="403">(M1086-G1086)*64</f>
        <v>0</v>
      </c>
      <c r="J1086" s="358" t="s">
        <v>19</v>
      </c>
      <c r="K1086" s="358"/>
      <c r="L1086" s="358"/>
      <c r="M1086" s="358">
        <f>F1086*4983/2880</f>
        <v>0</v>
      </c>
      <c r="N1086" s="358"/>
      <c r="O1086" s="358"/>
      <c r="P1086" s="358"/>
      <c r="Q1086" s="358" t="s">
        <v>18</v>
      </c>
      <c r="R1086" s="358"/>
      <c r="S1086" s="358" t="s">
        <v>19</v>
      </c>
      <c r="T1086" s="528">
        <v>8</v>
      </c>
      <c r="U1086" s="324">
        <f t="shared" ref="U1086:U1094" si="404">E1086/420*60</f>
        <v>0</v>
      </c>
      <c r="V1086" s="676"/>
      <c r="W1086" s="528"/>
      <c r="X1086" s="529"/>
      <c r="Y1086" s="323"/>
      <c r="Z1086" s="312">
        <f>E1086/1.02</f>
        <v>0</v>
      </c>
      <c r="AA1086" s="316">
        <f>SUM(Z1086/530.1)</f>
        <v>0</v>
      </c>
    </row>
    <row r="1087" spans="1:28" ht="79.5" thickBot="1" x14ac:dyDescent="0.45">
      <c r="A1087" s="319" t="s">
        <v>875</v>
      </c>
      <c r="B1087" s="799" t="s">
        <v>1204</v>
      </c>
      <c r="C1087" s="528"/>
      <c r="D1087" s="528"/>
      <c r="E1087" s="456">
        <f>C1087*1</f>
        <v>0</v>
      </c>
      <c r="F1087" s="358">
        <f>E1087*1.02*0.99/147</f>
        <v>0</v>
      </c>
      <c r="G1087" s="548">
        <f>INT(M1087)</f>
        <v>0</v>
      </c>
      <c r="H1087" s="358" t="s">
        <v>18</v>
      </c>
      <c r="I1087" s="548">
        <f>(M1087-G1087)*64</f>
        <v>0</v>
      </c>
      <c r="J1087" s="358" t="s">
        <v>19</v>
      </c>
      <c r="K1087" s="358"/>
      <c r="L1087" s="358"/>
      <c r="M1087" s="358">
        <f>F1087*4983/2880</f>
        <v>0</v>
      </c>
      <c r="N1087" s="358"/>
      <c r="O1087" s="358"/>
      <c r="P1087" s="358"/>
      <c r="Q1087" s="358" t="s">
        <v>18</v>
      </c>
      <c r="R1087" s="358"/>
      <c r="S1087" s="358" t="s">
        <v>19</v>
      </c>
      <c r="T1087" s="528">
        <v>8</v>
      </c>
      <c r="U1087" s="324">
        <f>E1087/420*60</f>
        <v>0</v>
      </c>
      <c r="V1087" s="676"/>
      <c r="W1087" s="528"/>
      <c r="X1087" s="529"/>
      <c r="Y1087" s="323"/>
      <c r="Z1087" s="312">
        <f>E1087/1.02</f>
        <v>0</v>
      </c>
      <c r="AA1087" s="316">
        <f>SUM(Z1087/530.1)</f>
        <v>0</v>
      </c>
    </row>
    <row r="1088" spans="1:28" ht="79.5" thickBot="1" x14ac:dyDescent="0.45">
      <c r="A1088" s="319" t="s">
        <v>875</v>
      </c>
      <c r="B1088" s="320" t="s">
        <v>902</v>
      </c>
      <c r="C1088" s="528"/>
      <c r="D1088" s="528"/>
      <c r="E1088" s="456">
        <f t="shared" si="401"/>
        <v>0</v>
      </c>
      <c r="F1088" s="358">
        <f>E1088*1.02*0.99/147</f>
        <v>0</v>
      </c>
      <c r="G1088" s="548">
        <f t="shared" si="402"/>
        <v>0</v>
      </c>
      <c r="H1088" s="358" t="s">
        <v>18</v>
      </c>
      <c r="I1088" s="548">
        <f t="shared" si="403"/>
        <v>0</v>
      </c>
      <c r="J1088" s="358" t="s">
        <v>19</v>
      </c>
      <c r="K1088" s="358"/>
      <c r="L1088" s="358"/>
      <c r="M1088" s="358">
        <f>F1088*4983/2880</f>
        <v>0</v>
      </c>
      <c r="N1088" s="358"/>
      <c r="O1088" s="358"/>
      <c r="P1088" s="358"/>
      <c r="Q1088" s="358" t="s">
        <v>18</v>
      </c>
      <c r="R1088" s="358"/>
      <c r="S1088" s="358" t="s">
        <v>19</v>
      </c>
      <c r="T1088" s="528">
        <v>8</v>
      </c>
      <c r="U1088" s="324">
        <f t="shared" si="404"/>
        <v>0</v>
      </c>
      <c r="V1088" s="676"/>
      <c r="W1088" s="528"/>
      <c r="X1088" s="529"/>
      <c r="Y1088" s="644" t="s">
        <v>1094</v>
      </c>
      <c r="Z1088" s="312">
        <f>E1088/1.02</f>
        <v>0</v>
      </c>
      <c r="AA1088" s="316">
        <f>SUM(Z1088/530.1)</f>
        <v>0</v>
      </c>
    </row>
    <row r="1089" spans="1:28" ht="79.5" thickBot="1" x14ac:dyDescent="0.45">
      <c r="A1089" s="319" t="s">
        <v>875</v>
      </c>
      <c r="B1089" s="799" t="s">
        <v>1206</v>
      </c>
      <c r="C1089" s="528"/>
      <c r="D1089" s="528"/>
      <c r="E1089" s="456">
        <f>C1089*1</f>
        <v>0</v>
      </c>
      <c r="F1089" s="358">
        <f>E1089*1.02*0.99/147</f>
        <v>0</v>
      </c>
      <c r="G1089" s="548">
        <f>INT(M1089)</f>
        <v>0</v>
      </c>
      <c r="H1089" s="358" t="s">
        <v>18</v>
      </c>
      <c r="I1089" s="548">
        <f>(M1089-G1089)*64</f>
        <v>0</v>
      </c>
      <c r="J1089" s="358" t="s">
        <v>19</v>
      </c>
      <c r="K1089" s="358"/>
      <c r="L1089" s="358"/>
      <c r="M1089" s="358">
        <f>F1089*4983/2880</f>
        <v>0</v>
      </c>
      <c r="N1089" s="358"/>
      <c r="O1089" s="358"/>
      <c r="P1089" s="358"/>
      <c r="Q1089" s="358" t="s">
        <v>18</v>
      </c>
      <c r="R1089" s="358"/>
      <c r="S1089" s="358" t="s">
        <v>19</v>
      </c>
      <c r="T1089" s="528">
        <v>8</v>
      </c>
      <c r="U1089" s="324">
        <f>E1089/420*60</f>
        <v>0</v>
      </c>
      <c r="V1089" s="676"/>
      <c r="W1089" s="528"/>
      <c r="X1089" s="529"/>
      <c r="Y1089" s="644" t="s">
        <v>1094</v>
      </c>
      <c r="Z1089" s="312">
        <f>E1089/1.02</f>
        <v>0</v>
      </c>
      <c r="AA1089" s="316">
        <f>SUM(Z1089/530.1)</f>
        <v>0</v>
      </c>
    </row>
    <row r="1090" spans="1:28" ht="182.25" customHeight="1" thickBot="1" x14ac:dyDescent="0.45">
      <c r="A1090" s="319" t="s">
        <v>875</v>
      </c>
      <c r="B1090" s="320" t="s">
        <v>900</v>
      </c>
      <c r="C1090" s="528"/>
      <c r="D1090" s="554"/>
      <c r="E1090" s="458">
        <f t="shared" si="401"/>
        <v>0</v>
      </c>
      <c r="F1090" s="358">
        <f>E1090*0.9*1.01/147</f>
        <v>0</v>
      </c>
      <c r="G1090" s="556">
        <f t="shared" si="402"/>
        <v>0</v>
      </c>
      <c r="H1090" s="366" t="s">
        <v>18</v>
      </c>
      <c r="I1090" s="556">
        <f t="shared" si="403"/>
        <v>0</v>
      </c>
      <c r="J1090" s="366" t="s">
        <v>19</v>
      </c>
      <c r="K1090" s="366"/>
      <c r="L1090" s="366"/>
      <c r="M1090" s="358">
        <f>(F1090*6533/3456)</f>
        <v>0</v>
      </c>
      <c r="N1090" s="366"/>
      <c r="O1090" s="366"/>
      <c r="P1090" s="366"/>
      <c r="Q1090" s="366" t="s">
        <v>18</v>
      </c>
      <c r="R1090" s="366"/>
      <c r="S1090" s="366" t="s">
        <v>19</v>
      </c>
      <c r="T1090" s="528">
        <v>8</v>
      </c>
      <c r="U1090" s="324">
        <f t="shared" si="404"/>
        <v>0</v>
      </c>
      <c r="V1090" s="676"/>
      <c r="W1090" s="528"/>
      <c r="X1090" s="529"/>
      <c r="Y1090" s="646" t="s">
        <v>1129</v>
      </c>
      <c r="Z1090" s="312">
        <f>E1090/1.02/1.143</f>
        <v>0</v>
      </c>
      <c r="AA1090" s="316">
        <f>SUM(AB1090/461.7)</f>
        <v>0</v>
      </c>
      <c r="AB1090" s="310">
        <f>E1090/1.02</f>
        <v>0</v>
      </c>
    </row>
    <row r="1091" spans="1:28" ht="184.5" customHeight="1" thickBot="1" x14ac:dyDescent="0.45">
      <c r="A1091" s="319" t="s">
        <v>875</v>
      </c>
      <c r="B1091" s="320" t="s">
        <v>901</v>
      </c>
      <c r="C1091" s="528"/>
      <c r="D1091" s="554"/>
      <c r="E1091" s="458">
        <f t="shared" si="401"/>
        <v>0</v>
      </c>
      <c r="F1091" s="358">
        <f>E1091*0.9*1.01/147</f>
        <v>0</v>
      </c>
      <c r="G1091" s="556">
        <f t="shared" si="402"/>
        <v>0</v>
      </c>
      <c r="H1091" s="366" t="s">
        <v>18</v>
      </c>
      <c r="I1091" s="556">
        <f t="shared" si="403"/>
        <v>0</v>
      </c>
      <c r="J1091" s="366" t="s">
        <v>19</v>
      </c>
      <c r="K1091" s="366"/>
      <c r="L1091" s="366"/>
      <c r="M1091" s="358">
        <f>(F1091*6533/3456)</f>
        <v>0</v>
      </c>
      <c r="N1091" s="366"/>
      <c r="O1091" s="366"/>
      <c r="P1091" s="366"/>
      <c r="Q1091" s="366" t="s">
        <v>18</v>
      </c>
      <c r="R1091" s="366"/>
      <c r="S1091" s="366" t="s">
        <v>19</v>
      </c>
      <c r="T1091" s="528">
        <v>8</v>
      </c>
      <c r="U1091" s="324">
        <f t="shared" si="404"/>
        <v>0</v>
      </c>
      <c r="V1091" s="676"/>
      <c r="W1091" s="528"/>
      <c r="X1091" s="529"/>
      <c r="Y1091" s="646" t="s">
        <v>1127</v>
      </c>
      <c r="Z1091" s="312">
        <f>E1091/1.02/1.143</f>
        <v>0</v>
      </c>
      <c r="AA1091" s="316">
        <f>SUM(AB1091/461.7)</f>
        <v>0</v>
      </c>
      <c r="AB1091" s="310">
        <f>E1091/1.02</f>
        <v>0</v>
      </c>
    </row>
    <row r="1092" spans="1:28" ht="156.75" thickBot="1" x14ac:dyDescent="0.45">
      <c r="A1092" s="319" t="s">
        <v>875</v>
      </c>
      <c r="B1092" s="320" t="s">
        <v>915</v>
      </c>
      <c r="C1092" s="528"/>
      <c r="D1092" s="528"/>
      <c r="E1092" s="456">
        <f t="shared" si="401"/>
        <v>0</v>
      </c>
      <c r="F1092" s="358">
        <f t="shared" ref="F1092:F1098" si="405">E1092*1.02*0.99/147</f>
        <v>0</v>
      </c>
      <c r="G1092" s="548">
        <f t="shared" si="402"/>
        <v>0</v>
      </c>
      <c r="H1092" s="358" t="s">
        <v>18</v>
      </c>
      <c r="I1092" s="548">
        <f t="shared" si="403"/>
        <v>0</v>
      </c>
      <c r="J1092" s="358" t="s">
        <v>19</v>
      </c>
      <c r="K1092" s="358"/>
      <c r="L1092" s="358"/>
      <c r="M1092" s="358">
        <f t="shared" ref="M1092:M1098" si="406">F1092*4983/2880</f>
        <v>0</v>
      </c>
      <c r="N1092" s="358"/>
      <c r="O1092" s="358"/>
      <c r="P1092" s="358"/>
      <c r="Q1092" s="358" t="s">
        <v>18</v>
      </c>
      <c r="R1092" s="358"/>
      <c r="S1092" s="358" t="s">
        <v>19</v>
      </c>
      <c r="T1092" s="548">
        <v>8</v>
      </c>
      <c r="U1092" s="324">
        <f t="shared" si="404"/>
        <v>0</v>
      </c>
      <c r="V1092" s="676"/>
      <c r="W1092" s="528"/>
      <c r="X1092" s="529"/>
      <c r="Y1092" s="648" t="s">
        <v>1123</v>
      </c>
      <c r="Z1092" s="312">
        <f>E1092/1.02</f>
        <v>0</v>
      </c>
      <c r="AA1092" s="316">
        <f>SUM(Z1092/530.1)</f>
        <v>0</v>
      </c>
    </row>
    <row r="1093" spans="1:28" ht="156.75" thickBot="1" x14ac:dyDescent="0.45">
      <c r="A1093" s="319" t="s">
        <v>875</v>
      </c>
      <c r="B1093" s="799" t="s">
        <v>1205</v>
      </c>
      <c r="C1093" s="528"/>
      <c r="D1093" s="528"/>
      <c r="E1093" s="456">
        <f>C1093*1</f>
        <v>0</v>
      </c>
      <c r="F1093" s="358">
        <f>E1093*1.02*0.99/147</f>
        <v>0</v>
      </c>
      <c r="G1093" s="548">
        <f t="shared" ref="G1093:G1098" si="407">INT(M1093)</f>
        <v>0</v>
      </c>
      <c r="H1093" s="358" t="s">
        <v>18</v>
      </c>
      <c r="I1093" s="548">
        <f t="shared" ref="I1093:I1098" si="408">(M1093-G1093)*64</f>
        <v>0</v>
      </c>
      <c r="J1093" s="358" t="s">
        <v>19</v>
      </c>
      <c r="K1093" s="358"/>
      <c r="L1093" s="358"/>
      <c r="M1093" s="358">
        <f>F1093*4983/2880</f>
        <v>0</v>
      </c>
      <c r="N1093" s="358"/>
      <c r="O1093" s="358"/>
      <c r="P1093" s="358"/>
      <c r="Q1093" s="358" t="s">
        <v>18</v>
      </c>
      <c r="R1093" s="358"/>
      <c r="S1093" s="358" t="s">
        <v>19</v>
      </c>
      <c r="T1093" s="548">
        <v>8</v>
      </c>
      <c r="U1093" s="324">
        <f>E1093/420*60</f>
        <v>0</v>
      </c>
      <c r="V1093" s="676"/>
      <c r="W1093" s="528"/>
      <c r="X1093" s="529"/>
      <c r="Y1093" s="648" t="s">
        <v>1123</v>
      </c>
      <c r="Z1093" s="312">
        <f>E1093/1.02</f>
        <v>0</v>
      </c>
      <c r="AA1093" s="316">
        <f>SUM(Z1093/530.1)</f>
        <v>0</v>
      </c>
    </row>
    <row r="1094" spans="1:28" ht="79.5" thickBot="1" x14ac:dyDescent="0.45">
      <c r="A1094" s="319" t="s">
        <v>875</v>
      </c>
      <c r="B1094" s="320" t="s">
        <v>916</v>
      </c>
      <c r="C1094" s="528"/>
      <c r="D1094" s="525"/>
      <c r="E1094" s="456">
        <f>C1094*1</f>
        <v>0</v>
      </c>
      <c r="F1094" s="358">
        <f>E1094*1.02*0.99/147</f>
        <v>0</v>
      </c>
      <c r="G1094" s="548">
        <f t="shared" si="407"/>
        <v>0</v>
      </c>
      <c r="H1094" s="358" t="s">
        <v>18</v>
      </c>
      <c r="I1094" s="548">
        <f t="shared" si="408"/>
        <v>0</v>
      </c>
      <c r="J1094" s="358" t="s">
        <v>19</v>
      </c>
      <c r="K1094" s="358"/>
      <c r="L1094" s="358"/>
      <c r="M1094" s="358">
        <f>F1094*6391/2880</f>
        <v>0</v>
      </c>
      <c r="N1094" s="358"/>
      <c r="O1094" s="358"/>
      <c r="P1094" s="358"/>
      <c r="Q1094" s="358" t="s">
        <v>18</v>
      </c>
      <c r="R1094" s="358"/>
      <c r="S1094" s="358" t="s">
        <v>19</v>
      </c>
      <c r="T1094" s="528">
        <v>8</v>
      </c>
      <c r="U1094" s="324">
        <f t="shared" si="404"/>
        <v>0</v>
      </c>
      <c r="V1094" s="676"/>
      <c r="W1094" s="528"/>
      <c r="X1094" s="529"/>
      <c r="Y1094" s="644" t="s">
        <v>1094</v>
      </c>
      <c r="Z1094" s="312">
        <f>E1094/1.02</f>
        <v>0</v>
      </c>
      <c r="AA1094" s="316">
        <f>SUM(Z1094/530.1)</f>
        <v>0</v>
      </c>
    </row>
    <row r="1095" spans="1:28" ht="79.5" thickBot="1" x14ac:dyDescent="0.45">
      <c r="A1095" s="319" t="s">
        <v>875</v>
      </c>
      <c r="B1095" s="320" t="s">
        <v>1064</v>
      </c>
      <c r="C1095" s="528"/>
      <c r="D1095" s="525"/>
      <c r="E1095" s="545">
        <f>C1095*1</f>
        <v>0</v>
      </c>
      <c r="F1095" s="461">
        <f>E1095*1.02*0.99/147</f>
        <v>0</v>
      </c>
      <c r="G1095" s="525">
        <f t="shared" si="407"/>
        <v>0</v>
      </c>
      <c r="H1095" s="461" t="s">
        <v>18</v>
      </c>
      <c r="I1095" s="525">
        <f t="shared" si="408"/>
        <v>0</v>
      </c>
      <c r="J1095" s="461" t="s">
        <v>19</v>
      </c>
      <c r="K1095" s="461"/>
      <c r="L1095" s="461"/>
      <c r="M1095" s="461">
        <f>F1095*6391/2880</f>
        <v>0</v>
      </c>
      <c r="N1095" s="461"/>
      <c r="O1095" s="461"/>
      <c r="P1095" s="324"/>
      <c r="Q1095" s="324" t="s">
        <v>18</v>
      </c>
      <c r="R1095" s="324"/>
      <c r="S1095" s="324" t="s">
        <v>19</v>
      </c>
      <c r="T1095" s="528">
        <v>8</v>
      </c>
      <c r="U1095" s="324">
        <f>E1095/420*60</f>
        <v>0</v>
      </c>
      <c r="V1095" s="676"/>
      <c r="W1095" s="528"/>
      <c r="X1095" s="529"/>
      <c r="Y1095" s="711" t="s">
        <v>1094</v>
      </c>
      <c r="Z1095" s="312">
        <f>E1095/1.02</f>
        <v>0</v>
      </c>
      <c r="AA1095" s="316">
        <f>SUM(Z1095/530.1)</f>
        <v>0</v>
      </c>
    </row>
    <row r="1096" spans="1:28" ht="79.5" thickBot="1" x14ac:dyDescent="0.45">
      <c r="A1096" s="319" t="s">
        <v>875</v>
      </c>
      <c r="B1096" s="320" t="s">
        <v>1034</v>
      </c>
      <c r="C1096" s="528"/>
      <c r="D1096" s="528"/>
      <c r="E1096" s="456">
        <f>C1096*4</f>
        <v>0</v>
      </c>
      <c r="F1096" s="358">
        <f t="shared" si="405"/>
        <v>0</v>
      </c>
      <c r="G1096" s="548">
        <f t="shared" si="407"/>
        <v>0</v>
      </c>
      <c r="H1096" s="358" t="s">
        <v>18</v>
      </c>
      <c r="I1096" s="548">
        <f t="shared" si="408"/>
        <v>0</v>
      </c>
      <c r="J1096" s="358" t="s">
        <v>19</v>
      </c>
      <c r="K1096" s="358"/>
      <c r="L1096" s="358"/>
      <c r="M1096" s="358">
        <f t="shared" si="406"/>
        <v>0</v>
      </c>
      <c r="N1096" s="324"/>
      <c r="O1096" s="324"/>
      <c r="P1096" s="324"/>
      <c r="Q1096" s="324" t="s">
        <v>18</v>
      </c>
      <c r="R1096" s="324"/>
      <c r="S1096" s="324" t="s">
        <v>19</v>
      </c>
      <c r="T1096" s="528">
        <v>7</v>
      </c>
      <c r="U1096" s="324">
        <f>E1096/259*60</f>
        <v>0</v>
      </c>
      <c r="V1096" s="676"/>
      <c r="W1096" s="528"/>
      <c r="X1096" s="529"/>
      <c r="Y1096" s="644" t="s">
        <v>1094</v>
      </c>
      <c r="Z1096" s="312">
        <f>E1096/1.02</f>
        <v>0</v>
      </c>
      <c r="AA1096" s="316">
        <f>SUM(Z1096/474.3)</f>
        <v>0</v>
      </c>
    </row>
    <row r="1097" spans="1:28" ht="130.5" thickBot="1" x14ac:dyDescent="0.45">
      <c r="A1097" s="319" t="s">
        <v>875</v>
      </c>
      <c r="B1097" s="320" t="s">
        <v>1063</v>
      </c>
      <c r="C1097" s="528"/>
      <c r="D1097" s="528"/>
      <c r="E1097" s="460">
        <f>C1097*2</f>
        <v>0</v>
      </c>
      <c r="F1097" s="324">
        <f t="shared" si="405"/>
        <v>0</v>
      </c>
      <c r="G1097" s="528">
        <f t="shared" si="407"/>
        <v>0</v>
      </c>
      <c r="H1097" s="324" t="s">
        <v>18</v>
      </c>
      <c r="I1097" s="528">
        <f t="shared" si="408"/>
        <v>0</v>
      </c>
      <c r="J1097" s="324" t="s">
        <v>19</v>
      </c>
      <c r="K1097" s="324"/>
      <c r="L1097" s="324"/>
      <c r="M1097" s="324">
        <f t="shared" si="406"/>
        <v>0</v>
      </c>
      <c r="N1097" s="324"/>
      <c r="O1097" s="324"/>
      <c r="P1097" s="324"/>
      <c r="Q1097" s="324" t="s">
        <v>18</v>
      </c>
      <c r="R1097" s="324"/>
      <c r="S1097" s="324" t="s">
        <v>19</v>
      </c>
      <c r="T1097" s="528">
        <v>8</v>
      </c>
      <c r="U1097" s="324">
        <f>E1097/324*60</f>
        <v>0</v>
      </c>
      <c r="V1097" s="676"/>
      <c r="W1097" s="528"/>
      <c r="X1097" s="529"/>
      <c r="Y1097" s="360" t="s">
        <v>1104</v>
      </c>
      <c r="Z1097" s="312">
        <f>E1097/1.05</f>
        <v>0</v>
      </c>
      <c r="AA1097" s="316">
        <f>SUM(Z1097/474)</f>
        <v>0</v>
      </c>
    </row>
    <row r="1098" spans="1:28" ht="130.5" thickBot="1" x14ac:dyDescent="0.45">
      <c r="A1098" s="319" t="s">
        <v>875</v>
      </c>
      <c r="B1098" s="320" t="s">
        <v>917</v>
      </c>
      <c r="C1098" s="528"/>
      <c r="D1098" s="528"/>
      <c r="E1098" s="456">
        <f>C1098*4</f>
        <v>0</v>
      </c>
      <c r="F1098" s="358">
        <f t="shared" si="405"/>
        <v>0</v>
      </c>
      <c r="G1098" s="548">
        <f t="shared" si="407"/>
        <v>0</v>
      </c>
      <c r="H1098" s="358" t="s">
        <v>18</v>
      </c>
      <c r="I1098" s="548">
        <f t="shared" si="408"/>
        <v>0</v>
      </c>
      <c r="J1098" s="358" t="s">
        <v>19</v>
      </c>
      <c r="K1098" s="358"/>
      <c r="L1098" s="358"/>
      <c r="M1098" s="358">
        <f t="shared" si="406"/>
        <v>0</v>
      </c>
      <c r="N1098" s="358"/>
      <c r="O1098" s="358"/>
      <c r="P1098" s="358"/>
      <c r="Q1098" s="358" t="s">
        <v>18</v>
      </c>
      <c r="R1098" s="358"/>
      <c r="S1098" s="358" t="s">
        <v>19</v>
      </c>
      <c r="T1098" s="528">
        <v>8</v>
      </c>
      <c r="U1098" s="324">
        <f>E1098/324*60</f>
        <v>0</v>
      </c>
      <c r="V1098" s="676"/>
      <c r="W1098" s="528"/>
      <c r="X1098" s="529"/>
      <c r="Y1098" s="648" t="s">
        <v>1103</v>
      </c>
      <c r="Z1098" s="312">
        <f>E1098/1.05</f>
        <v>0</v>
      </c>
      <c r="AA1098" s="316">
        <f>SUM(Z1098/474)</f>
        <v>0</v>
      </c>
    </row>
    <row r="1099" spans="1:28" thickBot="1" x14ac:dyDescent="0.45">
      <c r="A1099" s="830"/>
      <c r="B1099" s="332" t="s">
        <v>286</v>
      </c>
      <c r="C1099" s="347"/>
      <c r="D1099" s="347"/>
      <c r="E1099" s="494"/>
      <c r="F1099" s="348"/>
      <c r="G1099" s="347"/>
      <c r="H1099" s="348"/>
      <c r="I1099" s="347"/>
      <c r="J1099" s="348"/>
      <c r="K1099" s="348"/>
      <c r="L1099" s="348"/>
      <c r="M1099" s="348"/>
      <c r="N1099" s="348"/>
      <c r="O1099" s="348"/>
      <c r="P1099" s="348"/>
      <c r="Q1099" s="348"/>
      <c r="R1099" s="348"/>
      <c r="S1099" s="348"/>
      <c r="T1099" s="347"/>
      <c r="U1099" s="348"/>
      <c r="V1099" s="356"/>
      <c r="W1099" s="348"/>
      <c r="X1099" s="495"/>
      <c r="Y1099" s="357"/>
    </row>
    <row r="1100" spans="1:28" ht="79.5" thickBot="1" x14ac:dyDescent="0.45">
      <c r="A1100" s="319" t="s">
        <v>875</v>
      </c>
      <c r="B1100" s="319" t="s">
        <v>999</v>
      </c>
      <c r="C1100" s="528"/>
      <c r="D1100" s="557">
        <f>C1100*16</f>
        <v>0</v>
      </c>
      <c r="E1100" s="456">
        <f t="shared" ref="E1100:E1107" si="409">D1100*0.25</f>
        <v>0</v>
      </c>
      <c r="F1100" s="358">
        <f>E1100*0.99*1.03/147</f>
        <v>0</v>
      </c>
      <c r="G1100" s="548">
        <f t="shared" ref="G1100:G1105" si="410">INT(M1100)</f>
        <v>0</v>
      </c>
      <c r="H1100" s="358" t="s">
        <v>18</v>
      </c>
      <c r="I1100" s="548">
        <f t="shared" ref="I1100:I1105" si="411">(M1100-G1100)*64</f>
        <v>0</v>
      </c>
      <c r="J1100" s="358" t="s">
        <v>19</v>
      </c>
      <c r="K1100" s="358"/>
      <c r="L1100" s="358"/>
      <c r="M1100" s="358">
        <f>(F1100*6989)/2880</f>
        <v>0</v>
      </c>
      <c r="N1100" s="358"/>
      <c r="O1100" s="358"/>
      <c r="P1100" s="358"/>
      <c r="Q1100" s="358" t="s">
        <v>18</v>
      </c>
      <c r="R1100" s="358"/>
      <c r="S1100" s="358" t="s">
        <v>19</v>
      </c>
      <c r="T1100" s="528">
        <v>5</v>
      </c>
      <c r="U1100" s="324">
        <f>E1100/403*60</f>
        <v>0</v>
      </c>
      <c r="V1100" s="676"/>
      <c r="W1100" s="528"/>
      <c r="X1100" s="529"/>
      <c r="Y1100" s="323"/>
      <c r="Z1100" s="312">
        <f t="shared" ref="Z1100:Z1107" si="412">E1100/1.02</f>
        <v>0</v>
      </c>
      <c r="AA1100" s="316">
        <f t="shared" ref="AA1100:AA1107" si="413">SUM(Z1100/390.6)</f>
        <v>0</v>
      </c>
    </row>
    <row r="1101" spans="1:28" ht="79.5" thickBot="1" x14ac:dyDescent="0.45">
      <c r="A1101" s="319" t="s">
        <v>875</v>
      </c>
      <c r="B1101" s="319" t="s">
        <v>1002</v>
      </c>
      <c r="C1101" s="528"/>
      <c r="D1101" s="557">
        <f>C1101*16</f>
        <v>0</v>
      </c>
      <c r="E1101" s="456">
        <f t="shared" si="409"/>
        <v>0</v>
      </c>
      <c r="F1101" s="358">
        <f>E1101*0.99*1.03/147</f>
        <v>0</v>
      </c>
      <c r="G1101" s="548">
        <f t="shared" si="410"/>
        <v>0</v>
      </c>
      <c r="H1101" s="358" t="s">
        <v>18</v>
      </c>
      <c r="I1101" s="548">
        <f t="shared" si="411"/>
        <v>0</v>
      </c>
      <c r="J1101" s="358" t="s">
        <v>19</v>
      </c>
      <c r="K1101" s="358"/>
      <c r="L1101" s="358"/>
      <c r="M1101" s="358">
        <f>(F1101*6989)/2880</f>
        <v>0</v>
      </c>
      <c r="N1101" s="358"/>
      <c r="O1101" s="358"/>
      <c r="P1101" s="358"/>
      <c r="Q1101" s="358" t="s">
        <v>18</v>
      </c>
      <c r="R1101" s="358"/>
      <c r="S1101" s="358" t="s">
        <v>19</v>
      </c>
      <c r="T1101" s="528">
        <v>5</v>
      </c>
      <c r="U1101" s="324">
        <f>E1101/259*60</f>
        <v>0</v>
      </c>
      <c r="V1101" s="676"/>
      <c r="W1101" s="528"/>
      <c r="X1101" s="529"/>
      <c r="Y1101" s="323"/>
      <c r="Z1101" s="312">
        <f t="shared" si="412"/>
        <v>0</v>
      </c>
      <c r="AA1101" s="316">
        <f t="shared" si="413"/>
        <v>0</v>
      </c>
    </row>
    <row r="1102" spans="1:28" ht="79.5" thickBot="1" x14ac:dyDescent="0.45">
      <c r="A1102" s="319" t="s">
        <v>875</v>
      </c>
      <c r="B1102" s="320" t="s">
        <v>1000</v>
      </c>
      <c r="C1102" s="528"/>
      <c r="D1102" s="557">
        <f>C1102*16</f>
        <v>0</v>
      </c>
      <c r="E1102" s="456">
        <f t="shared" si="409"/>
        <v>0</v>
      </c>
      <c r="F1102" s="358">
        <f>E1102*0.99*1.03/147</f>
        <v>0</v>
      </c>
      <c r="G1102" s="548">
        <f t="shared" si="410"/>
        <v>0</v>
      </c>
      <c r="H1102" s="358" t="s">
        <v>18</v>
      </c>
      <c r="I1102" s="548">
        <f t="shared" si="411"/>
        <v>0</v>
      </c>
      <c r="J1102" s="358" t="s">
        <v>19</v>
      </c>
      <c r="K1102" s="358"/>
      <c r="L1102" s="358"/>
      <c r="M1102" s="358">
        <f>(F1102*6989)/2880</f>
        <v>0</v>
      </c>
      <c r="N1102" s="358"/>
      <c r="O1102" s="358"/>
      <c r="P1102" s="358"/>
      <c r="Q1102" s="358" t="s">
        <v>18</v>
      </c>
      <c r="R1102" s="358"/>
      <c r="S1102" s="358" t="s">
        <v>19</v>
      </c>
      <c r="T1102" s="528">
        <v>5</v>
      </c>
      <c r="U1102" s="324">
        <f>E1102/403*60</f>
        <v>0</v>
      </c>
      <c r="V1102" s="676"/>
      <c r="W1102" s="528"/>
      <c r="X1102" s="529"/>
      <c r="Y1102" s="360" t="s">
        <v>921</v>
      </c>
      <c r="Z1102" s="312">
        <f t="shared" si="412"/>
        <v>0</v>
      </c>
      <c r="AA1102" s="316">
        <f t="shared" si="413"/>
        <v>0</v>
      </c>
    </row>
    <row r="1103" spans="1:28" ht="79.5" thickBot="1" x14ac:dyDescent="0.45">
      <c r="A1103" s="319" t="s">
        <v>875</v>
      </c>
      <c r="B1103" s="320" t="s">
        <v>634</v>
      </c>
      <c r="C1103" s="528"/>
      <c r="D1103" s="551">
        <f>C1103*14</f>
        <v>0</v>
      </c>
      <c r="E1103" s="456">
        <f t="shared" si="409"/>
        <v>0</v>
      </c>
      <c r="F1103" s="358">
        <f>E1103*0.99*1.03/147</f>
        <v>0</v>
      </c>
      <c r="G1103" s="548">
        <f t="shared" si="410"/>
        <v>0</v>
      </c>
      <c r="H1103" s="358" t="s">
        <v>18</v>
      </c>
      <c r="I1103" s="548">
        <f t="shared" si="411"/>
        <v>0</v>
      </c>
      <c r="J1103" s="358" t="s">
        <v>19</v>
      </c>
      <c r="K1103" s="358"/>
      <c r="L1103" s="358"/>
      <c r="M1103" s="358">
        <f>(F1103*6989)/2880</f>
        <v>0</v>
      </c>
      <c r="N1103" s="324"/>
      <c r="O1103" s="324"/>
      <c r="P1103" s="324"/>
      <c r="Q1103" s="324" t="s">
        <v>18</v>
      </c>
      <c r="R1103" s="324"/>
      <c r="S1103" s="324" t="s">
        <v>19</v>
      </c>
      <c r="T1103" s="528">
        <v>5</v>
      </c>
      <c r="U1103" s="324">
        <f>E1103/390*60</f>
        <v>0</v>
      </c>
      <c r="V1103" s="676"/>
      <c r="W1103" s="528"/>
      <c r="X1103" s="529"/>
      <c r="Y1103" s="323"/>
      <c r="Z1103" s="312">
        <f t="shared" si="412"/>
        <v>0</v>
      </c>
      <c r="AA1103" s="316">
        <f t="shared" si="413"/>
        <v>0</v>
      </c>
    </row>
    <row r="1104" spans="1:28" ht="79.5" thickBot="1" x14ac:dyDescent="0.45">
      <c r="A1104" s="319" t="s">
        <v>875</v>
      </c>
      <c r="B1104" s="320" t="s">
        <v>635</v>
      </c>
      <c r="C1104" s="528"/>
      <c r="D1104" s="551">
        <f>C1104*14</f>
        <v>0</v>
      </c>
      <c r="E1104" s="456">
        <f t="shared" si="409"/>
        <v>0</v>
      </c>
      <c r="F1104" s="358">
        <f>E1104*0.99*1.03/147</f>
        <v>0</v>
      </c>
      <c r="G1104" s="548">
        <f t="shared" si="410"/>
        <v>0</v>
      </c>
      <c r="H1104" s="358" t="s">
        <v>18</v>
      </c>
      <c r="I1104" s="548">
        <f t="shared" si="411"/>
        <v>0</v>
      </c>
      <c r="J1104" s="358" t="s">
        <v>19</v>
      </c>
      <c r="K1104" s="358"/>
      <c r="L1104" s="358"/>
      <c r="M1104" s="358">
        <f>(F1104*6989)/2880</f>
        <v>0</v>
      </c>
      <c r="N1104" s="324"/>
      <c r="O1104" s="324"/>
      <c r="P1104" s="324"/>
      <c r="Q1104" s="324" t="s">
        <v>18</v>
      </c>
      <c r="R1104" s="324"/>
      <c r="S1104" s="324" t="s">
        <v>19</v>
      </c>
      <c r="T1104" s="528">
        <v>5</v>
      </c>
      <c r="U1104" s="324">
        <f>E1104/390*60</f>
        <v>0</v>
      </c>
      <c r="V1104" s="676"/>
      <c r="W1104" s="528"/>
      <c r="X1104" s="529"/>
      <c r="Y1104" s="323"/>
      <c r="Z1104" s="312">
        <f t="shared" si="412"/>
        <v>0</v>
      </c>
      <c r="AA1104" s="316">
        <f t="shared" si="413"/>
        <v>0</v>
      </c>
    </row>
    <row r="1105" spans="1:28" ht="79.5" thickBot="1" x14ac:dyDescent="0.45">
      <c r="A1105" s="319" t="s">
        <v>875</v>
      </c>
      <c r="B1105" s="362" t="s">
        <v>637</v>
      </c>
      <c r="C1105" s="528"/>
      <c r="D1105" s="528">
        <f>C1105*12</f>
        <v>0</v>
      </c>
      <c r="E1105" s="460">
        <f t="shared" si="409"/>
        <v>0</v>
      </c>
      <c r="F1105" s="324">
        <f>E1105*1.05*0.99/135</f>
        <v>0</v>
      </c>
      <c r="G1105" s="528">
        <f t="shared" si="410"/>
        <v>0</v>
      </c>
      <c r="H1105" s="324" t="s">
        <v>18</v>
      </c>
      <c r="I1105" s="528">
        <f t="shared" si="411"/>
        <v>0</v>
      </c>
      <c r="J1105" s="324" t="s">
        <v>19</v>
      </c>
      <c r="K1105" s="324"/>
      <c r="L1105" s="324"/>
      <c r="M1105" s="324">
        <f>(F1105*6253)/2880</f>
        <v>0</v>
      </c>
      <c r="N1105" s="324"/>
      <c r="O1105" s="324"/>
      <c r="P1105" s="324"/>
      <c r="Q1105" s="324" t="s">
        <v>18</v>
      </c>
      <c r="R1105" s="324"/>
      <c r="S1105" s="324" t="s">
        <v>19</v>
      </c>
      <c r="T1105" s="528">
        <v>5</v>
      </c>
      <c r="U1105" s="324">
        <f>E1105/226*60</f>
        <v>0</v>
      </c>
      <c r="V1105" s="676"/>
      <c r="W1105" s="528"/>
      <c r="X1105" s="529"/>
      <c r="Y1105" s="360" t="s">
        <v>950</v>
      </c>
      <c r="Z1105" s="312">
        <f t="shared" si="412"/>
        <v>0</v>
      </c>
      <c r="AA1105" s="316">
        <f t="shared" si="413"/>
        <v>0</v>
      </c>
    </row>
    <row r="1106" spans="1:28" ht="79.5" thickBot="1" x14ac:dyDescent="0.45">
      <c r="A1106" s="319" t="s">
        <v>875</v>
      </c>
      <c r="B1106" s="362" t="s">
        <v>773</v>
      </c>
      <c r="C1106" s="528"/>
      <c r="D1106" s="528">
        <f>C1106*6</f>
        <v>0</v>
      </c>
      <c r="E1106" s="460">
        <f t="shared" si="409"/>
        <v>0</v>
      </c>
      <c r="F1106" s="324">
        <f>E1106*1.05*0.99/135</f>
        <v>0</v>
      </c>
      <c r="G1106" s="528">
        <f t="shared" ref="G1106:G1130" si="414">INT(M1106)</f>
        <v>0</v>
      </c>
      <c r="H1106" s="324" t="s">
        <v>18</v>
      </c>
      <c r="I1106" s="528">
        <f t="shared" ref="I1106:I1130" si="415">(M1106-G1106)*64</f>
        <v>0</v>
      </c>
      <c r="J1106" s="324" t="s">
        <v>19</v>
      </c>
      <c r="K1106" s="324"/>
      <c r="L1106" s="324"/>
      <c r="M1106" s="324">
        <f>(F1106*6253)/2880</f>
        <v>0</v>
      </c>
      <c r="N1106" s="324"/>
      <c r="O1106" s="324"/>
      <c r="P1106" s="324"/>
      <c r="Q1106" s="324" t="s">
        <v>18</v>
      </c>
      <c r="R1106" s="324"/>
      <c r="S1106" s="324" t="s">
        <v>19</v>
      </c>
      <c r="T1106" s="528">
        <v>5</v>
      </c>
      <c r="U1106" s="324">
        <f>E1106/226*60</f>
        <v>0</v>
      </c>
      <c r="V1106" s="676"/>
      <c r="W1106" s="528"/>
      <c r="X1106" s="529"/>
      <c r="Y1106" s="360" t="s">
        <v>950</v>
      </c>
      <c r="Z1106" s="312">
        <f t="shared" si="412"/>
        <v>0</v>
      </c>
      <c r="AA1106" s="316">
        <f t="shared" si="413"/>
        <v>0</v>
      </c>
    </row>
    <row r="1107" spans="1:28" ht="79.5" outlineLevel="1" thickBot="1" x14ac:dyDescent="0.45">
      <c r="A1107" s="319" t="s">
        <v>875</v>
      </c>
      <c r="B1107" s="799" t="s">
        <v>1214</v>
      </c>
      <c r="C1107" s="528"/>
      <c r="D1107" s="528">
        <f>C1107*14</f>
        <v>0</v>
      </c>
      <c r="E1107" s="460">
        <f t="shared" si="409"/>
        <v>0</v>
      </c>
      <c r="F1107" s="324">
        <f>E1107*1.05*0.99/135</f>
        <v>0</v>
      </c>
      <c r="G1107" s="528">
        <f t="shared" si="414"/>
        <v>0</v>
      </c>
      <c r="H1107" s="324" t="s">
        <v>18</v>
      </c>
      <c r="I1107" s="528">
        <f t="shared" si="415"/>
        <v>0</v>
      </c>
      <c r="J1107" s="324" t="s">
        <v>19</v>
      </c>
      <c r="K1107" s="324"/>
      <c r="L1107" s="324"/>
      <c r="M1107" s="324">
        <f>(F1107*6253)/2880</f>
        <v>0</v>
      </c>
      <c r="N1107" s="324"/>
      <c r="O1107" s="324"/>
      <c r="P1107" s="324"/>
      <c r="Q1107" s="324" t="s">
        <v>18</v>
      </c>
      <c r="R1107" s="324"/>
      <c r="S1107" s="324" t="s">
        <v>19</v>
      </c>
      <c r="T1107" s="528">
        <v>5</v>
      </c>
      <c r="U1107" s="722">
        <f>E1107/226*60</f>
        <v>0</v>
      </c>
      <c r="V1107" s="676"/>
      <c r="W1107" s="528"/>
      <c r="X1107" s="529"/>
      <c r="Y1107" s="360" t="s">
        <v>950</v>
      </c>
      <c r="Z1107" s="312">
        <f t="shared" si="412"/>
        <v>0</v>
      </c>
      <c r="AA1107" s="316">
        <f t="shared" si="413"/>
        <v>0</v>
      </c>
    </row>
    <row r="1108" spans="1:28" ht="231" thickBot="1" x14ac:dyDescent="0.45">
      <c r="A1108" s="319" t="s">
        <v>875</v>
      </c>
      <c r="B1108" s="320" t="s">
        <v>1028</v>
      </c>
      <c r="C1108" s="528"/>
      <c r="D1108" s="567">
        <f>C1108*12</f>
        <v>0</v>
      </c>
      <c r="E1108" s="324">
        <f>D1108*0.18</f>
        <v>0</v>
      </c>
      <c r="F1108" s="324">
        <f>E1108*0.99*1.03/147</f>
        <v>0</v>
      </c>
      <c r="G1108" s="324">
        <f>INT(M1108)</f>
        <v>0</v>
      </c>
      <c r="H1108" s="324" t="s">
        <v>18</v>
      </c>
      <c r="I1108" s="528">
        <f>(M1108-G1108)*64</f>
        <v>0</v>
      </c>
      <c r="J1108" s="324" t="s">
        <v>19</v>
      </c>
      <c r="K1108" s="324"/>
      <c r="L1108" s="324"/>
      <c r="M1108" s="324">
        <f>C1108*12*6/45/64*1.03</f>
        <v>0</v>
      </c>
      <c r="N1108" s="324"/>
      <c r="O1108" s="324"/>
      <c r="P1108" s="324"/>
      <c r="Q1108" s="324" t="s">
        <v>18</v>
      </c>
      <c r="R1108" s="324"/>
      <c r="S1108" s="324" t="s">
        <v>19</v>
      </c>
      <c r="T1108" s="528">
        <v>9</v>
      </c>
      <c r="U1108" s="324">
        <f>E1108/237*60</f>
        <v>0</v>
      </c>
      <c r="V1108" s="676"/>
      <c r="W1108" s="528"/>
      <c r="X1108" s="529"/>
      <c r="Y1108" s="300" t="s">
        <v>1142</v>
      </c>
      <c r="Z1108" s="312">
        <f>E1108/1.02</f>
        <v>0</v>
      </c>
      <c r="AA1108" s="316">
        <f>SUM(Z1108/504)</f>
        <v>0</v>
      </c>
    </row>
    <row r="1109" spans="1:28" ht="231" thickBot="1" x14ac:dyDescent="0.45">
      <c r="A1109" s="319" t="s">
        <v>875</v>
      </c>
      <c r="B1109" s="320" t="s">
        <v>996</v>
      </c>
      <c r="C1109" s="528"/>
      <c r="D1109" s="567">
        <f>C1109*12</f>
        <v>0</v>
      </c>
      <c r="E1109" s="324">
        <f>D1109*0.18</f>
        <v>0</v>
      </c>
      <c r="F1109" s="324">
        <f>E1109*0.99*1.03/147</f>
        <v>0</v>
      </c>
      <c r="G1109" s="324">
        <f>INT(M1109)</f>
        <v>0</v>
      </c>
      <c r="H1109" s="324" t="s">
        <v>18</v>
      </c>
      <c r="I1109" s="528">
        <f>(M1109-G1109)*64</f>
        <v>0</v>
      </c>
      <c r="J1109" s="324" t="s">
        <v>19</v>
      </c>
      <c r="K1109" s="324"/>
      <c r="L1109" s="324"/>
      <c r="M1109" s="324">
        <f>C1109*12*6/45/64*1.03</f>
        <v>0</v>
      </c>
      <c r="N1109" s="324"/>
      <c r="O1109" s="324"/>
      <c r="P1109" s="324"/>
      <c r="Q1109" s="324" t="s">
        <v>18</v>
      </c>
      <c r="R1109" s="324"/>
      <c r="S1109" s="324" t="s">
        <v>19</v>
      </c>
      <c r="T1109" s="528">
        <v>9</v>
      </c>
      <c r="U1109" s="324">
        <f>E1109/237*60</f>
        <v>0</v>
      </c>
      <c r="V1109" s="676"/>
      <c r="W1109" s="528"/>
      <c r="X1109" s="529"/>
      <c r="Y1109" s="300" t="s">
        <v>1143</v>
      </c>
      <c r="Z1109" s="312">
        <f>E1109/1.02</f>
        <v>0</v>
      </c>
      <c r="AA1109" s="316">
        <f>SUM(Z1109/504)</f>
        <v>0</v>
      </c>
    </row>
    <row r="1110" spans="1:28" ht="231" thickBot="1" x14ac:dyDescent="0.45">
      <c r="A1110" s="319" t="s">
        <v>875</v>
      </c>
      <c r="B1110" s="320" t="s">
        <v>997</v>
      </c>
      <c r="C1110" s="528"/>
      <c r="D1110" s="567">
        <f>C1110*12</f>
        <v>0</v>
      </c>
      <c r="E1110" s="324">
        <f>D1110*0.18</f>
        <v>0</v>
      </c>
      <c r="F1110" s="324">
        <f>E1110*0.99*1.03/147</f>
        <v>0</v>
      </c>
      <c r="G1110" s="324">
        <f>INT(M1110)</f>
        <v>0</v>
      </c>
      <c r="H1110" s="324" t="s">
        <v>18</v>
      </c>
      <c r="I1110" s="528">
        <f>(M1110-G1110)*64</f>
        <v>0</v>
      </c>
      <c r="J1110" s="324" t="s">
        <v>19</v>
      </c>
      <c r="K1110" s="324"/>
      <c r="L1110" s="324"/>
      <c r="M1110" s="324">
        <f>C1110*12*6/45/64*1.03</f>
        <v>0</v>
      </c>
      <c r="N1110" s="324"/>
      <c r="O1110" s="324"/>
      <c r="P1110" s="324"/>
      <c r="Q1110" s="324" t="s">
        <v>18</v>
      </c>
      <c r="R1110" s="324"/>
      <c r="S1110" s="324" t="s">
        <v>19</v>
      </c>
      <c r="T1110" s="528">
        <v>9</v>
      </c>
      <c r="U1110" s="324">
        <f>E1110/237*60</f>
        <v>0</v>
      </c>
      <c r="V1110" s="676"/>
      <c r="W1110" s="528"/>
      <c r="X1110" s="529"/>
      <c r="Y1110" s="300" t="s">
        <v>1144</v>
      </c>
      <c r="Z1110" s="312">
        <f>E1110/1.02</f>
        <v>0</v>
      </c>
      <c r="AA1110" s="316">
        <f>SUM(Z1110/504)</f>
        <v>0</v>
      </c>
    </row>
    <row r="1111" spans="1:28" ht="105.75" thickBot="1" x14ac:dyDescent="0.45">
      <c r="A1111" s="319" t="s">
        <v>875</v>
      </c>
      <c r="B1111" s="320" t="s">
        <v>998</v>
      </c>
      <c r="C1111" s="528"/>
      <c r="D1111" s="567">
        <f>C1111*26</f>
        <v>0</v>
      </c>
      <c r="E1111" s="324">
        <f>D1111*0.18</f>
        <v>0</v>
      </c>
      <c r="F1111" s="324">
        <f>E1111*0.99*1.03/147</f>
        <v>0</v>
      </c>
      <c r="G1111" s="324">
        <f>INT(M1111)</f>
        <v>0</v>
      </c>
      <c r="H1111" s="324" t="s">
        <v>18</v>
      </c>
      <c r="I1111" s="528">
        <f>(M1111-G1111)*64</f>
        <v>0</v>
      </c>
      <c r="J1111" s="324" t="s">
        <v>19</v>
      </c>
      <c r="K1111" s="324"/>
      <c r="L1111" s="324"/>
      <c r="M1111" s="324">
        <f>C1111*26*6/45/64*1.03</f>
        <v>0</v>
      </c>
      <c r="N1111" s="324"/>
      <c r="O1111" s="324"/>
      <c r="P1111" s="324"/>
      <c r="Q1111" s="324" t="s">
        <v>18</v>
      </c>
      <c r="R1111" s="324"/>
      <c r="S1111" s="324" t="s">
        <v>19</v>
      </c>
      <c r="T1111" s="528">
        <v>9</v>
      </c>
      <c r="U1111" s="324">
        <f>E1111/237*60</f>
        <v>0</v>
      </c>
      <c r="V1111" s="676"/>
      <c r="W1111" s="528"/>
      <c r="X1111" s="529"/>
      <c r="Y1111" s="711" t="s">
        <v>1140</v>
      </c>
      <c r="Z1111" s="312">
        <f>E1111/1.02</f>
        <v>0</v>
      </c>
      <c r="AA1111" s="316">
        <f>SUM(Z1111/504)</f>
        <v>0</v>
      </c>
    </row>
    <row r="1112" spans="1:28" ht="180.75" customHeight="1" thickBot="1" x14ac:dyDescent="0.45">
      <c r="A1112" s="319" t="s">
        <v>875</v>
      </c>
      <c r="B1112" s="320" t="s">
        <v>904</v>
      </c>
      <c r="C1112" s="528"/>
      <c r="D1112" s="569">
        <f>C1112*12</f>
        <v>0</v>
      </c>
      <c r="E1112" s="458">
        <f>D1112*0.55</f>
        <v>0</v>
      </c>
      <c r="F1112" s="358">
        <f>E1112*0.9*1.01/147</f>
        <v>0</v>
      </c>
      <c r="G1112" s="556">
        <f t="shared" si="414"/>
        <v>0</v>
      </c>
      <c r="H1112" s="366" t="s">
        <v>18</v>
      </c>
      <c r="I1112" s="556">
        <f t="shared" si="415"/>
        <v>0</v>
      </c>
      <c r="J1112" s="366" t="s">
        <v>19</v>
      </c>
      <c r="K1112" s="366"/>
      <c r="L1112" s="366"/>
      <c r="M1112" s="570">
        <f>(F1112*5300/3456)</f>
        <v>0</v>
      </c>
      <c r="N1112" s="366"/>
      <c r="O1112" s="366"/>
      <c r="P1112" s="366"/>
      <c r="Q1112" s="366" t="s">
        <v>18</v>
      </c>
      <c r="R1112" s="366"/>
      <c r="S1112" s="366" t="s">
        <v>19</v>
      </c>
      <c r="T1112" s="528">
        <v>10</v>
      </c>
      <c r="U1112" s="324"/>
      <c r="V1112" s="676"/>
      <c r="W1112" s="528"/>
      <c r="X1112" s="529"/>
      <c r="Y1112" s="671" t="s">
        <v>1130</v>
      </c>
      <c r="Z1112" s="312">
        <f>E1112/1.02/1.143</f>
        <v>0</v>
      </c>
      <c r="AA1112" s="316">
        <f>SUM(AB1112/510.3)</f>
        <v>0</v>
      </c>
      <c r="AB1112" s="310">
        <f>E1112/1.02</f>
        <v>0</v>
      </c>
    </row>
    <row r="1113" spans="1:28" ht="183.75" customHeight="1" thickBot="1" x14ac:dyDescent="0.45">
      <c r="A1113" s="319" t="s">
        <v>875</v>
      </c>
      <c r="B1113" s="320" t="s">
        <v>905</v>
      </c>
      <c r="C1113" s="528"/>
      <c r="D1113" s="569">
        <f>C1113*12</f>
        <v>0</v>
      </c>
      <c r="E1113" s="458">
        <f>D1113*0.55</f>
        <v>0</v>
      </c>
      <c r="F1113" s="358">
        <f>E1113*0.9*1.01/147</f>
        <v>0</v>
      </c>
      <c r="G1113" s="556">
        <f t="shared" si="414"/>
        <v>0</v>
      </c>
      <c r="H1113" s="366" t="s">
        <v>18</v>
      </c>
      <c r="I1113" s="556">
        <f t="shared" si="415"/>
        <v>0</v>
      </c>
      <c r="J1113" s="366" t="s">
        <v>19</v>
      </c>
      <c r="K1113" s="366"/>
      <c r="L1113" s="366"/>
      <c r="M1113" s="570">
        <f>(F1113*5300/3456)</f>
        <v>0</v>
      </c>
      <c r="N1113" s="366"/>
      <c r="O1113" s="366"/>
      <c r="P1113" s="366"/>
      <c r="Q1113" s="366" t="s">
        <v>18</v>
      </c>
      <c r="R1113" s="366"/>
      <c r="S1113" s="366" t="s">
        <v>19</v>
      </c>
      <c r="T1113" s="528">
        <v>10</v>
      </c>
      <c r="U1113" s="324"/>
      <c r="V1113" s="676"/>
      <c r="W1113" s="528"/>
      <c r="X1113" s="529"/>
      <c r="Y1113" s="664" t="s">
        <v>1113</v>
      </c>
      <c r="Z1113" s="312">
        <f>E1113/1.02/1.143</f>
        <v>0</v>
      </c>
      <c r="AA1113" s="316">
        <f>SUM(AB1113/510.3)</f>
        <v>0</v>
      </c>
      <c r="AB1113" s="310">
        <f>E1113/1.02</f>
        <v>0</v>
      </c>
    </row>
    <row r="1114" spans="1:28" ht="79.5" thickBot="1" x14ac:dyDescent="0.45">
      <c r="A1114" s="319" t="s">
        <v>875</v>
      </c>
      <c r="B1114" s="320" t="s">
        <v>1037</v>
      </c>
      <c r="C1114" s="528"/>
      <c r="D1114" s="548">
        <f>C1114*16</f>
        <v>0</v>
      </c>
      <c r="E1114" s="456">
        <f>D1114*0.27</f>
        <v>0</v>
      </c>
      <c r="F1114" s="358">
        <f>E1114*0.99*1.03/147</f>
        <v>0</v>
      </c>
      <c r="G1114" s="548">
        <f t="shared" ref="G1114:G1120" si="416">INT(M1114)</f>
        <v>0</v>
      </c>
      <c r="H1114" s="358" t="s">
        <v>18</v>
      </c>
      <c r="I1114" s="548">
        <f t="shared" ref="I1114:I1120" si="417">(M1114-G1114)*64</f>
        <v>0</v>
      </c>
      <c r="J1114" s="358" t="s">
        <v>19</v>
      </c>
      <c r="K1114" s="358"/>
      <c r="L1114" s="358"/>
      <c r="M1114" s="358">
        <f>(F1114*6391)/2880</f>
        <v>0</v>
      </c>
      <c r="N1114" s="358"/>
      <c r="O1114" s="358"/>
      <c r="P1114" s="358"/>
      <c r="Q1114" s="358" t="s">
        <v>18</v>
      </c>
      <c r="R1114" s="358"/>
      <c r="S1114" s="358" t="s">
        <v>19</v>
      </c>
      <c r="T1114" s="528">
        <v>5</v>
      </c>
      <c r="U1114" s="324">
        <f t="shared" ref="U1114:U1120" si="418">E1114/403*60</f>
        <v>0</v>
      </c>
      <c r="V1114" s="676"/>
      <c r="W1114" s="528"/>
      <c r="X1114" s="529"/>
      <c r="Y1114" s="381"/>
      <c r="Z1114" s="312">
        <f t="shared" ref="Z1114:Z1134" si="419">E1114/1.02</f>
        <v>0</v>
      </c>
      <c r="AA1114" s="316">
        <f>SUM(Z1114/427.8)</f>
        <v>0</v>
      </c>
    </row>
    <row r="1115" spans="1:28" ht="79.5" thickBot="1" x14ac:dyDescent="0.45">
      <c r="A1115" s="319" t="s">
        <v>875</v>
      </c>
      <c r="B1115" s="343" t="s">
        <v>1038</v>
      </c>
      <c r="C1115" s="528"/>
      <c r="D1115" s="548">
        <f>C1115*16</f>
        <v>0</v>
      </c>
      <c r="E1115" s="456">
        <f>D1115*0.27</f>
        <v>0</v>
      </c>
      <c r="F1115" s="358">
        <f>E1115*0.99*1.03/147</f>
        <v>0</v>
      </c>
      <c r="G1115" s="548">
        <f t="shared" si="416"/>
        <v>0</v>
      </c>
      <c r="H1115" s="358" t="s">
        <v>18</v>
      </c>
      <c r="I1115" s="548">
        <f t="shared" si="417"/>
        <v>0</v>
      </c>
      <c r="J1115" s="358" t="s">
        <v>19</v>
      </c>
      <c r="K1115" s="358"/>
      <c r="L1115" s="358"/>
      <c r="M1115" s="358">
        <f>(F1115*6391)/2880</f>
        <v>0</v>
      </c>
      <c r="N1115" s="358"/>
      <c r="O1115" s="358"/>
      <c r="P1115" s="358"/>
      <c r="Q1115" s="358" t="s">
        <v>18</v>
      </c>
      <c r="R1115" s="358"/>
      <c r="S1115" s="358" t="s">
        <v>19</v>
      </c>
      <c r="T1115" s="528">
        <v>5</v>
      </c>
      <c r="U1115" s="324">
        <f t="shared" si="418"/>
        <v>0</v>
      </c>
      <c r="V1115" s="676"/>
      <c r="W1115" s="528"/>
      <c r="X1115" s="529"/>
      <c r="Y1115" s="360" t="s">
        <v>921</v>
      </c>
      <c r="Z1115" s="312">
        <f t="shared" si="419"/>
        <v>0</v>
      </c>
      <c r="AA1115" s="316">
        <f>SUM(Z1115/427.8)</f>
        <v>0</v>
      </c>
    </row>
    <row r="1116" spans="1:28" ht="79.5" thickBot="1" x14ac:dyDescent="0.45">
      <c r="A1116" s="319" t="s">
        <v>875</v>
      </c>
      <c r="B1116" s="319" t="s">
        <v>684</v>
      </c>
      <c r="C1116" s="528"/>
      <c r="D1116" s="548">
        <f t="shared" ref="D1116:D1124" si="420">C1116*12</f>
        <v>0</v>
      </c>
      <c r="E1116" s="456">
        <f>D1116*0.3</f>
        <v>0</v>
      </c>
      <c r="F1116" s="358">
        <f>E1116*0.99*1.03/147</f>
        <v>0</v>
      </c>
      <c r="G1116" s="548">
        <f t="shared" si="416"/>
        <v>0</v>
      </c>
      <c r="H1116" s="358" t="s">
        <v>18</v>
      </c>
      <c r="I1116" s="548">
        <f t="shared" si="417"/>
        <v>0</v>
      </c>
      <c r="J1116" s="358" t="s">
        <v>19</v>
      </c>
      <c r="K1116" s="358"/>
      <c r="L1116" s="358"/>
      <c r="M1116" s="358">
        <f>(F1116*5880)/2880</f>
        <v>0</v>
      </c>
      <c r="N1116" s="324"/>
      <c r="O1116" s="324"/>
      <c r="P1116" s="324"/>
      <c r="Q1116" s="324" t="s">
        <v>18</v>
      </c>
      <c r="R1116" s="324"/>
      <c r="S1116" s="324" t="s">
        <v>19</v>
      </c>
      <c r="T1116" s="528">
        <v>5</v>
      </c>
      <c r="U1116" s="324">
        <f t="shared" si="418"/>
        <v>0</v>
      </c>
      <c r="V1116" s="676"/>
      <c r="W1116" s="528"/>
      <c r="X1116" s="529"/>
      <c r="Y1116" s="644" t="s">
        <v>1094</v>
      </c>
      <c r="Z1116" s="312">
        <f t="shared" si="419"/>
        <v>0</v>
      </c>
      <c r="AA1116" s="316">
        <f>SUM(Z1116/465)</f>
        <v>0</v>
      </c>
    </row>
    <row r="1117" spans="1:28" ht="79.5" thickBot="1" x14ac:dyDescent="0.45">
      <c r="A1117" s="319" t="s">
        <v>875</v>
      </c>
      <c r="B1117" s="319" t="s">
        <v>685</v>
      </c>
      <c r="C1117" s="528"/>
      <c r="D1117" s="548">
        <f t="shared" si="420"/>
        <v>0</v>
      </c>
      <c r="E1117" s="456">
        <f>D1117*0.3</f>
        <v>0</v>
      </c>
      <c r="F1117" s="358">
        <f>E1117*0.99*1.03/147</f>
        <v>0</v>
      </c>
      <c r="G1117" s="548">
        <f t="shared" si="416"/>
        <v>0</v>
      </c>
      <c r="H1117" s="358" t="s">
        <v>18</v>
      </c>
      <c r="I1117" s="548">
        <f t="shared" si="417"/>
        <v>0</v>
      </c>
      <c r="J1117" s="358" t="s">
        <v>19</v>
      </c>
      <c r="K1117" s="358"/>
      <c r="L1117" s="358"/>
      <c r="M1117" s="358">
        <f>(F1117*5880)/2880</f>
        <v>0</v>
      </c>
      <c r="N1117" s="324"/>
      <c r="O1117" s="324"/>
      <c r="P1117" s="324"/>
      <c r="Q1117" s="324" t="s">
        <v>18</v>
      </c>
      <c r="R1117" s="324"/>
      <c r="S1117" s="324" t="s">
        <v>19</v>
      </c>
      <c r="T1117" s="528">
        <v>5</v>
      </c>
      <c r="U1117" s="324">
        <f t="shared" si="418"/>
        <v>0</v>
      </c>
      <c r="V1117" s="676"/>
      <c r="W1117" s="528"/>
      <c r="X1117" s="529"/>
      <c r="Y1117" s="644" t="s">
        <v>1094</v>
      </c>
      <c r="Z1117" s="312">
        <f t="shared" si="419"/>
        <v>0</v>
      </c>
      <c r="AA1117" s="316">
        <f>SUM(Z1117/465)</f>
        <v>0</v>
      </c>
    </row>
    <row r="1118" spans="1:28" ht="79.5" thickBot="1" x14ac:dyDescent="0.45">
      <c r="A1118" s="319" t="s">
        <v>875</v>
      </c>
      <c r="B1118" s="854" t="s">
        <v>1196</v>
      </c>
      <c r="C1118" s="528"/>
      <c r="D1118" s="548">
        <f>C1118*14</f>
        <v>0</v>
      </c>
      <c r="E1118" s="456">
        <f>D1118*0.3</f>
        <v>0</v>
      </c>
      <c r="F1118" s="358">
        <f>E1118*0.99*1.03/147</f>
        <v>0</v>
      </c>
      <c r="G1118" s="548">
        <f t="shared" si="416"/>
        <v>0</v>
      </c>
      <c r="H1118" s="358" t="s">
        <v>18</v>
      </c>
      <c r="I1118" s="548">
        <f t="shared" si="417"/>
        <v>0</v>
      </c>
      <c r="J1118" s="358" t="s">
        <v>19</v>
      </c>
      <c r="K1118" s="358"/>
      <c r="L1118" s="358"/>
      <c r="M1118" s="358">
        <f>(F1118*5880)/2880</f>
        <v>0</v>
      </c>
      <c r="N1118" s="324"/>
      <c r="O1118" s="324"/>
      <c r="P1118" s="324"/>
      <c r="Q1118" s="324" t="s">
        <v>18</v>
      </c>
      <c r="R1118" s="324"/>
      <c r="S1118" s="324" t="s">
        <v>19</v>
      </c>
      <c r="T1118" s="528">
        <v>5</v>
      </c>
      <c r="U1118" s="324">
        <f t="shared" si="418"/>
        <v>0</v>
      </c>
      <c r="V1118" s="676"/>
      <c r="W1118" s="528"/>
      <c r="X1118" s="529"/>
      <c r="Y1118" s="644" t="s">
        <v>1094</v>
      </c>
      <c r="Z1118" s="312">
        <f>E1118/1.02</f>
        <v>0</v>
      </c>
      <c r="AA1118" s="316">
        <f>SUM(Z1118/465)</f>
        <v>0</v>
      </c>
    </row>
    <row r="1119" spans="1:28" ht="79.5" thickBot="1" x14ac:dyDescent="0.45">
      <c r="A1119" s="319" t="s">
        <v>875</v>
      </c>
      <c r="B1119" s="862" t="s">
        <v>1197</v>
      </c>
      <c r="C1119" s="853"/>
      <c r="D1119" s="856">
        <f>C1119*16</f>
        <v>0</v>
      </c>
      <c r="E1119" s="629">
        <f>D1119*0.3</f>
        <v>0</v>
      </c>
      <c r="F1119" s="857">
        <f>E1119*0.9*1.01/147</f>
        <v>0</v>
      </c>
      <c r="G1119" s="858">
        <f t="shared" si="416"/>
        <v>0</v>
      </c>
      <c r="H1119" s="366"/>
      <c r="I1119" s="859">
        <f t="shared" si="417"/>
        <v>0</v>
      </c>
      <c r="J1119" s="860" t="s">
        <v>19</v>
      </c>
      <c r="K1119" s="860"/>
      <c r="L1119" s="860"/>
      <c r="M1119" s="861">
        <f>F1119*6533/3456</f>
        <v>0</v>
      </c>
      <c r="N1119" s="860"/>
      <c r="O1119" s="860"/>
      <c r="P1119" s="860"/>
      <c r="Q1119" s="324" t="s">
        <v>18</v>
      </c>
      <c r="R1119" s="324"/>
      <c r="S1119" s="324" t="s">
        <v>19</v>
      </c>
      <c r="T1119" s="528">
        <v>5</v>
      </c>
      <c r="U1119" s="324">
        <f t="shared" si="418"/>
        <v>0</v>
      </c>
      <c r="V1119" s="676"/>
      <c r="W1119" s="528"/>
      <c r="X1119" s="529"/>
      <c r="Y1119" s="711"/>
      <c r="Z1119" s="312">
        <f>E1119/1.02/1.143</f>
        <v>0</v>
      </c>
      <c r="AA1119" s="316">
        <f>SUM(AB1119/405)</f>
        <v>0</v>
      </c>
      <c r="AB1119" s="310">
        <f>E1119/1.02</f>
        <v>0</v>
      </c>
    </row>
    <row r="1120" spans="1:28" ht="79.5" thickBot="1" x14ac:dyDescent="0.45">
      <c r="A1120" s="319" t="s">
        <v>875</v>
      </c>
      <c r="B1120" s="319" t="s">
        <v>692</v>
      </c>
      <c r="C1120" s="528"/>
      <c r="D1120" s="548">
        <f t="shared" si="420"/>
        <v>0</v>
      </c>
      <c r="E1120" s="456">
        <f>D1120*0.3</f>
        <v>0</v>
      </c>
      <c r="F1120" s="358">
        <f>E1120*0.99*1.03/147</f>
        <v>0</v>
      </c>
      <c r="G1120" s="548">
        <f t="shared" si="416"/>
        <v>0</v>
      </c>
      <c r="H1120" s="358" t="s">
        <v>18</v>
      </c>
      <c r="I1120" s="548">
        <f t="shared" si="417"/>
        <v>0</v>
      </c>
      <c r="J1120" s="358" t="s">
        <v>19</v>
      </c>
      <c r="K1120" s="358"/>
      <c r="L1120" s="358"/>
      <c r="M1120" s="358">
        <f>(F1120*5880)/2880</f>
        <v>0</v>
      </c>
      <c r="N1120" s="324"/>
      <c r="O1120" s="324"/>
      <c r="P1120" s="324"/>
      <c r="Q1120" s="324" t="s">
        <v>18</v>
      </c>
      <c r="R1120" s="324"/>
      <c r="S1120" s="324" t="s">
        <v>19</v>
      </c>
      <c r="T1120" s="528">
        <v>5</v>
      </c>
      <c r="U1120" s="324">
        <f t="shared" si="418"/>
        <v>0</v>
      </c>
      <c r="V1120" s="676"/>
      <c r="W1120" s="528"/>
      <c r="X1120" s="529"/>
      <c r="Y1120" s="644" t="s">
        <v>1094</v>
      </c>
      <c r="Z1120" s="312">
        <f t="shared" si="419"/>
        <v>0</v>
      </c>
      <c r="AA1120" s="316">
        <f>SUM(Z1120/465)</f>
        <v>0</v>
      </c>
    </row>
    <row r="1121" spans="1:28" ht="79.5" thickBot="1" x14ac:dyDescent="0.45">
      <c r="A1121" s="319" t="s">
        <v>875</v>
      </c>
      <c r="B1121" s="344" t="s">
        <v>1170</v>
      </c>
      <c r="C1121" s="528"/>
      <c r="D1121" s="551">
        <f>C1121*16</f>
        <v>0</v>
      </c>
      <c r="E1121" s="456">
        <f t="shared" ref="E1121:E1131" si="421">D1121*0.25</f>
        <v>0</v>
      </c>
      <c r="F1121" s="358">
        <f t="shared" ref="F1121:F1131" si="422">E1121*0.99*1.03/147</f>
        <v>0</v>
      </c>
      <c r="G1121" s="548">
        <f t="shared" si="414"/>
        <v>0</v>
      </c>
      <c r="H1121" s="358" t="s">
        <v>18</v>
      </c>
      <c r="I1121" s="548">
        <f t="shared" si="415"/>
        <v>0</v>
      </c>
      <c r="J1121" s="358" t="s">
        <v>19</v>
      </c>
      <c r="K1121" s="358"/>
      <c r="L1121" s="358"/>
      <c r="M1121" s="358">
        <f t="shared" ref="M1121:M1133" si="423">(F1121*6989)/2880</f>
        <v>0</v>
      </c>
      <c r="N1121" s="324"/>
      <c r="O1121" s="324"/>
      <c r="P1121" s="324"/>
      <c r="Q1121" s="324" t="s">
        <v>18</v>
      </c>
      <c r="R1121" s="324"/>
      <c r="S1121" s="324" t="s">
        <v>19</v>
      </c>
      <c r="T1121" s="528">
        <v>5</v>
      </c>
      <c r="U1121" s="324">
        <f>E1121/259*60</f>
        <v>0</v>
      </c>
      <c r="V1121" s="676"/>
      <c r="W1121" s="528"/>
      <c r="X1121" s="529"/>
      <c r="Y1121" s="323"/>
      <c r="Z1121" s="312">
        <f t="shared" si="419"/>
        <v>0</v>
      </c>
      <c r="AA1121" s="316">
        <f t="shared" ref="AA1121:AA1131" si="424">SUM(Z1121/390.6)</f>
        <v>0</v>
      </c>
    </row>
    <row r="1122" spans="1:28" ht="79.5" thickBot="1" x14ac:dyDescent="0.45">
      <c r="A1122" s="319" t="s">
        <v>875</v>
      </c>
      <c r="B1122" s="344" t="s">
        <v>1169</v>
      </c>
      <c r="C1122" s="528"/>
      <c r="D1122" s="551">
        <f>C1122*16</f>
        <v>0</v>
      </c>
      <c r="E1122" s="456">
        <f t="shared" si="421"/>
        <v>0</v>
      </c>
      <c r="F1122" s="358">
        <f t="shared" si="422"/>
        <v>0</v>
      </c>
      <c r="G1122" s="548">
        <f t="shared" si="414"/>
        <v>0</v>
      </c>
      <c r="H1122" s="358" t="s">
        <v>18</v>
      </c>
      <c r="I1122" s="548">
        <f t="shared" si="415"/>
        <v>0</v>
      </c>
      <c r="J1122" s="358" t="s">
        <v>19</v>
      </c>
      <c r="K1122" s="358"/>
      <c r="L1122" s="358"/>
      <c r="M1122" s="358">
        <f t="shared" si="423"/>
        <v>0</v>
      </c>
      <c r="N1122" s="324"/>
      <c r="O1122" s="324"/>
      <c r="P1122" s="324"/>
      <c r="Q1122" s="324" t="s">
        <v>18</v>
      </c>
      <c r="R1122" s="324"/>
      <c r="S1122" s="324" t="s">
        <v>19</v>
      </c>
      <c r="T1122" s="528">
        <v>5</v>
      </c>
      <c r="U1122" s="324">
        <f>E1122/403*60</f>
        <v>0</v>
      </c>
      <c r="V1122" s="676"/>
      <c r="W1122" s="528"/>
      <c r="X1122" s="529"/>
      <c r="Y1122" s="323"/>
      <c r="Z1122" s="312">
        <f t="shared" si="419"/>
        <v>0</v>
      </c>
      <c r="AA1122" s="316">
        <f t="shared" si="424"/>
        <v>0</v>
      </c>
    </row>
    <row r="1123" spans="1:28" ht="79.5" thickBot="1" x14ac:dyDescent="0.45">
      <c r="A1123" s="319" t="s">
        <v>875</v>
      </c>
      <c r="B1123" s="344" t="s">
        <v>701</v>
      </c>
      <c r="C1123" s="528"/>
      <c r="D1123" s="551">
        <f t="shared" si="420"/>
        <v>0</v>
      </c>
      <c r="E1123" s="456">
        <f t="shared" si="421"/>
        <v>0</v>
      </c>
      <c r="F1123" s="358">
        <f t="shared" si="422"/>
        <v>0</v>
      </c>
      <c r="G1123" s="548">
        <f t="shared" si="414"/>
        <v>0</v>
      </c>
      <c r="H1123" s="358" t="s">
        <v>18</v>
      </c>
      <c r="I1123" s="548">
        <f t="shared" si="415"/>
        <v>0</v>
      </c>
      <c r="J1123" s="358" t="s">
        <v>19</v>
      </c>
      <c r="K1123" s="358"/>
      <c r="L1123" s="358"/>
      <c r="M1123" s="358">
        <f t="shared" si="423"/>
        <v>0</v>
      </c>
      <c r="N1123" s="324"/>
      <c r="O1123" s="324"/>
      <c r="P1123" s="324"/>
      <c r="Q1123" s="324" t="s">
        <v>18</v>
      </c>
      <c r="R1123" s="324"/>
      <c r="S1123" s="324" t="s">
        <v>19</v>
      </c>
      <c r="T1123" s="528">
        <v>5</v>
      </c>
      <c r="U1123" s="324">
        <f>E1123/259*60</f>
        <v>0</v>
      </c>
      <c r="V1123" s="676"/>
      <c r="W1123" s="528"/>
      <c r="X1123" s="529"/>
      <c r="Y1123" s="323"/>
      <c r="Z1123" s="312">
        <f t="shared" si="419"/>
        <v>0</v>
      </c>
      <c r="AA1123" s="316">
        <f t="shared" si="424"/>
        <v>0</v>
      </c>
    </row>
    <row r="1124" spans="1:28" ht="79.5" thickBot="1" x14ac:dyDescent="0.45">
      <c r="A1124" s="319" t="s">
        <v>875</v>
      </c>
      <c r="B1124" s="344" t="s">
        <v>702</v>
      </c>
      <c r="C1124" s="528"/>
      <c r="D1124" s="551">
        <f t="shared" si="420"/>
        <v>0</v>
      </c>
      <c r="E1124" s="456">
        <f t="shared" si="421"/>
        <v>0</v>
      </c>
      <c r="F1124" s="358">
        <f t="shared" si="422"/>
        <v>0</v>
      </c>
      <c r="G1124" s="548">
        <f t="shared" si="414"/>
        <v>0</v>
      </c>
      <c r="H1124" s="358" t="s">
        <v>18</v>
      </c>
      <c r="I1124" s="548">
        <f t="shared" si="415"/>
        <v>0</v>
      </c>
      <c r="J1124" s="358" t="s">
        <v>19</v>
      </c>
      <c r="K1124" s="358"/>
      <c r="L1124" s="358"/>
      <c r="M1124" s="358">
        <f t="shared" si="423"/>
        <v>0</v>
      </c>
      <c r="N1124" s="324"/>
      <c r="O1124" s="324"/>
      <c r="P1124" s="324"/>
      <c r="Q1124" s="324" t="s">
        <v>18</v>
      </c>
      <c r="R1124" s="324"/>
      <c r="S1124" s="324" t="s">
        <v>19</v>
      </c>
      <c r="T1124" s="528">
        <v>5</v>
      </c>
      <c r="U1124" s="324">
        <f t="shared" ref="U1124:U1133" si="425">E1124/403*60</f>
        <v>0</v>
      </c>
      <c r="V1124" s="676"/>
      <c r="W1124" s="528"/>
      <c r="X1124" s="529"/>
      <c r="Y1124" s="323"/>
      <c r="Z1124" s="312">
        <f t="shared" si="419"/>
        <v>0</v>
      </c>
      <c r="AA1124" s="316">
        <f t="shared" si="424"/>
        <v>0</v>
      </c>
    </row>
    <row r="1125" spans="1:28" ht="79.5" thickBot="1" x14ac:dyDescent="0.45">
      <c r="A1125" s="319" t="s">
        <v>875</v>
      </c>
      <c r="B1125" s="344" t="s">
        <v>1078</v>
      </c>
      <c r="C1125" s="528"/>
      <c r="D1125" s="530">
        <f>C1125*16</f>
        <v>0</v>
      </c>
      <c r="E1125" s="460">
        <f>D1125*0.25</f>
        <v>0</v>
      </c>
      <c r="F1125" s="324">
        <f>E1125*0.99*1.03/147</f>
        <v>0</v>
      </c>
      <c r="G1125" s="528">
        <f>INT(M1125)</f>
        <v>0</v>
      </c>
      <c r="H1125" s="324" t="s">
        <v>18</v>
      </c>
      <c r="I1125" s="528">
        <f>(M1125-G1125)*64</f>
        <v>0</v>
      </c>
      <c r="J1125" s="324" t="s">
        <v>19</v>
      </c>
      <c r="K1125" s="324"/>
      <c r="L1125" s="324"/>
      <c r="M1125" s="324">
        <f>(F1125*6989)/2880</f>
        <v>0</v>
      </c>
      <c r="N1125" s="324"/>
      <c r="O1125" s="324"/>
      <c r="P1125" s="324"/>
      <c r="Q1125" s="324" t="s">
        <v>18</v>
      </c>
      <c r="R1125" s="324"/>
      <c r="S1125" s="324" t="s">
        <v>19</v>
      </c>
      <c r="T1125" s="528">
        <v>5</v>
      </c>
      <c r="U1125" s="324">
        <f>E1125/259*60</f>
        <v>0</v>
      </c>
      <c r="V1125" s="676"/>
      <c r="W1125" s="528"/>
      <c r="X1125" s="529"/>
      <c r="Y1125" s="323"/>
      <c r="Z1125" s="312">
        <f>E1125/1.02</f>
        <v>0</v>
      </c>
      <c r="AA1125" s="316">
        <f>SUM(Z1125/390.6)</f>
        <v>0</v>
      </c>
    </row>
    <row r="1126" spans="1:28" ht="79.5" thickBot="1" x14ac:dyDescent="0.45">
      <c r="A1126" s="319" t="s">
        <v>875</v>
      </c>
      <c r="B1126" s="344" t="s">
        <v>1077</v>
      </c>
      <c r="C1126" s="528"/>
      <c r="D1126" s="530">
        <f>C1126*16</f>
        <v>0</v>
      </c>
      <c r="E1126" s="460">
        <f t="shared" si="421"/>
        <v>0</v>
      </c>
      <c r="F1126" s="324">
        <f t="shared" si="422"/>
        <v>0</v>
      </c>
      <c r="G1126" s="528">
        <f t="shared" si="414"/>
        <v>0</v>
      </c>
      <c r="H1126" s="324" t="s">
        <v>18</v>
      </c>
      <c r="I1126" s="528">
        <f t="shared" si="415"/>
        <v>0</v>
      </c>
      <c r="J1126" s="324" t="s">
        <v>19</v>
      </c>
      <c r="K1126" s="324"/>
      <c r="L1126" s="324"/>
      <c r="M1126" s="324">
        <f t="shared" si="423"/>
        <v>0</v>
      </c>
      <c r="N1126" s="324"/>
      <c r="O1126" s="324"/>
      <c r="P1126" s="324"/>
      <c r="Q1126" s="324" t="s">
        <v>18</v>
      </c>
      <c r="R1126" s="324"/>
      <c r="S1126" s="324" t="s">
        <v>19</v>
      </c>
      <c r="T1126" s="528">
        <v>5</v>
      </c>
      <c r="U1126" s="566">
        <f>U503</f>
        <v>0</v>
      </c>
      <c r="V1126" s="692"/>
      <c r="W1126" s="566"/>
      <c r="X1126" s="566"/>
      <c r="Y1126" s="323"/>
      <c r="Z1126" s="312">
        <f>E1126/1.02</f>
        <v>0</v>
      </c>
      <c r="AA1126" s="316">
        <f>SUM(Z1126/390.6)</f>
        <v>0</v>
      </c>
    </row>
    <row r="1127" spans="1:28" ht="79.5" thickBot="1" x14ac:dyDescent="0.45">
      <c r="A1127" s="319" t="s">
        <v>875</v>
      </c>
      <c r="B1127" s="371" t="s">
        <v>823</v>
      </c>
      <c r="C1127" s="528"/>
      <c r="D1127" s="551">
        <f>C1127*12</f>
        <v>0</v>
      </c>
      <c r="E1127" s="456">
        <f t="shared" si="421"/>
        <v>0</v>
      </c>
      <c r="F1127" s="358">
        <f t="shared" si="422"/>
        <v>0</v>
      </c>
      <c r="G1127" s="548">
        <f t="shared" si="414"/>
        <v>0</v>
      </c>
      <c r="H1127" s="358" t="s">
        <v>18</v>
      </c>
      <c r="I1127" s="548">
        <f t="shared" si="415"/>
        <v>0</v>
      </c>
      <c r="J1127" s="358" t="s">
        <v>19</v>
      </c>
      <c r="K1127" s="358"/>
      <c r="L1127" s="358"/>
      <c r="M1127" s="358">
        <f t="shared" si="423"/>
        <v>0</v>
      </c>
      <c r="N1127" s="324"/>
      <c r="O1127" s="324"/>
      <c r="P1127" s="324"/>
      <c r="Q1127" s="324" t="s">
        <v>18</v>
      </c>
      <c r="R1127" s="324"/>
      <c r="S1127" s="324" t="s">
        <v>19</v>
      </c>
      <c r="T1127" s="528">
        <v>5</v>
      </c>
      <c r="U1127" s="324">
        <f t="shared" si="425"/>
        <v>0</v>
      </c>
      <c r="V1127" s="676"/>
      <c r="W1127" s="528"/>
      <c r="X1127" s="529"/>
      <c r="Y1127" s="360" t="s">
        <v>919</v>
      </c>
      <c r="Z1127" s="312">
        <f t="shared" si="419"/>
        <v>0</v>
      </c>
      <c r="AA1127" s="316">
        <f t="shared" si="424"/>
        <v>0</v>
      </c>
    </row>
    <row r="1128" spans="1:28" ht="79.5" thickBot="1" x14ac:dyDescent="0.45">
      <c r="A1128" s="319" t="s">
        <v>875</v>
      </c>
      <c r="B1128" s="371" t="s">
        <v>824</v>
      </c>
      <c r="C1128" s="528"/>
      <c r="D1128" s="551">
        <f>C1128*12</f>
        <v>0</v>
      </c>
      <c r="E1128" s="456">
        <f t="shared" si="421"/>
        <v>0</v>
      </c>
      <c r="F1128" s="358">
        <f t="shared" si="422"/>
        <v>0</v>
      </c>
      <c r="G1128" s="548">
        <f t="shared" si="414"/>
        <v>0</v>
      </c>
      <c r="H1128" s="358" t="s">
        <v>18</v>
      </c>
      <c r="I1128" s="548">
        <f t="shared" si="415"/>
        <v>0</v>
      </c>
      <c r="J1128" s="358" t="s">
        <v>19</v>
      </c>
      <c r="K1128" s="358"/>
      <c r="L1128" s="358"/>
      <c r="M1128" s="358">
        <f t="shared" si="423"/>
        <v>0</v>
      </c>
      <c r="N1128" s="324"/>
      <c r="O1128" s="324"/>
      <c r="P1128" s="324"/>
      <c r="Q1128" s="324" t="s">
        <v>18</v>
      </c>
      <c r="R1128" s="324"/>
      <c r="S1128" s="324" t="s">
        <v>19</v>
      </c>
      <c r="T1128" s="528">
        <v>5</v>
      </c>
      <c r="U1128" s="324">
        <f t="shared" si="425"/>
        <v>0</v>
      </c>
      <c r="V1128" s="676"/>
      <c r="W1128" s="528"/>
      <c r="X1128" s="529"/>
      <c r="Y1128" s="323"/>
      <c r="Z1128" s="312">
        <f t="shared" si="419"/>
        <v>0</v>
      </c>
      <c r="AA1128" s="316">
        <f t="shared" si="424"/>
        <v>0</v>
      </c>
    </row>
    <row r="1129" spans="1:28" ht="79.5" thickBot="1" x14ac:dyDescent="0.45">
      <c r="A1129" s="319" t="s">
        <v>875</v>
      </c>
      <c r="B1129" s="344" t="s">
        <v>1006</v>
      </c>
      <c r="C1129" s="528"/>
      <c r="D1129" s="530">
        <f>C1129*16</f>
        <v>0</v>
      </c>
      <c r="E1129" s="460">
        <f t="shared" si="421"/>
        <v>0</v>
      </c>
      <c r="F1129" s="324">
        <f t="shared" si="422"/>
        <v>0</v>
      </c>
      <c r="G1129" s="528">
        <f t="shared" si="414"/>
        <v>0</v>
      </c>
      <c r="H1129" s="324" t="s">
        <v>18</v>
      </c>
      <c r="I1129" s="528">
        <f t="shared" si="415"/>
        <v>0</v>
      </c>
      <c r="J1129" s="324" t="s">
        <v>19</v>
      </c>
      <c r="K1129" s="324"/>
      <c r="L1129" s="324"/>
      <c r="M1129" s="324">
        <f t="shared" si="423"/>
        <v>0</v>
      </c>
      <c r="N1129" s="324"/>
      <c r="O1129" s="324"/>
      <c r="P1129" s="324"/>
      <c r="Q1129" s="324" t="s">
        <v>18</v>
      </c>
      <c r="R1129" s="324"/>
      <c r="S1129" s="324" t="s">
        <v>19</v>
      </c>
      <c r="T1129" s="528">
        <v>5</v>
      </c>
      <c r="U1129" s="324">
        <f t="shared" si="425"/>
        <v>0</v>
      </c>
      <c r="V1129" s="676"/>
      <c r="W1129" s="528"/>
      <c r="X1129" s="529"/>
      <c r="Y1129" s="360" t="s">
        <v>919</v>
      </c>
      <c r="Z1129" s="312">
        <f>E1129/1.02</f>
        <v>0</v>
      </c>
      <c r="AA1129" s="316">
        <f>SUM(Z1129/390.6)</f>
        <v>0</v>
      </c>
    </row>
    <row r="1130" spans="1:28" ht="79.5" thickBot="1" x14ac:dyDescent="0.45">
      <c r="A1130" s="319" t="s">
        <v>875</v>
      </c>
      <c r="B1130" s="344" t="s">
        <v>1007</v>
      </c>
      <c r="C1130" s="528"/>
      <c r="D1130" s="530">
        <f>C1130*16</f>
        <v>0</v>
      </c>
      <c r="E1130" s="460">
        <f t="shared" si="421"/>
        <v>0</v>
      </c>
      <c r="F1130" s="324">
        <f t="shared" si="422"/>
        <v>0</v>
      </c>
      <c r="G1130" s="528">
        <f t="shared" si="414"/>
        <v>0</v>
      </c>
      <c r="H1130" s="324" t="s">
        <v>18</v>
      </c>
      <c r="I1130" s="528">
        <f t="shared" si="415"/>
        <v>0</v>
      </c>
      <c r="J1130" s="324" t="s">
        <v>19</v>
      </c>
      <c r="K1130" s="324"/>
      <c r="L1130" s="324"/>
      <c r="M1130" s="324">
        <f t="shared" si="423"/>
        <v>0</v>
      </c>
      <c r="N1130" s="324"/>
      <c r="O1130" s="324"/>
      <c r="P1130" s="324"/>
      <c r="Q1130" s="324" t="s">
        <v>18</v>
      </c>
      <c r="R1130" s="324"/>
      <c r="S1130" s="324" t="s">
        <v>19</v>
      </c>
      <c r="T1130" s="528">
        <v>5</v>
      </c>
      <c r="U1130" s="324">
        <f t="shared" si="425"/>
        <v>0</v>
      </c>
      <c r="V1130" s="676"/>
      <c r="W1130" s="528"/>
      <c r="X1130" s="529"/>
      <c r="Y1130" s="360" t="s">
        <v>921</v>
      </c>
      <c r="Z1130" s="312">
        <f>E1130/1.02</f>
        <v>0</v>
      </c>
      <c r="AA1130" s="316">
        <f>SUM(Z1130/390.6)</f>
        <v>0</v>
      </c>
    </row>
    <row r="1131" spans="1:28" ht="79.5" thickBot="1" x14ac:dyDescent="0.45">
      <c r="A1131" s="319" t="s">
        <v>875</v>
      </c>
      <c r="B1131" s="344" t="s">
        <v>703</v>
      </c>
      <c r="C1131" s="528"/>
      <c r="D1131" s="551">
        <f>C1131*12</f>
        <v>0</v>
      </c>
      <c r="E1131" s="456">
        <f t="shared" si="421"/>
        <v>0</v>
      </c>
      <c r="F1131" s="358">
        <f t="shared" si="422"/>
        <v>0</v>
      </c>
      <c r="G1131" s="548">
        <f t="shared" ref="G1131:G1159" si="426">INT(M1131)</f>
        <v>0</v>
      </c>
      <c r="H1131" s="358" t="s">
        <v>18</v>
      </c>
      <c r="I1131" s="548">
        <f t="shared" ref="I1131:I1159" si="427">(M1131-G1131)*64</f>
        <v>0</v>
      </c>
      <c r="J1131" s="358" t="s">
        <v>19</v>
      </c>
      <c r="K1131" s="358"/>
      <c r="L1131" s="358"/>
      <c r="M1131" s="358">
        <f t="shared" si="423"/>
        <v>0</v>
      </c>
      <c r="N1131" s="324"/>
      <c r="O1131" s="324"/>
      <c r="P1131" s="324"/>
      <c r="Q1131" s="324" t="s">
        <v>18</v>
      </c>
      <c r="R1131" s="324"/>
      <c r="S1131" s="324" t="s">
        <v>19</v>
      </c>
      <c r="T1131" s="528">
        <v>5</v>
      </c>
      <c r="U1131" s="324">
        <f t="shared" si="425"/>
        <v>0</v>
      </c>
      <c r="V1131" s="676"/>
      <c r="W1131" s="528"/>
      <c r="X1131" s="529"/>
      <c r="Y1131" s="360" t="s">
        <v>921</v>
      </c>
      <c r="Z1131" s="312">
        <f t="shared" si="419"/>
        <v>0</v>
      </c>
      <c r="AA1131" s="316">
        <f t="shared" si="424"/>
        <v>0</v>
      </c>
    </row>
    <row r="1132" spans="1:28" ht="79.5" thickBot="1" x14ac:dyDescent="0.45">
      <c r="A1132" s="319" t="s">
        <v>875</v>
      </c>
      <c r="B1132" s="344" t="s">
        <v>798</v>
      </c>
      <c r="C1132" s="528"/>
      <c r="D1132" s="548">
        <f>C1132*28</f>
        <v>0</v>
      </c>
      <c r="E1132" s="456">
        <f>D1132*0.125</f>
        <v>0</v>
      </c>
      <c r="F1132" s="358">
        <f>E1132*0.99*1.03/147</f>
        <v>0</v>
      </c>
      <c r="G1132" s="548">
        <f>INT(M1132)</f>
        <v>0</v>
      </c>
      <c r="H1132" s="358" t="s">
        <v>18</v>
      </c>
      <c r="I1132" s="548">
        <f>(M1132-G1132)*64</f>
        <v>0</v>
      </c>
      <c r="J1132" s="358" t="s">
        <v>19</v>
      </c>
      <c r="K1132" s="358"/>
      <c r="L1132" s="358"/>
      <c r="M1132" s="358">
        <f t="shared" si="423"/>
        <v>0</v>
      </c>
      <c r="N1132" s="324"/>
      <c r="O1132" s="324"/>
      <c r="P1132" s="324"/>
      <c r="Q1132" s="324" t="s">
        <v>18</v>
      </c>
      <c r="R1132" s="324"/>
      <c r="S1132" s="324" t="s">
        <v>19</v>
      </c>
      <c r="T1132" s="528">
        <v>6</v>
      </c>
      <c r="U1132" s="324">
        <f t="shared" si="425"/>
        <v>0</v>
      </c>
      <c r="V1132" s="676"/>
      <c r="W1132" s="528"/>
      <c r="X1132" s="529"/>
      <c r="Y1132" s="300" t="s">
        <v>907</v>
      </c>
      <c r="Z1132" s="312">
        <f t="shared" si="419"/>
        <v>0</v>
      </c>
      <c r="AA1132" s="316">
        <f>SUM(Z1132/352.8)</f>
        <v>0</v>
      </c>
    </row>
    <row r="1133" spans="1:28" ht="79.5" thickBot="1" x14ac:dyDescent="0.45">
      <c r="A1133" s="319" t="s">
        <v>875</v>
      </c>
      <c r="B1133" s="344" t="s">
        <v>791</v>
      </c>
      <c r="C1133" s="528"/>
      <c r="D1133" s="551">
        <f>C1133*28</f>
        <v>0</v>
      </c>
      <c r="E1133" s="456">
        <f>D1133*0.125</f>
        <v>0</v>
      </c>
      <c r="F1133" s="358">
        <f>E1133*0.99*1.03/147</f>
        <v>0</v>
      </c>
      <c r="G1133" s="548">
        <f>INT(M1133)</f>
        <v>0</v>
      </c>
      <c r="H1133" s="358" t="s">
        <v>18</v>
      </c>
      <c r="I1133" s="548">
        <f>(M1133-G1133)*64</f>
        <v>0</v>
      </c>
      <c r="J1133" s="358" t="s">
        <v>19</v>
      </c>
      <c r="K1133" s="358"/>
      <c r="L1133" s="358"/>
      <c r="M1133" s="358">
        <f t="shared" si="423"/>
        <v>0</v>
      </c>
      <c r="N1133" s="324"/>
      <c r="O1133" s="324"/>
      <c r="P1133" s="324"/>
      <c r="Q1133" s="324" t="s">
        <v>18</v>
      </c>
      <c r="R1133" s="324"/>
      <c r="S1133" s="324" t="s">
        <v>19</v>
      </c>
      <c r="T1133" s="528">
        <v>6</v>
      </c>
      <c r="U1133" s="324">
        <f t="shared" si="425"/>
        <v>0</v>
      </c>
      <c r="V1133" s="676"/>
      <c r="W1133" s="528"/>
      <c r="X1133" s="529"/>
      <c r="Y1133" s="300" t="s">
        <v>907</v>
      </c>
      <c r="Z1133" s="312">
        <f t="shared" si="419"/>
        <v>0</v>
      </c>
      <c r="AA1133" s="316">
        <f>SUM(Z1133/352.8)</f>
        <v>0</v>
      </c>
    </row>
    <row r="1134" spans="1:28" ht="79.5" thickBot="1" x14ac:dyDescent="0.45">
      <c r="A1134" s="319" t="s">
        <v>875</v>
      </c>
      <c r="B1134" s="320" t="s">
        <v>781</v>
      </c>
      <c r="C1134" s="528"/>
      <c r="D1134" s="548">
        <f>C1134*10</f>
        <v>0</v>
      </c>
      <c r="E1134" s="456">
        <f>D1134*0.18</f>
        <v>0</v>
      </c>
      <c r="F1134" s="358">
        <f>E1134*0.99*1.03/147</f>
        <v>0</v>
      </c>
      <c r="G1134" s="548">
        <f>INT(M1134)</f>
        <v>0</v>
      </c>
      <c r="H1134" s="358" t="s">
        <v>18</v>
      </c>
      <c r="I1134" s="548">
        <f>(M1134-G1134)*64</f>
        <v>0</v>
      </c>
      <c r="J1134" s="358" t="s">
        <v>19</v>
      </c>
      <c r="K1134" s="358"/>
      <c r="L1134" s="358"/>
      <c r="M1134" s="358">
        <f>(F1134*6400)/2880</f>
        <v>0</v>
      </c>
      <c r="N1134" s="324"/>
      <c r="O1134" s="324"/>
      <c r="P1134" s="324"/>
      <c r="Q1134" s="324" t="s">
        <v>18</v>
      </c>
      <c r="R1134" s="324"/>
      <c r="S1134" s="324" t="s">
        <v>19</v>
      </c>
      <c r="T1134" s="528">
        <v>6</v>
      </c>
      <c r="U1134" s="324">
        <f>E1134/237*60</f>
        <v>0</v>
      </c>
      <c r="V1134" s="676"/>
      <c r="W1134" s="528"/>
      <c r="X1134" s="529"/>
      <c r="Y1134" s="323"/>
      <c r="Z1134" s="312">
        <f t="shared" si="419"/>
        <v>0</v>
      </c>
      <c r="AA1134" s="316">
        <f>SUM(Z1134/427.8)</f>
        <v>0</v>
      </c>
    </row>
    <row r="1135" spans="1:28" s="728" customFormat="1" ht="342" outlineLevel="1" thickBot="1" x14ac:dyDescent="0.45">
      <c r="A1135" s="636" t="s">
        <v>875</v>
      </c>
      <c r="B1135" s="634" t="s">
        <v>1041</v>
      </c>
      <c r="C1135" s="720"/>
      <c r="D1135" s="720">
        <f>C1135*12</f>
        <v>0</v>
      </c>
      <c r="E1135" s="721">
        <f t="shared" ref="E1135:E1141" si="428">D1135*0.25</f>
        <v>0</v>
      </c>
      <c r="F1135" s="722">
        <f t="shared" ref="F1135:F1141" si="429">E1135*0.9*1.01/147</f>
        <v>0</v>
      </c>
      <c r="G1135" s="720">
        <f>INT(M1135)</f>
        <v>0</v>
      </c>
      <c r="H1135" s="722" t="s">
        <v>18</v>
      </c>
      <c r="I1135" s="720">
        <f>(M1135-G1135)*64</f>
        <v>0</v>
      </c>
      <c r="J1135" s="722" t="s">
        <v>19</v>
      </c>
      <c r="K1135" s="722"/>
      <c r="L1135" s="722"/>
      <c r="M1135" s="722">
        <f>(F1135*6533/3456)</f>
        <v>0</v>
      </c>
      <c r="N1135" s="722"/>
      <c r="O1135" s="722"/>
      <c r="P1135" s="722"/>
      <c r="Q1135" s="722" t="s">
        <v>18</v>
      </c>
      <c r="R1135" s="722"/>
      <c r="S1135" s="722" t="s">
        <v>19</v>
      </c>
      <c r="T1135" s="720">
        <v>10</v>
      </c>
      <c r="U1135" s="324">
        <f t="shared" ref="U1135:U1142" si="430">E1135/390*60</f>
        <v>0</v>
      </c>
      <c r="V1135" s="724"/>
      <c r="W1135" s="720"/>
      <c r="X1135" s="725"/>
      <c r="Y1135" s="749" t="s">
        <v>935</v>
      </c>
      <c r="Z1135" s="727">
        <f>E1135/1.05/1.143</f>
        <v>0</v>
      </c>
      <c r="AA1135" s="815">
        <f>SUM(AB1135/405)</f>
        <v>0</v>
      </c>
      <c r="AB1135" s="728">
        <f>E1135/1.05</f>
        <v>0</v>
      </c>
    </row>
    <row r="1136" spans="1:28" ht="158.25" thickBot="1" x14ac:dyDescent="0.45">
      <c r="A1136" s="319" t="s">
        <v>875</v>
      </c>
      <c r="B1136" s="320" t="s">
        <v>828</v>
      </c>
      <c r="C1136" s="528"/>
      <c r="D1136" s="557">
        <f>C1136*12</f>
        <v>0</v>
      </c>
      <c r="E1136" s="457">
        <f t="shared" si="428"/>
        <v>0</v>
      </c>
      <c r="F1136" s="359">
        <f t="shared" si="429"/>
        <v>0</v>
      </c>
      <c r="G1136" s="558">
        <f t="shared" si="426"/>
        <v>0</v>
      </c>
      <c r="H1136" s="366" t="s">
        <v>18</v>
      </c>
      <c r="I1136" s="556">
        <f t="shared" si="427"/>
        <v>0</v>
      </c>
      <c r="J1136" s="366" t="s">
        <v>19</v>
      </c>
      <c r="K1136" s="366"/>
      <c r="L1136" s="366"/>
      <c r="M1136" s="366">
        <f t="shared" ref="M1136:M1141" si="431">(F1136*7777/3456)</f>
        <v>0</v>
      </c>
      <c r="N1136" s="366"/>
      <c r="O1136" s="366"/>
      <c r="P1136" s="366"/>
      <c r="Q1136" s="358" t="s">
        <v>18</v>
      </c>
      <c r="R1136" s="358"/>
      <c r="S1136" s="358" t="s">
        <v>19</v>
      </c>
      <c r="T1136" s="528">
        <v>5</v>
      </c>
      <c r="U1136" s="324">
        <f t="shared" si="430"/>
        <v>0</v>
      </c>
      <c r="V1136" s="676"/>
      <c r="W1136" s="528"/>
      <c r="X1136" s="529"/>
      <c r="Y1136" s="660" t="s">
        <v>927</v>
      </c>
      <c r="Z1136" s="312">
        <f t="shared" ref="Z1136:Z1141" si="432">E1136/1.02/1.143</f>
        <v>0</v>
      </c>
      <c r="AA1136" s="316">
        <f t="shared" ref="AA1136:AA1141" si="433">SUM(AB1136/340.2)</f>
        <v>0</v>
      </c>
      <c r="AB1136" s="310">
        <f t="shared" ref="AB1136:AB1141" si="434">E1136/1.02</f>
        <v>0</v>
      </c>
    </row>
    <row r="1137" spans="1:28" ht="158.25" thickBot="1" x14ac:dyDescent="0.45">
      <c r="A1137" s="319" t="s">
        <v>875</v>
      </c>
      <c r="B1137" s="320" t="s">
        <v>1017</v>
      </c>
      <c r="C1137" s="528"/>
      <c r="D1137" s="557">
        <f>C1137*12</f>
        <v>0</v>
      </c>
      <c r="E1137" s="457">
        <f t="shared" si="428"/>
        <v>0</v>
      </c>
      <c r="F1137" s="359">
        <f t="shared" si="429"/>
        <v>0</v>
      </c>
      <c r="G1137" s="558">
        <f t="shared" si="426"/>
        <v>0</v>
      </c>
      <c r="H1137" s="366" t="s">
        <v>18</v>
      </c>
      <c r="I1137" s="556">
        <f t="shared" si="427"/>
        <v>0</v>
      </c>
      <c r="J1137" s="366" t="s">
        <v>19</v>
      </c>
      <c r="K1137" s="366"/>
      <c r="L1137" s="366"/>
      <c r="M1137" s="366">
        <f t="shared" si="431"/>
        <v>0</v>
      </c>
      <c r="N1137" s="366"/>
      <c r="O1137" s="366"/>
      <c r="P1137" s="366"/>
      <c r="Q1137" s="358" t="s">
        <v>18</v>
      </c>
      <c r="R1137" s="358"/>
      <c r="S1137" s="358" t="s">
        <v>19</v>
      </c>
      <c r="T1137" s="528">
        <v>5</v>
      </c>
      <c r="U1137" s="324">
        <f t="shared" si="430"/>
        <v>0</v>
      </c>
      <c r="V1137" s="676"/>
      <c r="W1137" s="528"/>
      <c r="X1137" s="529"/>
      <c r="Y1137" s="665" t="s">
        <v>1112</v>
      </c>
      <c r="Z1137" s="312">
        <f t="shared" si="432"/>
        <v>0</v>
      </c>
      <c r="AA1137" s="316">
        <f t="shared" si="433"/>
        <v>0</v>
      </c>
      <c r="AB1137" s="310">
        <f t="shared" si="434"/>
        <v>0</v>
      </c>
    </row>
    <row r="1138" spans="1:28" ht="158.25" thickBot="1" x14ac:dyDescent="0.45">
      <c r="A1138" s="319" t="s">
        <v>875</v>
      </c>
      <c r="B1138" s="320" t="s">
        <v>1073</v>
      </c>
      <c r="C1138" s="528"/>
      <c r="D1138" s="709">
        <f>C1138*16</f>
        <v>0</v>
      </c>
      <c r="E1138" s="496">
        <f t="shared" si="428"/>
        <v>0</v>
      </c>
      <c r="F1138" s="354">
        <f t="shared" si="429"/>
        <v>0</v>
      </c>
      <c r="G1138" s="710">
        <f>INT(M1138)</f>
        <v>0</v>
      </c>
      <c r="H1138" s="555" t="s">
        <v>18</v>
      </c>
      <c r="I1138" s="553">
        <f>(M1138-G1138)*64</f>
        <v>0</v>
      </c>
      <c r="J1138" s="555" t="s">
        <v>19</v>
      </c>
      <c r="K1138" s="555"/>
      <c r="L1138" s="555"/>
      <c r="M1138" s="555">
        <f t="shared" si="431"/>
        <v>0</v>
      </c>
      <c r="N1138" s="555"/>
      <c r="O1138" s="555"/>
      <c r="P1138" s="555"/>
      <c r="Q1138" s="324" t="s">
        <v>18</v>
      </c>
      <c r="R1138" s="324"/>
      <c r="S1138" s="324" t="s">
        <v>19</v>
      </c>
      <c r="T1138" s="528">
        <v>5</v>
      </c>
      <c r="U1138" s="324">
        <f t="shared" si="430"/>
        <v>0</v>
      </c>
      <c r="V1138" s="676"/>
      <c r="W1138" s="528"/>
      <c r="X1138" s="529"/>
      <c r="Y1138" s="668" t="s">
        <v>927</v>
      </c>
      <c r="Z1138" s="312">
        <f t="shared" si="432"/>
        <v>0</v>
      </c>
      <c r="AA1138" s="316">
        <f t="shared" si="433"/>
        <v>0</v>
      </c>
      <c r="AB1138" s="310">
        <f t="shared" si="434"/>
        <v>0</v>
      </c>
    </row>
    <row r="1139" spans="1:28" ht="158.25" thickBot="1" x14ac:dyDescent="0.45">
      <c r="A1139" s="319" t="s">
        <v>875</v>
      </c>
      <c r="B1139" s="320" t="s">
        <v>1074</v>
      </c>
      <c r="C1139" s="528"/>
      <c r="D1139" s="709">
        <f>C1139*16</f>
        <v>0</v>
      </c>
      <c r="E1139" s="496">
        <f t="shared" si="428"/>
        <v>0</v>
      </c>
      <c r="F1139" s="354">
        <f t="shared" si="429"/>
        <v>0</v>
      </c>
      <c r="G1139" s="710">
        <f>INT(M1139)</f>
        <v>0</v>
      </c>
      <c r="H1139" s="555" t="s">
        <v>18</v>
      </c>
      <c r="I1139" s="553">
        <f>(M1139-G1139)*64</f>
        <v>0</v>
      </c>
      <c r="J1139" s="555" t="s">
        <v>19</v>
      </c>
      <c r="K1139" s="555"/>
      <c r="L1139" s="555"/>
      <c r="M1139" s="555">
        <f t="shared" si="431"/>
        <v>0</v>
      </c>
      <c r="N1139" s="555"/>
      <c r="O1139" s="555"/>
      <c r="P1139" s="555"/>
      <c r="Q1139" s="324" t="s">
        <v>18</v>
      </c>
      <c r="R1139" s="324"/>
      <c r="S1139" s="324" t="s">
        <v>19</v>
      </c>
      <c r="T1139" s="528">
        <v>5</v>
      </c>
      <c r="U1139" s="324">
        <f t="shared" si="430"/>
        <v>0</v>
      </c>
      <c r="V1139" s="676"/>
      <c r="W1139" s="528"/>
      <c r="X1139" s="529"/>
      <c r="Y1139" s="660" t="s">
        <v>927</v>
      </c>
      <c r="Z1139" s="312">
        <f t="shared" si="432"/>
        <v>0</v>
      </c>
      <c r="AA1139" s="316">
        <f t="shared" si="433"/>
        <v>0</v>
      </c>
      <c r="AB1139" s="310">
        <f t="shared" si="434"/>
        <v>0</v>
      </c>
    </row>
    <row r="1140" spans="1:28" ht="158.25" thickBot="1" x14ac:dyDescent="0.45">
      <c r="A1140" s="319" t="s">
        <v>875</v>
      </c>
      <c r="B1140" s="320" t="s">
        <v>1184</v>
      </c>
      <c r="C1140" s="528"/>
      <c r="D1140" s="557">
        <f>C1140*16</f>
        <v>0</v>
      </c>
      <c r="E1140" s="457">
        <f t="shared" si="428"/>
        <v>0</v>
      </c>
      <c r="F1140" s="359">
        <f t="shared" si="429"/>
        <v>0</v>
      </c>
      <c r="G1140" s="558">
        <f t="shared" si="426"/>
        <v>0</v>
      </c>
      <c r="H1140" s="366" t="s">
        <v>18</v>
      </c>
      <c r="I1140" s="556">
        <f t="shared" si="427"/>
        <v>0</v>
      </c>
      <c r="J1140" s="366" t="s">
        <v>19</v>
      </c>
      <c r="K1140" s="366"/>
      <c r="L1140" s="366"/>
      <c r="M1140" s="366">
        <f t="shared" si="431"/>
        <v>0</v>
      </c>
      <c r="N1140" s="366"/>
      <c r="O1140" s="366"/>
      <c r="P1140" s="366"/>
      <c r="Q1140" s="358" t="s">
        <v>18</v>
      </c>
      <c r="R1140" s="358"/>
      <c r="S1140" s="358" t="s">
        <v>19</v>
      </c>
      <c r="T1140" s="528">
        <v>5</v>
      </c>
      <c r="U1140" s="324">
        <f t="shared" si="430"/>
        <v>0</v>
      </c>
      <c r="V1140" s="676"/>
      <c r="W1140" s="528"/>
      <c r="X1140" s="529"/>
      <c r="Y1140" s="659" t="s">
        <v>927</v>
      </c>
      <c r="Z1140" s="312">
        <f t="shared" si="432"/>
        <v>0</v>
      </c>
      <c r="AA1140" s="316">
        <f t="shared" si="433"/>
        <v>0</v>
      </c>
      <c r="AB1140" s="310">
        <f t="shared" si="434"/>
        <v>0</v>
      </c>
    </row>
    <row r="1141" spans="1:28" ht="158.25" thickBot="1" x14ac:dyDescent="0.45">
      <c r="A1141" s="319" t="s">
        <v>875</v>
      </c>
      <c r="B1141" s="320" t="s">
        <v>856</v>
      </c>
      <c r="C1141" s="528"/>
      <c r="D1141" s="557">
        <f>C1141*16</f>
        <v>0</v>
      </c>
      <c r="E1141" s="457">
        <f t="shared" si="428"/>
        <v>0</v>
      </c>
      <c r="F1141" s="359">
        <f t="shared" si="429"/>
        <v>0</v>
      </c>
      <c r="G1141" s="558">
        <f>INT(M1141)</f>
        <v>0</v>
      </c>
      <c r="H1141" s="366" t="s">
        <v>18</v>
      </c>
      <c r="I1141" s="556">
        <f>(M1141-G1141)*64</f>
        <v>0</v>
      </c>
      <c r="J1141" s="366" t="s">
        <v>19</v>
      </c>
      <c r="K1141" s="366"/>
      <c r="L1141" s="366"/>
      <c r="M1141" s="366">
        <f t="shared" si="431"/>
        <v>0</v>
      </c>
      <c r="N1141" s="366"/>
      <c r="O1141" s="366"/>
      <c r="P1141" s="366"/>
      <c r="Q1141" s="358" t="s">
        <v>18</v>
      </c>
      <c r="R1141" s="358"/>
      <c r="S1141" s="358" t="s">
        <v>19</v>
      </c>
      <c r="T1141" s="528">
        <v>5</v>
      </c>
      <c r="U1141" s="324">
        <f t="shared" si="430"/>
        <v>0</v>
      </c>
      <c r="V1141" s="676"/>
      <c r="W1141" s="528"/>
      <c r="X1141" s="529"/>
      <c r="Y1141" s="367" t="s">
        <v>927</v>
      </c>
      <c r="Z1141" s="312">
        <f t="shared" si="432"/>
        <v>0</v>
      </c>
      <c r="AA1141" s="316">
        <f t="shared" si="433"/>
        <v>0</v>
      </c>
      <c r="AB1141" s="310">
        <f t="shared" si="434"/>
        <v>0</v>
      </c>
    </row>
    <row r="1142" spans="1:28" ht="79.5" thickBot="1" x14ac:dyDescent="0.45">
      <c r="A1142" s="319" t="s">
        <v>875</v>
      </c>
      <c r="B1142" s="799" t="s">
        <v>1207</v>
      </c>
      <c r="C1142" s="528"/>
      <c r="D1142" s="550">
        <f>C1142*12</f>
        <v>0</v>
      </c>
      <c r="E1142" s="456">
        <f>D1142*0.27</f>
        <v>0</v>
      </c>
      <c r="F1142" s="358">
        <f>E1142*0.87*1.01/151</f>
        <v>0</v>
      </c>
      <c r="G1142" s="358">
        <f>INT(M1142)</f>
        <v>0</v>
      </c>
      <c r="H1142" s="358" t="s">
        <v>18</v>
      </c>
      <c r="I1142" s="548">
        <f>(M1142-G1142)*64</f>
        <v>0</v>
      </c>
      <c r="J1142" s="358" t="s">
        <v>19</v>
      </c>
      <c r="K1142" s="358"/>
      <c r="L1142" s="358"/>
      <c r="M1142" s="358">
        <f>F1142*7889/3456</f>
        <v>0</v>
      </c>
      <c r="N1142" s="461"/>
      <c r="O1142" s="461"/>
      <c r="P1142" s="366"/>
      <c r="Q1142" s="358" t="s">
        <v>18</v>
      </c>
      <c r="R1142" s="358"/>
      <c r="S1142" s="358" t="s">
        <v>19</v>
      </c>
      <c r="T1142" s="528">
        <v>10</v>
      </c>
      <c r="U1142" s="324">
        <f t="shared" si="430"/>
        <v>0</v>
      </c>
      <c r="V1142" s="676"/>
      <c r="W1142" s="528"/>
      <c r="X1142" s="529"/>
      <c r="Y1142" s="367"/>
      <c r="Z1142" s="312">
        <f>E1142/1.051/1.143</f>
        <v>0</v>
      </c>
      <c r="AA1142" s="316">
        <f>SUM(AB1142/364.5)</f>
        <v>0</v>
      </c>
      <c r="AB1142" s="310">
        <f>E1142/1.051</f>
        <v>0</v>
      </c>
    </row>
    <row r="1143" spans="1:28" ht="79.5" thickBot="1" x14ac:dyDescent="0.45">
      <c r="A1143" s="319" t="s">
        <v>875</v>
      </c>
      <c r="B1143" s="799" t="s">
        <v>1221</v>
      </c>
      <c r="C1143" s="528"/>
      <c r="D1143" s="550">
        <f>C1143*7</f>
        <v>0</v>
      </c>
      <c r="E1143" s="456">
        <f>D1143*0.27</f>
        <v>0</v>
      </c>
      <c r="F1143" s="358">
        <f>E1143*0.87*1.01/151</f>
        <v>0</v>
      </c>
      <c r="G1143" s="358">
        <f>INT(M1143)</f>
        <v>0</v>
      </c>
      <c r="H1143" s="358" t="s">
        <v>18</v>
      </c>
      <c r="I1143" s="548">
        <f>(M1143-G1143)*64</f>
        <v>0</v>
      </c>
      <c r="J1143" s="358" t="s">
        <v>19</v>
      </c>
      <c r="K1143" s="358"/>
      <c r="L1143" s="358"/>
      <c r="M1143" s="358">
        <f>F1143*7889/3456</f>
        <v>0</v>
      </c>
      <c r="N1143" s="461"/>
      <c r="O1143" s="461"/>
      <c r="P1143" s="366"/>
      <c r="Q1143" s="358" t="s">
        <v>18</v>
      </c>
      <c r="R1143" s="358"/>
      <c r="S1143" s="358" t="s">
        <v>19</v>
      </c>
      <c r="T1143" s="528">
        <v>10</v>
      </c>
      <c r="U1143" s="324">
        <f>E1143/390*60</f>
        <v>0</v>
      </c>
      <c r="V1143" s="676"/>
      <c r="W1143" s="528"/>
      <c r="X1143" s="529"/>
      <c r="Y1143" s="367"/>
      <c r="Z1143" s="312">
        <f>E1143/1.051/1.143</f>
        <v>0</v>
      </c>
      <c r="AA1143" s="316">
        <f>SUM(AB1143/364.5)</f>
        <v>0</v>
      </c>
      <c r="AB1143" s="310">
        <f>E1143/1.051</f>
        <v>0</v>
      </c>
    </row>
    <row r="1144" spans="1:28" ht="79.5" thickBot="1" x14ac:dyDescent="0.45">
      <c r="A1144" s="319" t="s">
        <v>875</v>
      </c>
      <c r="B1144" s="371" t="s">
        <v>860</v>
      </c>
      <c r="C1144" s="528"/>
      <c r="D1144" s="548">
        <f>C1144*12</f>
        <v>0</v>
      </c>
      <c r="E1144" s="456">
        <f>D1144*0.2</f>
        <v>0</v>
      </c>
      <c r="F1144" s="358">
        <f>E1144*0.99*1.03/147</f>
        <v>0</v>
      </c>
      <c r="G1144" s="548">
        <f t="shared" si="426"/>
        <v>0</v>
      </c>
      <c r="H1144" s="358" t="s">
        <v>18</v>
      </c>
      <c r="I1144" s="548">
        <f t="shared" si="427"/>
        <v>0</v>
      </c>
      <c r="J1144" s="358" t="s">
        <v>19</v>
      </c>
      <c r="K1144" s="358"/>
      <c r="L1144" s="358"/>
      <c r="M1144" s="358">
        <f>(F1144*8655)/2880</f>
        <v>0</v>
      </c>
      <c r="N1144" s="358"/>
      <c r="O1144" s="358"/>
      <c r="P1144" s="358"/>
      <c r="Q1144" s="358" t="s">
        <v>18</v>
      </c>
      <c r="R1144" s="358"/>
      <c r="S1144" s="358" t="s">
        <v>19</v>
      </c>
      <c r="T1144" s="528">
        <v>5</v>
      </c>
      <c r="U1144" s="324">
        <f>E1144/403*60</f>
        <v>0</v>
      </c>
      <c r="V1144" s="676"/>
      <c r="W1144" s="528"/>
      <c r="X1144" s="529"/>
      <c r="Y1144" s="323"/>
      <c r="Z1144" s="312">
        <f t="shared" ref="Z1144:Z1151" si="435">E1144/1.02</f>
        <v>0</v>
      </c>
      <c r="AA1144" s="316">
        <f>SUM(Z1144/306.9)</f>
        <v>0</v>
      </c>
    </row>
    <row r="1145" spans="1:28" ht="79.5" thickBot="1" x14ac:dyDescent="0.45">
      <c r="A1145" s="319" t="s">
        <v>875</v>
      </c>
      <c r="B1145" s="371" t="s">
        <v>861</v>
      </c>
      <c r="C1145" s="528"/>
      <c r="D1145" s="548">
        <f>C1145*12</f>
        <v>0</v>
      </c>
      <c r="E1145" s="456">
        <f>D1145*0.2</f>
        <v>0</v>
      </c>
      <c r="F1145" s="358">
        <f>E1145*0.99*1.03/147</f>
        <v>0</v>
      </c>
      <c r="G1145" s="548">
        <f t="shared" si="426"/>
        <v>0</v>
      </c>
      <c r="H1145" s="358" t="s">
        <v>18</v>
      </c>
      <c r="I1145" s="548">
        <f t="shared" si="427"/>
        <v>0</v>
      </c>
      <c r="J1145" s="358" t="s">
        <v>19</v>
      </c>
      <c r="K1145" s="358"/>
      <c r="L1145" s="358"/>
      <c r="M1145" s="358">
        <f>(F1145*8655)/2880</f>
        <v>0</v>
      </c>
      <c r="N1145" s="358"/>
      <c r="O1145" s="358"/>
      <c r="P1145" s="358"/>
      <c r="Q1145" s="358" t="s">
        <v>18</v>
      </c>
      <c r="R1145" s="358"/>
      <c r="S1145" s="358" t="s">
        <v>19</v>
      </c>
      <c r="T1145" s="528">
        <v>5</v>
      </c>
      <c r="U1145" s="324">
        <f>E1145/403*60</f>
        <v>0</v>
      </c>
      <c r="V1145" s="676"/>
      <c r="W1145" s="528"/>
      <c r="X1145" s="529"/>
      <c r="Y1145" s="323"/>
      <c r="Z1145" s="312">
        <f t="shared" si="435"/>
        <v>0</v>
      </c>
      <c r="AA1145" s="316">
        <f>SUM(Z1145/306.9)</f>
        <v>0</v>
      </c>
    </row>
    <row r="1146" spans="1:28" s="728" customFormat="1" ht="261.75" outlineLevel="1" thickBot="1" x14ac:dyDescent="0.45">
      <c r="A1146" s="636" t="s">
        <v>875</v>
      </c>
      <c r="B1146" s="634" t="s">
        <v>1042</v>
      </c>
      <c r="C1146" s="720"/>
      <c r="D1146" s="741">
        <f>C1146*12</f>
        <v>0</v>
      </c>
      <c r="E1146" s="721">
        <f>D1146*0.25</f>
        <v>0</v>
      </c>
      <c r="F1146" s="722">
        <f>E1146*0.99*1.02/147</f>
        <v>0</v>
      </c>
      <c r="G1146" s="720">
        <f t="shared" si="426"/>
        <v>0</v>
      </c>
      <c r="H1146" s="722" t="s">
        <v>18</v>
      </c>
      <c r="I1146" s="720">
        <f t="shared" si="427"/>
        <v>0</v>
      </c>
      <c r="J1146" s="722" t="s">
        <v>19</v>
      </c>
      <c r="K1146" s="722"/>
      <c r="L1146" s="722"/>
      <c r="M1146" s="722">
        <f>(F1146*5880)/3456</f>
        <v>0</v>
      </c>
      <c r="N1146" s="722"/>
      <c r="O1146" s="722"/>
      <c r="P1146" s="722"/>
      <c r="Q1146" s="722" t="s">
        <v>18</v>
      </c>
      <c r="R1146" s="722"/>
      <c r="S1146" s="722" t="s">
        <v>19</v>
      </c>
      <c r="T1146" s="720">
        <v>12</v>
      </c>
      <c r="U1146" s="324">
        <f>E1146/390*60</f>
        <v>0</v>
      </c>
      <c r="V1146" s="724"/>
      <c r="W1146" s="720"/>
      <c r="X1146" s="725"/>
      <c r="Y1146" s="736" t="s">
        <v>1133</v>
      </c>
      <c r="Z1146" s="727">
        <f t="shared" si="435"/>
        <v>0</v>
      </c>
      <c r="AA1146" s="815">
        <f>SUM(Z1146/465)</f>
        <v>0</v>
      </c>
    </row>
    <row r="1147" spans="1:28" ht="79.5" thickBot="1" x14ac:dyDescent="0.45">
      <c r="A1147" s="319" t="s">
        <v>875</v>
      </c>
      <c r="B1147" s="320" t="s">
        <v>809</v>
      </c>
      <c r="C1147" s="528"/>
      <c r="D1147" s="551">
        <f>C1147*8</f>
        <v>0</v>
      </c>
      <c r="E1147" s="456">
        <f>D1147*0.34</f>
        <v>0</v>
      </c>
      <c r="F1147" s="358">
        <f>E1147*0.99*1.01/147</f>
        <v>0</v>
      </c>
      <c r="G1147" s="548">
        <f t="shared" si="426"/>
        <v>0</v>
      </c>
      <c r="H1147" s="358" t="s">
        <v>18</v>
      </c>
      <c r="I1147" s="548">
        <f t="shared" si="427"/>
        <v>0</v>
      </c>
      <c r="J1147" s="358" t="s">
        <v>19</v>
      </c>
      <c r="K1147" s="358"/>
      <c r="L1147" s="358"/>
      <c r="M1147" s="358">
        <f>(F1147*5250)/2880</f>
        <v>0</v>
      </c>
      <c r="N1147" s="358"/>
      <c r="O1147" s="358"/>
      <c r="P1147" s="358"/>
      <c r="Q1147" s="358" t="s">
        <v>18</v>
      </c>
      <c r="R1147" s="358"/>
      <c r="S1147" s="358" t="s">
        <v>19</v>
      </c>
      <c r="T1147" s="528">
        <v>12</v>
      </c>
      <c r="U1147" s="324"/>
      <c r="V1147" s="676"/>
      <c r="W1147" s="528"/>
      <c r="X1147" s="529"/>
      <c r="Y1147" s="644" t="s">
        <v>1094</v>
      </c>
      <c r="Z1147" s="312">
        <f t="shared" si="435"/>
        <v>0</v>
      </c>
      <c r="AA1147" s="316">
        <f>SUM(Z1147/520.8)</f>
        <v>0</v>
      </c>
    </row>
    <row r="1148" spans="1:28" ht="156.75" thickBot="1" x14ac:dyDescent="0.45">
      <c r="A1148" s="319" t="s">
        <v>875</v>
      </c>
      <c r="B1148" s="320" t="s">
        <v>810</v>
      </c>
      <c r="C1148" s="528"/>
      <c r="D1148" s="551">
        <f>C1148*8</f>
        <v>0</v>
      </c>
      <c r="E1148" s="456">
        <f>D1148*0.34</f>
        <v>0</v>
      </c>
      <c r="F1148" s="358">
        <f>E1148*0.99*1.01/147</f>
        <v>0</v>
      </c>
      <c r="G1148" s="548">
        <f t="shared" si="426"/>
        <v>0</v>
      </c>
      <c r="H1148" s="358" t="s">
        <v>18</v>
      </c>
      <c r="I1148" s="548">
        <f t="shared" si="427"/>
        <v>0</v>
      </c>
      <c r="J1148" s="358" t="s">
        <v>19</v>
      </c>
      <c r="K1148" s="358"/>
      <c r="L1148" s="358"/>
      <c r="M1148" s="358">
        <f>(F1148*5250)/2880</f>
        <v>0</v>
      </c>
      <c r="N1148" s="358"/>
      <c r="O1148" s="358"/>
      <c r="P1148" s="358"/>
      <c r="Q1148" s="358" t="s">
        <v>18</v>
      </c>
      <c r="R1148" s="358"/>
      <c r="S1148" s="358" t="s">
        <v>19</v>
      </c>
      <c r="T1148" s="528">
        <v>12</v>
      </c>
      <c r="U1148" s="324"/>
      <c r="V1148" s="676"/>
      <c r="W1148" s="528"/>
      <c r="X1148" s="529"/>
      <c r="Y1148" s="648" t="s">
        <v>1125</v>
      </c>
      <c r="Z1148" s="312">
        <f t="shared" si="435"/>
        <v>0</v>
      </c>
      <c r="AA1148" s="316">
        <f>SUM(Z1148/520.8)</f>
        <v>0</v>
      </c>
    </row>
    <row r="1149" spans="1:28" ht="79.5" thickBot="1" x14ac:dyDescent="0.45">
      <c r="A1149" s="319" t="s">
        <v>875</v>
      </c>
      <c r="B1149" s="320" t="s">
        <v>812</v>
      </c>
      <c r="C1149" s="528"/>
      <c r="D1149" s="551">
        <f>C1149*15</f>
        <v>0</v>
      </c>
      <c r="E1149" s="456">
        <f>D1149*0.18</f>
        <v>0</v>
      </c>
      <c r="F1149" s="358">
        <f>E1149*0.99*1.03/147</f>
        <v>0</v>
      </c>
      <c r="G1149" s="548">
        <f t="shared" si="426"/>
        <v>0</v>
      </c>
      <c r="H1149" s="358" t="s">
        <v>18</v>
      </c>
      <c r="I1149" s="548">
        <f t="shared" si="427"/>
        <v>0</v>
      </c>
      <c r="J1149" s="358" t="s">
        <v>19</v>
      </c>
      <c r="K1149" s="358"/>
      <c r="L1149" s="358"/>
      <c r="M1149" s="358">
        <f>(F1149*6450)/2880</f>
        <v>0</v>
      </c>
      <c r="N1149" s="358"/>
      <c r="O1149" s="358"/>
      <c r="P1149" s="358"/>
      <c r="Q1149" s="358" t="s">
        <v>18</v>
      </c>
      <c r="R1149" s="358"/>
      <c r="S1149" s="358" t="s">
        <v>19</v>
      </c>
      <c r="T1149" s="528">
        <v>14</v>
      </c>
      <c r="U1149" s="324">
        <f>E1149/237*60</f>
        <v>0</v>
      </c>
      <c r="V1149" s="676"/>
      <c r="W1149" s="528"/>
      <c r="X1149" s="529"/>
      <c r="Y1149" s="323"/>
      <c r="Z1149" s="312">
        <f t="shared" si="435"/>
        <v>0</v>
      </c>
      <c r="AA1149" s="316">
        <f>SUM(Z1149/427.8)</f>
        <v>0</v>
      </c>
    </row>
    <row r="1150" spans="1:28" ht="79.5" thickBot="1" x14ac:dyDescent="0.45">
      <c r="A1150" s="319" t="s">
        <v>875</v>
      </c>
      <c r="B1150" s="344" t="s">
        <v>846</v>
      </c>
      <c r="C1150" s="528"/>
      <c r="D1150" s="551">
        <f>C1150*12</f>
        <v>0</v>
      </c>
      <c r="E1150" s="456">
        <f>D1150*0.25</f>
        <v>0</v>
      </c>
      <c r="F1150" s="358">
        <f>E1150*0.99*1.03/147</f>
        <v>0</v>
      </c>
      <c r="G1150" s="548">
        <f t="shared" si="426"/>
        <v>0</v>
      </c>
      <c r="H1150" s="358" t="s">
        <v>18</v>
      </c>
      <c r="I1150" s="548">
        <f t="shared" si="427"/>
        <v>0</v>
      </c>
      <c r="J1150" s="358" t="s">
        <v>19</v>
      </c>
      <c r="K1150" s="358"/>
      <c r="L1150" s="358"/>
      <c r="M1150" s="358">
        <f>(F1150*6989)/2880</f>
        <v>0</v>
      </c>
      <c r="N1150" s="358"/>
      <c r="O1150" s="358"/>
      <c r="P1150" s="358"/>
      <c r="Q1150" s="358" t="s">
        <v>18</v>
      </c>
      <c r="R1150" s="358"/>
      <c r="S1150" s="358" t="s">
        <v>19</v>
      </c>
      <c r="T1150" s="528">
        <v>5</v>
      </c>
      <c r="U1150" s="324">
        <f>E1150/403*60</f>
        <v>0</v>
      </c>
      <c r="V1150" s="676"/>
      <c r="W1150" s="528"/>
      <c r="X1150" s="529"/>
      <c r="Y1150" s="323"/>
      <c r="Z1150" s="312">
        <f t="shared" si="435"/>
        <v>0</v>
      </c>
      <c r="AA1150" s="316">
        <f>SUM(Z1150/390.6)</f>
        <v>0</v>
      </c>
    </row>
    <row r="1151" spans="1:28" ht="79.5" thickBot="1" x14ac:dyDescent="0.45">
      <c r="A1151" s="319" t="s">
        <v>875</v>
      </c>
      <c r="B1151" s="344" t="s">
        <v>847</v>
      </c>
      <c r="C1151" s="528"/>
      <c r="D1151" s="551">
        <f>C1151*12</f>
        <v>0</v>
      </c>
      <c r="E1151" s="456">
        <f>D1151*0.25</f>
        <v>0</v>
      </c>
      <c r="F1151" s="358">
        <f>E1151*0.99*1.03/147</f>
        <v>0</v>
      </c>
      <c r="G1151" s="548">
        <f t="shared" si="426"/>
        <v>0</v>
      </c>
      <c r="H1151" s="358" t="s">
        <v>18</v>
      </c>
      <c r="I1151" s="548">
        <f t="shared" si="427"/>
        <v>0</v>
      </c>
      <c r="J1151" s="358" t="s">
        <v>19</v>
      </c>
      <c r="K1151" s="358"/>
      <c r="L1151" s="358"/>
      <c r="M1151" s="358">
        <f>(F1151*6989)/2880</f>
        <v>0</v>
      </c>
      <c r="N1151" s="358"/>
      <c r="O1151" s="358"/>
      <c r="P1151" s="358"/>
      <c r="Q1151" s="358" t="s">
        <v>18</v>
      </c>
      <c r="R1151" s="358"/>
      <c r="S1151" s="358" t="s">
        <v>19</v>
      </c>
      <c r="T1151" s="528">
        <v>5</v>
      </c>
      <c r="U1151" s="324">
        <f>E1151/403*60</f>
        <v>0</v>
      </c>
      <c r="V1151" s="676"/>
      <c r="W1151" s="528"/>
      <c r="X1151" s="529"/>
      <c r="Y1151" s="323"/>
      <c r="Z1151" s="312">
        <f t="shared" si="435"/>
        <v>0</v>
      </c>
      <c r="AA1151" s="316">
        <f>SUM(Z1151/390.6)</f>
        <v>0</v>
      </c>
    </row>
    <row r="1152" spans="1:28" ht="79.5" thickBot="1" x14ac:dyDescent="0.45">
      <c r="A1152" s="319" t="s">
        <v>875</v>
      </c>
      <c r="B1152" s="879" t="s">
        <v>1211</v>
      </c>
      <c r="C1152" s="528"/>
      <c r="D1152" s="551">
        <f>C1152*14</f>
        <v>0</v>
      </c>
      <c r="E1152" s="456">
        <f>D1152*0.25</f>
        <v>0</v>
      </c>
      <c r="F1152" s="358">
        <f>E1152*0.99*1.03/147</f>
        <v>0</v>
      </c>
      <c r="G1152" s="548">
        <f>INT(M1152)</f>
        <v>0</v>
      </c>
      <c r="H1152" s="358" t="s">
        <v>18</v>
      </c>
      <c r="I1152" s="548">
        <f>(M1152-G1152)*64</f>
        <v>0</v>
      </c>
      <c r="J1152" s="358" t="s">
        <v>19</v>
      </c>
      <c r="K1152" s="358"/>
      <c r="L1152" s="358"/>
      <c r="M1152" s="358">
        <f>(F1152*6989)/2880</f>
        <v>0</v>
      </c>
      <c r="N1152" s="358"/>
      <c r="O1152" s="358"/>
      <c r="P1152" s="358"/>
      <c r="Q1152" s="358" t="s">
        <v>18</v>
      </c>
      <c r="R1152" s="358"/>
      <c r="S1152" s="358" t="s">
        <v>19</v>
      </c>
      <c r="T1152" s="528">
        <v>5</v>
      </c>
      <c r="U1152" s="324">
        <f>E1152/403*60</f>
        <v>0</v>
      </c>
      <c r="V1152" s="676"/>
      <c r="W1152" s="528"/>
      <c r="X1152" s="529"/>
      <c r="Y1152" s="323"/>
      <c r="Z1152" s="312">
        <f>E1152/1.02</f>
        <v>0</v>
      </c>
      <c r="AA1152" s="316">
        <f>SUM(Z1152/390.6)</f>
        <v>0</v>
      </c>
    </row>
    <row r="1153" spans="1:27" ht="79.5" thickBot="1" x14ac:dyDescent="0.45">
      <c r="A1153" s="319" t="s">
        <v>875</v>
      </c>
      <c r="B1153" s="879" t="s">
        <v>1213</v>
      </c>
      <c r="C1153" s="528"/>
      <c r="D1153" s="551">
        <f>C1153*14</f>
        <v>0</v>
      </c>
      <c r="E1153" s="456">
        <f>D1153*0.25</f>
        <v>0</v>
      </c>
      <c r="F1153" s="358">
        <f>E1153*0.99*1.03/147</f>
        <v>0</v>
      </c>
      <c r="G1153" s="548">
        <f>INT(M1153)</f>
        <v>0</v>
      </c>
      <c r="H1153" s="358" t="s">
        <v>18</v>
      </c>
      <c r="I1153" s="548">
        <f>(M1153-G1153)*64</f>
        <v>0</v>
      </c>
      <c r="J1153" s="358" t="s">
        <v>19</v>
      </c>
      <c r="K1153" s="358"/>
      <c r="L1153" s="358"/>
      <c r="M1153" s="358">
        <f>(F1153*6989)/2880</f>
        <v>0</v>
      </c>
      <c r="N1153" s="358"/>
      <c r="O1153" s="358"/>
      <c r="P1153" s="358"/>
      <c r="Q1153" s="358" t="s">
        <v>18</v>
      </c>
      <c r="R1153" s="358"/>
      <c r="S1153" s="358" t="s">
        <v>19</v>
      </c>
      <c r="T1153" s="528">
        <v>5</v>
      </c>
      <c r="U1153" s="324">
        <f>E1153/403*60</f>
        <v>0</v>
      </c>
      <c r="V1153" s="676"/>
      <c r="W1153" s="528"/>
      <c r="X1153" s="529"/>
      <c r="Y1153" s="323"/>
      <c r="Z1153" s="312">
        <f>E1153/1.02</f>
        <v>0</v>
      </c>
      <c r="AA1153" s="316">
        <f>SUM(Z1153/390.6)</f>
        <v>0</v>
      </c>
    </row>
    <row r="1154" spans="1:27" ht="79.5" thickBot="1" x14ac:dyDescent="0.45">
      <c r="A1154" s="319" t="s">
        <v>875</v>
      </c>
      <c r="B1154" s="362" t="s">
        <v>1021</v>
      </c>
      <c r="C1154" s="528"/>
      <c r="D1154" s="530">
        <f>C1154*22</f>
        <v>0</v>
      </c>
      <c r="E1154" s="460">
        <f>D1154*0.13</f>
        <v>0</v>
      </c>
      <c r="F1154" s="324">
        <f t="shared" ref="F1154:F1159" si="436">E1154*0.99*1.02/170</f>
        <v>0</v>
      </c>
      <c r="G1154" s="324">
        <f>INT(M1154)</f>
        <v>0</v>
      </c>
      <c r="H1154" s="324" t="s">
        <v>18</v>
      </c>
      <c r="I1154" s="528">
        <f>(M1154-G1154)*64</f>
        <v>0</v>
      </c>
      <c r="J1154" s="324" t="s">
        <v>19</v>
      </c>
      <c r="K1154" s="324"/>
      <c r="L1154" s="324"/>
      <c r="M1154" s="324">
        <f t="shared" ref="M1154:M1159" si="437">(F1154*8500)/3456</f>
        <v>0</v>
      </c>
      <c r="N1154" s="324"/>
      <c r="O1154" s="324"/>
      <c r="P1154" s="324"/>
      <c r="Q1154" s="324" t="s">
        <v>18</v>
      </c>
      <c r="R1154" s="324"/>
      <c r="S1154" s="324" t="s">
        <v>19</v>
      </c>
      <c r="T1154" s="528">
        <v>5</v>
      </c>
      <c r="U1154" s="324">
        <f>E1154/237*60</f>
        <v>0</v>
      </c>
      <c r="V1154" s="676"/>
      <c r="W1154" s="528"/>
      <c r="X1154" s="529"/>
      <c r="Y1154" s="323" t="s">
        <v>1024</v>
      </c>
      <c r="Z1154" s="312">
        <f t="shared" ref="Z1154:Z1159" si="438">E1154/1.026</f>
        <v>0</v>
      </c>
      <c r="AA1154" s="316">
        <f>SUM(Z1154/369.6)</f>
        <v>0</v>
      </c>
    </row>
    <row r="1155" spans="1:27" ht="79.5" thickBot="1" x14ac:dyDescent="0.45">
      <c r="A1155" s="319" t="s">
        <v>875</v>
      </c>
      <c r="B1155" s="802" t="s">
        <v>1223</v>
      </c>
      <c r="C1155" s="528"/>
      <c r="D1155" s="530">
        <f>C1155*12</f>
        <v>0</v>
      </c>
      <c r="E1155" s="460">
        <f>D1155*0.13</f>
        <v>0</v>
      </c>
      <c r="F1155" s="324">
        <f t="shared" si="436"/>
        <v>0</v>
      </c>
      <c r="G1155" s="324">
        <f>INT(M1155)</f>
        <v>0</v>
      </c>
      <c r="H1155" s="324" t="s">
        <v>18</v>
      </c>
      <c r="I1155" s="528">
        <f>(M1155-G1155)*64</f>
        <v>0</v>
      </c>
      <c r="J1155" s="324" t="s">
        <v>19</v>
      </c>
      <c r="K1155" s="324"/>
      <c r="L1155" s="324"/>
      <c r="M1155" s="324">
        <f t="shared" si="437"/>
        <v>0</v>
      </c>
      <c r="N1155" s="324"/>
      <c r="O1155" s="324"/>
      <c r="P1155" s="324"/>
      <c r="Q1155" s="324" t="s">
        <v>18</v>
      </c>
      <c r="R1155" s="324"/>
      <c r="S1155" s="324" t="s">
        <v>19</v>
      </c>
      <c r="T1155" s="528">
        <v>5</v>
      </c>
      <c r="U1155" s="324">
        <f>E1155/237*60</f>
        <v>0</v>
      </c>
      <c r="V1155" s="676"/>
      <c r="W1155" s="528"/>
      <c r="X1155" s="529"/>
      <c r="Y1155" s="323" t="s">
        <v>1024</v>
      </c>
      <c r="Z1155" s="312">
        <f t="shared" si="438"/>
        <v>0</v>
      </c>
      <c r="AA1155" s="316">
        <f>SUM(Z1155/369.6)</f>
        <v>0</v>
      </c>
    </row>
    <row r="1156" spans="1:27" ht="79.5" thickBot="1" x14ac:dyDescent="0.45">
      <c r="A1156" s="319" t="s">
        <v>875</v>
      </c>
      <c r="B1156" s="362" t="s">
        <v>1023</v>
      </c>
      <c r="C1156" s="528"/>
      <c r="D1156" s="530">
        <f>C1156*8</f>
        <v>0</v>
      </c>
      <c r="E1156" s="460">
        <f>D1156*0.16</f>
        <v>0</v>
      </c>
      <c r="F1156" s="324">
        <f t="shared" si="436"/>
        <v>0</v>
      </c>
      <c r="G1156" s="324">
        <f>INT(M1156)</f>
        <v>0</v>
      </c>
      <c r="H1156" s="324" t="s">
        <v>18</v>
      </c>
      <c r="I1156" s="528">
        <f>(M1156-G1156)*64</f>
        <v>0</v>
      </c>
      <c r="J1156" s="324" t="s">
        <v>19</v>
      </c>
      <c r="K1156" s="324"/>
      <c r="L1156" s="324"/>
      <c r="M1156" s="324">
        <f t="shared" si="437"/>
        <v>0</v>
      </c>
      <c r="N1156" s="324"/>
      <c r="O1156" s="324"/>
      <c r="P1156" s="324"/>
      <c r="Q1156" s="324" t="s">
        <v>18</v>
      </c>
      <c r="R1156" s="324"/>
      <c r="S1156" s="324" t="s">
        <v>19</v>
      </c>
      <c r="T1156" s="528">
        <v>5</v>
      </c>
      <c r="U1156" s="324">
        <f>E1156/237*60</f>
        <v>0</v>
      </c>
      <c r="V1156" s="676"/>
      <c r="W1156" s="528"/>
      <c r="X1156" s="529"/>
      <c r="Y1156" s="323" t="s">
        <v>1022</v>
      </c>
      <c r="Z1156" s="312">
        <f t="shared" si="438"/>
        <v>0</v>
      </c>
      <c r="AA1156" s="316">
        <f>SUM(Z1156/372)</f>
        <v>0</v>
      </c>
    </row>
    <row r="1157" spans="1:27" ht="79.5" thickBot="1" x14ac:dyDescent="0.45">
      <c r="A1157" s="319" t="s">
        <v>875</v>
      </c>
      <c r="B1157" s="362" t="s">
        <v>1194</v>
      </c>
      <c r="C1157" s="528"/>
      <c r="D1157" s="551">
        <f>C1157*12</f>
        <v>0</v>
      </c>
      <c r="E1157" s="456">
        <f>D1157*0.16</f>
        <v>0</v>
      </c>
      <c r="F1157" s="358">
        <f t="shared" si="436"/>
        <v>0</v>
      </c>
      <c r="G1157" s="358">
        <f t="shared" si="426"/>
        <v>0</v>
      </c>
      <c r="H1157" s="358" t="s">
        <v>18</v>
      </c>
      <c r="I1157" s="548">
        <f t="shared" si="427"/>
        <v>0</v>
      </c>
      <c r="J1157" s="358" t="s">
        <v>19</v>
      </c>
      <c r="K1157" s="358"/>
      <c r="L1157" s="358"/>
      <c r="M1157" s="358">
        <f t="shared" si="437"/>
        <v>0</v>
      </c>
      <c r="N1157" s="324"/>
      <c r="O1157" s="324"/>
      <c r="P1157" s="324"/>
      <c r="Q1157" s="324" t="s">
        <v>18</v>
      </c>
      <c r="R1157" s="324"/>
      <c r="S1157" s="324" t="s">
        <v>19</v>
      </c>
      <c r="T1157" s="528">
        <v>5</v>
      </c>
      <c r="U1157" s="324">
        <f>E1157/403*60</f>
        <v>0</v>
      </c>
      <c r="V1157" s="676"/>
      <c r="W1157" s="528"/>
      <c r="X1157" s="529"/>
      <c r="Y1157" s="323" t="s">
        <v>1022</v>
      </c>
      <c r="Z1157" s="312">
        <f t="shared" si="438"/>
        <v>0</v>
      </c>
      <c r="AA1157" s="316">
        <f>SUM(Z1157/372)</f>
        <v>0</v>
      </c>
    </row>
    <row r="1158" spans="1:27" ht="79.5" thickBot="1" x14ac:dyDescent="0.45">
      <c r="A1158" s="319" t="s">
        <v>875</v>
      </c>
      <c r="B1158" s="802" t="s">
        <v>1215</v>
      </c>
      <c r="C1158" s="528"/>
      <c r="D1158" s="551">
        <f>C1158*10</f>
        <v>0</v>
      </c>
      <c r="E1158" s="456">
        <f>D1158*0.16</f>
        <v>0</v>
      </c>
      <c r="F1158" s="358">
        <f t="shared" si="436"/>
        <v>0</v>
      </c>
      <c r="G1158" s="358">
        <f t="shared" si="426"/>
        <v>0</v>
      </c>
      <c r="H1158" s="358" t="s">
        <v>18</v>
      </c>
      <c r="I1158" s="548">
        <f t="shared" si="427"/>
        <v>0</v>
      </c>
      <c r="J1158" s="358" t="s">
        <v>19</v>
      </c>
      <c r="K1158" s="358"/>
      <c r="L1158" s="358"/>
      <c r="M1158" s="358">
        <f t="shared" si="437"/>
        <v>0</v>
      </c>
      <c r="N1158" s="324"/>
      <c r="O1158" s="324"/>
      <c r="P1158" s="324"/>
      <c r="Q1158" s="324" t="s">
        <v>18</v>
      </c>
      <c r="R1158" s="324"/>
      <c r="S1158" s="324" t="s">
        <v>19</v>
      </c>
      <c r="T1158" s="528">
        <v>5</v>
      </c>
      <c r="U1158" s="324">
        <f>E1158/237*60</f>
        <v>0</v>
      </c>
      <c r="V1158" s="676"/>
      <c r="W1158" s="528"/>
      <c r="X1158" s="529"/>
      <c r="Y1158" s="323" t="s">
        <v>1022</v>
      </c>
      <c r="Z1158" s="312">
        <f t="shared" si="438"/>
        <v>0</v>
      </c>
      <c r="AA1158" s="316">
        <f>SUM(Z1158/372)</f>
        <v>0</v>
      </c>
    </row>
    <row r="1159" spans="1:27" ht="79.5" thickBot="1" x14ac:dyDescent="0.45">
      <c r="A1159" s="319" t="s">
        <v>875</v>
      </c>
      <c r="B1159" s="362" t="s">
        <v>1182</v>
      </c>
      <c r="C1159" s="528"/>
      <c r="D1159" s="530">
        <f>C1159*10</f>
        <v>0</v>
      </c>
      <c r="E1159" s="460">
        <f>D1159*0.26</f>
        <v>0</v>
      </c>
      <c r="F1159" s="324">
        <f t="shared" si="436"/>
        <v>0</v>
      </c>
      <c r="G1159" s="324">
        <f t="shared" si="426"/>
        <v>0</v>
      </c>
      <c r="H1159" s="324" t="s">
        <v>18</v>
      </c>
      <c r="I1159" s="528">
        <f t="shared" si="427"/>
        <v>0</v>
      </c>
      <c r="J1159" s="324" t="s">
        <v>19</v>
      </c>
      <c r="K1159" s="324"/>
      <c r="L1159" s="324"/>
      <c r="M1159" s="324">
        <f t="shared" si="437"/>
        <v>0</v>
      </c>
      <c r="N1159" s="324"/>
      <c r="O1159" s="324"/>
      <c r="P1159" s="324"/>
      <c r="Q1159" s="324" t="s">
        <v>18</v>
      </c>
      <c r="R1159" s="324"/>
      <c r="S1159" s="324" t="s">
        <v>19</v>
      </c>
      <c r="T1159" s="528">
        <v>5</v>
      </c>
      <c r="U1159" s="324">
        <f>E1159/237*60</f>
        <v>0</v>
      </c>
      <c r="V1159" s="676"/>
      <c r="W1159" s="528"/>
      <c r="X1159" s="529"/>
      <c r="Y1159" s="323" t="s">
        <v>1022</v>
      </c>
      <c r="Z1159" s="312">
        <f t="shared" si="438"/>
        <v>0</v>
      </c>
      <c r="AA1159" s="316">
        <f>SUM(Z1159/372)</f>
        <v>0</v>
      </c>
    </row>
    <row r="1160" spans="1:27" thickBot="1" x14ac:dyDescent="0.45">
      <c r="A1160" s="319"/>
      <c r="B1160" s="372"/>
      <c r="C1160" s="528"/>
      <c r="D1160" s="528"/>
      <c r="E1160" s="460"/>
      <c r="F1160" s="324"/>
      <c r="G1160" s="528"/>
      <c r="H1160" s="324"/>
      <c r="I1160" s="528"/>
      <c r="J1160" s="324"/>
      <c r="K1160" s="324"/>
      <c r="L1160" s="324"/>
      <c r="M1160" s="324"/>
      <c r="N1160" s="324"/>
      <c r="O1160" s="324"/>
      <c r="P1160" s="324"/>
      <c r="Q1160" s="324"/>
      <c r="R1160" s="324"/>
      <c r="S1160" s="324"/>
      <c r="T1160" s="528"/>
      <c r="U1160" s="324"/>
      <c r="V1160" s="676"/>
      <c r="W1160" s="528"/>
      <c r="X1160" s="529"/>
      <c r="Y1160" s="323"/>
    </row>
    <row r="1161" spans="1:27" thickBot="1" x14ac:dyDescent="0.45">
      <c r="A1161" s="319"/>
      <c r="B1161" s="319"/>
      <c r="C1161" s="528"/>
      <c r="D1161" s="528"/>
      <c r="E1161" s="460"/>
      <c r="F1161" s="324"/>
      <c r="G1161" s="528"/>
      <c r="H1161" s="324"/>
      <c r="I1161" s="528"/>
      <c r="J1161" s="324"/>
      <c r="K1161" s="324"/>
      <c r="L1161" s="324"/>
      <c r="M1161" s="324"/>
      <c r="N1161" s="324"/>
      <c r="O1161" s="324"/>
      <c r="P1161" s="324"/>
      <c r="Q1161" s="324"/>
      <c r="R1161" s="324"/>
      <c r="S1161" s="324"/>
      <c r="T1161" s="528"/>
      <c r="U1161" s="324"/>
      <c r="V1161" s="676"/>
      <c r="W1161" s="528"/>
      <c r="X1161" s="529"/>
      <c r="Y1161" s="323"/>
    </row>
    <row r="1162" spans="1:27" ht="205.5" thickBot="1" x14ac:dyDescent="0.45">
      <c r="A1162" s="829"/>
      <c r="B1162" s="304" t="s">
        <v>119</v>
      </c>
      <c r="C1162" s="537"/>
      <c r="D1162" s="537"/>
      <c r="E1162" s="500">
        <v>95</v>
      </c>
      <c r="F1162" s="538"/>
      <c r="G1162" s="528"/>
      <c r="H1162" s="324"/>
      <c r="I1162" s="528"/>
      <c r="J1162" s="324"/>
      <c r="K1162" s="324"/>
      <c r="L1162" s="324"/>
      <c r="M1162" s="324"/>
      <c r="N1162" s="324"/>
      <c r="O1162" s="324"/>
      <c r="P1162" s="324"/>
      <c r="Q1162" s="324"/>
      <c r="R1162" s="324"/>
      <c r="S1162" s="324"/>
      <c r="T1162" s="571"/>
      <c r="U1162" s="528"/>
      <c r="V1162" s="693"/>
      <c r="W1162" s="528"/>
      <c r="X1162" s="324"/>
      <c r="Y1162" s="397" t="s">
        <v>1052</v>
      </c>
    </row>
    <row r="1163" spans="1:27" thickBot="1" x14ac:dyDescent="0.45">
      <c r="A1163" s="829"/>
      <c r="B1163" s="332" t="s">
        <v>120</v>
      </c>
      <c r="C1163" s="537"/>
      <c r="D1163" s="537"/>
      <c r="E1163" s="496">
        <f>SUM(E993:E1159)</f>
        <v>0</v>
      </c>
      <c r="F1163" s="496">
        <f>SUM(F993:F1159)</f>
        <v>0</v>
      </c>
      <c r="G1163" s="528"/>
      <c r="H1163" s="324"/>
      <c r="I1163" s="528"/>
      <c r="J1163" s="324"/>
      <c r="K1163" s="324"/>
      <c r="L1163" s="324"/>
      <c r="M1163" s="324"/>
      <c r="N1163" s="324"/>
      <c r="O1163" s="324"/>
      <c r="P1163" s="324"/>
      <c r="Q1163" s="324"/>
      <c r="R1163" s="324"/>
      <c r="S1163" s="324"/>
      <c r="T1163" s="528"/>
      <c r="U1163" s="324"/>
      <c r="V1163" s="676"/>
      <c r="W1163" s="528"/>
      <c r="X1163" s="529"/>
      <c r="Y1163" s="323"/>
    </row>
    <row r="1164" spans="1:27" thickBot="1" x14ac:dyDescent="0.45">
      <c r="A1164" s="829"/>
      <c r="B1164" s="340"/>
      <c r="C1164" s="559"/>
      <c r="D1164" s="559"/>
      <c r="E1164" s="510"/>
      <c r="F1164" s="471"/>
      <c r="G1164" s="539"/>
      <c r="H1164" s="333"/>
      <c r="I1164" s="539"/>
      <c r="J1164" s="333"/>
      <c r="K1164" s="333"/>
      <c r="L1164" s="333"/>
      <c r="M1164" s="333"/>
      <c r="N1164" s="333"/>
      <c r="O1164" s="333"/>
      <c r="P1164" s="333"/>
      <c r="Q1164" s="333"/>
      <c r="R1164" s="333"/>
      <c r="S1164" s="333"/>
      <c r="T1164" s="539"/>
      <c r="U1164" s="333"/>
      <c r="V1164" s="681"/>
      <c r="W1164" s="539"/>
      <c r="X1164" s="333"/>
      <c r="Y1164" s="323"/>
    </row>
    <row r="1165" spans="1:27" thickBot="1" x14ac:dyDescent="0.45">
      <c r="A1165" s="829"/>
      <c r="B1165" s="340"/>
      <c r="C1165" s="559"/>
      <c r="D1165" s="559"/>
      <c r="E1165" s="510"/>
      <c r="F1165" s="471"/>
      <c r="G1165" s="539"/>
      <c r="H1165" s="333"/>
      <c r="I1165" s="539"/>
      <c r="J1165" s="333"/>
      <c r="K1165" s="333"/>
      <c r="L1165" s="333"/>
      <c r="M1165" s="333"/>
      <c r="N1165" s="333"/>
      <c r="O1165" s="333"/>
      <c r="P1165" s="333"/>
      <c r="Q1165" s="333"/>
      <c r="R1165" s="333"/>
      <c r="S1165" s="333"/>
      <c r="T1165" s="539"/>
      <c r="U1165" s="333"/>
      <c r="V1165" s="681"/>
      <c r="W1165" s="539"/>
      <c r="X1165" s="333"/>
      <c r="Y1165" s="323"/>
    </row>
    <row r="1166" spans="1:27" thickBot="1" x14ac:dyDescent="0.45">
      <c r="A1166" s="829"/>
      <c r="B1166" s="332" t="s">
        <v>638</v>
      </c>
      <c r="C1166" s="537"/>
      <c r="D1166" s="537"/>
      <c r="E1166" s="496">
        <f>E602+E150+E374</f>
        <v>0</v>
      </c>
      <c r="F1166" s="354">
        <f>F602+F150+F374</f>
        <v>0</v>
      </c>
      <c r="G1166" s="528"/>
      <c r="H1166" s="324"/>
      <c r="I1166" s="528"/>
      <c r="J1166" s="324"/>
      <c r="K1166" s="324"/>
      <c r="L1166" s="324"/>
      <c r="M1166" s="324"/>
      <c r="N1166" s="324"/>
      <c r="O1166" s="324"/>
      <c r="P1166" s="324"/>
      <c r="Q1166" s="324"/>
      <c r="R1166" s="324"/>
      <c r="S1166" s="324"/>
      <c r="T1166" s="528"/>
      <c r="U1166" s="324"/>
      <c r="V1166" s="676"/>
      <c r="W1166" s="528"/>
      <c r="X1166" s="529"/>
      <c r="Y1166" s="323"/>
    </row>
    <row r="1167" spans="1:27" thickBot="1" x14ac:dyDescent="0.45">
      <c r="A1167" s="829"/>
      <c r="B1167" s="332" t="s">
        <v>641</v>
      </c>
      <c r="C1167" s="537"/>
      <c r="D1167" s="537"/>
      <c r="E1167" s="496">
        <f>E603+E151+E375</f>
        <v>0</v>
      </c>
      <c r="F1167" s="354">
        <f>F603+F151+F375</f>
        <v>0</v>
      </c>
      <c r="G1167" s="528"/>
      <c r="H1167" s="324"/>
      <c r="I1167" s="528"/>
      <c r="J1167" s="324"/>
      <c r="K1167" s="324"/>
      <c r="L1167" s="324"/>
      <c r="M1167" s="324"/>
      <c r="N1167" s="324"/>
      <c r="O1167" s="324"/>
      <c r="P1167" s="324"/>
      <c r="Q1167" s="324"/>
      <c r="R1167" s="324"/>
      <c r="S1167" s="324"/>
      <c r="T1167" s="528"/>
      <c r="U1167" s="324"/>
      <c r="V1167" s="676"/>
      <c r="W1167" s="528"/>
      <c r="X1167" s="529"/>
      <c r="Y1167" s="323"/>
    </row>
    <row r="1168" spans="1:27" thickBot="1" x14ac:dyDescent="0.45">
      <c r="A1168" s="829"/>
      <c r="B1168" s="332" t="s">
        <v>1163</v>
      </c>
      <c r="C1168" s="537"/>
      <c r="D1168" s="537"/>
      <c r="E1168" s="496">
        <f>E335+E337+E338+E565+E567+E568+E793+E795+E796+E973+E975+E976+E1154+E1156+E1157</f>
        <v>0</v>
      </c>
      <c r="F1168" s="354">
        <f>F335+F337+F338+F565+F567+F568+F793+F795+F796+F973+F975+F976+F1154+F1156+F1157</f>
        <v>0</v>
      </c>
      <c r="G1168" s="528"/>
      <c r="H1168" s="324"/>
      <c r="I1168" s="528"/>
      <c r="J1168" s="324"/>
      <c r="K1168" s="324"/>
      <c r="L1168" s="324"/>
      <c r="M1168" s="324"/>
      <c r="N1168" s="324"/>
      <c r="O1168" s="324"/>
      <c r="P1168" s="324"/>
      <c r="Q1168" s="324"/>
      <c r="R1168" s="324"/>
      <c r="S1168" s="324"/>
      <c r="T1168" s="528"/>
      <c r="U1168" s="324"/>
      <c r="V1168" s="676"/>
      <c r="W1168" s="528"/>
      <c r="X1168" s="529"/>
      <c r="Y1168" s="323"/>
    </row>
    <row r="1169" spans="1:255" thickBot="1" x14ac:dyDescent="0.45">
      <c r="A1169" s="829"/>
      <c r="B1169" s="332" t="s">
        <v>1164</v>
      </c>
      <c r="C1169" s="537"/>
      <c r="D1169" s="537"/>
      <c r="E1169" s="496">
        <f>E200+E241+E282+E280+E281+E428+E471+E510+E511+E512+E656+E701+E740+E741+E742+E848+E892+E960+E961+E1029+E1067+E1106+E1107+E1105</f>
        <v>0</v>
      </c>
      <c r="F1169" s="354">
        <f>F200+F241+F282+F280+F281+F428+F471+F510+F511+F512+F656+F701+F740+F741+F742+F848+F892+F960+F961+F1029+F1067+F1106+F1107</f>
        <v>0</v>
      </c>
      <c r="G1169" s="528"/>
      <c r="H1169" s="324"/>
      <c r="I1169" s="528"/>
      <c r="J1169" s="324"/>
      <c r="K1169" s="324"/>
      <c r="L1169" s="324"/>
      <c r="M1169" s="324"/>
      <c r="N1169" s="324"/>
      <c r="O1169" s="324"/>
      <c r="P1169" s="324"/>
      <c r="Q1169" s="324"/>
      <c r="R1169" s="324"/>
      <c r="S1169" s="324"/>
      <c r="T1169" s="528"/>
      <c r="U1169" s="324"/>
      <c r="V1169" s="676"/>
      <c r="W1169" s="528"/>
      <c r="X1169" s="529"/>
      <c r="Y1169" s="323"/>
    </row>
    <row r="1170" spans="1:255" thickBot="1" x14ac:dyDescent="0.45">
      <c r="A1170" s="829"/>
      <c r="B1170" s="332" t="s">
        <v>130</v>
      </c>
      <c r="C1170" s="537"/>
      <c r="D1170" s="537"/>
      <c r="E1170" s="496">
        <f>E346+E574+E802+E981+E1163-E1168-E1169</f>
        <v>48720</v>
      </c>
      <c r="F1170" s="354">
        <f>F346+F574+F802+F981+F1163-F1168-F1169</f>
        <v>311.60718367346931</v>
      </c>
      <c r="G1170" s="528"/>
      <c r="H1170" s="324"/>
      <c r="I1170" s="528"/>
      <c r="J1170" s="324"/>
      <c r="K1170" s="324"/>
      <c r="L1170" s="324"/>
      <c r="M1170" s="324"/>
      <c r="N1170" s="324"/>
      <c r="O1170" s="324"/>
      <c r="P1170" s="324"/>
      <c r="Q1170" s="324"/>
      <c r="R1170" s="324"/>
      <c r="S1170" s="324"/>
      <c r="T1170" s="528"/>
      <c r="U1170" s="324"/>
      <c r="V1170" s="676"/>
      <c r="W1170" s="528"/>
      <c r="X1170" s="529"/>
      <c r="Y1170" s="323"/>
    </row>
    <row r="1171" spans="1:255" thickBot="1" x14ac:dyDescent="0.45">
      <c r="A1171" s="829"/>
      <c r="B1171" s="332" t="s">
        <v>1175</v>
      </c>
      <c r="C1171" s="537"/>
      <c r="D1171" s="537"/>
      <c r="E1171" s="496">
        <f>E122</f>
        <v>0</v>
      </c>
      <c r="F1171" s="496">
        <f>F122</f>
        <v>0</v>
      </c>
      <c r="G1171" s="528"/>
      <c r="H1171" s="324"/>
      <c r="I1171" s="528"/>
      <c r="J1171" s="324"/>
      <c r="K1171" s="324"/>
      <c r="L1171" s="324"/>
      <c r="M1171" s="324"/>
      <c r="N1171" s="324"/>
      <c r="O1171" s="324"/>
      <c r="P1171" s="324"/>
      <c r="Q1171" s="324"/>
      <c r="R1171" s="324"/>
      <c r="S1171" s="324"/>
      <c r="T1171" s="528"/>
      <c r="U1171" s="324"/>
      <c r="V1171" s="676"/>
      <c r="W1171" s="528"/>
      <c r="X1171" s="529"/>
      <c r="Y1171" s="323"/>
    </row>
    <row r="1172" spans="1:255" thickBot="1" x14ac:dyDescent="0.45">
      <c r="A1172" s="829"/>
      <c r="B1172" s="332"/>
      <c r="C1172" s="537"/>
      <c r="D1172" s="537"/>
      <c r="E1172" s="496"/>
      <c r="F1172" s="354"/>
      <c r="G1172" s="528"/>
      <c r="H1172" s="324"/>
      <c r="I1172" s="528"/>
      <c r="J1172" s="324"/>
      <c r="K1172" s="324"/>
      <c r="L1172" s="324"/>
      <c r="M1172" s="324"/>
      <c r="N1172" s="324"/>
      <c r="O1172" s="324"/>
      <c r="P1172" s="324"/>
      <c r="Q1172" s="324"/>
      <c r="R1172" s="324"/>
      <c r="S1172" s="324"/>
      <c r="T1172" s="528"/>
      <c r="U1172" s="324"/>
      <c r="V1172" s="676"/>
      <c r="W1172" s="528"/>
      <c r="X1172" s="529"/>
      <c r="Y1172" s="323"/>
    </row>
    <row r="1173" spans="1:255" thickBot="1" x14ac:dyDescent="0.45">
      <c r="A1173" s="829"/>
      <c r="B1173" s="382" t="s">
        <v>131</v>
      </c>
      <c r="C1173" s="537"/>
      <c r="D1173" s="537"/>
      <c r="E1173" s="496">
        <f>SUM(E1166:E1170)</f>
        <v>48720</v>
      </c>
      <c r="F1173" s="354"/>
      <c r="G1173" s="528"/>
      <c r="H1173" s="324"/>
      <c r="I1173" s="528"/>
      <c r="J1173" s="324"/>
      <c r="K1173" s="324"/>
      <c r="L1173" s="324"/>
      <c r="M1173" s="324"/>
      <c r="N1173" s="324"/>
      <c r="O1173" s="324"/>
      <c r="P1173" s="324"/>
      <c r="Q1173" s="324"/>
      <c r="R1173" s="324"/>
      <c r="S1173" s="324"/>
      <c r="T1173" s="528"/>
      <c r="U1173" s="324"/>
      <c r="V1173" s="676"/>
      <c r="W1173" s="528"/>
      <c r="X1173" s="529"/>
      <c r="Y1173" s="323"/>
    </row>
    <row r="1174" spans="1:255" ht="26.25" x14ac:dyDescent="0.4">
      <c r="A1174" s="793"/>
      <c r="B1174" s="384"/>
      <c r="C1174" s="572"/>
      <c r="D1174" s="572"/>
      <c r="E1174" s="573"/>
      <c r="F1174" s="399"/>
      <c r="G1174" s="572"/>
      <c r="H1174" s="399"/>
      <c r="I1174" s="572"/>
      <c r="J1174" s="399"/>
      <c r="K1174" s="399"/>
      <c r="L1174" s="399"/>
      <c r="M1174" s="399"/>
      <c r="N1174" s="399"/>
      <c r="O1174" s="399"/>
      <c r="P1174" s="399"/>
      <c r="Q1174" s="399"/>
      <c r="R1174" s="399"/>
      <c r="S1174" s="399"/>
      <c r="T1174" s="572"/>
      <c r="U1174" s="399"/>
      <c r="V1174" s="694"/>
      <c r="W1174" s="572"/>
      <c r="X1174" s="399"/>
      <c r="Y1174" s="323"/>
    </row>
    <row r="1175" spans="1:255" thickBot="1" x14ac:dyDescent="0.45">
      <c r="A1175" s="793"/>
      <c r="B1175" s="384"/>
      <c r="C1175" s="572"/>
      <c r="D1175" s="572"/>
      <c r="E1175" s="573"/>
      <c r="F1175" s="399"/>
      <c r="G1175" s="572"/>
      <c r="H1175" s="399"/>
      <c r="I1175" s="572"/>
      <c r="J1175" s="399"/>
      <c r="K1175" s="399"/>
      <c r="L1175" s="399"/>
      <c r="M1175" s="399"/>
      <c r="N1175" s="399"/>
      <c r="O1175" s="399"/>
      <c r="P1175" s="399"/>
      <c r="Q1175" s="399"/>
      <c r="R1175" s="399"/>
      <c r="S1175" s="399"/>
      <c r="T1175" s="572"/>
      <c r="U1175" s="399"/>
      <c r="V1175" s="694"/>
      <c r="W1175" s="572"/>
      <c r="X1175" s="399"/>
      <c r="Y1175" s="323"/>
    </row>
    <row r="1176" spans="1:255" ht="79.5" thickBot="1" x14ac:dyDescent="0.45">
      <c r="A1176" s="793"/>
      <c r="B1176" s="385" t="s">
        <v>674</v>
      </c>
      <c r="C1176" s="574"/>
      <c r="D1176" s="575"/>
      <c r="E1176" s="576"/>
      <c r="F1176" s="577"/>
      <c r="G1176" s="574"/>
      <c r="H1176" s="578"/>
      <c r="I1176" s="574"/>
      <c r="J1176" s="578"/>
      <c r="K1176" s="578"/>
      <c r="L1176" s="578"/>
      <c r="M1176" s="578"/>
      <c r="N1176" s="578"/>
      <c r="O1176" s="578"/>
      <c r="P1176" s="578"/>
      <c r="Q1176" s="578"/>
      <c r="R1176" s="578"/>
      <c r="S1176" s="578"/>
      <c r="T1176" s="574">
        <v>2</v>
      </c>
      <c r="U1176" s="578"/>
      <c r="V1176" s="695"/>
      <c r="W1176" s="574"/>
      <c r="X1176" s="578"/>
      <c r="Y1176" s="351" t="s">
        <v>886</v>
      </c>
      <c r="AA1176" s="316">
        <f>SUM(E1176/175)</f>
        <v>0</v>
      </c>
    </row>
    <row r="1177" spans="1:255" ht="27" customHeight="1" thickBot="1" x14ac:dyDescent="0.45">
      <c r="A1177" s="465" t="s">
        <v>743</v>
      </c>
      <c r="B1177" s="386" t="s">
        <v>220</v>
      </c>
      <c r="C1177" s="574"/>
      <c r="D1177" s="575"/>
      <c r="E1177" s="576">
        <v>350</v>
      </c>
      <c r="F1177" s="577"/>
      <c r="G1177" s="574"/>
      <c r="H1177" s="578"/>
      <c r="I1177" s="574"/>
      <c r="J1177" s="578"/>
      <c r="K1177" s="578"/>
      <c r="L1177" s="578"/>
      <c r="M1177" s="578"/>
      <c r="N1177" s="578"/>
      <c r="O1177" s="578"/>
      <c r="P1177" s="578"/>
      <c r="Q1177" s="578"/>
      <c r="R1177" s="578"/>
      <c r="S1177" s="578"/>
      <c r="T1177" s="574">
        <v>1</v>
      </c>
      <c r="U1177" s="578"/>
      <c r="V1177" s="695"/>
      <c r="W1177" s="574"/>
      <c r="X1177" s="578"/>
      <c r="Y1177" s="360" t="s">
        <v>887</v>
      </c>
      <c r="AA1177" s="316">
        <f t="shared" ref="AA1177:AA1182" si="439">SUM(E1177/200)</f>
        <v>1.75</v>
      </c>
    </row>
    <row r="1178" spans="1:255" thickBot="1" x14ac:dyDescent="0.45">
      <c r="A1178" s="465"/>
      <c r="B1178" s="386" t="s">
        <v>671</v>
      </c>
      <c r="C1178" s="574"/>
      <c r="D1178" s="575"/>
      <c r="E1178" s="576">
        <v>350</v>
      </c>
      <c r="F1178" s="577"/>
      <c r="G1178" s="574"/>
      <c r="H1178" s="578"/>
      <c r="I1178" s="574"/>
      <c r="J1178" s="578"/>
      <c r="K1178" s="578"/>
      <c r="L1178" s="578"/>
      <c r="M1178" s="578"/>
      <c r="N1178" s="578"/>
      <c r="O1178" s="578"/>
      <c r="P1178" s="578"/>
      <c r="Q1178" s="578"/>
      <c r="R1178" s="578"/>
      <c r="S1178" s="578"/>
      <c r="T1178" s="574">
        <v>1</v>
      </c>
      <c r="U1178" s="578"/>
      <c r="V1178" s="695"/>
      <c r="W1178" s="574"/>
      <c r="X1178" s="578"/>
      <c r="Y1178" s="360" t="s">
        <v>887</v>
      </c>
      <c r="AA1178" s="316">
        <f t="shared" si="439"/>
        <v>1.75</v>
      </c>
    </row>
    <row r="1179" spans="1:255" thickBot="1" x14ac:dyDescent="0.45">
      <c r="A1179" s="465"/>
      <c r="B1179" s="386" t="s">
        <v>672</v>
      </c>
      <c r="C1179" s="574"/>
      <c r="D1179" s="575"/>
      <c r="E1179" s="576">
        <v>350</v>
      </c>
      <c r="F1179" s="577"/>
      <c r="G1179" s="574"/>
      <c r="H1179" s="578"/>
      <c r="I1179" s="574"/>
      <c r="J1179" s="578"/>
      <c r="K1179" s="578"/>
      <c r="L1179" s="578"/>
      <c r="M1179" s="578"/>
      <c r="N1179" s="578"/>
      <c r="O1179" s="578"/>
      <c r="P1179" s="578"/>
      <c r="Q1179" s="578"/>
      <c r="R1179" s="578"/>
      <c r="S1179" s="578"/>
      <c r="T1179" s="574">
        <v>1</v>
      </c>
      <c r="U1179" s="578"/>
      <c r="V1179" s="695"/>
      <c r="W1179" s="574"/>
      <c r="X1179" s="578"/>
      <c r="Y1179" s="360" t="s">
        <v>887</v>
      </c>
      <c r="Z1179" s="387"/>
      <c r="AA1179" s="316">
        <f t="shared" si="439"/>
        <v>1.75</v>
      </c>
      <c r="AB1179" s="314"/>
      <c r="AC1179" s="314"/>
      <c r="AD1179" s="314"/>
      <c r="AE1179" s="314"/>
      <c r="AF1179" s="314"/>
      <c r="AG1179" s="314"/>
      <c r="AH1179" s="314"/>
      <c r="AI1179" s="314"/>
      <c r="AJ1179" s="314"/>
      <c r="AK1179" s="314"/>
      <c r="AL1179" s="314"/>
      <c r="AM1179" s="314"/>
      <c r="AN1179" s="314"/>
      <c r="AO1179" s="314"/>
      <c r="AP1179" s="314"/>
      <c r="AQ1179" s="314"/>
      <c r="AR1179" s="314"/>
      <c r="AS1179" s="314"/>
      <c r="AT1179" s="314"/>
      <c r="AU1179" s="314"/>
      <c r="AV1179" s="314"/>
      <c r="AW1179" s="314"/>
      <c r="AX1179" s="314"/>
      <c r="AY1179" s="314"/>
      <c r="AZ1179" s="314"/>
      <c r="BA1179" s="314"/>
      <c r="BB1179" s="314"/>
      <c r="BC1179" s="314"/>
      <c r="BD1179" s="314"/>
      <c r="BE1179" s="314"/>
      <c r="BF1179" s="314"/>
      <c r="BG1179" s="314"/>
      <c r="BH1179" s="314"/>
      <c r="BI1179" s="314"/>
      <c r="BJ1179" s="314"/>
      <c r="BK1179" s="314"/>
      <c r="BL1179" s="314"/>
      <c r="BM1179" s="314"/>
      <c r="BN1179" s="314"/>
      <c r="BO1179" s="314"/>
      <c r="BP1179" s="314"/>
      <c r="BQ1179" s="314"/>
      <c r="BR1179" s="314"/>
      <c r="BS1179" s="314"/>
      <c r="BT1179" s="314"/>
      <c r="BU1179" s="314"/>
      <c r="BV1179" s="314"/>
      <c r="BW1179" s="314"/>
      <c r="BX1179" s="314"/>
      <c r="BY1179" s="314"/>
      <c r="BZ1179" s="314"/>
      <c r="CA1179" s="314"/>
      <c r="CB1179" s="314"/>
      <c r="CC1179" s="314"/>
      <c r="CD1179" s="314"/>
      <c r="CE1179" s="314"/>
      <c r="CF1179" s="314"/>
      <c r="CG1179" s="314"/>
      <c r="CH1179" s="314"/>
      <c r="CI1179" s="314"/>
      <c r="CJ1179" s="314"/>
      <c r="CK1179" s="314"/>
      <c r="CL1179" s="314"/>
      <c r="CM1179" s="314"/>
      <c r="CN1179" s="314"/>
      <c r="CO1179" s="314"/>
      <c r="CP1179" s="314"/>
      <c r="CQ1179" s="314"/>
      <c r="CR1179" s="314"/>
      <c r="CS1179" s="314"/>
      <c r="CT1179" s="314"/>
      <c r="CU1179" s="314"/>
      <c r="CV1179" s="314"/>
      <c r="CW1179" s="314"/>
      <c r="CX1179" s="314"/>
      <c r="CY1179" s="314"/>
      <c r="CZ1179" s="314"/>
      <c r="DA1179" s="314"/>
      <c r="DB1179" s="314"/>
      <c r="DC1179" s="314"/>
      <c r="DD1179" s="314"/>
      <c r="DE1179" s="314"/>
      <c r="DF1179" s="314"/>
      <c r="DG1179" s="314"/>
      <c r="DH1179" s="314"/>
      <c r="DI1179" s="314"/>
      <c r="DJ1179" s="314"/>
      <c r="DK1179" s="314"/>
      <c r="DL1179" s="314"/>
      <c r="DM1179" s="314"/>
      <c r="DN1179" s="314"/>
      <c r="DO1179" s="314"/>
      <c r="DP1179" s="314"/>
      <c r="DQ1179" s="314"/>
      <c r="DR1179" s="314"/>
      <c r="DS1179" s="314"/>
      <c r="DT1179" s="314"/>
      <c r="DU1179" s="314"/>
      <c r="DV1179" s="314"/>
      <c r="DW1179" s="314"/>
      <c r="DX1179" s="314"/>
      <c r="DY1179" s="314"/>
      <c r="DZ1179" s="314"/>
      <c r="EA1179" s="314"/>
      <c r="EB1179" s="314"/>
      <c r="EC1179" s="314"/>
      <c r="ED1179" s="314"/>
      <c r="EE1179" s="314"/>
      <c r="EF1179" s="314"/>
      <c r="EG1179" s="314"/>
      <c r="EH1179" s="314"/>
      <c r="EI1179" s="314"/>
      <c r="EJ1179" s="314"/>
      <c r="EK1179" s="314"/>
      <c r="EL1179" s="314"/>
      <c r="EM1179" s="314"/>
      <c r="EN1179" s="314"/>
      <c r="EO1179" s="314"/>
      <c r="EP1179" s="314"/>
      <c r="EQ1179" s="314"/>
      <c r="ER1179" s="314"/>
      <c r="ES1179" s="314"/>
      <c r="ET1179" s="314"/>
      <c r="EU1179" s="314"/>
      <c r="EV1179" s="314"/>
      <c r="EW1179" s="314"/>
      <c r="EX1179" s="314"/>
      <c r="EY1179" s="314"/>
      <c r="EZ1179" s="314"/>
      <c r="FA1179" s="314"/>
      <c r="FB1179" s="314"/>
      <c r="FC1179" s="314"/>
      <c r="FD1179" s="314"/>
      <c r="FE1179" s="314"/>
      <c r="FF1179" s="314"/>
      <c r="FG1179" s="314"/>
      <c r="FH1179" s="314"/>
      <c r="FI1179" s="314"/>
      <c r="FJ1179" s="314"/>
      <c r="FK1179" s="314"/>
      <c r="FL1179" s="314"/>
      <c r="FM1179" s="314"/>
      <c r="FN1179" s="314"/>
      <c r="FO1179" s="314"/>
      <c r="FP1179" s="314"/>
      <c r="FQ1179" s="314"/>
      <c r="FR1179" s="314"/>
      <c r="FS1179" s="314"/>
      <c r="FT1179" s="314"/>
      <c r="FU1179" s="314"/>
      <c r="FV1179" s="314"/>
      <c r="FW1179" s="314"/>
      <c r="FX1179" s="314"/>
      <c r="FY1179" s="314"/>
      <c r="FZ1179" s="314"/>
      <c r="GA1179" s="314"/>
      <c r="GB1179" s="314"/>
      <c r="GC1179" s="314"/>
      <c r="GD1179" s="314"/>
      <c r="GE1179" s="314"/>
      <c r="GF1179" s="314"/>
      <c r="GG1179" s="314"/>
      <c r="GH1179" s="314"/>
      <c r="GI1179" s="314"/>
      <c r="GJ1179" s="314"/>
      <c r="GK1179" s="314"/>
      <c r="GL1179" s="314"/>
      <c r="GM1179" s="314"/>
      <c r="GN1179" s="314"/>
      <c r="GO1179" s="314"/>
      <c r="GP1179" s="314"/>
      <c r="GQ1179" s="314"/>
      <c r="GR1179" s="314"/>
      <c r="GS1179" s="314"/>
      <c r="GT1179" s="314"/>
      <c r="GU1179" s="314"/>
      <c r="GV1179" s="314"/>
      <c r="GW1179" s="314"/>
      <c r="GX1179" s="314"/>
      <c r="GY1179" s="314"/>
      <c r="GZ1179" s="314"/>
      <c r="HA1179" s="314"/>
      <c r="HB1179" s="314"/>
      <c r="HC1179" s="314"/>
      <c r="HD1179" s="314"/>
      <c r="HE1179" s="314"/>
      <c r="HF1179" s="314"/>
      <c r="HG1179" s="314"/>
      <c r="HH1179" s="314"/>
      <c r="HI1179" s="314"/>
      <c r="HJ1179" s="314"/>
      <c r="HK1179" s="314"/>
      <c r="HL1179" s="314"/>
      <c r="HM1179" s="314"/>
      <c r="HN1179" s="314"/>
      <c r="HO1179" s="314"/>
      <c r="HP1179" s="314"/>
      <c r="HQ1179" s="314"/>
      <c r="HR1179" s="314"/>
      <c r="HS1179" s="314"/>
      <c r="HT1179" s="314"/>
      <c r="HU1179" s="314"/>
      <c r="HV1179" s="314"/>
      <c r="HW1179" s="314"/>
      <c r="HX1179" s="314"/>
      <c r="HY1179" s="314"/>
      <c r="HZ1179" s="314"/>
      <c r="IA1179" s="314"/>
      <c r="IB1179" s="314"/>
      <c r="IC1179" s="314"/>
      <c r="ID1179" s="314"/>
      <c r="IE1179" s="314"/>
      <c r="IF1179" s="314"/>
      <c r="IG1179" s="314"/>
      <c r="IH1179" s="314"/>
      <c r="II1179" s="314"/>
      <c r="IJ1179" s="314"/>
      <c r="IK1179" s="314"/>
      <c r="IL1179" s="314"/>
      <c r="IM1179" s="314"/>
      <c r="IN1179" s="314"/>
      <c r="IO1179" s="314"/>
      <c r="IP1179" s="314"/>
      <c r="IQ1179" s="314"/>
      <c r="IR1179" s="314"/>
      <c r="IS1179" s="314"/>
      <c r="IT1179" s="314"/>
      <c r="IU1179" s="314"/>
    </row>
    <row r="1180" spans="1:255" thickBot="1" x14ac:dyDescent="0.45">
      <c r="A1180" s="788"/>
      <c r="B1180" s="386" t="s">
        <v>1176</v>
      </c>
      <c r="C1180" s="574"/>
      <c r="D1180" s="575"/>
      <c r="E1180" s="576">
        <v>148.30000000000001</v>
      </c>
      <c r="F1180" s="577"/>
      <c r="G1180" s="574"/>
      <c r="H1180" s="578"/>
      <c r="I1180" s="574"/>
      <c r="J1180" s="578"/>
      <c r="K1180" s="578"/>
      <c r="L1180" s="578"/>
      <c r="M1180" s="578"/>
      <c r="N1180" s="578"/>
      <c r="O1180" s="578"/>
      <c r="P1180" s="578"/>
      <c r="Q1180" s="578"/>
      <c r="R1180" s="578"/>
      <c r="S1180" s="578"/>
      <c r="T1180" s="574">
        <v>1</v>
      </c>
      <c r="U1180" s="578"/>
      <c r="V1180" s="695"/>
      <c r="W1180" s="574"/>
      <c r="X1180" s="578"/>
      <c r="Y1180" s="360" t="s">
        <v>887</v>
      </c>
      <c r="Z1180" s="387"/>
      <c r="AA1180" s="316">
        <f t="shared" si="439"/>
        <v>0.74150000000000005</v>
      </c>
      <c r="AB1180" s="314"/>
      <c r="AC1180" s="314"/>
      <c r="AD1180" s="314"/>
      <c r="AE1180" s="314"/>
      <c r="AF1180" s="314"/>
      <c r="AG1180" s="314"/>
      <c r="AH1180" s="314"/>
      <c r="AI1180" s="314"/>
      <c r="AJ1180" s="314"/>
      <c r="AK1180" s="314"/>
      <c r="AL1180" s="314"/>
      <c r="AM1180" s="314"/>
      <c r="AN1180" s="314"/>
      <c r="AO1180" s="314"/>
      <c r="AP1180" s="314"/>
      <c r="AQ1180" s="314"/>
      <c r="AR1180" s="314"/>
      <c r="AS1180" s="314"/>
      <c r="AT1180" s="314"/>
      <c r="AU1180" s="314"/>
      <c r="AV1180" s="314"/>
      <c r="AW1180" s="314"/>
      <c r="AX1180" s="314"/>
      <c r="AY1180" s="314"/>
      <c r="AZ1180" s="314"/>
      <c r="BA1180" s="314"/>
      <c r="BB1180" s="314"/>
      <c r="BC1180" s="314"/>
      <c r="BD1180" s="314"/>
      <c r="BE1180" s="314"/>
      <c r="BF1180" s="314"/>
      <c r="BG1180" s="314"/>
      <c r="BH1180" s="314"/>
      <c r="BI1180" s="314"/>
      <c r="BJ1180" s="314"/>
      <c r="BK1180" s="314"/>
      <c r="BL1180" s="314"/>
      <c r="BM1180" s="314"/>
      <c r="BN1180" s="314"/>
      <c r="BO1180" s="314"/>
      <c r="BP1180" s="314"/>
      <c r="BQ1180" s="314"/>
      <c r="BR1180" s="314"/>
      <c r="BS1180" s="314"/>
      <c r="BT1180" s="314"/>
      <c r="BU1180" s="314"/>
      <c r="BV1180" s="314"/>
      <c r="BW1180" s="314"/>
      <c r="BX1180" s="314"/>
      <c r="BY1180" s="314"/>
      <c r="BZ1180" s="314"/>
      <c r="CA1180" s="314"/>
      <c r="CB1180" s="314"/>
      <c r="CC1180" s="314"/>
      <c r="CD1180" s="314"/>
      <c r="CE1180" s="314"/>
      <c r="CF1180" s="314"/>
      <c r="CG1180" s="314"/>
      <c r="CH1180" s="314"/>
      <c r="CI1180" s="314"/>
      <c r="CJ1180" s="314"/>
      <c r="CK1180" s="314"/>
      <c r="CL1180" s="314"/>
      <c r="CM1180" s="314"/>
      <c r="CN1180" s="314"/>
      <c r="CO1180" s="314"/>
      <c r="CP1180" s="314"/>
      <c r="CQ1180" s="314"/>
      <c r="CR1180" s="314"/>
      <c r="CS1180" s="314"/>
      <c r="CT1180" s="314"/>
      <c r="CU1180" s="314"/>
      <c r="CV1180" s="314"/>
      <c r="CW1180" s="314"/>
      <c r="CX1180" s="314"/>
      <c r="CY1180" s="314"/>
      <c r="CZ1180" s="314"/>
      <c r="DA1180" s="314"/>
      <c r="DB1180" s="314"/>
      <c r="DC1180" s="314"/>
      <c r="DD1180" s="314"/>
      <c r="DE1180" s="314"/>
      <c r="DF1180" s="314"/>
      <c r="DG1180" s="314"/>
      <c r="DH1180" s="314"/>
      <c r="DI1180" s="314"/>
      <c r="DJ1180" s="314"/>
      <c r="DK1180" s="314"/>
      <c r="DL1180" s="314"/>
      <c r="DM1180" s="314"/>
      <c r="DN1180" s="314"/>
      <c r="DO1180" s="314"/>
      <c r="DP1180" s="314"/>
      <c r="DQ1180" s="314"/>
      <c r="DR1180" s="314"/>
      <c r="DS1180" s="314"/>
      <c r="DT1180" s="314"/>
      <c r="DU1180" s="314"/>
      <c r="DV1180" s="314"/>
      <c r="DW1180" s="314"/>
      <c r="DX1180" s="314"/>
      <c r="DY1180" s="314"/>
      <c r="DZ1180" s="314"/>
      <c r="EA1180" s="314"/>
      <c r="EB1180" s="314"/>
      <c r="EC1180" s="314"/>
      <c r="ED1180" s="314"/>
      <c r="EE1180" s="314"/>
      <c r="EF1180" s="314"/>
      <c r="EG1180" s="314"/>
      <c r="EH1180" s="314"/>
      <c r="EI1180" s="314"/>
      <c r="EJ1180" s="314"/>
      <c r="EK1180" s="314"/>
      <c r="EL1180" s="314"/>
      <c r="EM1180" s="314"/>
      <c r="EN1180" s="314"/>
      <c r="EO1180" s="314"/>
      <c r="EP1180" s="314"/>
      <c r="EQ1180" s="314"/>
      <c r="ER1180" s="314"/>
      <c r="ES1180" s="314"/>
      <c r="ET1180" s="314"/>
      <c r="EU1180" s="314"/>
      <c r="EV1180" s="314"/>
      <c r="EW1180" s="314"/>
      <c r="EX1180" s="314"/>
      <c r="EY1180" s="314"/>
      <c r="EZ1180" s="314"/>
      <c r="FA1180" s="314"/>
      <c r="FB1180" s="314"/>
      <c r="FC1180" s="314"/>
      <c r="FD1180" s="314"/>
      <c r="FE1180" s="314"/>
      <c r="FF1180" s="314"/>
      <c r="FG1180" s="314"/>
      <c r="FH1180" s="314"/>
      <c r="FI1180" s="314"/>
      <c r="FJ1180" s="314"/>
      <c r="FK1180" s="314"/>
      <c r="FL1180" s="314"/>
      <c r="FM1180" s="314"/>
      <c r="FN1180" s="314"/>
      <c r="FO1180" s="314"/>
      <c r="FP1180" s="314"/>
      <c r="FQ1180" s="314"/>
      <c r="FR1180" s="314"/>
      <c r="FS1180" s="314"/>
      <c r="FT1180" s="314"/>
      <c r="FU1180" s="314"/>
      <c r="FV1180" s="314"/>
      <c r="FW1180" s="314"/>
      <c r="FX1180" s="314"/>
      <c r="FY1180" s="314"/>
      <c r="FZ1180" s="314"/>
      <c r="GA1180" s="314"/>
      <c r="GB1180" s="314"/>
      <c r="GC1180" s="314"/>
      <c r="GD1180" s="314"/>
      <c r="GE1180" s="314"/>
      <c r="GF1180" s="314"/>
      <c r="GG1180" s="314"/>
      <c r="GH1180" s="314"/>
      <c r="GI1180" s="314"/>
      <c r="GJ1180" s="314"/>
      <c r="GK1180" s="314"/>
      <c r="GL1180" s="314"/>
      <c r="GM1180" s="314"/>
      <c r="GN1180" s="314"/>
      <c r="GO1180" s="314"/>
      <c r="GP1180" s="314"/>
      <c r="GQ1180" s="314"/>
      <c r="GR1180" s="314"/>
      <c r="GS1180" s="314"/>
      <c r="GT1180" s="314"/>
      <c r="GU1180" s="314"/>
      <c r="GV1180" s="314"/>
      <c r="GW1180" s="314"/>
      <c r="GX1180" s="314"/>
      <c r="GY1180" s="314"/>
      <c r="GZ1180" s="314"/>
      <c r="HA1180" s="314"/>
      <c r="HB1180" s="314"/>
      <c r="HC1180" s="314"/>
      <c r="HD1180" s="314"/>
      <c r="HE1180" s="314"/>
      <c r="HF1180" s="314"/>
      <c r="HG1180" s="314"/>
      <c r="HH1180" s="314"/>
      <c r="HI1180" s="314"/>
      <c r="HJ1180" s="314"/>
      <c r="HK1180" s="314"/>
      <c r="HL1180" s="314"/>
      <c r="HM1180" s="314"/>
      <c r="HN1180" s="314"/>
      <c r="HO1180" s="314"/>
      <c r="HP1180" s="314"/>
      <c r="HQ1180" s="314"/>
      <c r="HR1180" s="314"/>
      <c r="HS1180" s="314"/>
      <c r="HT1180" s="314"/>
      <c r="HU1180" s="314"/>
      <c r="HV1180" s="314"/>
      <c r="HW1180" s="314"/>
      <c r="HX1180" s="314"/>
      <c r="HY1180" s="314"/>
      <c r="HZ1180" s="314"/>
      <c r="IA1180" s="314"/>
      <c r="IB1180" s="314"/>
      <c r="IC1180" s="314"/>
      <c r="ID1180" s="314"/>
      <c r="IE1180" s="314"/>
      <c r="IF1180" s="314"/>
      <c r="IG1180" s="314"/>
      <c r="IH1180" s="314"/>
      <c r="II1180" s="314"/>
      <c r="IJ1180" s="314"/>
      <c r="IK1180" s="314"/>
      <c r="IL1180" s="314"/>
      <c r="IM1180" s="314"/>
      <c r="IN1180" s="314"/>
      <c r="IO1180" s="314"/>
      <c r="IP1180" s="314"/>
      <c r="IQ1180" s="314"/>
      <c r="IR1180" s="314"/>
      <c r="IS1180" s="314"/>
      <c r="IT1180" s="314"/>
      <c r="IU1180" s="314"/>
    </row>
    <row r="1181" spans="1:255" thickBot="1" x14ac:dyDescent="0.45">
      <c r="A1181" s="788"/>
      <c r="B1181" s="386" t="s">
        <v>1177</v>
      </c>
      <c r="C1181" s="574"/>
      <c r="D1181" s="575"/>
      <c r="E1181" s="888">
        <f>139*2</f>
        <v>278</v>
      </c>
      <c r="F1181" s="889">
        <v>2</v>
      </c>
      <c r="G1181" s="890"/>
      <c r="H1181" s="891"/>
      <c r="I1181" s="890"/>
      <c r="J1181" s="891"/>
      <c r="K1181" s="891"/>
      <c r="L1181" s="891"/>
      <c r="M1181" s="891"/>
      <c r="N1181" s="891"/>
      <c r="O1181" s="891"/>
      <c r="P1181" s="891"/>
      <c r="Q1181" s="891"/>
      <c r="R1181" s="891"/>
      <c r="S1181" s="891"/>
      <c r="T1181" s="890">
        <v>1</v>
      </c>
      <c r="U1181" s="891"/>
      <c r="V1181" s="892" t="s">
        <v>1228</v>
      </c>
      <c r="W1181" s="574"/>
      <c r="X1181" s="578"/>
      <c r="Y1181" s="360" t="s">
        <v>887</v>
      </c>
      <c r="Z1181" s="387"/>
      <c r="AA1181" s="316">
        <f t="shared" si="439"/>
        <v>1.39</v>
      </c>
      <c r="AB1181" s="314"/>
      <c r="AC1181" s="314"/>
      <c r="AD1181" s="314"/>
      <c r="AE1181" s="314"/>
      <c r="AF1181" s="314"/>
      <c r="AG1181" s="314"/>
      <c r="AH1181" s="314"/>
      <c r="AI1181" s="314"/>
      <c r="AJ1181" s="314"/>
      <c r="AK1181" s="314"/>
      <c r="AL1181" s="314"/>
      <c r="AM1181" s="314"/>
      <c r="AN1181" s="314"/>
      <c r="AO1181" s="314"/>
      <c r="AP1181" s="314"/>
      <c r="AQ1181" s="314"/>
      <c r="AR1181" s="314"/>
      <c r="AS1181" s="314"/>
      <c r="AT1181" s="314"/>
      <c r="AU1181" s="314"/>
      <c r="AV1181" s="314"/>
      <c r="AW1181" s="314"/>
      <c r="AX1181" s="314"/>
      <c r="AY1181" s="314"/>
      <c r="AZ1181" s="314"/>
      <c r="BA1181" s="314"/>
      <c r="BB1181" s="314"/>
      <c r="BC1181" s="314"/>
      <c r="BD1181" s="314"/>
      <c r="BE1181" s="314"/>
      <c r="BF1181" s="314"/>
      <c r="BG1181" s="314"/>
      <c r="BH1181" s="314"/>
      <c r="BI1181" s="314"/>
      <c r="BJ1181" s="314"/>
      <c r="BK1181" s="314"/>
      <c r="BL1181" s="314"/>
      <c r="BM1181" s="314"/>
      <c r="BN1181" s="314"/>
      <c r="BO1181" s="314"/>
      <c r="BP1181" s="314"/>
      <c r="BQ1181" s="314"/>
      <c r="BR1181" s="314"/>
      <c r="BS1181" s="314"/>
      <c r="BT1181" s="314"/>
      <c r="BU1181" s="314"/>
      <c r="BV1181" s="314"/>
      <c r="BW1181" s="314"/>
      <c r="BX1181" s="314"/>
      <c r="BY1181" s="314"/>
      <c r="BZ1181" s="314"/>
      <c r="CA1181" s="314"/>
      <c r="CB1181" s="314"/>
      <c r="CC1181" s="314"/>
      <c r="CD1181" s="314"/>
      <c r="CE1181" s="314"/>
      <c r="CF1181" s="314"/>
      <c r="CG1181" s="314"/>
      <c r="CH1181" s="314"/>
      <c r="CI1181" s="314"/>
      <c r="CJ1181" s="314"/>
      <c r="CK1181" s="314"/>
      <c r="CL1181" s="314"/>
      <c r="CM1181" s="314"/>
      <c r="CN1181" s="314"/>
      <c r="CO1181" s="314"/>
      <c r="CP1181" s="314"/>
      <c r="CQ1181" s="314"/>
      <c r="CR1181" s="314"/>
      <c r="CS1181" s="314"/>
      <c r="CT1181" s="314"/>
      <c r="CU1181" s="314"/>
      <c r="CV1181" s="314"/>
      <c r="CW1181" s="314"/>
      <c r="CX1181" s="314"/>
      <c r="CY1181" s="314"/>
      <c r="CZ1181" s="314"/>
      <c r="DA1181" s="314"/>
      <c r="DB1181" s="314"/>
      <c r="DC1181" s="314"/>
      <c r="DD1181" s="314"/>
      <c r="DE1181" s="314"/>
      <c r="DF1181" s="314"/>
      <c r="DG1181" s="314"/>
      <c r="DH1181" s="314"/>
      <c r="DI1181" s="314"/>
      <c r="DJ1181" s="314"/>
      <c r="DK1181" s="314"/>
      <c r="DL1181" s="314"/>
      <c r="DM1181" s="314"/>
      <c r="DN1181" s="314"/>
      <c r="DO1181" s="314"/>
      <c r="DP1181" s="314"/>
      <c r="DQ1181" s="314"/>
      <c r="DR1181" s="314"/>
      <c r="DS1181" s="314"/>
      <c r="DT1181" s="314"/>
      <c r="DU1181" s="314"/>
      <c r="DV1181" s="314"/>
      <c r="DW1181" s="314"/>
      <c r="DX1181" s="314"/>
      <c r="DY1181" s="314"/>
      <c r="DZ1181" s="314"/>
      <c r="EA1181" s="314"/>
      <c r="EB1181" s="314"/>
      <c r="EC1181" s="314"/>
      <c r="ED1181" s="314"/>
      <c r="EE1181" s="314"/>
      <c r="EF1181" s="314"/>
      <c r="EG1181" s="314"/>
      <c r="EH1181" s="314"/>
      <c r="EI1181" s="314"/>
      <c r="EJ1181" s="314"/>
      <c r="EK1181" s="314"/>
      <c r="EL1181" s="314"/>
      <c r="EM1181" s="314"/>
      <c r="EN1181" s="314"/>
      <c r="EO1181" s="314"/>
      <c r="EP1181" s="314"/>
      <c r="EQ1181" s="314"/>
      <c r="ER1181" s="314"/>
      <c r="ES1181" s="314"/>
      <c r="ET1181" s="314"/>
      <c r="EU1181" s="314"/>
      <c r="EV1181" s="314"/>
      <c r="EW1181" s="314"/>
      <c r="EX1181" s="314"/>
      <c r="EY1181" s="314"/>
      <c r="EZ1181" s="314"/>
      <c r="FA1181" s="314"/>
      <c r="FB1181" s="314"/>
      <c r="FC1181" s="314"/>
      <c r="FD1181" s="314"/>
      <c r="FE1181" s="314"/>
      <c r="FF1181" s="314"/>
      <c r="FG1181" s="314"/>
      <c r="FH1181" s="314"/>
      <c r="FI1181" s="314"/>
      <c r="FJ1181" s="314"/>
      <c r="FK1181" s="314"/>
      <c r="FL1181" s="314"/>
      <c r="FM1181" s="314"/>
      <c r="FN1181" s="314"/>
      <c r="FO1181" s="314"/>
      <c r="FP1181" s="314"/>
      <c r="FQ1181" s="314"/>
      <c r="FR1181" s="314"/>
      <c r="FS1181" s="314"/>
      <c r="FT1181" s="314"/>
      <c r="FU1181" s="314"/>
      <c r="FV1181" s="314"/>
      <c r="FW1181" s="314"/>
      <c r="FX1181" s="314"/>
      <c r="FY1181" s="314"/>
      <c r="FZ1181" s="314"/>
      <c r="GA1181" s="314"/>
      <c r="GB1181" s="314"/>
      <c r="GC1181" s="314"/>
      <c r="GD1181" s="314"/>
      <c r="GE1181" s="314"/>
      <c r="GF1181" s="314"/>
      <c r="GG1181" s="314"/>
      <c r="GH1181" s="314"/>
      <c r="GI1181" s="314"/>
      <c r="GJ1181" s="314"/>
      <c r="GK1181" s="314"/>
      <c r="GL1181" s="314"/>
      <c r="GM1181" s="314"/>
      <c r="GN1181" s="314"/>
      <c r="GO1181" s="314"/>
      <c r="GP1181" s="314"/>
      <c r="GQ1181" s="314"/>
      <c r="GR1181" s="314"/>
      <c r="GS1181" s="314"/>
      <c r="GT1181" s="314"/>
      <c r="GU1181" s="314"/>
      <c r="GV1181" s="314"/>
      <c r="GW1181" s="314"/>
      <c r="GX1181" s="314"/>
      <c r="GY1181" s="314"/>
      <c r="GZ1181" s="314"/>
      <c r="HA1181" s="314"/>
      <c r="HB1181" s="314"/>
      <c r="HC1181" s="314"/>
      <c r="HD1181" s="314"/>
      <c r="HE1181" s="314"/>
      <c r="HF1181" s="314"/>
      <c r="HG1181" s="314"/>
      <c r="HH1181" s="314"/>
      <c r="HI1181" s="314"/>
      <c r="HJ1181" s="314"/>
      <c r="HK1181" s="314"/>
      <c r="HL1181" s="314"/>
      <c r="HM1181" s="314"/>
      <c r="HN1181" s="314"/>
      <c r="HO1181" s="314"/>
      <c r="HP1181" s="314"/>
      <c r="HQ1181" s="314"/>
      <c r="HR1181" s="314"/>
      <c r="HS1181" s="314"/>
      <c r="HT1181" s="314"/>
      <c r="HU1181" s="314"/>
      <c r="HV1181" s="314"/>
      <c r="HW1181" s="314"/>
      <c r="HX1181" s="314"/>
      <c r="HY1181" s="314"/>
      <c r="HZ1181" s="314"/>
      <c r="IA1181" s="314"/>
      <c r="IB1181" s="314"/>
      <c r="IC1181" s="314"/>
      <c r="ID1181" s="314"/>
      <c r="IE1181" s="314"/>
      <c r="IF1181" s="314"/>
      <c r="IG1181" s="314"/>
      <c r="IH1181" s="314"/>
      <c r="II1181" s="314"/>
      <c r="IJ1181" s="314"/>
      <c r="IK1181" s="314"/>
      <c r="IL1181" s="314"/>
      <c r="IM1181" s="314"/>
      <c r="IN1181" s="314"/>
      <c r="IO1181" s="314"/>
      <c r="IP1181" s="314"/>
      <c r="IQ1181" s="314"/>
      <c r="IR1181" s="314"/>
      <c r="IS1181" s="314"/>
      <c r="IT1181" s="314"/>
      <c r="IU1181" s="314"/>
    </row>
    <row r="1182" spans="1:255" thickBot="1" x14ac:dyDescent="0.45">
      <c r="A1182" s="788"/>
      <c r="B1182" s="386" t="s">
        <v>1178</v>
      </c>
      <c r="C1182" s="574"/>
      <c r="D1182" s="575"/>
      <c r="E1182" s="888">
        <f>145.3*2</f>
        <v>290.60000000000002</v>
      </c>
      <c r="F1182" s="889">
        <v>2</v>
      </c>
      <c r="G1182" s="890"/>
      <c r="H1182" s="891"/>
      <c r="I1182" s="890"/>
      <c r="J1182" s="891"/>
      <c r="K1182" s="891"/>
      <c r="L1182" s="891"/>
      <c r="M1182" s="891"/>
      <c r="N1182" s="891"/>
      <c r="O1182" s="891"/>
      <c r="P1182" s="891"/>
      <c r="Q1182" s="891"/>
      <c r="R1182" s="891"/>
      <c r="S1182" s="891"/>
      <c r="T1182" s="890">
        <v>1</v>
      </c>
      <c r="U1182" s="891"/>
      <c r="V1182" s="892" t="s">
        <v>1229</v>
      </c>
      <c r="W1182" s="574"/>
      <c r="X1182" s="578"/>
      <c r="Y1182" s="360" t="s">
        <v>887</v>
      </c>
      <c r="Z1182" s="387"/>
      <c r="AA1182" s="316">
        <f t="shared" si="439"/>
        <v>1.4530000000000001</v>
      </c>
      <c r="AB1182" s="314"/>
      <c r="AC1182" s="314"/>
      <c r="AD1182" s="314"/>
      <c r="AE1182" s="314"/>
      <c r="AF1182" s="314"/>
      <c r="AG1182" s="314"/>
      <c r="AH1182" s="314"/>
      <c r="AI1182" s="314"/>
      <c r="AJ1182" s="314"/>
      <c r="AK1182" s="314"/>
      <c r="AL1182" s="314"/>
      <c r="AM1182" s="314"/>
      <c r="AN1182" s="314"/>
      <c r="AO1182" s="314"/>
      <c r="AP1182" s="314"/>
      <c r="AQ1182" s="314"/>
      <c r="AR1182" s="314"/>
      <c r="AS1182" s="314"/>
      <c r="AT1182" s="314"/>
      <c r="AU1182" s="314"/>
      <c r="AV1182" s="314"/>
      <c r="AW1182" s="314"/>
      <c r="AX1182" s="314"/>
      <c r="AY1182" s="314"/>
      <c r="AZ1182" s="314"/>
      <c r="BA1182" s="314"/>
      <c r="BB1182" s="314"/>
      <c r="BC1182" s="314"/>
      <c r="BD1182" s="314"/>
      <c r="BE1182" s="314"/>
      <c r="BF1182" s="314"/>
      <c r="BG1182" s="314"/>
      <c r="BH1182" s="314"/>
      <c r="BI1182" s="314"/>
      <c r="BJ1182" s="314"/>
      <c r="BK1182" s="314"/>
      <c r="BL1182" s="314"/>
      <c r="BM1182" s="314"/>
      <c r="BN1182" s="314"/>
      <c r="BO1182" s="314"/>
      <c r="BP1182" s="314"/>
      <c r="BQ1182" s="314"/>
      <c r="BR1182" s="314"/>
      <c r="BS1182" s="314"/>
      <c r="BT1182" s="314"/>
      <c r="BU1182" s="314"/>
      <c r="BV1182" s="314"/>
      <c r="BW1182" s="314"/>
      <c r="BX1182" s="314"/>
      <c r="BY1182" s="314"/>
      <c r="BZ1182" s="314"/>
      <c r="CA1182" s="314"/>
      <c r="CB1182" s="314"/>
      <c r="CC1182" s="314"/>
      <c r="CD1182" s="314"/>
      <c r="CE1182" s="314"/>
      <c r="CF1182" s="314"/>
      <c r="CG1182" s="314"/>
      <c r="CH1182" s="314"/>
      <c r="CI1182" s="314"/>
      <c r="CJ1182" s="314"/>
      <c r="CK1182" s="314"/>
      <c r="CL1182" s="314"/>
      <c r="CM1182" s="314"/>
      <c r="CN1182" s="314"/>
      <c r="CO1182" s="314"/>
      <c r="CP1182" s="314"/>
      <c r="CQ1182" s="314"/>
      <c r="CR1182" s="314"/>
      <c r="CS1182" s="314"/>
      <c r="CT1182" s="314"/>
      <c r="CU1182" s="314"/>
      <c r="CV1182" s="314"/>
      <c r="CW1182" s="314"/>
      <c r="CX1182" s="314"/>
      <c r="CY1182" s="314"/>
      <c r="CZ1182" s="314"/>
      <c r="DA1182" s="314"/>
      <c r="DB1182" s="314"/>
      <c r="DC1182" s="314"/>
      <c r="DD1182" s="314"/>
      <c r="DE1182" s="314"/>
      <c r="DF1182" s="314"/>
      <c r="DG1182" s="314"/>
      <c r="DH1182" s="314"/>
      <c r="DI1182" s="314"/>
      <c r="DJ1182" s="314"/>
      <c r="DK1182" s="314"/>
      <c r="DL1182" s="314"/>
      <c r="DM1182" s="314"/>
      <c r="DN1182" s="314"/>
      <c r="DO1182" s="314"/>
      <c r="DP1182" s="314"/>
      <c r="DQ1182" s="314"/>
      <c r="DR1182" s="314"/>
      <c r="DS1182" s="314"/>
      <c r="DT1182" s="314"/>
      <c r="DU1182" s="314"/>
      <c r="DV1182" s="314"/>
      <c r="DW1182" s="314"/>
      <c r="DX1182" s="314"/>
      <c r="DY1182" s="314"/>
      <c r="DZ1182" s="314"/>
      <c r="EA1182" s="314"/>
      <c r="EB1182" s="314"/>
      <c r="EC1182" s="314"/>
      <c r="ED1182" s="314"/>
      <c r="EE1182" s="314"/>
      <c r="EF1182" s="314"/>
      <c r="EG1182" s="314"/>
      <c r="EH1182" s="314"/>
      <c r="EI1182" s="314"/>
      <c r="EJ1182" s="314"/>
      <c r="EK1182" s="314"/>
      <c r="EL1182" s="314"/>
      <c r="EM1182" s="314"/>
      <c r="EN1182" s="314"/>
      <c r="EO1182" s="314"/>
      <c r="EP1182" s="314"/>
      <c r="EQ1182" s="314"/>
      <c r="ER1182" s="314"/>
      <c r="ES1182" s="314"/>
      <c r="ET1182" s="314"/>
      <c r="EU1182" s="314"/>
      <c r="EV1182" s="314"/>
      <c r="EW1182" s="314"/>
      <c r="EX1182" s="314"/>
      <c r="EY1182" s="314"/>
      <c r="EZ1182" s="314"/>
      <c r="FA1182" s="314"/>
      <c r="FB1182" s="314"/>
      <c r="FC1182" s="314"/>
      <c r="FD1182" s="314"/>
      <c r="FE1182" s="314"/>
      <c r="FF1182" s="314"/>
      <c r="FG1182" s="314"/>
      <c r="FH1182" s="314"/>
      <c r="FI1182" s="314"/>
      <c r="FJ1182" s="314"/>
      <c r="FK1182" s="314"/>
      <c r="FL1182" s="314"/>
      <c r="FM1182" s="314"/>
      <c r="FN1182" s="314"/>
      <c r="FO1182" s="314"/>
      <c r="FP1182" s="314"/>
      <c r="FQ1182" s="314"/>
      <c r="FR1182" s="314"/>
      <c r="FS1182" s="314"/>
      <c r="FT1182" s="314"/>
      <c r="FU1182" s="314"/>
      <c r="FV1182" s="314"/>
      <c r="FW1182" s="314"/>
      <c r="FX1182" s="314"/>
      <c r="FY1182" s="314"/>
      <c r="FZ1182" s="314"/>
      <c r="GA1182" s="314"/>
      <c r="GB1182" s="314"/>
      <c r="GC1182" s="314"/>
      <c r="GD1182" s="314"/>
      <c r="GE1182" s="314"/>
      <c r="GF1182" s="314"/>
      <c r="GG1182" s="314"/>
      <c r="GH1182" s="314"/>
      <c r="GI1182" s="314"/>
      <c r="GJ1182" s="314"/>
      <c r="GK1182" s="314"/>
      <c r="GL1182" s="314"/>
      <c r="GM1182" s="314"/>
      <c r="GN1182" s="314"/>
      <c r="GO1182" s="314"/>
      <c r="GP1182" s="314"/>
      <c r="GQ1182" s="314"/>
      <c r="GR1182" s="314"/>
      <c r="GS1182" s="314"/>
      <c r="GT1182" s="314"/>
      <c r="GU1182" s="314"/>
      <c r="GV1182" s="314"/>
      <c r="GW1182" s="314"/>
      <c r="GX1182" s="314"/>
      <c r="GY1182" s="314"/>
      <c r="GZ1182" s="314"/>
      <c r="HA1182" s="314"/>
      <c r="HB1182" s="314"/>
      <c r="HC1182" s="314"/>
      <c r="HD1182" s="314"/>
      <c r="HE1182" s="314"/>
      <c r="HF1182" s="314"/>
      <c r="HG1182" s="314"/>
      <c r="HH1182" s="314"/>
      <c r="HI1182" s="314"/>
      <c r="HJ1182" s="314"/>
      <c r="HK1182" s="314"/>
      <c r="HL1182" s="314"/>
      <c r="HM1182" s="314"/>
      <c r="HN1182" s="314"/>
      <c r="HO1182" s="314"/>
      <c r="HP1182" s="314"/>
      <c r="HQ1182" s="314"/>
      <c r="HR1182" s="314"/>
      <c r="HS1182" s="314"/>
      <c r="HT1182" s="314"/>
      <c r="HU1182" s="314"/>
      <c r="HV1182" s="314"/>
      <c r="HW1182" s="314"/>
      <c r="HX1182" s="314"/>
      <c r="HY1182" s="314"/>
      <c r="HZ1182" s="314"/>
      <c r="IA1182" s="314"/>
      <c r="IB1182" s="314"/>
      <c r="IC1182" s="314"/>
      <c r="ID1182" s="314"/>
      <c r="IE1182" s="314"/>
      <c r="IF1182" s="314"/>
      <c r="IG1182" s="314"/>
      <c r="IH1182" s="314"/>
      <c r="II1182" s="314"/>
      <c r="IJ1182" s="314"/>
      <c r="IK1182" s="314"/>
      <c r="IL1182" s="314"/>
      <c r="IM1182" s="314"/>
      <c r="IN1182" s="314"/>
      <c r="IO1182" s="314"/>
      <c r="IP1182" s="314"/>
      <c r="IQ1182" s="314"/>
      <c r="IR1182" s="314"/>
      <c r="IS1182" s="314"/>
      <c r="IT1182" s="314"/>
      <c r="IU1182" s="314"/>
    </row>
    <row r="1183" spans="1:255" ht="26.25" x14ac:dyDescent="0.4">
      <c r="A1183" s="832"/>
      <c r="B1183" s="388"/>
      <c r="C1183" s="579"/>
      <c r="D1183" s="579"/>
      <c r="E1183" s="580"/>
      <c r="F1183" s="581"/>
      <c r="G1183" s="579"/>
      <c r="H1183" s="582"/>
      <c r="I1183" s="579"/>
      <c r="J1183" s="582"/>
      <c r="K1183" s="582"/>
      <c r="L1183" s="582"/>
      <c r="M1183" s="582"/>
      <c r="N1183" s="582"/>
      <c r="O1183" s="582"/>
      <c r="P1183" s="582"/>
      <c r="Q1183" s="582"/>
      <c r="R1183" s="582"/>
      <c r="S1183" s="582"/>
      <c r="T1183" s="579"/>
      <c r="U1183" s="582"/>
      <c r="V1183" s="677"/>
      <c r="W1183" s="579"/>
      <c r="X1183" s="582"/>
      <c r="Y1183" s="389"/>
      <c r="Z1183" s="387"/>
      <c r="AB1183" s="314"/>
      <c r="AC1183" s="314"/>
      <c r="AD1183" s="314"/>
      <c r="AE1183" s="314"/>
      <c r="AF1183" s="314"/>
      <c r="AG1183" s="314"/>
      <c r="AH1183" s="314"/>
      <c r="AI1183" s="314"/>
      <c r="AJ1183" s="314"/>
      <c r="AK1183" s="314"/>
      <c r="AL1183" s="314"/>
      <c r="AM1183" s="314"/>
      <c r="AN1183" s="314"/>
      <c r="AO1183" s="314"/>
      <c r="AP1183" s="314"/>
      <c r="AQ1183" s="314"/>
      <c r="AR1183" s="314"/>
      <c r="AS1183" s="314"/>
      <c r="AT1183" s="314"/>
      <c r="AU1183" s="314"/>
      <c r="AV1183" s="314"/>
      <c r="AW1183" s="314"/>
      <c r="AX1183" s="314"/>
      <c r="AY1183" s="314"/>
      <c r="AZ1183" s="314"/>
      <c r="BA1183" s="314"/>
      <c r="BB1183" s="314"/>
      <c r="BC1183" s="314"/>
      <c r="BD1183" s="314"/>
      <c r="BE1183" s="314"/>
      <c r="BF1183" s="314"/>
      <c r="BG1183" s="314"/>
      <c r="BH1183" s="314"/>
      <c r="BI1183" s="314"/>
      <c r="BJ1183" s="314"/>
      <c r="BK1183" s="314"/>
      <c r="BL1183" s="314"/>
      <c r="BM1183" s="314"/>
      <c r="BN1183" s="314"/>
      <c r="BO1183" s="314"/>
      <c r="BP1183" s="314"/>
      <c r="BQ1183" s="314"/>
      <c r="BR1183" s="314"/>
      <c r="BS1183" s="314"/>
      <c r="BT1183" s="314"/>
      <c r="BU1183" s="314"/>
      <c r="BV1183" s="314"/>
      <c r="BW1183" s="314"/>
      <c r="BX1183" s="314"/>
      <c r="BY1183" s="314"/>
      <c r="BZ1183" s="314"/>
      <c r="CA1183" s="314"/>
      <c r="CB1183" s="314"/>
      <c r="CC1183" s="314"/>
      <c r="CD1183" s="314"/>
      <c r="CE1183" s="314"/>
      <c r="CF1183" s="314"/>
      <c r="CG1183" s="314"/>
      <c r="CH1183" s="314"/>
      <c r="CI1183" s="314"/>
      <c r="CJ1183" s="314"/>
      <c r="CK1183" s="314"/>
      <c r="CL1183" s="314"/>
      <c r="CM1183" s="314"/>
      <c r="CN1183" s="314"/>
      <c r="CO1183" s="314"/>
      <c r="CP1183" s="314"/>
      <c r="CQ1183" s="314"/>
      <c r="CR1183" s="314"/>
      <c r="CS1183" s="314"/>
      <c r="CT1183" s="314"/>
      <c r="CU1183" s="314"/>
      <c r="CV1183" s="314"/>
      <c r="CW1183" s="314"/>
      <c r="CX1183" s="314"/>
      <c r="CY1183" s="314"/>
      <c r="CZ1183" s="314"/>
      <c r="DA1183" s="314"/>
      <c r="DB1183" s="314"/>
      <c r="DC1183" s="314"/>
      <c r="DD1183" s="314"/>
      <c r="DE1183" s="314"/>
      <c r="DF1183" s="314"/>
      <c r="DG1183" s="314"/>
      <c r="DH1183" s="314"/>
      <c r="DI1183" s="314"/>
      <c r="DJ1183" s="314"/>
      <c r="DK1183" s="314"/>
      <c r="DL1183" s="314"/>
      <c r="DM1183" s="314"/>
      <c r="DN1183" s="314"/>
      <c r="DO1183" s="314"/>
      <c r="DP1183" s="314"/>
      <c r="DQ1183" s="314"/>
      <c r="DR1183" s="314"/>
      <c r="DS1183" s="314"/>
      <c r="DT1183" s="314"/>
      <c r="DU1183" s="314"/>
      <c r="DV1183" s="314"/>
      <c r="DW1183" s="314"/>
      <c r="DX1183" s="314"/>
      <c r="DY1183" s="314"/>
      <c r="DZ1183" s="314"/>
      <c r="EA1183" s="314"/>
      <c r="EB1183" s="314"/>
      <c r="EC1183" s="314"/>
      <c r="ED1183" s="314"/>
      <c r="EE1183" s="314"/>
      <c r="EF1183" s="314"/>
      <c r="EG1183" s="314"/>
      <c r="EH1183" s="314"/>
      <c r="EI1183" s="314"/>
      <c r="EJ1183" s="314"/>
      <c r="EK1183" s="314"/>
      <c r="EL1183" s="314"/>
      <c r="EM1183" s="314"/>
      <c r="EN1183" s="314"/>
      <c r="EO1183" s="314"/>
      <c r="EP1183" s="314"/>
      <c r="EQ1183" s="314"/>
      <c r="ER1183" s="314"/>
      <c r="ES1183" s="314"/>
      <c r="ET1183" s="314"/>
      <c r="EU1183" s="314"/>
      <c r="EV1183" s="314"/>
      <c r="EW1183" s="314"/>
      <c r="EX1183" s="314"/>
      <c r="EY1183" s="314"/>
      <c r="EZ1183" s="314"/>
      <c r="FA1183" s="314"/>
      <c r="FB1183" s="314"/>
      <c r="FC1183" s="314"/>
      <c r="FD1183" s="314"/>
      <c r="FE1183" s="314"/>
      <c r="FF1183" s="314"/>
      <c r="FG1183" s="314"/>
      <c r="FH1183" s="314"/>
      <c r="FI1183" s="314"/>
      <c r="FJ1183" s="314"/>
      <c r="FK1183" s="314"/>
      <c r="FL1183" s="314"/>
      <c r="FM1183" s="314"/>
      <c r="FN1183" s="314"/>
      <c r="FO1183" s="314"/>
      <c r="FP1183" s="314"/>
      <c r="FQ1183" s="314"/>
      <c r="FR1183" s="314"/>
      <c r="FS1183" s="314"/>
      <c r="FT1183" s="314"/>
      <c r="FU1183" s="314"/>
      <c r="FV1183" s="314"/>
      <c r="FW1183" s="314"/>
      <c r="FX1183" s="314"/>
      <c r="FY1183" s="314"/>
      <c r="FZ1183" s="314"/>
      <c r="GA1183" s="314"/>
      <c r="GB1183" s="314"/>
      <c r="GC1183" s="314"/>
      <c r="GD1183" s="314"/>
      <c r="GE1183" s="314"/>
      <c r="GF1183" s="314"/>
      <c r="GG1183" s="314"/>
      <c r="GH1183" s="314"/>
      <c r="GI1183" s="314"/>
      <c r="GJ1183" s="314"/>
      <c r="GK1183" s="314"/>
      <c r="GL1183" s="314"/>
      <c r="GM1183" s="314"/>
      <c r="GN1183" s="314"/>
      <c r="GO1183" s="314"/>
      <c r="GP1183" s="314"/>
      <c r="GQ1183" s="314"/>
      <c r="GR1183" s="314"/>
      <c r="GS1183" s="314"/>
      <c r="GT1183" s="314"/>
      <c r="GU1183" s="314"/>
      <c r="GV1183" s="314"/>
      <c r="GW1183" s="314"/>
      <c r="GX1183" s="314"/>
      <c r="GY1183" s="314"/>
      <c r="GZ1183" s="314"/>
      <c r="HA1183" s="314"/>
      <c r="HB1183" s="314"/>
      <c r="HC1183" s="314"/>
      <c r="HD1183" s="314"/>
      <c r="HE1183" s="314"/>
      <c r="HF1183" s="314"/>
      <c r="HG1183" s="314"/>
      <c r="HH1183" s="314"/>
      <c r="HI1183" s="314"/>
      <c r="HJ1183" s="314"/>
      <c r="HK1183" s="314"/>
      <c r="HL1183" s="314"/>
      <c r="HM1183" s="314"/>
      <c r="HN1183" s="314"/>
      <c r="HO1183" s="314"/>
      <c r="HP1183" s="314"/>
      <c r="HQ1183" s="314"/>
      <c r="HR1183" s="314"/>
      <c r="HS1183" s="314"/>
      <c r="HT1183" s="314"/>
      <c r="HU1183" s="314"/>
      <c r="HV1183" s="314"/>
      <c r="HW1183" s="314"/>
      <c r="HX1183" s="314"/>
      <c r="HY1183" s="314"/>
      <c r="HZ1183" s="314"/>
      <c r="IA1183" s="314"/>
      <c r="IB1183" s="314"/>
      <c r="IC1183" s="314"/>
      <c r="ID1183" s="314"/>
      <c r="IE1183" s="314"/>
      <c r="IF1183" s="314"/>
      <c r="IG1183" s="314"/>
      <c r="IH1183" s="314"/>
      <c r="II1183" s="314"/>
      <c r="IJ1183" s="314"/>
      <c r="IK1183" s="314"/>
      <c r="IL1183" s="314"/>
      <c r="IM1183" s="314"/>
      <c r="IN1183" s="314"/>
      <c r="IO1183" s="314"/>
      <c r="IP1183" s="314"/>
      <c r="IQ1183" s="314"/>
      <c r="IR1183" s="314"/>
      <c r="IS1183" s="314"/>
      <c r="IT1183" s="314"/>
      <c r="IU1183" s="314"/>
    </row>
    <row r="1184" spans="1:255" thickBot="1" x14ac:dyDescent="0.45">
      <c r="A1184" s="832"/>
      <c r="B1184" s="388"/>
      <c r="C1184" s="579"/>
      <c r="D1184" s="579"/>
      <c r="E1184" s="580"/>
      <c r="F1184" s="581"/>
      <c r="G1184" s="579"/>
      <c r="H1184" s="582"/>
      <c r="I1184" s="579"/>
      <c r="J1184" s="582"/>
      <c r="K1184" s="582"/>
      <c r="L1184" s="582"/>
      <c r="M1184" s="582"/>
      <c r="N1184" s="582"/>
      <c r="O1184" s="582"/>
      <c r="P1184" s="582"/>
      <c r="Q1184" s="582"/>
      <c r="R1184" s="582"/>
      <c r="S1184" s="582"/>
      <c r="T1184" s="579"/>
      <c r="U1184" s="582"/>
      <c r="V1184" s="677"/>
      <c r="W1184" s="579"/>
      <c r="X1184" s="582"/>
      <c r="Y1184" s="389"/>
      <c r="Z1184" s="387"/>
      <c r="AB1184" s="314"/>
      <c r="AC1184" s="314"/>
      <c r="AD1184" s="314"/>
      <c r="AE1184" s="314"/>
      <c r="AF1184" s="314"/>
      <c r="AG1184" s="314"/>
      <c r="AH1184" s="314"/>
      <c r="AI1184" s="314"/>
      <c r="AJ1184" s="314"/>
      <c r="AK1184" s="314"/>
      <c r="AL1184" s="314"/>
      <c r="AM1184" s="314"/>
      <c r="AN1184" s="314"/>
      <c r="AO1184" s="314"/>
      <c r="AP1184" s="314"/>
      <c r="AQ1184" s="314"/>
      <c r="AR1184" s="314"/>
      <c r="AS1184" s="314"/>
      <c r="AT1184" s="314"/>
      <c r="AU1184" s="314"/>
      <c r="AV1184" s="314"/>
      <c r="AW1184" s="314"/>
      <c r="AX1184" s="314"/>
      <c r="AY1184" s="314"/>
      <c r="AZ1184" s="314"/>
      <c r="BA1184" s="314"/>
      <c r="BB1184" s="314"/>
      <c r="BC1184" s="314"/>
      <c r="BD1184" s="314"/>
      <c r="BE1184" s="314"/>
      <c r="BF1184" s="314"/>
      <c r="BG1184" s="314"/>
      <c r="BH1184" s="314"/>
      <c r="BI1184" s="314"/>
      <c r="BJ1184" s="314"/>
      <c r="BK1184" s="314"/>
      <c r="BL1184" s="314"/>
      <c r="BM1184" s="314"/>
      <c r="BN1184" s="314"/>
      <c r="BO1184" s="314"/>
      <c r="BP1184" s="314"/>
      <c r="BQ1184" s="314"/>
      <c r="BR1184" s="314"/>
      <c r="BS1184" s="314"/>
      <c r="BT1184" s="314"/>
      <c r="BU1184" s="314"/>
      <c r="BV1184" s="314"/>
      <c r="BW1184" s="314"/>
      <c r="BX1184" s="314"/>
      <c r="BY1184" s="314"/>
      <c r="BZ1184" s="314"/>
      <c r="CA1184" s="314"/>
      <c r="CB1184" s="314"/>
      <c r="CC1184" s="314"/>
      <c r="CD1184" s="314"/>
      <c r="CE1184" s="314"/>
      <c r="CF1184" s="314"/>
      <c r="CG1184" s="314"/>
      <c r="CH1184" s="314"/>
      <c r="CI1184" s="314"/>
      <c r="CJ1184" s="314"/>
      <c r="CK1184" s="314"/>
      <c r="CL1184" s="314"/>
      <c r="CM1184" s="314"/>
      <c r="CN1184" s="314"/>
      <c r="CO1184" s="314"/>
      <c r="CP1184" s="314"/>
      <c r="CQ1184" s="314"/>
      <c r="CR1184" s="314"/>
      <c r="CS1184" s="314"/>
      <c r="CT1184" s="314"/>
      <c r="CU1184" s="314"/>
      <c r="CV1184" s="314"/>
      <c r="CW1184" s="314"/>
      <c r="CX1184" s="314"/>
      <c r="CY1184" s="314"/>
      <c r="CZ1184" s="314"/>
      <c r="DA1184" s="314"/>
      <c r="DB1184" s="314"/>
      <c r="DC1184" s="314"/>
      <c r="DD1184" s="314"/>
      <c r="DE1184" s="314"/>
      <c r="DF1184" s="314"/>
      <c r="DG1184" s="314"/>
      <c r="DH1184" s="314"/>
      <c r="DI1184" s="314"/>
      <c r="DJ1184" s="314"/>
      <c r="DK1184" s="314"/>
      <c r="DL1184" s="314"/>
      <c r="DM1184" s="314"/>
      <c r="DN1184" s="314"/>
      <c r="DO1184" s="314"/>
      <c r="DP1184" s="314"/>
      <c r="DQ1184" s="314"/>
      <c r="DR1184" s="314"/>
      <c r="DS1184" s="314"/>
      <c r="DT1184" s="314"/>
      <c r="DU1184" s="314"/>
      <c r="DV1184" s="314"/>
      <c r="DW1184" s="314"/>
      <c r="DX1184" s="314"/>
      <c r="DY1184" s="314"/>
      <c r="DZ1184" s="314"/>
      <c r="EA1184" s="314"/>
      <c r="EB1184" s="314"/>
      <c r="EC1184" s="314"/>
      <c r="ED1184" s="314"/>
      <c r="EE1184" s="314"/>
      <c r="EF1184" s="314"/>
      <c r="EG1184" s="314"/>
      <c r="EH1184" s="314"/>
      <c r="EI1184" s="314"/>
      <c r="EJ1184" s="314"/>
      <c r="EK1184" s="314"/>
      <c r="EL1184" s="314"/>
      <c r="EM1184" s="314"/>
      <c r="EN1184" s="314"/>
      <c r="EO1184" s="314"/>
      <c r="EP1184" s="314"/>
      <c r="EQ1184" s="314"/>
      <c r="ER1184" s="314"/>
      <c r="ES1184" s="314"/>
      <c r="ET1184" s="314"/>
      <c r="EU1184" s="314"/>
      <c r="EV1184" s="314"/>
      <c r="EW1184" s="314"/>
      <c r="EX1184" s="314"/>
      <c r="EY1184" s="314"/>
      <c r="EZ1184" s="314"/>
      <c r="FA1184" s="314"/>
      <c r="FB1184" s="314"/>
      <c r="FC1184" s="314"/>
      <c r="FD1184" s="314"/>
      <c r="FE1184" s="314"/>
      <c r="FF1184" s="314"/>
      <c r="FG1184" s="314"/>
      <c r="FH1184" s="314"/>
      <c r="FI1184" s="314"/>
      <c r="FJ1184" s="314"/>
      <c r="FK1184" s="314"/>
      <c r="FL1184" s="314"/>
      <c r="FM1184" s="314"/>
      <c r="FN1184" s="314"/>
      <c r="FO1184" s="314"/>
      <c r="FP1184" s="314"/>
      <c r="FQ1184" s="314"/>
      <c r="FR1184" s="314"/>
      <c r="FS1184" s="314"/>
      <c r="FT1184" s="314"/>
      <c r="FU1184" s="314"/>
      <c r="FV1184" s="314"/>
      <c r="FW1184" s="314"/>
      <c r="FX1184" s="314"/>
      <c r="FY1184" s="314"/>
      <c r="FZ1184" s="314"/>
      <c r="GA1184" s="314"/>
      <c r="GB1184" s="314"/>
      <c r="GC1184" s="314"/>
      <c r="GD1184" s="314"/>
      <c r="GE1184" s="314"/>
      <c r="GF1184" s="314"/>
      <c r="GG1184" s="314"/>
      <c r="GH1184" s="314"/>
      <c r="GI1184" s="314"/>
      <c r="GJ1184" s="314"/>
      <c r="GK1184" s="314"/>
      <c r="GL1184" s="314"/>
      <c r="GM1184" s="314"/>
      <c r="GN1184" s="314"/>
      <c r="GO1184" s="314"/>
      <c r="GP1184" s="314"/>
      <c r="GQ1184" s="314"/>
      <c r="GR1184" s="314"/>
      <c r="GS1184" s="314"/>
      <c r="GT1184" s="314"/>
      <c r="GU1184" s="314"/>
      <c r="GV1184" s="314"/>
      <c r="GW1184" s="314"/>
      <c r="GX1184" s="314"/>
      <c r="GY1184" s="314"/>
      <c r="GZ1184" s="314"/>
      <c r="HA1184" s="314"/>
      <c r="HB1184" s="314"/>
      <c r="HC1184" s="314"/>
      <c r="HD1184" s="314"/>
      <c r="HE1184" s="314"/>
      <c r="HF1184" s="314"/>
      <c r="HG1184" s="314"/>
      <c r="HH1184" s="314"/>
      <c r="HI1184" s="314"/>
      <c r="HJ1184" s="314"/>
      <c r="HK1184" s="314"/>
      <c r="HL1184" s="314"/>
      <c r="HM1184" s="314"/>
      <c r="HN1184" s="314"/>
      <c r="HO1184" s="314"/>
      <c r="HP1184" s="314"/>
      <c r="HQ1184" s="314"/>
      <c r="HR1184" s="314"/>
      <c r="HS1184" s="314"/>
      <c r="HT1184" s="314"/>
      <c r="HU1184" s="314"/>
      <c r="HV1184" s="314"/>
      <c r="HW1184" s="314"/>
      <c r="HX1184" s="314"/>
      <c r="HY1184" s="314"/>
      <c r="HZ1184" s="314"/>
      <c r="IA1184" s="314"/>
      <c r="IB1184" s="314"/>
      <c r="IC1184" s="314"/>
      <c r="ID1184" s="314"/>
      <c r="IE1184" s="314"/>
      <c r="IF1184" s="314"/>
      <c r="IG1184" s="314"/>
      <c r="IH1184" s="314"/>
      <c r="II1184" s="314"/>
      <c r="IJ1184" s="314"/>
      <c r="IK1184" s="314"/>
      <c r="IL1184" s="314"/>
      <c r="IM1184" s="314"/>
      <c r="IN1184" s="314"/>
      <c r="IO1184" s="314"/>
      <c r="IP1184" s="314"/>
      <c r="IQ1184" s="314"/>
      <c r="IR1184" s="314"/>
      <c r="IS1184" s="314"/>
      <c r="IT1184" s="314"/>
      <c r="IU1184" s="314"/>
    </row>
    <row r="1185" spans="1:27" thickBot="1" x14ac:dyDescent="0.45">
      <c r="A1185" s="829"/>
      <c r="B1185" s="303" t="s">
        <v>780</v>
      </c>
      <c r="C1185" s="528"/>
      <c r="D1185" s="528"/>
      <c r="E1185" s="460"/>
      <c r="F1185" s="324"/>
      <c r="G1185" s="528"/>
      <c r="H1185" s="324"/>
      <c r="I1185" s="528"/>
      <c r="J1185" s="324"/>
      <c r="K1185" s="324"/>
      <c r="L1185" s="324"/>
      <c r="M1185" s="324"/>
      <c r="N1185" s="324"/>
      <c r="O1185" s="324"/>
      <c r="P1185" s="324"/>
      <c r="Q1185" s="324"/>
      <c r="R1185" s="324"/>
      <c r="S1185" s="324"/>
      <c r="T1185" s="528"/>
      <c r="U1185" s="324"/>
      <c r="V1185" s="676"/>
      <c r="W1185" s="324"/>
      <c r="X1185" s="529"/>
      <c r="Y1185" s="350"/>
    </row>
    <row r="1186" spans="1:27" thickBot="1" x14ac:dyDescent="0.45">
      <c r="A1186" s="829"/>
      <c r="B1186" s="302" t="s">
        <v>289</v>
      </c>
      <c r="C1186" s="347"/>
      <c r="D1186" s="347"/>
      <c r="E1186" s="494"/>
      <c r="F1186" s="348"/>
      <c r="G1186" s="347"/>
      <c r="H1186" s="348"/>
      <c r="I1186" s="347"/>
      <c r="J1186" s="348"/>
      <c r="K1186" s="348"/>
      <c r="L1186" s="348"/>
      <c r="M1186" s="348"/>
      <c r="N1186" s="348"/>
      <c r="O1186" s="348"/>
      <c r="P1186" s="348"/>
      <c r="Q1186" s="348"/>
      <c r="R1186" s="348"/>
      <c r="S1186" s="348"/>
      <c r="T1186" s="347"/>
      <c r="U1186" s="348"/>
      <c r="V1186" s="356"/>
      <c r="W1186" s="348"/>
      <c r="X1186" s="495"/>
      <c r="Y1186" s="349"/>
    </row>
    <row r="1187" spans="1:27" thickBot="1" x14ac:dyDescent="0.45">
      <c r="A1187" s="830"/>
      <c r="B1187" s="332" t="s">
        <v>287</v>
      </c>
      <c r="C1187" s="347"/>
      <c r="D1187" s="347"/>
      <c r="E1187" s="494"/>
      <c r="F1187" s="348"/>
      <c r="G1187" s="347"/>
      <c r="H1187" s="348"/>
      <c r="I1187" s="347"/>
      <c r="J1187" s="348"/>
      <c r="K1187" s="348"/>
      <c r="L1187" s="348"/>
      <c r="M1187" s="348"/>
      <c r="N1187" s="348"/>
      <c r="O1187" s="348"/>
      <c r="P1187" s="348"/>
      <c r="Q1187" s="348"/>
      <c r="R1187" s="348"/>
      <c r="S1187" s="348"/>
      <c r="T1187" s="347"/>
      <c r="U1187" s="348"/>
      <c r="V1187" s="356"/>
      <c r="W1187" s="348"/>
      <c r="X1187" s="495"/>
      <c r="Y1187" s="357"/>
    </row>
    <row r="1188" spans="1:27" thickBot="1" x14ac:dyDescent="0.45">
      <c r="A1188" s="830"/>
      <c r="B1188" s="332" t="s">
        <v>299</v>
      </c>
      <c r="C1188" s="347"/>
      <c r="D1188" s="347"/>
      <c r="E1188" s="494"/>
      <c r="F1188" s="348"/>
      <c r="G1188" s="347"/>
      <c r="H1188" s="348"/>
      <c r="I1188" s="347"/>
      <c r="J1188" s="348"/>
      <c r="K1188" s="348"/>
      <c r="L1188" s="348"/>
      <c r="M1188" s="348"/>
      <c r="N1188" s="348"/>
      <c r="O1188" s="348"/>
      <c r="P1188" s="348"/>
      <c r="Q1188" s="348"/>
      <c r="R1188" s="348"/>
      <c r="S1188" s="348"/>
      <c r="T1188" s="347"/>
      <c r="U1188" s="348"/>
      <c r="V1188" s="356"/>
      <c r="W1188" s="348"/>
      <c r="X1188" s="495"/>
      <c r="Y1188" s="357"/>
    </row>
    <row r="1189" spans="1:27" ht="53.25" thickBot="1" x14ac:dyDescent="0.45">
      <c r="A1189" s="319" t="s">
        <v>776</v>
      </c>
      <c r="B1189" s="362" t="s">
        <v>868</v>
      </c>
      <c r="C1189" s="528">
        <f t="shared" ref="C1189:C1232" si="440">C1053</f>
        <v>0</v>
      </c>
      <c r="D1189" s="528"/>
      <c r="E1189" s="456">
        <f>C1189*2.4</f>
        <v>0</v>
      </c>
      <c r="F1189" s="358">
        <f t="shared" ref="F1189:F1200" si="441">E1189*1.02*0.99/147</f>
        <v>0</v>
      </c>
      <c r="G1189" s="548">
        <f>INT(M1189)</f>
        <v>0</v>
      </c>
      <c r="H1189" s="358" t="s">
        <v>18</v>
      </c>
      <c r="I1189" s="548">
        <f>(M1189-G1189)*64</f>
        <v>0</v>
      </c>
      <c r="J1189" s="358" t="s">
        <v>19</v>
      </c>
      <c r="K1189" s="358"/>
      <c r="L1189" s="358"/>
      <c r="M1189" s="358">
        <f t="shared" ref="M1189:M1199" si="442">F1189*4983/2880</f>
        <v>0</v>
      </c>
      <c r="N1189" s="324"/>
      <c r="O1189" s="324"/>
      <c r="P1189" s="324"/>
      <c r="Q1189" s="324" t="s">
        <v>18</v>
      </c>
      <c r="R1189" s="324"/>
      <c r="S1189" s="324" t="s">
        <v>19</v>
      </c>
      <c r="T1189" s="528">
        <v>7</v>
      </c>
      <c r="U1189" s="324">
        <f>E1189/420*60</f>
        <v>0</v>
      </c>
      <c r="V1189" s="676"/>
      <c r="W1189" s="528"/>
      <c r="X1189" s="529"/>
      <c r="Y1189" s="323"/>
      <c r="Z1189" s="312">
        <f t="shared" ref="Z1189:Z1267" si="443">E1189</f>
        <v>0</v>
      </c>
      <c r="AA1189" s="316">
        <f t="shared" ref="AA1189:AA1196" si="444">SUM(Z1189/540.7+0.25)</f>
        <v>0.25</v>
      </c>
    </row>
    <row r="1190" spans="1:27" ht="77.25" thickBot="1" x14ac:dyDescent="0.45">
      <c r="A1190" s="319" t="s">
        <v>776</v>
      </c>
      <c r="B1190" s="320" t="s">
        <v>628</v>
      </c>
      <c r="C1190" s="528">
        <f t="shared" si="440"/>
        <v>0</v>
      </c>
      <c r="D1190" s="528"/>
      <c r="E1190" s="456">
        <f>C1190*3.2</f>
        <v>0</v>
      </c>
      <c r="F1190" s="358">
        <f t="shared" si="441"/>
        <v>0</v>
      </c>
      <c r="G1190" s="548">
        <f>INT(M1190)</f>
        <v>0</v>
      </c>
      <c r="H1190" s="358" t="s">
        <v>18</v>
      </c>
      <c r="I1190" s="548">
        <f>(M1190-G1190)*64</f>
        <v>0</v>
      </c>
      <c r="J1190" s="358" t="s">
        <v>19</v>
      </c>
      <c r="K1190" s="358"/>
      <c r="L1190" s="358"/>
      <c r="M1190" s="358">
        <f t="shared" si="442"/>
        <v>0</v>
      </c>
      <c r="N1190" s="324"/>
      <c r="O1190" s="324"/>
      <c r="P1190" s="324"/>
      <c r="Q1190" s="324" t="s">
        <v>18</v>
      </c>
      <c r="R1190" s="324"/>
      <c r="S1190" s="324" t="s">
        <v>19</v>
      </c>
      <c r="T1190" s="528">
        <v>7</v>
      </c>
      <c r="U1190" s="324">
        <f>E1190/259*60</f>
        <v>0</v>
      </c>
      <c r="V1190" s="676"/>
      <c r="W1190" s="528"/>
      <c r="X1190" s="529"/>
      <c r="Y1190" s="323"/>
      <c r="Z1190" s="312">
        <f t="shared" si="443"/>
        <v>0</v>
      </c>
      <c r="AA1190" s="316">
        <f t="shared" si="444"/>
        <v>0.25</v>
      </c>
    </row>
    <row r="1191" spans="1:27" ht="53.25" thickBot="1" x14ac:dyDescent="0.45">
      <c r="A1191" s="319" t="s">
        <v>776</v>
      </c>
      <c r="B1191" s="320" t="s">
        <v>629</v>
      </c>
      <c r="C1191" s="528">
        <f t="shared" si="440"/>
        <v>0</v>
      </c>
      <c r="D1191" s="528"/>
      <c r="E1191" s="456">
        <f>C1191*4</f>
        <v>0</v>
      </c>
      <c r="F1191" s="358">
        <f t="shared" si="441"/>
        <v>0</v>
      </c>
      <c r="G1191" s="548">
        <f>INT(M1191)</f>
        <v>0</v>
      </c>
      <c r="H1191" s="358" t="s">
        <v>18</v>
      </c>
      <c r="I1191" s="548">
        <f>(M1191-G1191)*64</f>
        <v>0</v>
      </c>
      <c r="J1191" s="358" t="s">
        <v>19</v>
      </c>
      <c r="K1191" s="358"/>
      <c r="L1191" s="358"/>
      <c r="M1191" s="358">
        <f t="shared" si="442"/>
        <v>0</v>
      </c>
      <c r="N1191" s="324"/>
      <c r="O1191" s="324"/>
      <c r="P1191" s="324"/>
      <c r="Q1191" s="324" t="s">
        <v>18</v>
      </c>
      <c r="R1191" s="324"/>
      <c r="S1191" s="324" t="s">
        <v>19</v>
      </c>
      <c r="T1191" s="528">
        <v>7</v>
      </c>
      <c r="U1191" s="324">
        <f>E1191/259*60</f>
        <v>0</v>
      </c>
      <c r="V1191" s="676"/>
      <c r="W1191" s="528"/>
      <c r="X1191" s="529"/>
      <c r="Y1191" s="323"/>
      <c r="Z1191" s="312">
        <f t="shared" si="443"/>
        <v>0</v>
      </c>
      <c r="AA1191" s="316">
        <f t="shared" si="444"/>
        <v>0.25</v>
      </c>
    </row>
    <row r="1192" spans="1:27" ht="53.25" thickBot="1" x14ac:dyDescent="0.45">
      <c r="A1192" s="319" t="s">
        <v>776</v>
      </c>
      <c r="B1192" s="320" t="s">
        <v>869</v>
      </c>
      <c r="C1192" s="528">
        <f t="shared" si="440"/>
        <v>0</v>
      </c>
      <c r="D1192" s="528"/>
      <c r="E1192" s="456">
        <f>C1192*2.4</f>
        <v>0</v>
      </c>
      <c r="F1192" s="358">
        <f t="shared" si="441"/>
        <v>0</v>
      </c>
      <c r="G1192" s="548">
        <f>INT(M1192)</f>
        <v>0</v>
      </c>
      <c r="H1192" s="358" t="s">
        <v>18</v>
      </c>
      <c r="I1192" s="548">
        <f>(M1192-G1192)*64</f>
        <v>0</v>
      </c>
      <c r="J1192" s="358" t="s">
        <v>19</v>
      </c>
      <c r="K1192" s="358"/>
      <c r="L1192" s="358"/>
      <c r="M1192" s="358">
        <f t="shared" si="442"/>
        <v>0</v>
      </c>
      <c r="N1192" s="324"/>
      <c r="O1192" s="324"/>
      <c r="P1192" s="324"/>
      <c r="Q1192" s="324" t="s">
        <v>18</v>
      </c>
      <c r="R1192" s="324"/>
      <c r="S1192" s="324" t="s">
        <v>19</v>
      </c>
      <c r="T1192" s="528">
        <v>7</v>
      </c>
      <c r="U1192" s="324">
        <f>E1192/420*60</f>
        <v>0</v>
      </c>
      <c r="V1192" s="676"/>
      <c r="W1192" s="528"/>
      <c r="X1192" s="529"/>
      <c r="Y1192" s="360"/>
      <c r="Z1192" s="312">
        <f t="shared" si="443"/>
        <v>0</v>
      </c>
      <c r="AA1192" s="316">
        <f t="shared" si="444"/>
        <v>0.25</v>
      </c>
    </row>
    <row r="1193" spans="1:27" ht="53.25" thickBot="1" x14ac:dyDescent="0.45">
      <c r="A1193" s="319" t="s">
        <v>776</v>
      </c>
      <c r="B1193" s="320" t="s">
        <v>870</v>
      </c>
      <c r="C1193" s="528">
        <f t="shared" si="440"/>
        <v>0</v>
      </c>
      <c r="D1193" s="528"/>
      <c r="E1193" s="456">
        <f>C1193*2.4</f>
        <v>0</v>
      </c>
      <c r="F1193" s="358">
        <f t="shared" si="441"/>
        <v>0</v>
      </c>
      <c r="G1193" s="548">
        <f>INT(M1193)</f>
        <v>0</v>
      </c>
      <c r="H1193" s="358" t="s">
        <v>18</v>
      </c>
      <c r="I1193" s="548">
        <f>(M1193-G1193)*64</f>
        <v>0</v>
      </c>
      <c r="J1193" s="358" t="s">
        <v>19</v>
      </c>
      <c r="K1193" s="358"/>
      <c r="L1193" s="358"/>
      <c r="M1193" s="358">
        <f t="shared" si="442"/>
        <v>0</v>
      </c>
      <c r="N1193" s="324"/>
      <c r="O1193" s="324"/>
      <c r="P1193" s="324"/>
      <c r="Q1193" s="324" t="s">
        <v>18</v>
      </c>
      <c r="R1193" s="324"/>
      <c r="S1193" s="324" t="s">
        <v>19</v>
      </c>
      <c r="T1193" s="528">
        <v>7</v>
      </c>
      <c r="U1193" s="324">
        <f>E1193/420*60</f>
        <v>0</v>
      </c>
      <c r="V1193" s="676"/>
      <c r="W1193" s="528"/>
      <c r="X1193" s="529"/>
      <c r="Y1193" s="360"/>
      <c r="Z1193" s="312">
        <f t="shared" si="443"/>
        <v>0</v>
      </c>
      <c r="AA1193" s="316">
        <f t="shared" si="444"/>
        <v>0.25</v>
      </c>
    </row>
    <row r="1194" spans="1:27" ht="53.25" thickBot="1" x14ac:dyDescent="0.45">
      <c r="A1194" s="319" t="s">
        <v>776</v>
      </c>
      <c r="B1194" s="320" t="s">
        <v>871</v>
      </c>
      <c r="C1194" s="528">
        <f t="shared" si="440"/>
        <v>0</v>
      </c>
      <c r="D1194" s="528"/>
      <c r="E1194" s="456">
        <f>C1194*2.4</f>
        <v>0</v>
      </c>
      <c r="F1194" s="358">
        <f t="shared" si="441"/>
        <v>0</v>
      </c>
      <c r="G1194" s="548">
        <f t="shared" ref="G1194:G1213" si="445">INT(M1194)</f>
        <v>0</v>
      </c>
      <c r="H1194" s="358" t="s">
        <v>18</v>
      </c>
      <c r="I1194" s="548">
        <f t="shared" ref="I1194:I1213" si="446">(M1194-G1194)*64</f>
        <v>0</v>
      </c>
      <c r="J1194" s="358" t="s">
        <v>19</v>
      </c>
      <c r="K1194" s="358"/>
      <c r="L1194" s="358"/>
      <c r="M1194" s="358">
        <f t="shared" si="442"/>
        <v>0</v>
      </c>
      <c r="N1194" s="324"/>
      <c r="O1194" s="324"/>
      <c r="P1194" s="324"/>
      <c r="Q1194" s="324" t="s">
        <v>18</v>
      </c>
      <c r="R1194" s="324"/>
      <c r="S1194" s="324" t="s">
        <v>19</v>
      </c>
      <c r="T1194" s="528">
        <v>7</v>
      </c>
      <c r="U1194" s="324">
        <f>E1194/420*60</f>
        <v>0</v>
      </c>
      <c r="V1194" s="676"/>
      <c r="W1194" s="528"/>
      <c r="X1194" s="529"/>
      <c r="Y1194" s="323"/>
      <c r="Z1194" s="312">
        <f t="shared" si="443"/>
        <v>0</v>
      </c>
      <c r="AA1194" s="316">
        <f t="shared" si="444"/>
        <v>0.25</v>
      </c>
    </row>
    <row r="1195" spans="1:27" ht="53.25" thickBot="1" x14ac:dyDescent="0.45">
      <c r="A1195" s="319" t="s">
        <v>776</v>
      </c>
      <c r="B1195" s="320" t="s">
        <v>786</v>
      </c>
      <c r="C1195" s="528">
        <f t="shared" si="440"/>
        <v>0</v>
      </c>
      <c r="D1195" s="528"/>
      <c r="E1195" s="456">
        <f t="shared" ref="E1195:E1202" si="447">C1195*4</f>
        <v>0</v>
      </c>
      <c r="F1195" s="358">
        <f t="shared" si="441"/>
        <v>0</v>
      </c>
      <c r="G1195" s="548">
        <f t="shared" si="445"/>
        <v>0</v>
      </c>
      <c r="H1195" s="358" t="s">
        <v>18</v>
      </c>
      <c r="I1195" s="548">
        <f t="shared" si="446"/>
        <v>0</v>
      </c>
      <c r="J1195" s="358" t="s">
        <v>19</v>
      </c>
      <c r="K1195" s="358"/>
      <c r="L1195" s="358"/>
      <c r="M1195" s="358">
        <f t="shared" si="442"/>
        <v>0</v>
      </c>
      <c r="N1195" s="324"/>
      <c r="O1195" s="324"/>
      <c r="P1195" s="324"/>
      <c r="Q1195" s="324" t="s">
        <v>18</v>
      </c>
      <c r="R1195" s="324"/>
      <c r="S1195" s="324" t="s">
        <v>19</v>
      </c>
      <c r="T1195" s="528">
        <v>7</v>
      </c>
      <c r="U1195" s="324">
        <f>E1195/259*60</f>
        <v>0</v>
      </c>
      <c r="V1195" s="676"/>
      <c r="W1195" s="528"/>
      <c r="X1195" s="529"/>
      <c r="Y1195" s="360"/>
      <c r="Z1195" s="312">
        <f t="shared" si="443"/>
        <v>0</v>
      </c>
      <c r="AA1195" s="316">
        <f t="shared" si="444"/>
        <v>0.25</v>
      </c>
    </row>
    <row r="1196" spans="1:27" ht="53.25" thickBot="1" x14ac:dyDescent="0.45">
      <c r="A1196" s="319" t="s">
        <v>776</v>
      </c>
      <c r="B1196" s="320" t="s">
        <v>630</v>
      </c>
      <c r="C1196" s="528">
        <f t="shared" si="440"/>
        <v>0</v>
      </c>
      <c r="D1196" s="528"/>
      <c r="E1196" s="456">
        <f t="shared" si="447"/>
        <v>0</v>
      </c>
      <c r="F1196" s="358">
        <f t="shared" si="441"/>
        <v>0</v>
      </c>
      <c r="G1196" s="548">
        <f t="shared" si="445"/>
        <v>0</v>
      </c>
      <c r="H1196" s="358" t="s">
        <v>18</v>
      </c>
      <c r="I1196" s="548">
        <f t="shared" si="446"/>
        <v>0</v>
      </c>
      <c r="J1196" s="358" t="s">
        <v>19</v>
      </c>
      <c r="K1196" s="358"/>
      <c r="L1196" s="358"/>
      <c r="M1196" s="358">
        <f t="shared" si="442"/>
        <v>0</v>
      </c>
      <c r="N1196" s="324"/>
      <c r="O1196" s="324"/>
      <c r="P1196" s="324"/>
      <c r="Q1196" s="324" t="s">
        <v>18</v>
      </c>
      <c r="R1196" s="324"/>
      <c r="S1196" s="324" t="s">
        <v>19</v>
      </c>
      <c r="T1196" s="528">
        <v>7</v>
      </c>
      <c r="U1196" s="324">
        <f>E1196/259*60</f>
        <v>0</v>
      </c>
      <c r="V1196" s="676"/>
      <c r="W1196" s="528"/>
      <c r="X1196" s="529"/>
      <c r="Y1196" s="323"/>
      <c r="Z1196" s="312">
        <f t="shared" si="443"/>
        <v>0</v>
      </c>
      <c r="AA1196" s="316">
        <f t="shared" si="444"/>
        <v>0.25</v>
      </c>
    </row>
    <row r="1197" spans="1:27" ht="53.25" thickBot="1" x14ac:dyDescent="0.45">
      <c r="A1197" s="319" t="s">
        <v>776</v>
      </c>
      <c r="B1197" s="320" t="s">
        <v>1065</v>
      </c>
      <c r="C1197" s="528">
        <f t="shared" si="440"/>
        <v>0</v>
      </c>
      <c r="D1197" s="528"/>
      <c r="E1197" s="460">
        <f>C1197*4</f>
        <v>0</v>
      </c>
      <c r="F1197" s="324">
        <f>E1197*1.02*0.99/147</f>
        <v>0</v>
      </c>
      <c r="G1197" s="528">
        <f>INT(M1197)</f>
        <v>0</v>
      </c>
      <c r="H1197" s="324" t="s">
        <v>18</v>
      </c>
      <c r="I1197" s="528">
        <f>(M1197-G1197)*64</f>
        <v>0</v>
      </c>
      <c r="J1197" s="324" t="s">
        <v>19</v>
      </c>
      <c r="K1197" s="324"/>
      <c r="L1197" s="324"/>
      <c r="M1197" s="324">
        <f>F1197*4983/2880</f>
        <v>0</v>
      </c>
      <c r="N1197" s="324"/>
      <c r="O1197" s="324"/>
      <c r="P1197" s="324"/>
      <c r="Q1197" s="324" t="s">
        <v>18</v>
      </c>
      <c r="R1197" s="324"/>
      <c r="S1197" s="324" t="s">
        <v>19</v>
      </c>
      <c r="T1197" s="528">
        <v>7</v>
      </c>
      <c r="U1197" s="324">
        <f>E1197/259*60</f>
        <v>0</v>
      </c>
      <c r="V1197" s="676"/>
      <c r="W1197" s="528"/>
      <c r="X1197" s="529"/>
      <c r="Y1197" s="323"/>
      <c r="Z1197" s="312">
        <f>E1197</f>
        <v>0</v>
      </c>
      <c r="AA1197" s="316">
        <f>SUM(Z1197/540.7+0.25)</f>
        <v>0.25</v>
      </c>
    </row>
    <row r="1198" spans="1:27" ht="53.25" thickBot="1" x14ac:dyDescent="0.45">
      <c r="A1198" s="319" t="s">
        <v>776</v>
      </c>
      <c r="B1198" s="320" t="s">
        <v>817</v>
      </c>
      <c r="C1198" s="528">
        <f t="shared" si="440"/>
        <v>0</v>
      </c>
      <c r="D1198" s="528"/>
      <c r="E1198" s="456">
        <f t="shared" si="447"/>
        <v>0</v>
      </c>
      <c r="F1198" s="358">
        <f t="shared" si="441"/>
        <v>0</v>
      </c>
      <c r="G1198" s="548">
        <f t="shared" si="445"/>
        <v>0</v>
      </c>
      <c r="H1198" s="358" t="s">
        <v>18</v>
      </c>
      <c r="I1198" s="548">
        <f t="shared" si="446"/>
        <v>0</v>
      </c>
      <c r="J1198" s="358" t="s">
        <v>19</v>
      </c>
      <c r="K1198" s="358"/>
      <c r="L1198" s="358"/>
      <c r="M1198" s="358">
        <f t="shared" si="442"/>
        <v>0</v>
      </c>
      <c r="N1198" s="324"/>
      <c r="O1198" s="324"/>
      <c r="P1198" s="324"/>
      <c r="Q1198" s="324" t="s">
        <v>18</v>
      </c>
      <c r="R1198" s="324"/>
      <c r="S1198" s="324" t="s">
        <v>19</v>
      </c>
      <c r="T1198" s="528">
        <v>7</v>
      </c>
      <c r="U1198" s="324">
        <f>E1198/259*60</f>
        <v>0</v>
      </c>
      <c r="V1198" s="676"/>
      <c r="W1198" s="528"/>
      <c r="X1198" s="529"/>
      <c r="Y1198" s="323"/>
      <c r="Z1198" s="312">
        <f t="shared" si="443"/>
        <v>0</v>
      </c>
      <c r="AA1198" s="316">
        <f>SUM(Z1198/540.7+0.25)</f>
        <v>0.25</v>
      </c>
    </row>
    <row r="1199" spans="1:27" ht="53.25" thickBot="1" x14ac:dyDescent="0.45">
      <c r="A1199" s="319" t="s">
        <v>776</v>
      </c>
      <c r="B1199" s="320" t="s">
        <v>631</v>
      </c>
      <c r="C1199" s="528">
        <f t="shared" si="440"/>
        <v>0</v>
      </c>
      <c r="D1199" s="528"/>
      <c r="E1199" s="456">
        <f t="shared" si="447"/>
        <v>0</v>
      </c>
      <c r="F1199" s="358">
        <f t="shared" si="441"/>
        <v>0</v>
      </c>
      <c r="G1199" s="548">
        <f>INT(M1199)</f>
        <v>0</v>
      </c>
      <c r="H1199" s="358" t="s">
        <v>18</v>
      </c>
      <c r="I1199" s="548">
        <f>(M1199-G1199)*64</f>
        <v>0</v>
      </c>
      <c r="J1199" s="358" t="s">
        <v>19</v>
      </c>
      <c r="K1199" s="358"/>
      <c r="L1199" s="358"/>
      <c r="M1199" s="358">
        <f t="shared" si="442"/>
        <v>0</v>
      </c>
      <c r="N1199" s="324"/>
      <c r="O1199" s="324"/>
      <c r="P1199" s="324"/>
      <c r="Q1199" s="324" t="s">
        <v>18</v>
      </c>
      <c r="R1199" s="324"/>
      <c r="S1199" s="324" t="s">
        <v>19</v>
      </c>
      <c r="T1199" s="528">
        <v>7</v>
      </c>
      <c r="U1199" s="324">
        <f>E1199/259*60</f>
        <v>0</v>
      </c>
      <c r="V1199" s="676"/>
      <c r="W1199" s="528"/>
      <c r="X1199" s="529"/>
      <c r="Y1199" s="360"/>
      <c r="Z1199" s="312">
        <f t="shared" si="443"/>
        <v>0</v>
      </c>
      <c r="AA1199" s="316">
        <f>SUM(Z1199/540.7+0.25)</f>
        <v>0.25</v>
      </c>
    </row>
    <row r="1200" spans="1:27" ht="102.75" outlineLevel="1" thickBot="1" x14ac:dyDescent="0.45">
      <c r="A1200" s="319" t="s">
        <v>776</v>
      </c>
      <c r="B1200" s="320" t="s">
        <v>1219</v>
      </c>
      <c r="C1200" s="528">
        <f t="shared" si="440"/>
        <v>0</v>
      </c>
      <c r="D1200" s="528"/>
      <c r="E1200" s="460">
        <f t="shared" si="447"/>
        <v>0</v>
      </c>
      <c r="F1200" s="324">
        <f t="shared" si="441"/>
        <v>0</v>
      </c>
      <c r="G1200" s="528">
        <f t="shared" si="445"/>
        <v>0</v>
      </c>
      <c r="H1200" s="324" t="s">
        <v>18</v>
      </c>
      <c r="I1200" s="528">
        <f t="shared" si="446"/>
        <v>0</v>
      </c>
      <c r="J1200" s="324" t="s">
        <v>19</v>
      </c>
      <c r="K1200" s="324"/>
      <c r="L1200" s="324"/>
      <c r="M1200" s="324">
        <f>F1200*5764/2880</f>
        <v>0</v>
      </c>
      <c r="N1200" s="324"/>
      <c r="O1200" s="324"/>
      <c r="P1200" s="324"/>
      <c r="Q1200" s="324" t="s">
        <v>18</v>
      </c>
      <c r="R1200" s="324"/>
      <c r="S1200" s="324" t="s">
        <v>19</v>
      </c>
      <c r="T1200" s="528">
        <v>8</v>
      </c>
      <c r="U1200" s="722">
        <f>E1200/324*60</f>
        <v>0</v>
      </c>
      <c r="V1200" s="676"/>
      <c r="W1200" s="528"/>
      <c r="X1200" s="529"/>
      <c r="Y1200" s="323"/>
      <c r="Z1200" s="312">
        <f t="shared" si="443"/>
        <v>0</v>
      </c>
      <c r="AA1200" s="316">
        <f>SUM(Z1200/483.8+0.25)</f>
        <v>0.25</v>
      </c>
    </row>
    <row r="1201" spans="1:27" ht="102.75" outlineLevel="1" thickBot="1" x14ac:dyDescent="0.45">
      <c r="A1201" s="319" t="s">
        <v>776</v>
      </c>
      <c r="B1201" s="320" t="s">
        <v>1220</v>
      </c>
      <c r="C1201" s="528">
        <f t="shared" si="440"/>
        <v>0</v>
      </c>
      <c r="D1201" s="528"/>
      <c r="E1201" s="460">
        <f>C1201*4</f>
        <v>0</v>
      </c>
      <c r="F1201" s="324">
        <f>E1201*1.02*0.99/147</f>
        <v>0</v>
      </c>
      <c r="G1201" s="528">
        <f t="shared" si="445"/>
        <v>0</v>
      </c>
      <c r="H1201" s="324" t="s">
        <v>18</v>
      </c>
      <c r="I1201" s="528">
        <f t="shared" si="446"/>
        <v>0</v>
      </c>
      <c r="J1201" s="324" t="s">
        <v>19</v>
      </c>
      <c r="K1201" s="324"/>
      <c r="L1201" s="324"/>
      <c r="M1201" s="324">
        <f>F1201*5764/2880</f>
        <v>0</v>
      </c>
      <c r="N1201" s="324"/>
      <c r="O1201" s="324"/>
      <c r="P1201" s="324"/>
      <c r="Q1201" s="324" t="s">
        <v>18</v>
      </c>
      <c r="R1201" s="324"/>
      <c r="S1201" s="324" t="s">
        <v>19</v>
      </c>
      <c r="T1201" s="528">
        <v>8</v>
      </c>
      <c r="U1201" s="722">
        <f>E1201/324*60</f>
        <v>0</v>
      </c>
      <c r="V1201" s="676"/>
      <c r="W1201" s="528"/>
      <c r="X1201" s="529"/>
      <c r="Y1201" s="360"/>
      <c r="Z1201" s="312">
        <f>E1201</f>
        <v>0</v>
      </c>
      <c r="AA1201" s="316">
        <f>SUM(Z1201/483.8+0.25)</f>
        <v>0.25</v>
      </c>
    </row>
    <row r="1202" spans="1:27" ht="77.25" thickBot="1" x14ac:dyDescent="0.45">
      <c r="A1202" s="319" t="s">
        <v>776</v>
      </c>
      <c r="B1202" s="320" t="s">
        <v>840</v>
      </c>
      <c r="C1202" s="528">
        <f t="shared" si="440"/>
        <v>0</v>
      </c>
      <c r="D1202" s="528"/>
      <c r="E1202" s="456">
        <f t="shared" si="447"/>
        <v>0</v>
      </c>
      <c r="F1202" s="358">
        <f>E1202*0.9*1.01/147</f>
        <v>0</v>
      </c>
      <c r="G1202" s="548">
        <f t="shared" si="445"/>
        <v>0</v>
      </c>
      <c r="H1202" s="358" t="s">
        <v>18</v>
      </c>
      <c r="I1202" s="548">
        <f t="shared" si="446"/>
        <v>0</v>
      </c>
      <c r="J1202" s="358" t="s">
        <v>19</v>
      </c>
      <c r="K1202" s="358"/>
      <c r="L1202" s="358"/>
      <c r="M1202" s="358">
        <f>(F1202*6533/3456)</f>
        <v>0</v>
      </c>
      <c r="N1202" s="358"/>
      <c r="O1202" s="358"/>
      <c r="P1202" s="358"/>
      <c r="Q1202" s="358" t="s">
        <v>18</v>
      </c>
      <c r="R1202" s="358"/>
      <c r="S1202" s="358" t="s">
        <v>19</v>
      </c>
      <c r="T1202" s="528">
        <v>8</v>
      </c>
      <c r="U1202" s="324">
        <f>E1202/324*60</f>
        <v>0</v>
      </c>
      <c r="V1202" s="676"/>
      <c r="W1202" s="528"/>
      <c r="X1202" s="529"/>
      <c r="Y1202" s="323"/>
      <c r="Z1202" s="312">
        <f t="shared" si="443"/>
        <v>0</v>
      </c>
      <c r="AA1202" s="316">
        <f>SUM(AB1202/462.7)</f>
        <v>0</v>
      </c>
    </row>
    <row r="1203" spans="1:27" ht="77.25" thickBot="1" x14ac:dyDescent="0.45">
      <c r="A1203" s="319" t="s">
        <v>776</v>
      </c>
      <c r="B1203" s="799" t="s">
        <v>1192</v>
      </c>
      <c r="C1203" s="528">
        <f t="shared" si="440"/>
        <v>0</v>
      </c>
      <c r="D1203" s="528"/>
      <c r="E1203" s="460">
        <f>C1203*1.3</f>
        <v>0</v>
      </c>
      <c r="F1203" s="324">
        <f>E1203*1.02*1/135</f>
        <v>0</v>
      </c>
      <c r="G1203" s="528">
        <f t="shared" si="445"/>
        <v>0</v>
      </c>
      <c r="H1203" s="324" t="s">
        <v>18</v>
      </c>
      <c r="I1203" s="528">
        <f t="shared" si="446"/>
        <v>0</v>
      </c>
      <c r="J1203" s="324" t="s">
        <v>19</v>
      </c>
      <c r="K1203" s="324"/>
      <c r="L1203" s="324"/>
      <c r="M1203" s="324">
        <f>F1203*5252/2880</f>
        <v>0</v>
      </c>
      <c r="N1203" s="324"/>
      <c r="O1203" s="324"/>
      <c r="P1203" s="324"/>
      <c r="Q1203" s="324" t="s">
        <v>18</v>
      </c>
      <c r="R1203" s="324"/>
      <c r="S1203" s="324" t="s">
        <v>19</v>
      </c>
      <c r="T1203" s="528">
        <v>8</v>
      </c>
      <c r="U1203" s="324">
        <f>E1203/237*60</f>
        <v>0</v>
      </c>
      <c r="V1203" s="676"/>
      <c r="W1203" s="528"/>
      <c r="X1203" s="529"/>
      <c r="Y1203" s="360"/>
      <c r="Z1203" s="312">
        <f>E1203</f>
        <v>0</v>
      </c>
      <c r="AA1203" s="316">
        <f>SUM(AB1203/462.7)</f>
        <v>0</v>
      </c>
    </row>
    <row r="1204" spans="1:27" ht="53.25" thickBot="1" x14ac:dyDescent="0.45">
      <c r="A1204" s="319" t="s">
        <v>776</v>
      </c>
      <c r="B1204" s="320" t="s">
        <v>632</v>
      </c>
      <c r="C1204" s="528">
        <f t="shared" si="440"/>
        <v>0</v>
      </c>
      <c r="D1204" s="528"/>
      <c r="E1204" s="456">
        <f>C1204*3.2</f>
        <v>0</v>
      </c>
      <c r="F1204" s="358">
        <f>E1204*1.02*0.99/147</f>
        <v>0</v>
      </c>
      <c r="G1204" s="548">
        <f t="shared" si="445"/>
        <v>0</v>
      </c>
      <c r="H1204" s="358" t="s">
        <v>18</v>
      </c>
      <c r="I1204" s="548">
        <f t="shared" si="446"/>
        <v>0</v>
      </c>
      <c r="J1204" s="358" t="s">
        <v>19</v>
      </c>
      <c r="K1204" s="358"/>
      <c r="L1204" s="358"/>
      <c r="M1204" s="358">
        <f>F1204*4983/2880</f>
        <v>0</v>
      </c>
      <c r="N1204" s="324"/>
      <c r="O1204" s="324"/>
      <c r="P1204" s="324"/>
      <c r="Q1204" s="324" t="s">
        <v>18</v>
      </c>
      <c r="R1204" s="324"/>
      <c r="S1204" s="324" t="s">
        <v>19</v>
      </c>
      <c r="T1204" s="528">
        <v>7</v>
      </c>
      <c r="U1204" s="324">
        <f>E1204/259*60</f>
        <v>0</v>
      </c>
      <c r="V1204" s="676"/>
      <c r="W1204" s="528"/>
      <c r="X1204" s="529"/>
      <c r="Y1204" s="323"/>
      <c r="Z1204" s="312">
        <f t="shared" si="443"/>
        <v>0</v>
      </c>
      <c r="AA1204" s="316">
        <f>SUM(Z1204/540.7+0.25)</f>
        <v>0.25</v>
      </c>
    </row>
    <row r="1205" spans="1:27" ht="53.25" thickBot="1" x14ac:dyDescent="0.45">
      <c r="A1205" s="319" t="s">
        <v>776</v>
      </c>
      <c r="B1205" s="320" t="s">
        <v>785</v>
      </c>
      <c r="C1205" s="528">
        <f t="shared" si="440"/>
        <v>0</v>
      </c>
      <c r="D1205" s="551">
        <f>C1205*14</f>
        <v>0</v>
      </c>
      <c r="E1205" s="456">
        <f>D1205*0.25</f>
        <v>0</v>
      </c>
      <c r="F1205" s="358">
        <f>E1205*0.99*1.03/147</f>
        <v>0</v>
      </c>
      <c r="G1205" s="548">
        <f t="shared" si="445"/>
        <v>0</v>
      </c>
      <c r="H1205" s="358" t="s">
        <v>18</v>
      </c>
      <c r="I1205" s="548">
        <f t="shared" si="446"/>
        <v>0</v>
      </c>
      <c r="J1205" s="358" t="s">
        <v>19</v>
      </c>
      <c r="K1205" s="358"/>
      <c r="L1205" s="358"/>
      <c r="M1205" s="358">
        <f>(F1205*6989)/2880</f>
        <v>0</v>
      </c>
      <c r="N1205" s="324"/>
      <c r="O1205" s="324"/>
      <c r="P1205" s="324"/>
      <c r="Q1205" s="324" t="s">
        <v>18</v>
      </c>
      <c r="R1205" s="324"/>
      <c r="S1205" s="324" t="s">
        <v>19</v>
      </c>
      <c r="T1205" s="528">
        <v>5</v>
      </c>
      <c r="U1205" s="324">
        <f>E1205/390*60</f>
        <v>0</v>
      </c>
      <c r="V1205" s="676"/>
      <c r="W1205" s="528"/>
      <c r="X1205" s="529"/>
      <c r="Y1205" s="360"/>
      <c r="Z1205" s="312">
        <f t="shared" si="443"/>
        <v>0</v>
      </c>
      <c r="AA1205" s="316">
        <f>SUM(Z1205/398.4+0.25)</f>
        <v>0.25</v>
      </c>
    </row>
    <row r="1206" spans="1:27" ht="77.25" thickBot="1" x14ac:dyDescent="0.45">
      <c r="A1206" s="319" t="s">
        <v>776</v>
      </c>
      <c r="B1206" s="320" t="s">
        <v>633</v>
      </c>
      <c r="C1206" s="528">
        <f t="shared" si="440"/>
        <v>0</v>
      </c>
      <c r="D1206" s="528"/>
      <c r="E1206" s="456">
        <f>C1206*3.2</f>
        <v>0</v>
      </c>
      <c r="F1206" s="358">
        <f t="shared" ref="F1206:F1212" si="448">E1206*1.02*0.99/147</f>
        <v>0</v>
      </c>
      <c r="G1206" s="548">
        <f t="shared" si="445"/>
        <v>0</v>
      </c>
      <c r="H1206" s="358" t="s">
        <v>18</v>
      </c>
      <c r="I1206" s="548">
        <f t="shared" si="446"/>
        <v>0</v>
      </c>
      <c r="J1206" s="358" t="s">
        <v>19</v>
      </c>
      <c r="K1206" s="358"/>
      <c r="L1206" s="358"/>
      <c r="M1206" s="358">
        <f>F1206*4983/2880</f>
        <v>0</v>
      </c>
      <c r="N1206" s="358"/>
      <c r="O1206" s="358"/>
      <c r="P1206" s="358"/>
      <c r="Q1206" s="358" t="s">
        <v>18</v>
      </c>
      <c r="R1206" s="358"/>
      <c r="S1206" s="358" t="s">
        <v>19</v>
      </c>
      <c r="T1206" s="528">
        <v>7</v>
      </c>
      <c r="U1206" s="324">
        <f>E1206/259*60</f>
        <v>0</v>
      </c>
      <c r="V1206" s="676"/>
      <c r="W1206" s="528"/>
      <c r="X1206" s="529"/>
      <c r="Y1206" s="360"/>
      <c r="Z1206" s="312">
        <f t="shared" si="443"/>
        <v>0</v>
      </c>
      <c r="AA1206" s="316">
        <f t="shared" ref="AA1206:AA1212" si="449">SUM(Z1206/540.7+0.25)</f>
        <v>0.25</v>
      </c>
    </row>
    <row r="1207" spans="1:27" ht="53.25" thickBot="1" x14ac:dyDescent="0.45">
      <c r="A1207" s="319" t="s">
        <v>776</v>
      </c>
      <c r="B1207" s="320" t="s">
        <v>1066</v>
      </c>
      <c r="C1207" s="528">
        <f t="shared" si="440"/>
        <v>0</v>
      </c>
      <c r="D1207" s="528"/>
      <c r="E1207" s="460">
        <f>C1207*3.2</f>
        <v>0</v>
      </c>
      <c r="F1207" s="324">
        <f t="shared" si="448"/>
        <v>0</v>
      </c>
      <c r="G1207" s="528">
        <f t="shared" si="445"/>
        <v>0</v>
      </c>
      <c r="H1207" s="324" t="s">
        <v>18</v>
      </c>
      <c r="I1207" s="528">
        <f t="shared" si="446"/>
        <v>0</v>
      </c>
      <c r="J1207" s="324" t="s">
        <v>19</v>
      </c>
      <c r="K1207" s="324"/>
      <c r="L1207" s="324"/>
      <c r="M1207" s="324">
        <f>F1207*4983/2880</f>
        <v>0</v>
      </c>
      <c r="N1207" s="324"/>
      <c r="O1207" s="324"/>
      <c r="P1207" s="324"/>
      <c r="Q1207" s="324" t="s">
        <v>18</v>
      </c>
      <c r="R1207" s="324"/>
      <c r="S1207" s="324" t="s">
        <v>19</v>
      </c>
      <c r="T1207" s="528">
        <v>7</v>
      </c>
      <c r="U1207" s="324">
        <f>E1207/259*60</f>
        <v>0</v>
      </c>
      <c r="V1207" s="676"/>
      <c r="W1207" s="528"/>
      <c r="X1207" s="529"/>
      <c r="Y1207" s="360"/>
      <c r="Z1207" s="312">
        <f>E1207</f>
        <v>0</v>
      </c>
      <c r="AA1207" s="316">
        <f t="shared" si="449"/>
        <v>0.25</v>
      </c>
    </row>
    <row r="1208" spans="1:27" ht="53.25" thickBot="1" x14ac:dyDescent="0.45">
      <c r="A1208" s="319" t="s">
        <v>776</v>
      </c>
      <c r="B1208" s="320" t="s">
        <v>1067</v>
      </c>
      <c r="C1208" s="528">
        <f t="shared" si="440"/>
        <v>0</v>
      </c>
      <c r="D1208" s="528"/>
      <c r="E1208" s="460">
        <f>C1208*3.2</f>
        <v>0</v>
      </c>
      <c r="F1208" s="324">
        <f t="shared" si="448"/>
        <v>0</v>
      </c>
      <c r="G1208" s="528">
        <f t="shared" si="445"/>
        <v>0</v>
      </c>
      <c r="H1208" s="324" t="s">
        <v>18</v>
      </c>
      <c r="I1208" s="528">
        <f t="shared" si="446"/>
        <v>0</v>
      </c>
      <c r="J1208" s="324" t="s">
        <v>19</v>
      </c>
      <c r="K1208" s="324"/>
      <c r="L1208" s="324"/>
      <c r="M1208" s="324">
        <f>F1208*4983/2880</f>
        <v>0</v>
      </c>
      <c r="N1208" s="324"/>
      <c r="O1208" s="324"/>
      <c r="P1208" s="324"/>
      <c r="Q1208" s="324" t="s">
        <v>18</v>
      </c>
      <c r="R1208" s="324"/>
      <c r="S1208" s="324" t="s">
        <v>19</v>
      </c>
      <c r="T1208" s="528">
        <v>7</v>
      </c>
      <c r="U1208" s="324">
        <f>E1208/259*60</f>
        <v>0</v>
      </c>
      <c r="V1208" s="676"/>
      <c r="W1208" s="528"/>
      <c r="X1208" s="529"/>
      <c r="Y1208" s="360"/>
      <c r="Z1208" s="312">
        <f>E1208</f>
        <v>0</v>
      </c>
      <c r="AA1208" s="316">
        <f t="shared" si="449"/>
        <v>0.25</v>
      </c>
    </row>
    <row r="1209" spans="1:27" ht="53.25" thickBot="1" x14ac:dyDescent="0.45">
      <c r="A1209" s="319" t="s">
        <v>776</v>
      </c>
      <c r="B1209" s="320" t="s">
        <v>1081</v>
      </c>
      <c r="C1209" s="528">
        <f t="shared" si="440"/>
        <v>0</v>
      </c>
      <c r="D1209" s="528"/>
      <c r="E1209" s="460">
        <f>C1209*3.2</f>
        <v>0</v>
      </c>
      <c r="F1209" s="324">
        <f>E1209*1.02*0.99/147</f>
        <v>0</v>
      </c>
      <c r="G1209" s="528">
        <f>INT(M1209)</f>
        <v>0</v>
      </c>
      <c r="H1209" s="324" t="s">
        <v>18</v>
      </c>
      <c r="I1209" s="528">
        <f>(M1209-G1209)*64</f>
        <v>0</v>
      </c>
      <c r="J1209" s="324" t="s">
        <v>19</v>
      </c>
      <c r="K1209" s="324"/>
      <c r="L1209" s="324"/>
      <c r="M1209" s="324">
        <f>F1209*4983/2880</f>
        <v>0</v>
      </c>
      <c r="N1209" s="324"/>
      <c r="O1209" s="324"/>
      <c r="P1209" s="324"/>
      <c r="Q1209" s="324" t="s">
        <v>18</v>
      </c>
      <c r="R1209" s="324"/>
      <c r="S1209" s="324" t="s">
        <v>19</v>
      </c>
      <c r="T1209" s="528">
        <v>7</v>
      </c>
      <c r="U1209" s="324">
        <f>E1209/259*60</f>
        <v>0</v>
      </c>
      <c r="V1209" s="676"/>
      <c r="W1209" s="528"/>
      <c r="X1209" s="529"/>
      <c r="Y1209" s="323"/>
      <c r="Z1209" s="312">
        <f>E1209</f>
        <v>0</v>
      </c>
      <c r="AA1209" s="316">
        <f t="shared" si="449"/>
        <v>0.25</v>
      </c>
    </row>
    <row r="1210" spans="1:27" ht="53.25" thickBot="1" x14ac:dyDescent="0.45">
      <c r="A1210" s="319" t="s">
        <v>776</v>
      </c>
      <c r="B1210" s="320" t="s">
        <v>815</v>
      </c>
      <c r="C1210" s="528">
        <f t="shared" si="440"/>
        <v>0</v>
      </c>
      <c r="D1210" s="551">
        <f>C1210*12</f>
        <v>0</v>
      </c>
      <c r="E1210" s="456">
        <f>D1210*0.5</f>
        <v>0</v>
      </c>
      <c r="F1210" s="358">
        <f t="shared" si="448"/>
        <v>0</v>
      </c>
      <c r="G1210" s="548">
        <f>INT(M1210)</f>
        <v>0</v>
      </c>
      <c r="H1210" s="358" t="s">
        <v>18</v>
      </c>
      <c r="I1210" s="548">
        <f>(M1210-G1210)*64</f>
        <v>0</v>
      </c>
      <c r="J1210" s="358" t="s">
        <v>19</v>
      </c>
      <c r="K1210" s="358"/>
      <c r="L1210" s="358"/>
      <c r="M1210" s="358">
        <f>(F1210*5257)/2880</f>
        <v>0</v>
      </c>
      <c r="N1210" s="358"/>
      <c r="O1210" s="358"/>
      <c r="P1210" s="358"/>
      <c r="Q1210" s="358" t="s">
        <v>18</v>
      </c>
      <c r="R1210" s="358"/>
      <c r="S1210" s="358" t="s">
        <v>19</v>
      </c>
      <c r="T1210" s="528">
        <v>10</v>
      </c>
      <c r="U1210" s="324"/>
      <c r="V1210" s="676"/>
      <c r="W1210" s="528"/>
      <c r="X1210" s="529"/>
      <c r="Y1210" s="323"/>
      <c r="Z1210" s="312">
        <f t="shared" si="443"/>
        <v>0</v>
      </c>
      <c r="AA1210" s="316">
        <f t="shared" si="449"/>
        <v>0.25</v>
      </c>
    </row>
    <row r="1211" spans="1:27" ht="77.25" thickBot="1" x14ac:dyDescent="0.45">
      <c r="A1211" s="319" t="s">
        <v>776</v>
      </c>
      <c r="B1211" s="320" t="s">
        <v>825</v>
      </c>
      <c r="C1211" s="528">
        <f t="shared" si="440"/>
        <v>0</v>
      </c>
      <c r="D1211" s="551">
        <f>C1211*12</f>
        <v>0</v>
      </c>
      <c r="E1211" s="456">
        <f>D1211*0.5</f>
        <v>0</v>
      </c>
      <c r="F1211" s="358">
        <f t="shared" si="448"/>
        <v>0</v>
      </c>
      <c r="G1211" s="548">
        <f>INT(M1211)</f>
        <v>0</v>
      </c>
      <c r="H1211" s="358" t="s">
        <v>18</v>
      </c>
      <c r="I1211" s="548">
        <f>(M1211-G1211)*64</f>
        <v>0</v>
      </c>
      <c r="J1211" s="358" t="s">
        <v>19</v>
      </c>
      <c r="K1211" s="358"/>
      <c r="L1211" s="358"/>
      <c r="M1211" s="358">
        <f>(F1211*5257)/2880</f>
        <v>0</v>
      </c>
      <c r="N1211" s="358"/>
      <c r="O1211" s="358"/>
      <c r="P1211" s="358"/>
      <c r="Q1211" s="358" t="s">
        <v>18</v>
      </c>
      <c r="R1211" s="358"/>
      <c r="S1211" s="358" t="s">
        <v>19</v>
      </c>
      <c r="T1211" s="528">
        <v>10</v>
      </c>
      <c r="U1211" s="324"/>
      <c r="V1211" s="676"/>
      <c r="W1211" s="528"/>
      <c r="X1211" s="529"/>
      <c r="Y1211" s="323"/>
      <c r="Z1211" s="312">
        <f t="shared" si="443"/>
        <v>0</v>
      </c>
      <c r="AA1211" s="316">
        <f t="shared" si="449"/>
        <v>0.25</v>
      </c>
    </row>
    <row r="1212" spans="1:27" ht="53.25" thickBot="1" x14ac:dyDescent="0.45">
      <c r="A1212" s="319" t="s">
        <v>776</v>
      </c>
      <c r="B1212" s="320" t="s">
        <v>826</v>
      </c>
      <c r="C1212" s="528">
        <f t="shared" si="440"/>
        <v>0</v>
      </c>
      <c r="D1212" s="551">
        <f>C1212*12</f>
        <v>0</v>
      </c>
      <c r="E1212" s="456">
        <f>D1212*0.5</f>
        <v>0</v>
      </c>
      <c r="F1212" s="358">
        <f t="shared" si="448"/>
        <v>0</v>
      </c>
      <c r="G1212" s="548">
        <f t="shared" si="445"/>
        <v>0</v>
      </c>
      <c r="H1212" s="358" t="s">
        <v>18</v>
      </c>
      <c r="I1212" s="548">
        <f t="shared" si="446"/>
        <v>0</v>
      </c>
      <c r="J1212" s="358" t="s">
        <v>19</v>
      </c>
      <c r="K1212" s="358"/>
      <c r="L1212" s="358"/>
      <c r="M1212" s="358">
        <f>(F1212*5257)/2880</f>
        <v>0</v>
      </c>
      <c r="N1212" s="358"/>
      <c r="O1212" s="358"/>
      <c r="P1212" s="358"/>
      <c r="Q1212" s="358" t="s">
        <v>18</v>
      </c>
      <c r="R1212" s="358"/>
      <c r="S1212" s="358" t="s">
        <v>19</v>
      </c>
      <c r="T1212" s="528">
        <v>10</v>
      </c>
      <c r="U1212" s="324"/>
      <c r="V1212" s="676"/>
      <c r="W1212" s="528"/>
      <c r="X1212" s="529"/>
      <c r="Y1212" s="323"/>
      <c r="Z1212" s="312">
        <f t="shared" si="443"/>
        <v>0</v>
      </c>
      <c r="AA1212" s="316">
        <f t="shared" si="449"/>
        <v>0.25</v>
      </c>
    </row>
    <row r="1213" spans="1:27" s="327" customFormat="1" ht="53.25" thickBot="1" x14ac:dyDescent="0.45">
      <c r="A1213" s="319" t="s">
        <v>776</v>
      </c>
      <c r="B1213" s="365" t="s">
        <v>839</v>
      </c>
      <c r="C1213" s="528">
        <f t="shared" si="440"/>
        <v>0</v>
      </c>
      <c r="D1213" s="554"/>
      <c r="E1213" s="458">
        <f>C1213*4.5</f>
        <v>0</v>
      </c>
      <c r="F1213" s="358">
        <f>E1213*0.9*1.01/147</f>
        <v>0</v>
      </c>
      <c r="G1213" s="548">
        <f t="shared" si="445"/>
        <v>0</v>
      </c>
      <c r="H1213" s="358" t="s">
        <v>18</v>
      </c>
      <c r="I1213" s="548">
        <f t="shared" si="446"/>
        <v>0</v>
      </c>
      <c r="J1213" s="358" t="s">
        <v>19</v>
      </c>
      <c r="K1213" s="358"/>
      <c r="L1213" s="358"/>
      <c r="M1213" s="358">
        <f>(F1213*6533/3456)</f>
        <v>0</v>
      </c>
      <c r="N1213" s="555"/>
      <c r="O1213" s="555"/>
      <c r="P1213" s="555"/>
      <c r="Q1213" s="555" t="s">
        <v>18</v>
      </c>
      <c r="R1213" s="555"/>
      <c r="S1213" s="555" t="s">
        <v>19</v>
      </c>
      <c r="T1213" s="528">
        <v>7</v>
      </c>
      <c r="U1213" s="555">
        <f>E1213/324*60</f>
        <v>0</v>
      </c>
      <c r="V1213" s="686"/>
      <c r="W1213" s="553"/>
      <c r="X1213" s="555"/>
      <c r="Y1213" s="367"/>
      <c r="Z1213" s="312">
        <f t="shared" si="443"/>
        <v>0</v>
      </c>
      <c r="AA1213" s="316">
        <f>SUM(Z1213/470.9+0.25)</f>
        <v>0.25</v>
      </c>
    </row>
    <row r="1214" spans="1:27" ht="53.25" thickBot="1" x14ac:dyDescent="0.45">
      <c r="A1214" s="319" t="s">
        <v>776</v>
      </c>
      <c r="B1214" s="320" t="s">
        <v>1033</v>
      </c>
      <c r="C1214" s="528">
        <f t="shared" si="440"/>
        <v>0</v>
      </c>
      <c r="D1214" s="528"/>
      <c r="E1214" s="324">
        <f>C1214*3.2</f>
        <v>0</v>
      </c>
      <c r="F1214" s="324">
        <f>E1214*1.02*0.99/147</f>
        <v>0</v>
      </c>
      <c r="G1214" s="528">
        <f>INT(M1214)</f>
        <v>0</v>
      </c>
      <c r="H1214" s="324" t="s">
        <v>18</v>
      </c>
      <c r="I1214" s="528">
        <f>(M1214-G1214)*64</f>
        <v>0</v>
      </c>
      <c r="J1214" s="324"/>
      <c r="K1214" s="324"/>
      <c r="L1214" s="324"/>
      <c r="M1214" s="324">
        <f>E1214/0.0233/2880</f>
        <v>0</v>
      </c>
      <c r="N1214" s="324"/>
      <c r="O1214" s="324"/>
      <c r="P1214" s="324"/>
      <c r="Q1214" s="324" t="s">
        <v>18</v>
      </c>
      <c r="R1214" s="324"/>
      <c r="S1214" s="324" t="s">
        <v>19</v>
      </c>
      <c r="T1214" s="528">
        <v>8</v>
      </c>
      <c r="U1214" s="324">
        <f>E1214/259*60</f>
        <v>0</v>
      </c>
      <c r="V1214" s="676"/>
      <c r="W1214" s="528"/>
      <c r="X1214" s="529"/>
      <c r="Y1214" s="711"/>
      <c r="Z1214" s="312">
        <f>E1214/1.02</f>
        <v>0</v>
      </c>
      <c r="AA1214" s="316">
        <f>SUM(Z1214/459.1+0.25)</f>
        <v>0.25</v>
      </c>
    </row>
    <row r="1215" spans="1:27" s="327" customFormat="1" ht="53.25" thickBot="1" x14ac:dyDescent="0.45">
      <c r="A1215" s="319" t="s">
        <v>776</v>
      </c>
      <c r="B1215" s="365" t="s">
        <v>867</v>
      </c>
      <c r="C1215" s="528">
        <f t="shared" si="440"/>
        <v>0</v>
      </c>
      <c r="D1215" s="554"/>
      <c r="E1215" s="458">
        <f>C1215*3.5</f>
        <v>0</v>
      </c>
      <c r="F1215" s="358">
        <f>E1215*0.9*1.01/147</f>
        <v>0</v>
      </c>
      <c r="G1215" s="556">
        <f t="shared" ref="G1215:G1228" si="450">INT(M1215)</f>
        <v>0</v>
      </c>
      <c r="H1215" s="366" t="s">
        <v>18</v>
      </c>
      <c r="I1215" s="556">
        <f t="shared" ref="I1215:I1228" si="451">(M1215-G1215)*64</f>
        <v>0</v>
      </c>
      <c r="J1215" s="366" t="s">
        <v>19</v>
      </c>
      <c r="K1215" s="366"/>
      <c r="L1215" s="366"/>
      <c r="M1215" s="358">
        <f>(F1215*6533/3456)</f>
        <v>0</v>
      </c>
      <c r="N1215" s="555"/>
      <c r="O1215" s="555"/>
      <c r="P1215" s="555"/>
      <c r="Q1215" s="555" t="s">
        <v>18</v>
      </c>
      <c r="R1215" s="555"/>
      <c r="S1215" s="555" t="s">
        <v>19</v>
      </c>
      <c r="T1215" s="528">
        <v>7</v>
      </c>
      <c r="U1215" s="555">
        <f>E1215/324*60</f>
        <v>0</v>
      </c>
      <c r="V1215" s="686"/>
      <c r="W1215" s="553"/>
      <c r="X1215" s="555"/>
      <c r="Y1215" s="367"/>
      <c r="Z1215" s="312">
        <f t="shared" si="443"/>
        <v>0</v>
      </c>
      <c r="AA1215" s="316">
        <f>SUM(Z1215/470.9+0.25)</f>
        <v>0.25</v>
      </c>
    </row>
    <row r="1216" spans="1:27" s="327" customFormat="1" ht="53.25" thickBot="1" x14ac:dyDescent="0.45">
      <c r="A1216" s="319" t="s">
        <v>776</v>
      </c>
      <c r="B1216" s="365" t="s">
        <v>864</v>
      </c>
      <c r="C1216" s="528">
        <f t="shared" si="440"/>
        <v>0</v>
      </c>
      <c r="D1216" s="554"/>
      <c r="E1216" s="458">
        <f>C1216*2.5</f>
        <v>0</v>
      </c>
      <c r="F1216" s="358">
        <f>E1216*0.9*1.01/147</f>
        <v>0</v>
      </c>
      <c r="G1216" s="556">
        <f t="shared" si="450"/>
        <v>0</v>
      </c>
      <c r="H1216" s="366" t="s">
        <v>18</v>
      </c>
      <c r="I1216" s="556">
        <f t="shared" si="451"/>
        <v>0</v>
      </c>
      <c r="J1216" s="366" t="s">
        <v>19</v>
      </c>
      <c r="K1216" s="366"/>
      <c r="L1216" s="366"/>
      <c r="M1216" s="358">
        <f>(F1216*6533/3456)</f>
        <v>0</v>
      </c>
      <c r="N1216" s="555"/>
      <c r="O1216" s="555"/>
      <c r="P1216" s="555"/>
      <c r="Q1216" s="555" t="s">
        <v>18</v>
      </c>
      <c r="R1216" s="555"/>
      <c r="S1216" s="555" t="s">
        <v>19</v>
      </c>
      <c r="T1216" s="528">
        <v>7</v>
      </c>
      <c r="U1216" s="555">
        <f>E1216/324*60</f>
        <v>0</v>
      </c>
      <c r="V1216" s="686"/>
      <c r="W1216" s="553"/>
      <c r="X1216" s="555"/>
      <c r="Y1216" s="367"/>
      <c r="Z1216" s="312">
        <f t="shared" si="443"/>
        <v>0</v>
      </c>
      <c r="AA1216" s="316">
        <f>SUM(Z1216/470.9+0.25)</f>
        <v>0.25</v>
      </c>
    </row>
    <row r="1217" spans="1:28" ht="53.25" thickBot="1" x14ac:dyDescent="0.45">
      <c r="A1217" s="319" t="s">
        <v>776</v>
      </c>
      <c r="B1217" s="320" t="s">
        <v>872</v>
      </c>
      <c r="C1217" s="528">
        <f t="shared" si="440"/>
        <v>0</v>
      </c>
      <c r="D1217" s="528"/>
      <c r="E1217" s="456">
        <f>C1217*2.4</f>
        <v>0</v>
      </c>
      <c r="F1217" s="358">
        <f>E1217*1.02*0.99/147</f>
        <v>0</v>
      </c>
      <c r="G1217" s="548">
        <f t="shared" si="450"/>
        <v>0</v>
      </c>
      <c r="H1217" s="358" t="s">
        <v>18</v>
      </c>
      <c r="I1217" s="548">
        <f t="shared" si="451"/>
        <v>0</v>
      </c>
      <c r="J1217" s="358" t="s">
        <v>19</v>
      </c>
      <c r="K1217" s="358"/>
      <c r="L1217" s="358"/>
      <c r="M1217" s="358">
        <f>F1217*4983/2880</f>
        <v>0</v>
      </c>
      <c r="N1217" s="324"/>
      <c r="O1217" s="324"/>
      <c r="P1217" s="324"/>
      <c r="Q1217" s="324" t="s">
        <v>18</v>
      </c>
      <c r="R1217" s="324"/>
      <c r="S1217" s="324" t="s">
        <v>19</v>
      </c>
      <c r="T1217" s="528">
        <v>7</v>
      </c>
      <c r="U1217" s="324">
        <f>E1217/420*60</f>
        <v>0</v>
      </c>
      <c r="V1217" s="676"/>
      <c r="W1217" s="528"/>
      <c r="X1217" s="529"/>
      <c r="Y1217" s="323"/>
      <c r="Z1217" s="312">
        <f t="shared" si="443"/>
        <v>0</v>
      </c>
      <c r="AA1217" s="316">
        <f>SUM(Z1217/540.7+0.25)</f>
        <v>0.25</v>
      </c>
    </row>
    <row r="1218" spans="1:28" s="327" customFormat="1" ht="53.25" thickBot="1" x14ac:dyDescent="0.45">
      <c r="A1218" s="319" t="s">
        <v>776</v>
      </c>
      <c r="B1218" s="365" t="s">
        <v>841</v>
      </c>
      <c r="C1218" s="528">
        <f t="shared" si="440"/>
        <v>0</v>
      </c>
      <c r="D1218" s="554"/>
      <c r="E1218" s="458">
        <f>C1218*4.5</f>
        <v>0</v>
      </c>
      <c r="F1218" s="358">
        <f>E1218*0.9*1.01/147</f>
        <v>0</v>
      </c>
      <c r="G1218" s="548">
        <f t="shared" si="450"/>
        <v>0</v>
      </c>
      <c r="H1218" s="358" t="s">
        <v>18</v>
      </c>
      <c r="I1218" s="548">
        <f t="shared" si="451"/>
        <v>0</v>
      </c>
      <c r="J1218" s="358" t="s">
        <v>19</v>
      </c>
      <c r="K1218" s="358"/>
      <c r="L1218" s="358"/>
      <c r="M1218" s="358">
        <f>(F1218*6533/3456)</f>
        <v>0</v>
      </c>
      <c r="N1218" s="555"/>
      <c r="O1218" s="555"/>
      <c r="P1218" s="555"/>
      <c r="Q1218" s="555" t="s">
        <v>18</v>
      </c>
      <c r="R1218" s="555"/>
      <c r="S1218" s="555" t="s">
        <v>19</v>
      </c>
      <c r="T1218" s="528">
        <v>7</v>
      </c>
      <c r="U1218" s="555">
        <f>E1218/324*60</f>
        <v>0</v>
      </c>
      <c r="V1218" s="686"/>
      <c r="W1218" s="553"/>
      <c r="X1218" s="555"/>
      <c r="Y1218" s="367"/>
      <c r="Z1218" s="312">
        <f t="shared" si="443"/>
        <v>0</v>
      </c>
      <c r="AA1218" s="316">
        <f>SUM(Z1218/470.9+0.25)</f>
        <v>0.25</v>
      </c>
    </row>
    <row r="1219" spans="1:28" s="327" customFormat="1" ht="53.25" thickBot="1" x14ac:dyDescent="0.45">
      <c r="A1219" s="319" t="s">
        <v>776</v>
      </c>
      <c r="B1219" s="365" t="s">
        <v>903</v>
      </c>
      <c r="C1219" s="553">
        <f t="shared" si="440"/>
        <v>0</v>
      </c>
      <c r="D1219" s="554"/>
      <c r="E1219" s="458">
        <f>C1219*4.5</f>
        <v>0</v>
      </c>
      <c r="F1219" s="358">
        <f>E1219*0.9*1.01/147</f>
        <v>0</v>
      </c>
      <c r="G1219" s="548">
        <f t="shared" si="450"/>
        <v>0</v>
      </c>
      <c r="H1219" s="358" t="s">
        <v>18</v>
      </c>
      <c r="I1219" s="548">
        <f t="shared" si="451"/>
        <v>0</v>
      </c>
      <c r="J1219" s="358" t="s">
        <v>19</v>
      </c>
      <c r="K1219" s="358"/>
      <c r="L1219" s="358"/>
      <c r="M1219" s="358">
        <f>(F1219*6533/3456)</f>
        <v>0</v>
      </c>
      <c r="N1219" s="555"/>
      <c r="O1219" s="555"/>
      <c r="P1219" s="555"/>
      <c r="Q1219" s="555" t="s">
        <v>18</v>
      </c>
      <c r="R1219" s="555"/>
      <c r="S1219" s="555" t="s">
        <v>19</v>
      </c>
      <c r="T1219" s="528">
        <v>7</v>
      </c>
      <c r="U1219" s="555">
        <f>E1219/324*60</f>
        <v>0</v>
      </c>
      <c r="V1219" s="686"/>
      <c r="W1219" s="553"/>
      <c r="X1219" s="555"/>
      <c r="Y1219" s="367"/>
      <c r="Z1219" s="312">
        <f t="shared" si="443"/>
        <v>0</v>
      </c>
      <c r="AA1219" s="316">
        <f>SUM(Z1219/417.2+0.25)</f>
        <v>0.25</v>
      </c>
      <c r="AB1219" s="310"/>
    </row>
    <row r="1220" spans="1:28" s="327" customFormat="1" ht="53.25" thickBot="1" x14ac:dyDescent="0.45">
      <c r="A1220" s="319" t="s">
        <v>776</v>
      </c>
      <c r="B1220" s="365" t="s">
        <v>914</v>
      </c>
      <c r="C1220" s="553">
        <f t="shared" si="440"/>
        <v>0</v>
      </c>
      <c r="D1220" s="554"/>
      <c r="E1220" s="458">
        <f>C1220*4.5</f>
        <v>0</v>
      </c>
      <c r="F1220" s="358">
        <f>E1220*0.9*1.01/147</f>
        <v>0</v>
      </c>
      <c r="G1220" s="548">
        <f t="shared" si="450"/>
        <v>0</v>
      </c>
      <c r="H1220" s="358" t="s">
        <v>18</v>
      </c>
      <c r="I1220" s="548">
        <f t="shared" si="451"/>
        <v>0</v>
      </c>
      <c r="J1220" s="358" t="s">
        <v>19</v>
      </c>
      <c r="K1220" s="358"/>
      <c r="L1220" s="358"/>
      <c r="M1220" s="358">
        <f>(F1220*6533/3456)</f>
        <v>0</v>
      </c>
      <c r="N1220" s="555"/>
      <c r="O1220" s="555"/>
      <c r="P1220" s="555"/>
      <c r="Q1220" s="555" t="s">
        <v>18</v>
      </c>
      <c r="R1220" s="555"/>
      <c r="S1220" s="555" t="s">
        <v>19</v>
      </c>
      <c r="T1220" s="528">
        <v>7</v>
      </c>
      <c r="U1220" s="555">
        <f>E1220/324*60</f>
        <v>0</v>
      </c>
      <c r="V1220" s="686"/>
      <c r="W1220" s="553"/>
      <c r="X1220" s="555"/>
      <c r="Y1220" s="367"/>
      <c r="Z1220" s="312">
        <f t="shared" si="443"/>
        <v>0</v>
      </c>
      <c r="AA1220" s="316">
        <f>SUM(Z1220/417.2+0.25)</f>
        <v>0.25</v>
      </c>
      <c r="AB1220" s="310"/>
    </row>
    <row r="1221" spans="1:28" s="327" customFormat="1" ht="53.25" thickBot="1" x14ac:dyDescent="0.45">
      <c r="A1221" s="319" t="s">
        <v>776</v>
      </c>
      <c r="B1221" s="365" t="s">
        <v>853</v>
      </c>
      <c r="C1221" s="553">
        <f t="shared" si="440"/>
        <v>0</v>
      </c>
      <c r="D1221" s="554"/>
      <c r="E1221" s="458">
        <f>C1221*3.5</f>
        <v>0</v>
      </c>
      <c r="F1221" s="358">
        <f>E1221*0.9*1.01/147</f>
        <v>0</v>
      </c>
      <c r="G1221" s="548">
        <f>INT(M1221)</f>
        <v>0</v>
      </c>
      <c r="H1221" s="358" t="s">
        <v>18</v>
      </c>
      <c r="I1221" s="548">
        <f>(M1221-G1221)*64</f>
        <v>0</v>
      </c>
      <c r="J1221" s="358" t="s">
        <v>19</v>
      </c>
      <c r="K1221" s="358"/>
      <c r="L1221" s="358"/>
      <c r="M1221" s="358">
        <f>(F1221*6533/3456)</f>
        <v>0</v>
      </c>
      <c r="N1221" s="366"/>
      <c r="O1221" s="366"/>
      <c r="P1221" s="366"/>
      <c r="Q1221" s="366" t="s">
        <v>18</v>
      </c>
      <c r="R1221" s="366"/>
      <c r="S1221" s="366" t="s">
        <v>19</v>
      </c>
      <c r="T1221" s="528">
        <v>7</v>
      </c>
      <c r="U1221" s="555">
        <f>E1221/324*60</f>
        <v>0</v>
      </c>
      <c r="V1221" s="686"/>
      <c r="W1221" s="553"/>
      <c r="X1221" s="555"/>
      <c r="Y1221" s="367"/>
      <c r="Z1221" s="312">
        <f t="shared" si="443"/>
        <v>0</v>
      </c>
      <c r="AA1221" s="316">
        <f>SUM(Z1221/470.9+0.25)</f>
        <v>0.25</v>
      </c>
    </row>
    <row r="1222" spans="1:28" ht="53.25" thickBot="1" x14ac:dyDescent="0.45">
      <c r="A1222" s="319" t="s">
        <v>776</v>
      </c>
      <c r="B1222" s="320" t="s">
        <v>854</v>
      </c>
      <c r="C1222" s="528">
        <f t="shared" si="440"/>
        <v>0</v>
      </c>
      <c r="D1222" s="528"/>
      <c r="E1222" s="456">
        <f t="shared" ref="E1222:E1228" si="452">C1222*1</f>
        <v>0</v>
      </c>
      <c r="F1222" s="358">
        <f>E1222*1.02*0.99/147</f>
        <v>0</v>
      </c>
      <c r="G1222" s="548">
        <f t="shared" si="450"/>
        <v>0</v>
      </c>
      <c r="H1222" s="358" t="s">
        <v>18</v>
      </c>
      <c r="I1222" s="548">
        <f t="shared" si="451"/>
        <v>0</v>
      </c>
      <c r="J1222" s="358" t="s">
        <v>19</v>
      </c>
      <c r="K1222" s="358"/>
      <c r="L1222" s="358"/>
      <c r="M1222" s="358">
        <f>F1222*4983/2880</f>
        <v>0</v>
      </c>
      <c r="N1222" s="358"/>
      <c r="O1222" s="358"/>
      <c r="P1222" s="358"/>
      <c r="Q1222" s="358" t="s">
        <v>18</v>
      </c>
      <c r="R1222" s="358"/>
      <c r="S1222" s="358" t="s">
        <v>19</v>
      </c>
      <c r="T1222" s="528">
        <v>8</v>
      </c>
      <c r="U1222" s="324">
        <f t="shared" ref="U1222:U1231" si="453">E1222/420*60</f>
        <v>0</v>
      </c>
      <c r="V1222" s="676"/>
      <c r="W1222" s="528"/>
      <c r="X1222" s="529"/>
      <c r="Y1222" s="323"/>
      <c r="Z1222" s="312">
        <f t="shared" si="443"/>
        <v>0</v>
      </c>
      <c r="AA1222" s="316">
        <f>SUM(Z1222/540.7+0.25)</f>
        <v>0.25</v>
      </c>
    </row>
    <row r="1223" spans="1:28" ht="53.25" thickBot="1" x14ac:dyDescent="0.45">
      <c r="A1223" s="319" t="s">
        <v>776</v>
      </c>
      <c r="B1223" s="799" t="s">
        <v>1204</v>
      </c>
      <c r="C1223" s="528">
        <f t="shared" si="440"/>
        <v>0</v>
      </c>
      <c r="D1223" s="528"/>
      <c r="E1223" s="456">
        <f>C1223*1</f>
        <v>0</v>
      </c>
      <c r="F1223" s="358">
        <f>E1223*1.02*0.99/147</f>
        <v>0</v>
      </c>
      <c r="G1223" s="548">
        <f>INT(M1223)</f>
        <v>0</v>
      </c>
      <c r="H1223" s="358" t="s">
        <v>18</v>
      </c>
      <c r="I1223" s="548">
        <f>(M1223-G1223)*64</f>
        <v>0</v>
      </c>
      <c r="J1223" s="358" t="s">
        <v>19</v>
      </c>
      <c r="K1223" s="358"/>
      <c r="L1223" s="358"/>
      <c r="M1223" s="358">
        <f>F1223*4983/2880</f>
        <v>0</v>
      </c>
      <c r="N1223" s="358"/>
      <c r="O1223" s="358"/>
      <c r="P1223" s="358"/>
      <c r="Q1223" s="358" t="s">
        <v>18</v>
      </c>
      <c r="R1223" s="358"/>
      <c r="S1223" s="358" t="s">
        <v>19</v>
      </c>
      <c r="T1223" s="528">
        <v>8</v>
      </c>
      <c r="U1223" s="324">
        <f>E1223/420*60</f>
        <v>0</v>
      </c>
      <c r="V1223" s="676"/>
      <c r="W1223" s="528"/>
      <c r="X1223" s="529"/>
      <c r="Y1223" s="323"/>
      <c r="Z1223" s="312">
        <f>E1223</f>
        <v>0</v>
      </c>
      <c r="AA1223" s="316">
        <f>SUM(Z1223/540.7+0.25)</f>
        <v>0.25</v>
      </c>
    </row>
    <row r="1224" spans="1:28" ht="53.25" thickBot="1" x14ac:dyDescent="0.45">
      <c r="A1224" s="319" t="s">
        <v>776</v>
      </c>
      <c r="B1224" s="320" t="s">
        <v>902</v>
      </c>
      <c r="C1224" s="528">
        <f t="shared" si="440"/>
        <v>0</v>
      </c>
      <c r="D1224" s="528"/>
      <c r="E1224" s="456">
        <f t="shared" si="452"/>
        <v>0</v>
      </c>
      <c r="F1224" s="358">
        <f>E1224*1.02*0.99/147</f>
        <v>0</v>
      </c>
      <c r="G1224" s="548">
        <f t="shared" si="450"/>
        <v>0</v>
      </c>
      <c r="H1224" s="358" t="s">
        <v>18</v>
      </c>
      <c r="I1224" s="548">
        <f t="shared" si="451"/>
        <v>0</v>
      </c>
      <c r="J1224" s="358" t="s">
        <v>19</v>
      </c>
      <c r="K1224" s="358"/>
      <c r="L1224" s="358"/>
      <c r="M1224" s="358">
        <f>F1224*4983/2880</f>
        <v>0</v>
      </c>
      <c r="N1224" s="358"/>
      <c r="O1224" s="358"/>
      <c r="P1224" s="358"/>
      <c r="Q1224" s="358" t="s">
        <v>18</v>
      </c>
      <c r="R1224" s="358"/>
      <c r="S1224" s="358" t="s">
        <v>19</v>
      </c>
      <c r="T1224" s="528">
        <v>8</v>
      </c>
      <c r="U1224" s="324">
        <f t="shared" si="453"/>
        <v>0</v>
      </c>
      <c r="V1224" s="676"/>
      <c r="W1224" s="528"/>
      <c r="X1224" s="529"/>
      <c r="Y1224" s="323"/>
      <c r="Z1224" s="312">
        <f t="shared" si="443"/>
        <v>0</v>
      </c>
      <c r="AA1224" s="316">
        <f>SUM(Z1224/540.7+0.25)</f>
        <v>0.25</v>
      </c>
    </row>
    <row r="1225" spans="1:28" ht="53.25" thickBot="1" x14ac:dyDescent="0.45">
      <c r="A1225" s="319" t="s">
        <v>776</v>
      </c>
      <c r="B1225" s="799" t="s">
        <v>1206</v>
      </c>
      <c r="C1225" s="528">
        <f t="shared" si="440"/>
        <v>0</v>
      </c>
      <c r="D1225" s="528"/>
      <c r="E1225" s="456">
        <f>C1225*1</f>
        <v>0</v>
      </c>
      <c r="F1225" s="358">
        <f>E1225*1.02*0.99/147</f>
        <v>0</v>
      </c>
      <c r="G1225" s="548">
        <f>INT(M1225)</f>
        <v>0</v>
      </c>
      <c r="H1225" s="358" t="s">
        <v>18</v>
      </c>
      <c r="I1225" s="548">
        <f>(M1225-G1225)*64</f>
        <v>0</v>
      </c>
      <c r="J1225" s="358" t="s">
        <v>19</v>
      </c>
      <c r="K1225" s="358"/>
      <c r="L1225" s="358"/>
      <c r="M1225" s="358">
        <f>F1225*4983/2880</f>
        <v>0</v>
      </c>
      <c r="N1225" s="358"/>
      <c r="O1225" s="358"/>
      <c r="P1225" s="358"/>
      <c r="Q1225" s="358" t="s">
        <v>18</v>
      </c>
      <c r="R1225" s="358"/>
      <c r="S1225" s="358" t="s">
        <v>19</v>
      </c>
      <c r="T1225" s="528">
        <v>8</v>
      </c>
      <c r="U1225" s="324">
        <f>E1225/420*60</f>
        <v>0</v>
      </c>
      <c r="V1225" s="676"/>
      <c r="W1225" s="528"/>
      <c r="X1225" s="529"/>
      <c r="Y1225" s="323"/>
      <c r="Z1225" s="312">
        <f>E1225</f>
        <v>0</v>
      </c>
      <c r="AA1225" s="316">
        <f>SUM(Z1225/540.7+0.25)</f>
        <v>0.25</v>
      </c>
    </row>
    <row r="1226" spans="1:28" ht="77.25" thickBot="1" x14ac:dyDescent="0.45">
      <c r="A1226" s="319" t="s">
        <v>776</v>
      </c>
      <c r="B1226" s="320" t="s">
        <v>900</v>
      </c>
      <c r="C1226" s="528">
        <f t="shared" si="440"/>
        <v>0</v>
      </c>
      <c r="D1226" s="554"/>
      <c r="E1226" s="458">
        <f t="shared" si="452"/>
        <v>0</v>
      </c>
      <c r="F1226" s="358">
        <f>E1226*0.9*1.01/147</f>
        <v>0</v>
      </c>
      <c r="G1226" s="556">
        <f t="shared" si="450"/>
        <v>0</v>
      </c>
      <c r="H1226" s="366" t="s">
        <v>18</v>
      </c>
      <c r="I1226" s="556">
        <f t="shared" si="451"/>
        <v>0</v>
      </c>
      <c r="J1226" s="366" t="s">
        <v>19</v>
      </c>
      <c r="K1226" s="366"/>
      <c r="L1226" s="366"/>
      <c r="M1226" s="358">
        <f>(F1226*6533/3456)</f>
        <v>0</v>
      </c>
      <c r="N1226" s="366"/>
      <c r="O1226" s="366"/>
      <c r="P1226" s="366"/>
      <c r="Q1226" s="366" t="s">
        <v>18</v>
      </c>
      <c r="R1226" s="366"/>
      <c r="S1226" s="366" t="s">
        <v>19</v>
      </c>
      <c r="T1226" s="528">
        <v>8</v>
      </c>
      <c r="U1226" s="324">
        <f t="shared" si="453"/>
        <v>0</v>
      </c>
      <c r="V1226" s="676"/>
      <c r="W1226" s="528"/>
      <c r="X1226" s="529"/>
      <c r="Y1226" s="367"/>
      <c r="Z1226" s="312">
        <f t="shared" si="443"/>
        <v>0</v>
      </c>
      <c r="AA1226" s="316">
        <f>SUM(Z1226/479.1+0.25)</f>
        <v>0.25</v>
      </c>
    </row>
    <row r="1227" spans="1:28" ht="77.25" thickBot="1" x14ac:dyDescent="0.45">
      <c r="A1227" s="319" t="s">
        <v>776</v>
      </c>
      <c r="B1227" s="320" t="s">
        <v>901</v>
      </c>
      <c r="C1227" s="528">
        <f t="shared" si="440"/>
        <v>0</v>
      </c>
      <c r="D1227" s="554"/>
      <c r="E1227" s="458">
        <f t="shared" si="452"/>
        <v>0</v>
      </c>
      <c r="F1227" s="358">
        <f>E1227*0.9*1.01/147</f>
        <v>0</v>
      </c>
      <c r="G1227" s="556">
        <f t="shared" si="450"/>
        <v>0</v>
      </c>
      <c r="H1227" s="366" t="s">
        <v>18</v>
      </c>
      <c r="I1227" s="556">
        <f t="shared" si="451"/>
        <v>0</v>
      </c>
      <c r="J1227" s="366" t="s">
        <v>19</v>
      </c>
      <c r="K1227" s="366"/>
      <c r="L1227" s="366"/>
      <c r="M1227" s="358">
        <f>(F1227*6533/3456)</f>
        <v>0</v>
      </c>
      <c r="N1227" s="366"/>
      <c r="O1227" s="366"/>
      <c r="P1227" s="366"/>
      <c r="Q1227" s="366" t="s">
        <v>18</v>
      </c>
      <c r="R1227" s="366"/>
      <c r="S1227" s="366" t="s">
        <v>19</v>
      </c>
      <c r="T1227" s="528">
        <v>8</v>
      </c>
      <c r="U1227" s="324">
        <f t="shared" si="453"/>
        <v>0</v>
      </c>
      <c r="V1227" s="676"/>
      <c r="W1227" s="528"/>
      <c r="X1227" s="529"/>
      <c r="Y1227" s="367"/>
      <c r="Z1227" s="312">
        <f t="shared" si="443"/>
        <v>0</v>
      </c>
      <c r="AA1227" s="316">
        <f>SUM(Z1227/470.9+0.25)</f>
        <v>0.25</v>
      </c>
    </row>
    <row r="1228" spans="1:28" ht="53.25" thickBot="1" x14ac:dyDescent="0.45">
      <c r="A1228" s="319" t="s">
        <v>776</v>
      </c>
      <c r="B1228" s="320" t="s">
        <v>915</v>
      </c>
      <c r="C1228" s="528">
        <f t="shared" si="440"/>
        <v>0</v>
      </c>
      <c r="D1228" s="528"/>
      <c r="E1228" s="456">
        <f t="shared" si="452"/>
        <v>0</v>
      </c>
      <c r="F1228" s="358">
        <f t="shared" ref="F1228:F1234" si="454">E1228*1.02*0.99/147</f>
        <v>0</v>
      </c>
      <c r="G1228" s="548">
        <f t="shared" si="450"/>
        <v>0</v>
      </c>
      <c r="H1228" s="358" t="s">
        <v>18</v>
      </c>
      <c r="I1228" s="548">
        <f t="shared" si="451"/>
        <v>0</v>
      </c>
      <c r="J1228" s="358" t="s">
        <v>19</v>
      </c>
      <c r="K1228" s="358"/>
      <c r="L1228" s="358"/>
      <c r="M1228" s="358">
        <f t="shared" ref="M1228:M1234" si="455">F1228*4983/2880</f>
        <v>0</v>
      </c>
      <c r="N1228" s="358"/>
      <c r="O1228" s="358"/>
      <c r="P1228" s="358"/>
      <c r="Q1228" s="358" t="s">
        <v>18</v>
      </c>
      <c r="R1228" s="358"/>
      <c r="S1228" s="358" t="s">
        <v>19</v>
      </c>
      <c r="T1228" s="548">
        <v>8</v>
      </c>
      <c r="U1228" s="324">
        <f t="shared" si="453"/>
        <v>0</v>
      </c>
      <c r="V1228" s="676"/>
      <c r="W1228" s="528"/>
      <c r="X1228" s="529"/>
      <c r="Y1228" s="360"/>
      <c r="Z1228" s="312">
        <f t="shared" si="443"/>
        <v>0</v>
      </c>
      <c r="AA1228" s="316">
        <f>SUM(Z1228/540.7+0.25)</f>
        <v>0.25</v>
      </c>
    </row>
    <row r="1229" spans="1:28" ht="53.25" thickBot="1" x14ac:dyDescent="0.45">
      <c r="A1229" s="319" t="s">
        <v>776</v>
      </c>
      <c r="B1229" s="799" t="s">
        <v>1205</v>
      </c>
      <c r="C1229" s="528">
        <f t="shared" si="440"/>
        <v>0</v>
      </c>
      <c r="D1229" s="528"/>
      <c r="E1229" s="456">
        <f>C1229*1</f>
        <v>0</v>
      </c>
      <c r="F1229" s="358">
        <f>E1229*1.02*0.99/147</f>
        <v>0</v>
      </c>
      <c r="G1229" s="548">
        <f t="shared" ref="G1229:G1234" si="456">INT(M1229)</f>
        <v>0</v>
      </c>
      <c r="H1229" s="358" t="s">
        <v>18</v>
      </c>
      <c r="I1229" s="548">
        <f t="shared" ref="I1229:I1234" si="457">(M1229-G1229)*64</f>
        <v>0</v>
      </c>
      <c r="J1229" s="358" t="s">
        <v>19</v>
      </c>
      <c r="K1229" s="358"/>
      <c r="L1229" s="358"/>
      <c r="M1229" s="358">
        <f>F1229*4983/2880</f>
        <v>0</v>
      </c>
      <c r="N1229" s="358"/>
      <c r="O1229" s="358"/>
      <c r="P1229" s="358"/>
      <c r="Q1229" s="358" t="s">
        <v>18</v>
      </c>
      <c r="R1229" s="358"/>
      <c r="S1229" s="358" t="s">
        <v>19</v>
      </c>
      <c r="T1229" s="548">
        <v>8</v>
      </c>
      <c r="U1229" s="324">
        <f>E1229/420*60</f>
        <v>0</v>
      </c>
      <c r="V1229" s="676"/>
      <c r="W1229" s="528"/>
      <c r="X1229" s="529"/>
      <c r="Y1229" s="360"/>
      <c r="Z1229" s="312">
        <f>E1229</f>
        <v>0</v>
      </c>
      <c r="AA1229" s="316">
        <f>SUM(Z1229/540.7+0.25)</f>
        <v>0.25</v>
      </c>
    </row>
    <row r="1230" spans="1:28" ht="53.25" thickBot="1" x14ac:dyDescent="0.45">
      <c r="A1230" s="319" t="s">
        <v>776</v>
      </c>
      <c r="B1230" s="320" t="s">
        <v>916</v>
      </c>
      <c r="C1230" s="528">
        <f t="shared" si="440"/>
        <v>0</v>
      </c>
      <c r="D1230" s="525"/>
      <c r="E1230" s="456">
        <f>C1230*1</f>
        <v>0</v>
      </c>
      <c r="F1230" s="358">
        <f>E1230*1.02*0.99/147</f>
        <v>0</v>
      </c>
      <c r="G1230" s="548">
        <f t="shared" si="456"/>
        <v>0</v>
      </c>
      <c r="H1230" s="358" t="s">
        <v>18</v>
      </c>
      <c r="I1230" s="548">
        <f t="shared" si="457"/>
        <v>0</v>
      </c>
      <c r="J1230" s="358" t="s">
        <v>19</v>
      </c>
      <c r="K1230" s="358"/>
      <c r="L1230" s="358"/>
      <c r="M1230" s="358">
        <f>F1230*6391/2880</f>
        <v>0</v>
      </c>
      <c r="N1230" s="358"/>
      <c r="O1230" s="358"/>
      <c r="P1230" s="358"/>
      <c r="Q1230" s="358" t="s">
        <v>18</v>
      </c>
      <c r="R1230" s="358"/>
      <c r="S1230" s="358" t="s">
        <v>19</v>
      </c>
      <c r="T1230" s="528">
        <v>8</v>
      </c>
      <c r="U1230" s="324">
        <f t="shared" si="453"/>
        <v>0</v>
      </c>
      <c r="V1230" s="676"/>
      <c r="W1230" s="528"/>
      <c r="X1230" s="529"/>
      <c r="Y1230" s="323"/>
      <c r="Z1230" s="312">
        <f t="shared" si="443"/>
        <v>0</v>
      </c>
      <c r="AA1230" s="316">
        <f>SUM(Z1230/540.7+0.25)</f>
        <v>0.25</v>
      </c>
    </row>
    <row r="1231" spans="1:28" ht="53.25" thickBot="1" x14ac:dyDescent="0.45">
      <c r="A1231" s="319" t="s">
        <v>776</v>
      </c>
      <c r="B1231" s="320" t="s">
        <v>1064</v>
      </c>
      <c r="C1231" s="528">
        <f t="shared" si="440"/>
        <v>0</v>
      </c>
      <c r="D1231" s="525"/>
      <c r="E1231" s="545">
        <f>C1231*1</f>
        <v>0</v>
      </c>
      <c r="F1231" s="461">
        <f>E1231*1.02*0.99/147</f>
        <v>0</v>
      </c>
      <c r="G1231" s="525">
        <f t="shared" si="456"/>
        <v>0</v>
      </c>
      <c r="H1231" s="461" t="s">
        <v>18</v>
      </c>
      <c r="I1231" s="525">
        <f t="shared" si="457"/>
        <v>0</v>
      </c>
      <c r="J1231" s="461" t="s">
        <v>19</v>
      </c>
      <c r="K1231" s="461"/>
      <c r="L1231" s="461"/>
      <c r="M1231" s="461">
        <f>F1231*6391/2880</f>
        <v>0</v>
      </c>
      <c r="N1231" s="461"/>
      <c r="O1231" s="461"/>
      <c r="P1231" s="324"/>
      <c r="Q1231" s="324" t="s">
        <v>18</v>
      </c>
      <c r="R1231" s="324"/>
      <c r="S1231" s="324" t="s">
        <v>19</v>
      </c>
      <c r="T1231" s="528">
        <v>8</v>
      </c>
      <c r="U1231" s="324">
        <f t="shared" si="453"/>
        <v>0</v>
      </c>
      <c r="V1231" s="676"/>
      <c r="W1231" s="528"/>
      <c r="X1231" s="529"/>
      <c r="Y1231" s="323"/>
      <c r="Z1231" s="312">
        <f>E1231</f>
        <v>0</v>
      </c>
      <c r="AA1231" s="316">
        <f>SUM(Z1231/540.7+0.25)</f>
        <v>0.25</v>
      </c>
    </row>
    <row r="1232" spans="1:28" ht="53.25" thickBot="1" x14ac:dyDescent="0.45">
      <c r="A1232" s="319" t="s">
        <v>776</v>
      </c>
      <c r="B1232" s="320" t="s">
        <v>1034</v>
      </c>
      <c r="C1232" s="528">
        <f t="shared" si="440"/>
        <v>0</v>
      </c>
      <c r="D1232" s="528"/>
      <c r="E1232" s="456">
        <f>C1232*4</f>
        <v>0</v>
      </c>
      <c r="F1232" s="358">
        <f t="shared" si="454"/>
        <v>0</v>
      </c>
      <c r="G1232" s="548">
        <f t="shared" si="456"/>
        <v>0</v>
      </c>
      <c r="H1232" s="358" t="s">
        <v>18</v>
      </c>
      <c r="I1232" s="548">
        <f t="shared" si="457"/>
        <v>0</v>
      </c>
      <c r="J1232" s="358" t="s">
        <v>19</v>
      </c>
      <c r="K1232" s="358"/>
      <c r="L1232" s="358"/>
      <c r="M1232" s="358">
        <f t="shared" si="455"/>
        <v>0</v>
      </c>
      <c r="N1232" s="324"/>
      <c r="O1232" s="324"/>
      <c r="P1232" s="324"/>
      <c r="Q1232" s="324" t="s">
        <v>18</v>
      </c>
      <c r="R1232" s="324"/>
      <c r="S1232" s="324" t="s">
        <v>19</v>
      </c>
      <c r="T1232" s="528">
        <v>7</v>
      </c>
      <c r="U1232" s="324">
        <f>E1232/259*60</f>
        <v>0</v>
      </c>
      <c r="V1232" s="676"/>
      <c r="W1232" s="528"/>
      <c r="X1232" s="529"/>
      <c r="Y1232" s="323"/>
      <c r="Z1232" s="312">
        <f t="shared" si="443"/>
        <v>0</v>
      </c>
      <c r="AA1232" s="316">
        <f>SUM(Z1232/479+0.25)</f>
        <v>0.25</v>
      </c>
    </row>
    <row r="1233" spans="1:27" ht="77.25" thickBot="1" x14ac:dyDescent="0.45">
      <c r="A1233" s="319" t="s">
        <v>776</v>
      </c>
      <c r="B1233" s="320" t="s">
        <v>917</v>
      </c>
      <c r="C1233" s="528">
        <f>C1098</f>
        <v>0</v>
      </c>
      <c r="D1233" s="528"/>
      <c r="E1233" s="456">
        <f>C1233*4</f>
        <v>0</v>
      </c>
      <c r="F1233" s="358">
        <f t="shared" si="454"/>
        <v>0</v>
      </c>
      <c r="G1233" s="548">
        <f t="shared" si="456"/>
        <v>0</v>
      </c>
      <c r="H1233" s="358" t="s">
        <v>18</v>
      </c>
      <c r="I1233" s="548">
        <f t="shared" si="457"/>
        <v>0</v>
      </c>
      <c r="J1233" s="358" t="s">
        <v>19</v>
      </c>
      <c r="K1233" s="358"/>
      <c r="L1233" s="358"/>
      <c r="M1233" s="358">
        <f t="shared" si="455"/>
        <v>0</v>
      </c>
      <c r="N1233" s="358"/>
      <c r="O1233" s="358"/>
      <c r="P1233" s="358"/>
      <c r="Q1233" s="358" t="s">
        <v>18</v>
      </c>
      <c r="R1233" s="358"/>
      <c r="S1233" s="358" t="s">
        <v>19</v>
      </c>
      <c r="T1233" s="528">
        <v>8</v>
      </c>
      <c r="U1233" s="324">
        <f>E1233/324*60</f>
        <v>0</v>
      </c>
      <c r="V1233" s="676"/>
      <c r="W1233" s="528"/>
      <c r="X1233" s="529"/>
      <c r="Y1233" s="360"/>
      <c r="Z1233" s="312">
        <f t="shared" si="443"/>
        <v>0</v>
      </c>
      <c r="AA1233" s="316">
        <f>SUM(Z1233/483.8+0.25)</f>
        <v>0.25</v>
      </c>
    </row>
    <row r="1234" spans="1:27" ht="77.25" thickBot="1" x14ac:dyDescent="0.45">
      <c r="A1234" s="319" t="s">
        <v>776</v>
      </c>
      <c r="B1234" s="320" t="s">
        <v>1063</v>
      </c>
      <c r="C1234" s="528">
        <f>C1097</f>
        <v>0</v>
      </c>
      <c r="D1234" s="528"/>
      <c r="E1234" s="460">
        <f>C1234*2</f>
        <v>0</v>
      </c>
      <c r="F1234" s="324">
        <f t="shared" si="454"/>
        <v>0</v>
      </c>
      <c r="G1234" s="528">
        <f t="shared" si="456"/>
        <v>0</v>
      </c>
      <c r="H1234" s="324" t="s">
        <v>18</v>
      </c>
      <c r="I1234" s="528">
        <f t="shared" si="457"/>
        <v>0</v>
      </c>
      <c r="J1234" s="324" t="s">
        <v>19</v>
      </c>
      <c r="K1234" s="324"/>
      <c r="L1234" s="324"/>
      <c r="M1234" s="324">
        <f t="shared" si="455"/>
        <v>0</v>
      </c>
      <c r="N1234" s="324"/>
      <c r="O1234" s="324"/>
      <c r="P1234" s="324"/>
      <c r="Q1234" s="324" t="s">
        <v>18</v>
      </c>
      <c r="R1234" s="324"/>
      <c r="S1234" s="324" t="s">
        <v>19</v>
      </c>
      <c r="T1234" s="528">
        <v>8</v>
      </c>
      <c r="U1234" s="324">
        <f>E1234/324*60</f>
        <v>0</v>
      </c>
      <c r="V1234" s="676"/>
      <c r="W1234" s="528"/>
      <c r="X1234" s="529"/>
      <c r="Y1234" s="360"/>
      <c r="Z1234" s="312">
        <f t="shared" si="443"/>
        <v>0</v>
      </c>
      <c r="AA1234" s="316">
        <f>SUM(Z1234/483.8+0.25)</f>
        <v>0.25</v>
      </c>
    </row>
    <row r="1235" spans="1:27" thickBot="1" x14ac:dyDescent="0.45">
      <c r="A1235" s="830"/>
      <c r="B1235" s="332" t="s">
        <v>286</v>
      </c>
      <c r="C1235" s="347"/>
      <c r="D1235" s="347"/>
      <c r="E1235" s="494"/>
      <c r="F1235" s="348"/>
      <c r="G1235" s="347"/>
      <c r="H1235" s="348"/>
      <c r="I1235" s="347"/>
      <c r="J1235" s="348"/>
      <c r="K1235" s="348"/>
      <c r="L1235" s="348"/>
      <c r="M1235" s="348"/>
      <c r="N1235" s="348"/>
      <c r="O1235" s="348"/>
      <c r="P1235" s="348"/>
      <c r="Q1235" s="348"/>
      <c r="R1235" s="348"/>
      <c r="S1235" s="348"/>
      <c r="T1235" s="347"/>
      <c r="U1235" s="348"/>
      <c r="V1235" s="356"/>
      <c r="W1235" s="348"/>
      <c r="X1235" s="495"/>
      <c r="Y1235" s="357"/>
    </row>
    <row r="1236" spans="1:27" ht="53.25" thickBot="1" x14ac:dyDescent="0.45">
      <c r="A1236" s="319" t="s">
        <v>776</v>
      </c>
      <c r="B1236" s="319" t="s">
        <v>999</v>
      </c>
      <c r="C1236" s="528">
        <f t="shared" ref="C1236:C1243" si="458">C1100</f>
        <v>0</v>
      </c>
      <c r="D1236" s="557">
        <f>C1236*16</f>
        <v>0</v>
      </c>
      <c r="E1236" s="456">
        <f t="shared" ref="E1236:E1243" si="459">D1236*0.25</f>
        <v>0</v>
      </c>
      <c r="F1236" s="358">
        <f>E1236*0.99*1.03/147</f>
        <v>0</v>
      </c>
      <c r="G1236" s="548">
        <f t="shared" ref="G1236:G1241" si="460">INT(M1236)</f>
        <v>0</v>
      </c>
      <c r="H1236" s="358" t="s">
        <v>18</v>
      </c>
      <c r="I1236" s="548">
        <f t="shared" ref="I1236:I1241" si="461">(M1236-G1236)*64</f>
        <v>0</v>
      </c>
      <c r="J1236" s="358" t="s">
        <v>19</v>
      </c>
      <c r="K1236" s="358"/>
      <c r="L1236" s="358"/>
      <c r="M1236" s="358">
        <f>(F1236*6989)/2880</f>
        <v>0</v>
      </c>
      <c r="N1236" s="358"/>
      <c r="O1236" s="358"/>
      <c r="P1236" s="358"/>
      <c r="Q1236" s="358" t="s">
        <v>18</v>
      </c>
      <c r="R1236" s="358"/>
      <c r="S1236" s="358" t="s">
        <v>19</v>
      </c>
      <c r="T1236" s="528">
        <v>5</v>
      </c>
      <c r="U1236" s="324">
        <f>E1236/403*60</f>
        <v>0</v>
      </c>
      <c r="V1236" s="676"/>
      <c r="W1236" s="528"/>
      <c r="X1236" s="529"/>
      <c r="Y1236" s="323"/>
      <c r="Z1236" s="312">
        <f t="shared" si="443"/>
        <v>0</v>
      </c>
      <c r="AA1236" s="316">
        <f>SUM(Z1236/398.4+0.25)</f>
        <v>0.25</v>
      </c>
    </row>
    <row r="1237" spans="1:27" ht="53.25" thickBot="1" x14ac:dyDescent="0.45">
      <c r="A1237" s="319" t="s">
        <v>776</v>
      </c>
      <c r="B1237" s="319" t="s">
        <v>1002</v>
      </c>
      <c r="C1237" s="528">
        <f t="shared" si="458"/>
        <v>0</v>
      </c>
      <c r="D1237" s="557">
        <f>C1237*16</f>
        <v>0</v>
      </c>
      <c r="E1237" s="456">
        <f t="shared" si="459"/>
        <v>0</v>
      </c>
      <c r="F1237" s="358">
        <f>E1237*0.99*1.03/147</f>
        <v>0</v>
      </c>
      <c r="G1237" s="548">
        <f t="shared" si="460"/>
        <v>0</v>
      </c>
      <c r="H1237" s="358" t="s">
        <v>18</v>
      </c>
      <c r="I1237" s="548">
        <f t="shared" si="461"/>
        <v>0</v>
      </c>
      <c r="J1237" s="358" t="s">
        <v>19</v>
      </c>
      <c r="K1237" s="358"/>
      <c r="L1237" s="358"/>
      <c r="M1237" s="358">
        <f>(F1237*6989)/2880</f>
        <v>0</v>
      </c>
      <c r="N1237" s="358"/>
      <c r="O1237" s="358"/>
      <c r="P1237" s="358"/>
      <c r="Q1237" s="358" t="s">
        <v>18</v>
      </c>
      <c r="R1237" s="358"/>
      <c r="S1237" s="358" t="s">
        <v>19</v>
      </c>
      <c r="T1237" s="528">
        <v>5</v>
      </c>
      <c r="U1237" s="324">
        <f>E1237/259*60</f>
        <v>0</v>
      </c>
      <c r="V1237" s="676"/>
      <c r="W1237" s="528"/>
      <c r="X1237" s="529"/>
      <c r="Y1237" s="323"/>
      <c r="Z1237" s="312">
        <f t="shared" si="443"/>
        <v>0</v>
      </c>
      <c r="AA1237" s="316">
        <f>SUM(Z1237/398.4+0.25)</f>
        <v>0.25</v>
      </c>
    </row>
    <row r="1238" spans="1:27" ht="53.25" thickBot="1" x14ac:dyDescent="0.45">
      <c r="A1238" s="319" t="s">
        <v>776</v>
      </c>
      <c r="B1238" s="320" t="s">
        <v>1000</v>
      </c>
      <c r="C1238" s="528">
        <f t="shared" si="458"/>
        <v>0</v>
      </c>
      <c r="D1238" s="557">
        <f>C1238*16</f>
        <v>0</v>
      </c>
      <c r="E1238" s="456">
        <f t="shared" si="459"/>
        <v>0</v>
      </c>
      <c r="F1238" s="358">
        <f>E1238*0.99*1.03/147</f>
        <v>0</v>
      </c>
      <c r="G1238" s="548">
        <f t="shared" si="460"/>
        <v>0</v>
      </c>
      <c r="H1238" s="358" t="s">
        <v>18</v>
      </c>
      <c r="I1238" s="548">
        <f t="shared" si="461"/>
        <v>0</v>
      </c>
      <c r="J1238" s="358" t="s">
        <v>19</v>
      </c>
      <c r="K1238" s="358"/>
      <c r="L1238" s="358"/>
      <c r="M1238" s="358">
        <f>(F1238*6989)/2880</f>
        <v>0</v>
      </c>
      <c r="N1238" s="358"/>
      <c r="O1238" s="358"/>
      <c r="P1238" s="358"/>
      <c r="Q1238" s="358" t="s">
        <v>18</v>
      </c>
      <c r="R1238" s="358"/>
      <c r="S1238" s="358" t="s">
        <v>19</v>
      </c>
      <c r="T1238" s="528">
        <v>5</v>
      </c>
      <c r="U1238" s="324">
        <f>E1238/403*60</f>
        <v>0</v>
      </c>
      <c r="V1238" s="676"/>
      <c r="W1238" s="528"/>
      <c r="X1238" s="529"/>
      <c r="Y1238" s="360"/>
      <c r="Z1238" s="312">
        <f t="shared" si="443"/>
        <v>0</v>
      </c>
      <c r="AA1238" s="316">
        <f>SUM(Z1238/398.4+0.25)</f>
        <v>0.25</v>
      </c>
    </row>
    <row r="1239" spans="1:27" ht="77.25" thickBot="1" x14ac:dyDescent="0.45">
      <c r="A1239" s="319" t="s">
        <v>776</v>
      </c>
      <c r="B1239" s="362" t="s">
        <v>634</v>
      </c>
      <c r="C1239" s="528">
        <f t="shared" si="458"/>
        <v>0</v>
      </c>
      <c r="D1239" s="551">
        <f>C1239*14</f>
        <v>0</v>
      </c>
      <c r="E1239" s="456">
        <f t="shared" si="459"/>
        <v>0</v>
      </c>
      <c r="F1239" s="358">
        <f>E1239*0.99*1.03/147</f>
        <v>0</v>
      </c>
      <c r="G1239" s="548">
        <f t="shared" si="460"/>
        <v>0</v>
      </c>
      <c r="H1239" s="358" t="s">
        <v>18</v>
      </c>
      <c r="I1239" s="548">
        <f t="shared" si="461"/>
        <v>0</v>
      </c>
      <c r="J1239" s="358" t="s">
        <v>19</v>
      </c>
      <c r="K1239" s="358"/>
      <c r="L1239" s="358"/>
      <c r="M1239" s="358">
        <f>(F1239*6989)/2880</f>
        <v>0</v>
      </c>
      <c r="N1239" s="324"/>
      <c r="O1239" s="324"/>
      <c r="P1239" s="324"/>
      <c r="Q1239" s="324" t="s">
        <v>18</v>
      </c>
      <c r="R1239" s="324"/>
      <c r="S1239" s="324" t="s">
        <v>19</v>
      </c>
      <c r="T1239" s="528">
        <v>5</v>
      </c>
      <c r="U1239" s="324">
        <f>E1239/390*60</f>
        <v>0</v>
      </c>
      <c r="V1239" s="676"/>
      <c r="W1239" s="528"/>
      <c r="X1239" s="529"/>
      <c r="Y1239" s="323"/>
      <c r="Z1239" s="312">
        <f t="shared" si="443"/>
        <v>0</v>
      </c>
      <c r="AA1239" s="316">
        <f>SUM(Z1239/398.4+0.25)</f>
        <v>0.25</v>
      </c>
    </row>
    <row r="1240" spans="1:27" ht="53.25" thickBot="1" x14ac:dyDescent="0.45">
      <c r="A1240" s="319" t="s">
        <v>776</v>
      </c>
      <c r="B1240" s="320" t="s">
        <v>635</v>
      </c>
      <c r="C1240" s="528">
        <f t="shared" si="458"/>
        <v>0</v>
      </c>
      <c r="D1240" s="551">
        <f>C1240*14</f>
        <v>0</v>
      </c>
      <c r="E1240" s="456">
        <f t="shared" si="459"/>
        <v>0</v>
      </c>
      <c r="F1240" s="358">
        <f>E1240*0.99*1.03/147</f>
        <v>0</v>
      </c>
      <c r="G1240" s="548">
        <f t="shared" si="460"/>
        <v>0</v>
      </c>
      <c r="H1240" s="358" t="s">
        <v>18</v>
      </c>
      <c r="I1240" s="548">
        <f t="shared" si="461"/>
        <v>0</v>
      </c>
      <c r="J1240" s="358" t="s">
        <v>19</v>
      </c>
      <c r="K1240" s="358"/>
      <c r="L1240" s="358"/>
      <c r="M1240" s="358">
        <f>(F1240*6989)/2880</f>
        <v>0</v>
      </c>
      <c r="N1240" s="324"/>
      <c r="O1240" s="324"/>
      <c r="P1240" s="324"/>
      <c r="Q1240" s="324" t="s">
        <v>18</v>
      </c>
      <c r="R1240" s="324"/>
      <c r="S1240" s="324" t="s">
        <v>19</v>
      </c>
      <c r="T1240" s="528">
        <v>5</v>
      </c>
      <c r="U1240" s="324">
        <f>E1240/390*60</f>
        <v>0</v>
      </c>
      <c r="V1240" s="676"/>
      <c r="W1240" s="528"/>
      <c r="X1240" s="529"/>
      <c r="Y1240" s="323"/>
      <c r="Z1240" s="312">
        <f t="shared" si="443"/>
        <v>0</v>
      </c>
      <c r="AA1240" s="316">
        <f>SUM(Z1240/398.4+0.25)</f>
        <v>0.25</v>
      </c>
    </row>
    <row r="1241" spans="1:27" ht="53.25" thickBot="1" x14ac:dyDescent="0.45">
      <c r="A1241" s="319" t="s">
        <v>776</v>
      </c>
      <c r="B1241" s="320" t="s">
        <v>637</v>
      </c>
      <c r="C1241" s="528">
        <f t="shared" si="458"/>
        <v>0</v>
      </c>
      <c r="D1241" s="528">
        <f>C1241*12</f>
        <v>0</v>
      </c>
      <c r="E1241" s="460">
        <f t="shared" si="459"/>
        <v>0</v>
      </c>
      <c r="F1241" s="324">
        <f>E1241*1.05*0.99/135</f>
        <v>0</v>
      </c>
      <c r="G1241" s="528">
        <f t="shared" si="460"/>
        <v>0</v>
      </c>
      <c r="H1241" s="324" t="s">
        <v>18</v>
      </c>
      <c r="I1241" s="528">
        <f t="shared" si="461"/>
        <v>0</v>
      </c>
      <c r="J1241" s="324" t="s">
        <v>19</v>
      </c>
      <c r="K1241" s="324"/>
      <c r="L1241" s="324"/>
      <c r="M1241" s="324">
        <f>(F1241*6253)/2880</f>
        <v>0</v>
      </c>
      <c r="N1241" s="324"/>
      <c r="O1241" s="324"/>
      <c r="P1241" s="324"/>
      <c r="Q1241" s="324" t="s">
        <v>18</v>
      </c>
      <c r="R1241" s="324"/>
      <c r="S1241" s="324" t="s">
        <v>19</v>
      </c>
      <c r="T1241" s="528">
        <v>5</v>
      </c>
      <c r="U1241" s="324">
        <f>E1241/226*60</f>
        <v>0</v>
      </c>
      <c r="V1241" s="676"/>
      <c r="W1241" s="528"/>
      <c r="X1241" s="529"/>
      <c r="Y1241" s="360"/>
      <c r="Z1241" s="312">
        <f t="shared" si="443"/>
        <v>0</v>
      </c>
      <c r="AA1241" s="316">
        <f>SUM(Z1241/399.6+0.25)</f>
        <v>0.25</v>
      </c>
    </row>
    <row r="1242" spans="1:27" ht="53.25" thickBot="1" x14ac:dyDescent="0.45">
      <c r="A1242" s="319" t="s">
        <v>776</v>
      </c>
      <c r="B1242" s="320" t="s">
        <v>773</v>
      </c>
      <c r="C1242" s="528">
        <f t="shared" si="458"/>
        <v>0</v>
      </c>
      <c r="D1242" s="528">
        <f>C1242*6</f>
        <v>0</v>
      </c>
      <c r="E1242" s="460">
        <f t="shared" si="459"/>
        <v>0</v>
      </c>
      <c r="F1242" s="324">
        <f>E1242*1.05*0.99/135</f>
        <v>0</v>
      </c>
      <c r="G1242" s="528">
        <f t="shared" ref="G1242:G1252" si="462">INT(M1242)</f>
        <v>0</v>
      </c>
      <c r="H1242" s="324" t="s">
        <v>18</v>
      </c>
      <c r="I1242" s="528">
        <f t="shared" ref="I1242:I1252" si="463">(M1242-G1242)*64</f>
        <v>0</v>
      </c>
      <c r="J1242" s="324" t="s">
        <v>19</v>
      </c>
      <c r="K1242" s="324"/>
      <c r="L1242" s="324"/>
      <c r="M1242" s="324">
        <f>(F1242*6253)/2880</f>
        <v>0</v>
      </c>
      <c r="N1242" s="324"/>
      <c r="O1242" s="324"/>
      <c r="P1242" s="324"/>
      <c r="Q1242" s="324" t="s">
        <v>18</v>
      </c>
      <c r="R1242" s="324"/>
      <c r="S1242" s="324" t="s">
        <v>19</v>
      </c>
      <c r="T1242" s="528">
        <v>5</v>
      </c>
      <c r="U1242" s="324">
        <f>E1242/226*60</f>
        <v>0</v>
      </c>
      <c r="V1242" s="676"/>
      <c r="W1242" s="528"/>
      <c r="X1242" s="529"/>
      <c r="Y1242" s="360"/>
      <c r="Z1242" s="312">
        <f t="shared" si="443"/>
        <v>0</v>
      </c>
      <c r="AA1242" s="316">
        <f>SUM(Z1242/399.6+0.25)</f>
        <v>0.25</v>
      </c>
    </row>
    <row r="1243" spans="1:27" ht="77.25" outlineLevel="1" thickBot="1" x14ac:dyDescent="0.45">
      <c r="A1243" s="319" t="s">
        <v>776</v>
      </c>
      <c r="B1243" s="799" t="s">
        <v>1214</v>
      </c>
      <c r="C1243" s="528">
        <f t="shared" si="458"/>
        <v>0</v>
      </c>
      <c r="D1243" s="528">
        <f>C1243*14</f>
        <v>0</v>
      </c>
      <c r="E1243" s="460">
        <f t="shared" si="459"/>
        <v>0</v>
      </c>
      <c r="F1243" s="324">
        <f>E1243*1.05*0.99/135</f>
        <v>0</v>
      </c>
      <c r="G1243" s="528">
        <f t="shared" si="462"/>
        <v>0</v>
      </c>
      <c r="H1243" s="324" t="s">
        <v>18</v>
      </c>
      <c r="I1243" s="528">
        <f t="shared" si="463"/>
        <v>0</v>
      </c>
      <c r="J1243" s="324" t="s">
        <v>19</v>
      </c>
      <c r="K1243" s="324"/>
      <c r="L1243" s="324"/>
      <c r="M1243" s="324">
        <f>(F1243*6253)/2880</f>
        <v>0</v>
      </c>
      <c r="N1243" s="324"/>
      <c r="O1243" s="324"/>
      <c r="P1243" s="324"/>
      <c r="Q1243" s="324" t="s">
        <v>18</v>
      </c>
      <c r="R1243" s="324"/>
      <c r="S1243" s="324" t="s">
        <v>19</v>
      </c>
      <c r="T1243" s="528">
        <v>5</v>
      </c>
      <c r="U1243" s="324">
        <f>E1243/226*60</f>
        <v>0</v>
      </c>
      <c r="V1243" s="676"/>
      <c r="W1243" s="528"/>
      <c r="X1243" s="529"/>
      <c r="Y1243" s="360"/>
      <c r="Z1243" s="312">
        <f t="shared" si="443"/>
        <v>0</v>
      </c>
      <c r="AA1243" s="316">
        <f>SUM(Z1243/400+0.25)</f>
        <v>0.25</v>
      </c>
    </row>
    <row r="1244" spans="1:27" ht="53.25" thickBot="1" x14ac:dyDescent="0.45">
      <c r="A1244" s="319" t="s">
        <v>776</v>
      </c>
      <c r="B1244" s="320" t="s">
        <v>1037</v>
      </c>
      <c r="C1244" s="528">
        <f t="shared" ref="C1244:C1264" si="464">C1114</f>
        <v>0</v>
      </c>
      <c r="D1244" s="548">
        <f>C1244*16</f>
        <v>0</v>
      </c>
      <c r="E1244" s="456">
        <f>D1244*0.27</f>
        <v>0</v>
      </c>
      <c r="F1244" s="358">
        <f>E1244*0.99*1.03/147</f>
        <v>0</v>
      </c>
      <c r="G1244" s="548">
        <f t="shared" si="462"/>
        <v>0</v>
      </c>
      <c r="H1244" s="358" t="s">
        <v>18</v>
      </c>
      <c r="I1244" s="548">
        <f t="shared" si="463"/>
        <v>0</v>
      </c>
      <c r="J1244" s="358" t="s">
        <v>19</v>
      </c>
      <c r="K1244" s="358"/>
      <c r="L1244" s="358"/>
      <c r="M1244" s="358">
        <f>(F1244*6391)/2880</f>
        <v>0</v>
      </c>
      <c r="N1244" s="358"/>
      <c r="O1244" s="358"/>
      <c r="P1244" s="358"/>
      <c r="Q1244" s="358" t="s">
        <v>18</v>
      </c>
      <c r="R1244" s="358"/>
      <c r="S1244" s="358" t="s">
        <v>19</v>
      </c>
      <c r="T1244" s="528">
        <v>5</v>
      </c>
      <c r="U1244" s="324">
        <f t="shared" ref="U1244:U1250" si="465">E1244/403*60</f>
        <v>0</v>
      </c>
      <c r="V1244" s="676"/>
      <c r="W1244" s="528"/>
      <c r="X1244" s="529"/>
      <c r="Y1244" s="323"/>
      <c r="Z1244" s="312">
        <f t="shared" si="443"/>
        <v>0</v>
      </c>
      <c r="AA1244" s="316">
        <f>SUM(Z1244/436.4+0.25)</f>
        <v>0.25</v>
      </c>
    </row>
    <row r="1245" spans="1:27" ht="53.25" thickBot="1" x14ac:dyDescent="0.45">
      <c r="A1245" s="319" t="s">
        <v>776</v>
      </c>
      <c r="B1245" s="343" t="s">
        <v>1038</v>
      </c>
      <c r="C1245" s="528">
        <f t="shared" si="464"/>
        <v>0</v>
      </c>
      <c r="D1245" s="548">
        <f>C1245*16</f>
        <v>0</v>
      </c>
      <c r="E1245" s="456">
        <f>D1245*0.27</f>
        <v>0</v>
      </c>
      <c r="F1245" s="358">
        <f>E1245*0.99*1.03/147</f>
        <v>0</v>
      </c>
      <c r="G1245" s="548">
        <f t="shared" si="462"/>
        <v>0</v>
      </c>
      <c r="H1245" s="358" t="s">
        <v>18</v>
      </c>
      <c r="I1245" s="548">
        <f t="shared" si="463"/>
        <v>0</v>
      </c>
      <c r="J1245" s="358" t="s">
        <v>19</v>
      </c>
      <c r="K1245" s="358"/>
      <c r="L1245" s="358"/>
      <c r="M1245" s="358">
        <f>(F1245*6391)/2880</f>
        <v>0</v>
      </c>
      <c r="N1245" s="358"/>
      <c r="O1245" s="358"/>
      <c r="P1245" s="358"/>
      <c r="Q1245" s="358" t="s">
        <v>18</v>
      </c>
      <c r="R1245" s="358"/>
      <c r="S1245" s="358" t="s">
        <v>19</v>
      </c>
      <c r="T1245" s="528">
        <v>5</v>
      </c>
      <c r="U1245" s="324">
        <f t="shared" si="465"/>
        <v>0</v>
      </c>
      <c r="V1245" s="676"/>
      <c r="W1245" s="528"/>
      <c r="X1245" s="529"/>
      <c r="Y1245" s="360"/>
      <c r="Z1245" s="312">
        <f t="shared" si="443"/>
        <v>0</v>
      </c>
      <c r="AA1245" s="316">
        <f>SUM(Z1245/436.4+0.25)</f>
        <v>0.25</v>
      </c>
    </row>
    <row r="1246" spans="1:27" ht="53.25" thickBot="1" x14ac:dyDescent="0.45">
      <c r="A1246" s="319" t="s">
        <v>776</v>
      </c>
      <c r="B1246" s="319" t="s">
        <v>684</v>
      </c>
      <c r="C1246" s="528">
        <f t="shared" si="464"/>
        <v>0</v>
      </c>
      <c r="D1246" s="548">
        <f>C1246*12</f>
        <v>0</v>
      </c>
      <c r="E1246" s="456">
        <f>D1246*0.3</f>
        <v>0</v>
      </c>
      <c r="F1246" s="358">
        <f>E1246*0.99*1.03/147</f>
        <v>0</v>
      </c>
      <c r="G1246" s="548">
        <f t="shared" si="462"/>
        <v>0</v>
      </c>
      <c r="H1246" s="358" t="s">
        <v>18</v>
      </c>
      <c r="I1246" s="548">
        <f t="shared" si="463"/>
        <v>0</v>
      </c>
      <c r="J1246" s="358" t="s">
        <v>19</v>
      </c>
      <c r="K1246" s="358"/>
      <c r="L1246" s="358"/>
      <c r="M1246" s="358">
        <f>(F1246*5880)/2880</f>
        <v>0</v>
      </c>
      <c r="N1246" s="324"/>
      <c r="O1246" s="324"/>
      <c r="P1246" s="324"/>
      <c r="Q1246" s="324" t="s">
        <v>18</v>
      </c>
      <c r="R1246" s="324"/>
      <c r="S1246" s="324" t="s">
        <v>19</v>
      </c>
      <c r="T1246" s="528">
        <v>5</v>
      </c>
      <c r="U1246" s="324">
        <f t="shared" si="465"/>
        <v>0</v>
      </c>
      <c r="V1246" s="676"/>
      <c r="W1246" s="528"/>
      <c r="X1246" s="529"/>
      <c r="Y1246" s="323"/>
      <c r="Z1246" s="312">
        <f t="shared" si="443"/>
        <v>0</v>
      </c>
      <c r="AA1246" s="316">
        <f>SUM(Z1246/474.3+0.25)</f>
        <v>0.25</v>
      </c>
    </row>
    <row r="1247" spans="1:27" ht="53.25" thickBot="1" x14ac:dyDescent="0.45">
      <c r="A1247" s="319" t="s">
        <v>776</v>
      </c>
      <c r="B1247" s="319" t="s">
        <v>685</v>
      </c>
      <c r="C1247" s="528">
        <f t="shared" si="464"/>
        <v>0</v>
      </c>
      <c r="D1247" s="548">
        <f>C1247*12</f>
        <v>0</v>
      </c>
      <c r="E1247" s="456">
        <f>D1247*0.3</f>
        <v>0</v>
      </c>
      <c r="F1247" s="358">
        <f>E1247*0.99*1.03/147</f>
        <v>0</v>
      </c>
      <c r="G1247" s="548">
        <f t="shared" si="462"/>
        <v>0</v>
      </c>
      <c r="H1247" s="358" t="s">
        <v>18</v>
      </c>
      <c r="I1247" s="548">
        <f t="shared" si="463"/>
        <v>0</v>
      </c>
      <c r="J1247" s="358" t="s">
        <v>19</v>
      </c>
      <c r="K1247" s="358"/>
      <c r="L1247" s="358"/>
      <c r="M1247" s="358">
        <f>(F1247*5880)/2880</f>
        <v>0</v>
      </c>
      <c r="N1247" s="324"/>
      <c r="O1247" s="324"/>
      <c r="P1247" s="324"/>
      <c r="Q1247" s="324" t="s">
        <v>18</v>
      </c>
      <c r="R1247" s="324"/>
      <c r="S1247" s="324" t="s">
        <v>19</v>
      </c>
      <c r="T1247" s="528">
        <v>5</v>
      </c>
      <c r="U1247" s="324">
        <f t="shared" si="465"/>
        <v>0</v>
      </c>
      <c r="V1247" s="676"/>
      <c r="W1247" s="528"/>
      <c r="X1247" s="529"/>
      <c r="Y1247" s="360"/>
      <c r="Z1247" s="312">
        <f t="shared" si="443"/>
        <v>0</v>
      </c>
      <c r="AA1247" s="316">
        <f>SUM(Z1247/474.3+0.25)</f>
        <v>0.25</v>
      </c>
    </row>
    <row r="1248" spans="1:27" ht="53.25" thickBot="1" x14ac:dyDescent="0.45">
      <c r="A1248" s="319" t="s">
        <v>776</v>
      </c>
      <c r="B1248" s="854" t="s">
        <v>1196</v>
      </c>
      <c r="C1248" s="528">
        <f t="shared" si="464"/>
        <v>0</v>
      </c>
      <c r="D1248" s="548">
        <f>C1248*14</f>
        <v>0</v>
      </c>
      <c r="E1248" s="456">
        <f>D1248*0.3</f>
        <v>0</v>
      </c>
      <c r="F1248" s="358">
        <f>E1248*0.99*1.03/147</f>
        <v>0</v>
      </c>
      <c r="G1248" s="548">
        <f t="shared" si="462"/>
        <v>0</v>
      </c>
      <c r="H1248" s="358" t="s">
        <v>18</v>
      </c>
      <c r="I1248" s="548">
        <f t="shared" si="463"/>
        <v>0</v>
      </c>
      <c r="J1248" s="358" t="s">
        <v>19</v>
      </c>
      <c r="K1248" s="358"/>
      <c r="L1248" s="358"/>
      <c r="M1248" s="358">
        <f>(F1248*5880)/2880</f>
        <v>0</v>
      </c>
      <c r="N1248" s="324"/>
      <c r="O1248" s="324"/>
      <c r="P1248" s="324"/>
      <c r="Q1248" s="324" t="s">
        <v>18</v>
      </c>
      <c r="R1248" s="324"/>
      <c r="S1248" s="324" t="s">
        <v>19</v>
      </c>
      <c r="T1248" s="528">
        <v>5</v>
      </c>
      <c r="U1248" s="324">
        <f t="shared" si="465"/>
        <v>0</v>
      </c>
      <c r="V1248" s="676"/>
      <c r="W1248" s="528"/>
      <c r="X1248" s="529"/>
      <c r="Y1248" s="360"/>
      <c r="Z1248" s="312">
        <f>E1248</f>
        <v>0</v>
      </c>
      <c r="AA1248" s="316">
        <f>SUM(Z1248/474.3+0.25)</f>
        <v>0.25</v>
      </c>
    </row>
    <row r="1249" spans="1:28" ht="77.25" thickBot="1" x14ac:dyDescent="0.45">
      <c r="A1249" s="319" t="s">
        <v>776</v>
      </c>
      <c r="B1249" s="862" t="s">
        <v>1197</v>
      </c>
      <c r="C1249" s="853">
        <f t="shared" si="464"/>
        <v>0</v>
      </c>
      <c r="D1249" s="856">
        <f>C1249*16</f>
        <v>0</v>
      </c>
      <c r="E1249" s="629">
        <f>D1249*0.3</f>
        <v>0</v>
      </c>
      <c r="F1249" s="857">
        <f>E1249*0.9*1.01/147</f>
        <v>0</v>
      </c>
      <c r="G1249" s="858">
        <f t="shared" si="462"/>
        <v>0</v>
      </c>
      <c r="H1249" s="366"/>
      <c r="I1249" s="859">
        <f t="shared" si="463"/>
        <v>0</v>
      </c>
      <c r="J1249" s="860" t="s">
        <v>19</v>
      </c>
      <c r="K1249" s="860"/>
      <c r="L1249" s="860"/>
      <c r="M1249" s="861">
        <f>F1249*6533/3456</f>
        <v>0</v>
      </c>
      <c r="N1249" s="860"/>
      <c r="O1249" s="860"/>
      <c r="P1249" s="860"/>
      <c r="Q1249" s="324" t="s">
        <v>18</v>
      </c>
      <c r="R1249" s="324"/>
      <c r="S1249" s="324" t="s">
        <v>19</v>
      </c>
      <c r="T1249" s="528">
        <v>5</v>
      </c>
      <c r="U1249" s="324">
        <f t="shared" si="465"/>
        <v>0</v>
      </c>
      <c r="V1249" s="676"/>
      <c r="W1249" s="528"/>
      <c r="X1249" s="529"/>
      <c r="Y1249" s="711"/>
      <c r="Z1249" s="312">
        <f>E1249/1.02/1.143</f>
        <v>0</v>
      </c>
      <c r="AA1249" s="316">
        <f>SUM(AB1249/413.1+0.25)</f>
        <v>0.25</v>
      </c>
      <c r="AB1249" s="310">
        <f>E1249/1.02</f>
        <v>0</v>
      </c>
    </row>
    <row r="1250" spans="1:28" ht="53.25" thickBot="1" x14ac:dyDescent="0.45">
      <c r="A1250" s="319" t="s">
        <v>776</v>
      </c>
      <c r="B1250" s="368" t="s">
        <v>692</v>
      </c>
      <c r="C1250" s="528">
        <f t="shared" si="464"/>
        <v>0</v>
      </c>
      <c r="D1250" s="548">
        <f>C1250*12</f>
        <v>0</v>
      </c>
      <c r="E1250" s="456">
        <f>D1250*0.3</f>
        <v>0</v>
      </c>
      <c r="F1250" s="358">
        <f>E1250*0.99*1.03/147</f>
        <v>0</v>
      </c>
      <c r="G1250" s="548">
        <f t="shared" si="462"/>
        <v>0</v>
      </c>
      <c r="H1250" s="358" t="s">
        <v>18</v>
      </c>
      <c r="I1250" s="548">
        <f t="shared" si="463"/>
        <v>0</v>
      </c>
      <c r="J1250" s="358" t="s">
        <v>19</v>
      </c>
      <c r="K1250" s="358"/>
      <c r="L1250" s="358"/>
      <c r="M1250" s="358">
        <f>(F1250*5880)/2880</f>
        <v>0</v>
      </c>
      <c r="N1250" s="324"/>
      <c r="O1250" s="324"/>
      <c r="P1250" s="324"/>
      <c r="Q1250" s="324" t="s">
        <v>18</v>
      </c>
      <c r="R1250" s="324"/>
      <c r="S1250" s="324" t="s">
        <v>19</v>
      </c>
      <c r="T1250" s="528">
        <v>5</v>
      </c>
      <c r="U1250" s="324">
        <f t="shared" si="465"/>
        <v>0</v>
      </c>
      <c r="V1250" s="676"/>
      <c r="W1250" s="528"/>
      <c r="X1250" s="529"/>
      <c r="Y1250" s="323"/>
      <c r="Z1250" s="312">
        <f t="shared" si="443"/>
        <v>0</v>
      </c>
      <c r="AA1250" s="316">
        <f>SUM(Z1250/474.3+0.25)</f>
        <v>0.25</v>
      </c>
    </row>
    <row r="1251" spans="1:28" ht="77.25" thickBot="1" x14ac:dyDescent="0.45">
      <c r="A1251" s="319" t="s">
        <v>776</v>
      </c>
      <c r="B1251" s="344" t="s">
        <v>1170</v>
      </c>
      <c r="C1251" s="528">
        <f t="shared" si="464"/>
        <v>0</v>
      </c>
      <c r="D1251" s="551">
        <f>C1251*16</f>
        <v>0</v>
      </c>
      <c r="E1251" s="456">
        <f t="shared" ref="E1251:E1261" si="466">D1251*0.25</f>
        <v>0</v>
      </c>
      <c r="F1251" s="358">
        <f t="shared" ref="F1251:F1261" si="467">E1251*0.99*1.03/147</f>
        <v>0</v>
      </c>
      <c r="G1251" s="548">
        <f t="shared" si="462"/>
        <v>0</v>
      </c>
      <c r="H1251" s="358" t="s">
        <v>18</v>
      </c>
      <c r="I1251" s="548">
        <f t="shared" si="463"/>
        <v>0</v>
      </c>
      <c r="J1251" s="358" t="s">
        <v>19</v>
      </c>
      <c r="K1251" s="358"/>
      <c r="L1251" s="358"/>
      <c r="M1251" s="358">
        <f t="shared" ref="M1251:M1263" si="468">(F1251*6989)/2880</f>
        <v>0</v>
      </c>
      <c r="N1251" s="324"/>
      <c r="O1251" s="324"/>
      <c r="P1251" s="324"/>
      <c r="Q1251" s="324" t="s">
        <v>18</v>
      </c>
      <c r="R1251" s="324"/>
      <c r="S1251" s="324" t="s">
        <v>19</v>
      </c>
      <c r="T1251" s="528">
        <v>5</v>
      </c>
      <c r="U1251" s="324">
        <f>E1251/259*60</f>
        <v>0</v>
      </c>
      <c r="V1251" s="676"/>
      <c r="W1251" s="528"/>
      <c r="X1251" s="529"/>
      <c r="Y1251" s="323"/>
      <c r="Z1251" s="312">
        <f t="shared" si="443"/>
        <v>0</v>
      </c>
      <c r="AA1251" s="316">
        <f t="shared" ref="AA1251:AA1261" si="469">SUM(Z1251/398.4+0.25)</f>
        <v>0.25</v>
      </c>
    </row>
    <row r="1252" spans="1:28" ht="77.25" thickBot="1" x14ac:dyDescent="0.45">
      <c r="A1252" s="319" t="s">
        <v>776</v>
      </c>
      <c r="B1252" s="344" t="s">
        <v>1169</v>
      </c>
      <c r="C1252" s="528">
        <f t="shared" si="464"/>
        <v>0</v>
      </c>
      <c r="D1252" s="551">
        <f>C1252*16</f>
        <v>0</v>
      </c>
      <c r="E1252" s="456">
        <f t="shared" si="466"/>
        <v>0</v>
      </c>
      <c r="F1252" s="358">
        <f t="shared" si="467"/>
        <v>0</v>
      </c>
      <c r="G1252" s="548">
        <f t="shared" si="462"/>
        <v>0</v>
      </c>
      <c r="H1252" s="358" t="s">
        <v>18</v>
      </c>
      <c r="I1252" s="548">
        <f t="shared" si="463"/>
        <v>0</v>
      </c>
      <c r="J1252" s="358" t="s">
        <v>19</v>
      </c>
      <c r="K1252" s="358"/>
      <c r="L1252" s="358"/>
      <c r="M1252" s="358">
        <f t="shared" si="468"/>
        <v>0</v>
      </c>
      <c r="N1252" s="324"/>
      <c r="O1252" s="324"/>
      <c r="P1252" s="324"/>
      <c r="Q1252" s="324" t="s">
        <v>18</v>
      </c>
      <c r="R1252" s="324"/>
      <c r="S1252" s="324" t="s">
        <v>19</v>
      </c>
      <c r="T1252" s="528">
        <v>5</v>
      </c>
      <c r="U1252" s="324">
        <f>E1252/403*60</f>
        <v>0</v>
      </c>
      <c r="V1252" s="676"/>
      <c r="W1252" s="528"/>
      <c r="X1252" s="529"/>
      <c r="Y1252" s="323"/>
      <c r="Z1252" s="312">
        <f t="shared" si="443"/>
        <v>0</v>
      </c>
      <c r="AA1252" s="316">
        <f t="shared" si="469"/>
        <v>0.25</v>
      </c>
    </row>
    <row r="1253" spans="1:28" ht="53.25" thickBot="1" x14ac:dyDescent="0.45">
      <c r="A1253" s="319" t="s">
        <v>776</v>
      </c>
      <c r="B1253" s="344" t="s">
        <v>701</v>
      </c>
      <c r="C1253" s="528">
        <f t="shared" si="464"/>
        <v>0</v>
      </c>
      <c r="D1253" s="551">
        <f>C1253*12</f>
        <v>0</v>
      </c>
      <c r="E1253" s="456">
        <f t="shared" si="466"/>
        <v>0</v>
      </c>
      <c r="F1253" s="358">
        <f t="shared" si="467"/>
        <v>0</v>
      </c>
      <c r="G1253" s="548">
        <f t="shared" ref="G1253:G1260" si="470">INT(M1253)</f>
        <v>0</v>
      </c>
      <c r="H1253" s="358" t="s">
        <v>18</v>
      </c>
      <c r="I1253" s="548">
        <f t="shared" ref="I1253:I1260" si="471">(M1253-G1253)*64</f>
        <v>0</v>
      </c>
      <c r="J1253" s="358" t="s">
        <v>19</v>
      </c>
      <c r="K1253" s="358"/>
      <c r="L1253" s="358"/>
      <c r="M1253" s="358">
        <f t="shared" si="468"/>
        <v>0</v>
      </c>
      <c r="N1253" s="324"/>
      <c r="O1253" s="324"/>
      <c r="P1253" s="324"/>
      <c r="Q1253" s="324" t="s">
        <v>18</v>
      </c>
      <c r="R1253" s="324"/>
      <c r="S1253" s="324" t="s">
        <v>19</v>
      </c>
      <c r="T1253" s="528">
        <v>5</v>
      </c>
      <c r="U1253" s="324">
        <f>E1253/259*60</f>
        <v>0</v>
      </c>
      <c r="V1253" s="676"/>
      <c r="W1253" s="528"/>
      <c r="X1253" s="529"/>
      <c r="Y1253" s="323"/>
      <c r="Z1253" s="312">
        <f t="shared" si="443"/>
        <v>0</v>
      </c>
      <c r="AA1253" s="316">
        <f t="shared" si="469"/>
        <v>0.25</v>
      </c>
    </row>
    <row r="1254" spans="1:28" ht="53.25" thickBot="1" x14ac:dyDescent="0.45">
      <c r="A1254" s="319" t="s">
        <v>776</v>
      </c>
      <c r="B1254" s="344" t="s">
        <v>702</v>
      </c>
      <c r="C1254" s="528">
        <f t="shared" si="464"/>
        <v>0</v>
      </c>
      <c r="D1254" s="551">
        <f>C1254*12</f>
        <v>0</v>
      </c>
      <c r="E1254" s="456">
        <f t="shared" si="466"/>
        <v>0</v>
      </c>
      <c r="F1254" s="358">
        <f t="shared" si="467"/>
        <v>0</v>
      </c>
      <c r="G1254" s="548">
        <f t="shared" si="470"/>
        <v>0</v>
      </c>
      <c r="H1254" s="358" t="s">
        <v>18</v>
      </c>
      <c r="I1254" s="548">
        <f t="shared" si="471"/>
        <v>0</v>
      </c>
      <c r="J1254" s="358" t="s">
        <v>19</v>
      </c>
      <c r="K1254" s="358"/>
      <c r="L1254" s="358"/>
      <c r="M1254" s="358">
        <f t="shared" si="468"/>
        <v>0</v>
      </c>
      <c r="N1254" s="324"/>
      <c r="O1254" s="324"/>
      <c r="P1254" s="324"/>
      <c r="Q1254" s="324" t="s">
        <v>18</v>
      </c>
      <c r="R1254" s="324"/>
      <c r="S1254" s="324" t="s">
        <v>19</v>
      </c>
      <c r="T1254" s="528">
        <v>5</v>
      </c>
      <c r="U1254" s="324">
        <f t="shared" ref="U1254:U1263" si="472">E1254/403*60</f>
        <v>0</v>
      </c>
      <c r="V1254" s="676"/>
      <c r="W1254" s="528"/>
      <c r="X1254" s="529"/>
      <c r="Y1254" s="323"/>
      <c r="Z1254" s="312">
        <f t="shared" si="443"/>
        <v>0</v>
      </c>
      <c r="AA1254" s="316">
        <f t="shared" si="469"/>
        <v>0.25</v>
      </c>
    </row>
    <row r="1255" spans="1:28" ht="77.25" thickBot="1" x14ac:dyDescent="0.45">
      <c r="A1255" s="319" t="s">
        <v>776</v>
      </c>
      <c r="B1255" s="344" t="s">
        <v>1078</v>
      </c>
      <c r="C1255" s="528">
        <f t="shared" si="464"/>
        <v>0</v>
      </c>
      <c r="D1255" s="530">
        <f>C1255*16</f>
        <v>0</v>
      </c>
      <c r="E1255" s="460">
        <f t="shared" si="466"/>
        <v>0</v>
      </c>
      <c r="F1255" s="324">
        <f t="shared" si="467"/>
        <v>0</v>
      </c>
      <c r="G1255" s="528">
        <f t="shared" si="470"/>
        <v>0</v>
      </c>
      <c r="H1255" s="324" t="s">
        <v>18</v>
      </c>
      <c r="I1255" s="528">
        <f t="shared" si="471"/>
        <v>0</v>
      </c>
      <c r="J1255" s="324" t="s">
        <v>19</v>
      </c>
      <c r="K1255" s="324"/>
      <c r="L1255" s="324"/>
      <c r="M1255" s="324">
        <f t="shared" si="468"/>
        <v>0</v>
      </c>
      <c r="N1255" s="324"/>
      <c r="O1255" s="324"/>
      <c r="P1255" s="324"/>
      <c r="Q1255" s="324" t="s">
        <v>18</v>
      </c>
      <c r="R1255" s="324"/>
      <c r="S1255" s="324" t="s">
        <v>19</v>
      </c>
      <c r="T1255" s="528">
        <v>5</v>
      </c>
      <c r="U1255" s="324">
        <f>E1255/259*60</f>
        <v>0</v>
      </c>
      <c r="V1255" s="676"/>
      <c r="W1255" s="528"/>
      <c r="X1255" s="529"/>
      <c r="Y1255" s="323"/>
      <c r="Z1255" s="312">
        <f>E1255</f>
        <v>0</v>
      </c>
      <c r="AA1255" s="316">
        <f t="shared" si="469"/>
        <v>0.25</v>
      </c>
    </row>
    <row r="1256" spans="1:28" ht="53.25" thickBot="1" x14ac:dyDescent="0.45">
      <c r="A1256" s="319" t="s">
        <v>776</v>
      </c>
      <c r="B1256" s="344" t="s">
        <v>1077</v>
      </c>
      <c r="C1256" s="528">
        <f t="shared" si="464"/>
        <v>0</v>
      </c>
      <c r="D1256" s="530">
        <f>C1256*16</f>
        <v>0</v>
      </c>
      <c r="E1256" s="460">
        <f t="shared" si="466"/>
        <v>0</v>
      </c>
      <c r="F1256" s="324">
        <f t="shared" si="467"/>
        <v>0</v>
      </c>
      <c r="G1256" s="528">
        <f t="shared" si="470"/>
        <v>0</v>
      </c>
      <c r="H1256" s="324" t="s">
        <v>18</v>
      </c>
      <c r="I1256" s="528">
        <f t="shared" si="471"/>
        <v>0</v>
      </c>
      <c r="J1256" s="324" t="s">
        <v>19</v>
      </c>
      <c r="K1256" s="324"/>
      <c r="L1256" s="324"/>
      <c r="M1256" s="324">
        <f t="shared" si="468"/>
        <v>0</v>
      </c>
      <c r="N1256" s="324"/>
      <c r="O1256" s="324"/>
      <c r="P1256" s="324"/>
      <c r="Q1256" s="324" t="s">
        <v>18</v>
      </c>
      <c r="R1256" s="324"/>
      <c r="S1256" s="324" t="s">
        <v>19</v>
      </c>
      <c r="T1256" s="528">
        <v>5</v>
      </c>
      <c r="U1256" s="566">
        <f>U628</f>
        <v>0</v>
      </c>
      <c r="V1256" s="692"/>
      <c r="W1256" s="566"/>
      <c r="X1256" s="566"/>
      <c r="Y1256" s="323"/>
      <c r="Z1256" s="312">
        <f>E1256</f>
        <v>0</v>
      </c>
      <c r="AA1256" s="316">
        <f t="shared" si="469"/>
        <v>0.25</v>
      </c>
    </row>
    <row r="1257" spans="1:28" ht="53.25" thickBot="1" x14ac:dyDescent="0.45">
      <c r="A1257" s="319" t="s">
        <v>776</v>
      </c>
      <c r="B1257" s="371" t="s">
        <v>823</v>
      </c>
      <c r="C1257" s="528">
        <f t="shared" si="464"/>
        <v>0</v>
      </c>
      <c r="D1257" s="551">
        <f>C1257*12</f>
        <v>0</v>
      </c>
      <c r="E1257" s="456">
        <f t="shared" si="466"/>
        <v>0</v>
      </c>
      <c r="F1257" s="358">
        <f t="shared" si="467"/>
        <v>0</v>
      </c>
      <c r="G1257" s="548">
        <f t="shared" si="470"/>
        <v>0</v>
      </c>
      <c r="H1257" s="358" t="s">
        <v>18</v>
      </c>
      <c r="I1257" s="548">
        <f t="shared" si="471"/>
        <v>0</v>
      </c>
      <c r="J1257" s="358" t="s">
        <v>19</v>
      </c>
      <c r="K1257" s="358"/>
      <c r="L1257" s="358"/>
      <c r="M1257" s="358">
        <f t="shared" si="468"/>
        <v>0</v>
      </c>
      <c r="N1257" s="324"/>
      <c r="O1257" s="324"/>
      <c r="P1257" s="324"/>
      <c r="Q1257" s="324" t="s">
        <v>18</v>
      </c>
      <c r="R1257" s="324"/>
      <c r="S1257" s="324" t="s">
        <v>19</v>
      </c>
      <c r="T1257" s="528">
        <v>5</v>
      </c>
      <c r="U1257" s="324">
        <f t="shared" si="472"/>
        <v>0</v>
      </c>
      <c r="V1257" s="676"/>
      <c r="W1257" s="528"/>
      <c r="X1257" s="529"/>
      <c r="Y1257" s="360"/>
      <c r="Z1257" s="312">
        <f t="shared" si="443"/>
        <v>0</v>
      </c>
      <c r="AA1257" s="316">
        <f t="shared" si="469"/>
        <v>0.25</v>
      </c>
    </row>
    <row r="1258" spans="1:28" ht="53.25" thickBot="1" x14ac:dyDescent="0.45">
      <c r="A1258" s="319" t="s">
        <v>776</v>
      </c>
      <c r="B1258" s="371" t="s">
        <v>824</v>
      </c>
      <c r="C1258" s="528">
        <f t="shared" si="464"/>
        <v>0</v>
      </c>
      <c r="D1258" s="551">
        <f>C1258*12</f>
        <v>0</v>
      </c>
      <c r="E1258" s="456">
        <f t="shared" si="466"/>
        <v>0</v>
      </c>
      <c r="F1258" s="358">
        <f t="shared" si="467"/>
        <v>0</v>
      </c>
      <c r="G1258" s="548">
        <f t="shared" si="470"/>
        <v>0</v>
      </c>
      <c r="H1258" s="358" t="s">
        <v>18</v>
      </c>
      <c r="I1258" s="548">
        <f t="shared" si="471"/>
        <v>0</v>
      </c>
      <c r="J1258" s="358" t="s">
        <v>19</v>
      </c>
      <c r="K1258" s="358"/>
      <c r="L1258" s="358"/>
      <c r="M1258" s="358">
        <f t="shared" si="468"/>
        <v>0</v>
      </c>
      <c r="N1258" s="324"/>
      <c r="O1258" s="324"/>
      <c r="P1258" s="324"/>
      <c r="Q1258" s="324" t="s">
        <v>18</v>
      </c>
      <c r="R1258" s="324"/>
      <c r="S1258" s="324" t="s">
        <v>19</v>
      </c>
      <c r="T1258" s="528">
        <v>5</v>
      </c>
      <c r="U1258" s="324">
        <f t="shared" si="472"/>
        <v>0</v>
      </c>
      <c r="V1258" s="676"/>
      <c r="W1258" s="528"/>
      <c r="X1258" s="529"/>
      <c r="Y1258" s="323"/>
      <c r="Z1258" s="312">
        <f t="shared" si="443"/>
        <v>0</v>
      </c>
      <c r="AA1258" s="316">
        <f t="shared" si="469"/>
        <v>0.25</v>
      </c>
    </row>
    <row r="1259" spans="1:28" ht="53.25" thickBot="1" x14ac:dyDescent="0.45">
      <c r="A1259" s="319" t="s">
        <v>776</v>
      </c>
      <c r="B1259" s="344" t="s">
        <v>1006</v>
      </c>
      <c r="C1259" s="528">
        <f t="shared" si="464"/>
        <v>0</v>
      </c>
      <c r="D1259" s="530">
        <f>C1259*16</f>
        <v>0</v>
      </c>
      <c r="E1259" s="460">
        <f t="shared" si="466"/>
        <v>0</v>
      </c>
      <c r="F1259" s="324">
        <f t="shared" si="467"/>
        <v>0</v>
      </c>
      <c r="G1259" s="528">
        <f t="shared" si="470"/>
        <v>0</v>
      </c>
      <c r="H1259" s="324" t="s">
        <v>18</v>
      </c>
      <c r="I1259" s="528">
        <f t="shared" si="471"/>
        <v>0</v>
      </c>
      <c r="J1259" s="324" t="s">
        <v>19</v>
      </c>
      <c r="K1259" s="324"/>
      <c r="L1259" s="324"/>
      <c r="M1259" s="324">
        <f t="shared" si="468"/>
        <v>0</v>
      </c>
      <c r="N1259" s="324"/>
      <c r="O1259" s="324"/>
      <c r="P1259" s="324"/>
      <c r="Q1259" s="324" t="s">
        <v>18</v>
      </c>
      <c r="R1259" s="324"/>
      <c r="S1259" s="324" t="s">
        <v>19</v>
      </c>
      <c r="T1259" s="528">
        <v>5</v>
      </c>
      <c r="U1259" s="324">
        <f t="shared" si="472"/>
        <v>0</v>
      </c>
      <c r="V1259" s="676"/>
      <c r="W1259" s="528"/>
      <c r="X1259" s="529"/>
      <c r="Y1259" s="360"/>
      <c r="Z1259" s="312">
        <f t="shared" si="443"/>
        <v>0</v>
      </c>
      <c r="AA1259" s="316">
        <f t="shared" si="469"/>
        <v>0.25</v>
      </c>
    </row>
    <row r="1260" spans="1:28" ht="53.25" thickBot="1" x14ac:dyDescent="0.45">
      <c r="A1260" s="319" t="s">
        <v>776</v>
      </c>
      <c r="B1260" s="344" t="s">
        <v>1007</v>
      </c>
      <c r="C1260" s="528">
        <f t="shared" si="464"/>
        <v>0</v>
      </c>
      <c r="D1260" s="530">
        <f>C1260*16</f>
        <v>0</v>
      </c>
      <c r="E1260" s="460">
        <f t="shared" si="466"/>
        <v>0</v>
      </c>
      <c r="F1260" s="324">
        <f t="shared" si="467"/>
        <v>0</v>
      </c>
      <c r="G1260" s="528">
        <f t="shared" si="470"/>
        <v>0</v>
      </c>
      <c r="H1260" s="324" t="s">
        <v>18</v>
      </c>
      <c r="I1260" s="528">
        <f t="shared" si="471"/>
        <v>0</v>
      </c>
      <c r="J1260" s="324" t="s">
        <v>19</v>
      </c>
      <c r="K1260" s="324"/>
      <c r="L1260" s="324"/>
      <c r="M1260" s="324">
        <f t="shared" si="468"/>
        <v>0</v>
      </c>
      <c r="N1260" s="324"/>
      <c r="O1260" s="324"/>
      <c r="P1260" s="324"/>
      <c r="Q1260" s="324" t="s">
        <v>18</v>
      </c>
      <c r="R1260" s="324"/>
      <c r="S1260" s="324" t="s">
        <v>19</v>
      </c>
      <c r="T1260" s="528">
        <v>5</v>
      </c>
      <c r="U1260" s="324">
        <f t="shared" si="472"/>
        <v>0</v>
      </c>
      <c r="V1260" s="676"/>
      <c r="W1260" s="528"/>
      <c r="X1260" s="529"/>
      <c r="Y1260" s="360"/>
      <c r="Z1260" s="312">
        <f t="shared" si="443"/>
        <v>0</v>
      </c>
      <c r="AA1260" s="316">
        <f t="shared" si="469"/>
        <v>0.25</v>
      </c>
    </row>
    <row r="1261" spans="1:28" ht="53.25" thickBot="1" x14ac:dyDescent="0.45">
      <c r="A1261" s="319" t="s">
        <v>776</v>
      </c>
      <c r="B1261" s="344" t="s">
        <v>703</v>
      </c>
      <c r="C1261" s="528">
        <f t="shared" si="464"/>
        <v>0</v>
      </c>
      <c r="D1261" s="551">
        <f>C1261*12</f>
        <v>0</v>
      </c>
      <c r="E1261" s="456">
        <f t="shared" si="466"/>
        <v>0</v>
      </c>
      <c r="F1261" s="358">
        <f t="shared" si="467"/>
        <v>0</v>
      </c>
      <c r="G1261" s="548">
        <f t="shared" ref="G1261:G1269" si="473">INT(M1261)</f>
        <v>0</v>
      </c>
      <c r="H1261" s="358" t="s">
        <v>18</v>
      </c>
      <c r="I1261" s="548">
        <f t="shared" ref="I1261:I1269" si="474">(M1261-G1261)*64</f>
        <v>0</v>
      </c>
      <c r="J1261" s="358" t="s">
        <v>19</v>
      </c>
      <c r="K1261" s="358"/>
      <c r="L1261" s="358"/>
      <c r="M1261" s="358">
        <f t="shared" si="468"/>
        <v>0</v>
      </c>
      <c r="N1261" s="324"/>
      <c r="O1261" s="324"/>
      <c r="P1261" s="324"/>
      <c r="Q1261" s="324" t="s">
        <v>18</v>
      </c>
      <c r="R1261" s="324"/>
      <c r="S1261" s="324" t="s">
        <v>19</v>
      </c>
      <c r="T1261" s="528">
        <v>5</v>
      </c>
      <c r="U1261" s="324">
        <f t="shared" si="472"/>
        <v>0</v>
      </c>
      <c r="V1261" s="676"/>
      <c r="W1261" s="528"/>
      <c r="X1261" s="529"/>
      <c r="Y1261" s="360"/>
      <c r="Z1261" s="312">
        <f t="shared" si="443"/>
        <v>0</v>
      </c>
      <c r="AA1261" s="316">
        <f t="shared" si="469"/>
        <v>0.25</v>
      </c>
    </row>
    <row r="1262" spans="1:28" ht="53.25" thickBot="1" x14ac:dyDescent="0.45">
      <c r="A1262" s="319" t="s">
        <v>776</v>
      </c>
      <c r="B1262" s="344" t="s">
        <v>798</v>
      </c>
      <c r="C1262" s="528">
        <f t="shared" si="464"/>
        <v>0</v>
      </c>
      <c r="D1262" s="548">
        <f>C1262*28</f>
        <v>0</v>
      </c>
      <c r="E1262" s="456">
        <f>D1262*0.125</f>
        <v>0</v>
      </c>
      <c r="F1262" s="358">
        <f t="shared" ref="F1262:F1268" si="475">E1262*0.99*1.03/147</f>
        <v>0</v>
      </c>
      <c r="G1262" s="548">
        <f t="shared" si="473"/>
        <v>0</v>
      </c>
      <c r="H1262" s="358" t="s">
        <v>18</v>
      </c>
      <c r="I1262" s="548">
        <f t="shared" si="474"/>
        <v>0</v>
      </c>
      <c r="J1262" s="358" t="s">
        <v>19</v>
      </c>
      <c r="K1262" s="358"/>
      <c r="L1262" s="358"/>
      <c r="M1262" s="358">
        <f t="shared" si="468"/>
        <v>0</v>
      </c>
      <c r="N1262" s="324"/>
      <c r="O1262" s="324"/>
      <c r="P1262" s="324"/>
      <c r="Q1262" s="324" t="s">
        <v>18</v>
      </c>
      <c r="R1262" s="324"/>
      <c r="S1262" s="324" t="s">
        <v>19</v>
      </c>
      <c r="T1262" s="528">
        <v>6</v>
      </c>
      <c r="U1262" s="324">
        <f t="shared" si="472"/>
        <v>0</v>
      </c>
      <c r="V1262" s="676"/>
      <c r="W1262" s="528"/>
      <c r="X1262" s="529"/>
      <c r="Y1262" s="323"/>
      <c r="Z1262" s="312">
        <f t="shared" si="443"/>
        <v>0</v>
      </c>
      <c r="AA1262" s="316">
        <f>SUM(Z1262/360+0.25)</f>
        <v>0.25</v>
      </c>
    </row>
    <row r="1263" spans="1:28" ht="53.25" thickBot="1" x14ac:dyDescent="0.45">
      <c r="A1263" s="319" t="s">
        <v>776</v>
      </c>
      <c r="B1263" s="344" t="s">
        <v>791</v>
      </c>
      <c r="C1263" s="528">
        <f t="shared" si="464"/>
        <v>0</v>
      </c>
      <c r="D1263" s="551">
        <f>C1263*28</f>
        <v>0</v>
      </c>
      <c r="E1263" s="456">
        <f>D1263*0.125</f>
        <v>0</v>
      </c>
      <c r="F1263" s="358">
        <f t="shared" si="475"/>
        <v>0</v>
      </c>
      <c r="G1263" s="548">
        <f t="shared" si="473"/>
        <v>0</v>
      </c>
      <c r="H1263" s="358" t="s">
        <v>18</v>
      </c>
      <c r="I1263" s="548">
        <f t="shared" si="474"/>
        <v>0</v>
      </c>
      <c r="J1263" s="358" t="s">
        <v>19</v>
      </c>
      <c r="K1263" s="358"/>
      <c r="L1263" s="358"/>
      <c r="M1263" s="358">
        <f t="shared" si="468"/>
        <v>0</v>
      </c>
      <c r="N1263" s="324"/>
      <c r="O1263" s="324"/>
      <c r="P1263" s="324"/>
      <c r="Q1263" s="324" t="s">
        <v>18</v>
      </c>
      <c r="R1263" s="324"/>
      <c r="S1263" s="324" t="s">
        <v>19</v>
      </c>
      <c r="T1263" s="528">
        <v>6</v>
      </c>
      <c r="U1263" s="324">
        <f t="shared" si="472"/>
        <v>0</v>
      </c>
      <c r="V1263" s="676"/>
      <c r="W1263" s="528"/>
      <c r="X1263" s="529"/>
      <c r="Y1263" s="323"/>
      <c r="Z1263" s="312">
        <f t="shared" si="443"/>
        <v>0</v>
      </c>
      <c r="AA1263" s="316">
        <f>SUM(Z1263/360+0.25)</f>
        <v>0.25</v>
      </c>
    </row>
    <row r="1264" spans="1:28" ht="53.25" thickBot="1" x14ac:dyDescent="0.45">
      <c r="A1264" s="319" t="s">
        <v>776</v>
      </c>
      <c r="B1264" s="320" t="s">
        <v>781</v>
      </c>
      <c r="C1264" s="528">
        <f t="shared" si="464"/>
        <v>0</v>
      </c>
      <c r="D1264" s="548">
        <f>C1264*10</f>
        <v>0</v>
      </c>
      <c r="E1264" s="456">
        <f>D1264*0.18</f>
        <v>0</v>
      </c>
      <c r="F1264" s="358">
        <f t="shared" si="475"/>
        <v>0</v>
      </c>
      <c r="G1264" s="548">
        <f t="shared" si="473"/>
        <v>0</v>
      </c>
      <c r="H1264" s="358" t="s">
        <v>18</v>
      </c>
      <c r="I1264" s="548">
        <f t="shared" si="474"/>
        <v>0</v>
      </c>
      <c r="J1264" s="358" t="s">
        <v>19</v>
      </c>
      <c r="K1264" s="358"/>
      <c r="L1264" s="358"/>
      <c r="M1264" s="358">
        <f>(F1264*6400)/2880</f>
        <v>0</v>
      </c>
      <c r="N1264" s="324"/>
      <c r="O1264" s="324"/>
      <c r="P1264" s="324"/>
      <c r="Q1264" s="324" t="s">
        <v>18</v>
      </c>
      <c r="R1264" s="324"/>
      <c r="S1264" s="324" t="s">
        <v>19</v>
      </c>
      <c r="T1264" s="528">
        <v>6</v>
      </c>
      <c r="U1264" s="324">
        <f>E1264/237*60</f>
        <v>0</v>
      </c>
      <c r="V1264" s="676"/>
      <c r="W1264" s="528"/>
      <c r="X1264" s="529"/>
      <c r="Y1264" s="323"/>
      <c r="Z1264" s="312">
        <f t="shared" si="443"/>
        <v>0</v>
      </c>
      <c r="AA1264" s="316">
        <f>SUM(Z1264/436.4+0.25)</f>
        <v>0.25</v>
      </c>
    </row>
    <row r="1265" spans="1:27" ht="77.25" thickBot="1" x14ac:dyDescent="0.45">
      <c r="A1265" s="319" t="s">
        <v>776</v>
      </c>
      <c r="B1265" s="320" t="s">
        <v>1028</v>
      </c>
      <c r="C1265" s="528">
        <f>C1108</f>
        <v>0</v>
      </c>
      <c r="D1265" s="567">
        <f>C1265*12</f>
        <v>0</v>
      </c>
      <c r="E1265" s="324">
        <f>D1265*0.18</f>
        <v>0</v>
      </c>
      <c r="F1265" s="324">
        <f>E1265*0.99*1.03/147</f>
        <v>0</v>
      </c>
      <c r="G1265" s="324">
        <f>INT(M1265)</f>
        <v>0</v>
      </c>
      <c r="H1265" s="324" t="s">
        <v>18</v>
      </c>
      <c r="I1265" s="528">
        <f>(M1265-G1265)*64</f>
        <v>0</v>
      </c>
      <c r="J1265" s="324" t="s">
        <v>19</v>
      </c>
      <c r="K1265" s="324"/>
      <c r="L1265" s="324"/>
      <c r="M1265" s="324">
        <f>C1265*12*6/45/64*1.03</f>
        <v>0</v>
      </c>
      <c r="N1265" s="324"/>
      <c r="O1265" s="324"/>
      <c r="P1265" s="324"/>
      <c r="Q1265" s="324" t="s">
        <v>18</v>
      </c>
      <c r="R1265" s="324"/>
      <c r="S1265" s="324" t="s">
        <v>19</v>
      </c>
      <c r="T1265" s="528">
        <v>9</v>
      </c>
      <c r="U1265" s="324">
        <f>E1265/237*60</f>
        <v>0</v>
      </c>
      <c r="V1265" s="676"/>
      <c r="W1265" s="528"/>
      <c r="X1265" s="529"/>
      <c r="Y1265" s="323"/>
      <c r="Z1265" s="312">
        <f>E1265</f>
        <v>0</v>
      </c>
      <c r="AA1265" s="316">
        <f>SUM(Z1265/514.1+0.25)</f>
        <v>0.25</v>
      </c>
    </row>
    <row r="1266" spans="1:27" ht="53.25" thickBot="1" x14ac:dyDescent="0.45">
      <c r="A1266" s="319" t="s">
        <v>776</v>
      </c>
      <c r="B1266" s="320" t="s">
        <v>996</v>
      </c>
      <c r="C1266" s="528">
        <f>C1109</f>
        <v>0</v>
      </c>
      <c r="D1266" s="567">
        <f>C1266*12</f>
        <v>0</v>
      </c>
      <c r="E1266" s="324">
        <f>D1266*0.18</f>
        <v>0</v>
      </c>
      <c r="F1266" s="324">
        <f t="shared" si="475"/>
        <v>0</v>
      </c>
      <c r="G1266" s="324">
        <f t="shared" si="473"/>
        <v>0</v>
      </c>
      <c r="H1266" s="324" t="s">
        <v>18</v>
      </c>
      <c r="I1266" s="528">
        <f t="shared" si="474"/>
        <v>0</v>
      </c>
      <c r="J1266" s="324" t="s">
        <v>19</v>
      </c>
      <c r="K1266" s="324"/>
      <c r="L1266" s="324"/>
      <c r="M1266" s="324">
        <f>C1266*12*6/45/64*1.03</f>
        <v>0</v>
      </c>
      <c r="N1266" s="324"/>
      <c r="O1266" s="324"/>
      <c r="P1266" s="324"/>
      <c r="Q1266" s="324" t="s">
        <v>18</v>
      </c>
      <c r="R1266" s="324"/>
      <c r="S1266" s="324" t="s">
        <v>19</v>
      </c>
      <c r="T1266" s="528">
        <v>9</v>
      </c>
      <c r="U1266" s="324">
        <f>E1266/237*60</f>
        <v>0</v>
      </c>
      <c r="V1266" s="676"/>
      <c r="W1266" s="528"/>
      <c r="X1266" s="529"/>
      <c r="Y1266" s="323"/>
      <c r="Z1266" s="312">
        <f t="shared" si="443"/>
        <v>0</v>
      </c>
      <c r="AA1266" s="316">
        <f>SUM(Z1266/514.1+0.25)</f>
        <v>0.25</v>
      </c>
    </row>
    <row r="1267" spans="1:27" ht="53.25" thickBot="1" x14ac:dyDescent="0.45">
      <c r="A1267" s="319" t="s">
        <v>776</v>
      </c>
      <c r="B1267" s="320" t="s">
        <v>997</v>
      </c>
      <c r="C1267" s="528">
        <f>C1110</f>
        <v>0</v>
      </c>
      <c r="D1267" s="567">
        <f>C1267*12</f>
        <v>0</v>
      </c>
      <c r="E1267" s="324">
        <f>D1267*0.18</f>
        <v>0</v>
      </c>
      <c r="F1267" s="324">
        <f t="shared" si="475"/>
        <v>0</v>
      </c>
      <c r="G1267" s="324">
        <f t="shared" si="473"/>
        <v>0</v>
      </c>
      <c r="H1267" s="324" t="s">
        <v>18</v>
      </c>
      <c r="I1267" s="528">
        <f t="shared" si="474"/>
        <v>0</v>
      </c>
      <c r="J1267" s="324" t="s">
        <v>19</v>
      </c>
      <c r="K1267" s="324"/>
      <c r="L1267" s="324"/>
      <c r="M1267" s="324">
        <f>C1267*12*6/45/64*1.03</f>
        <v>0</v>
      </c>
      <c r="N1267" s="324"/>
      <c r="O1267" s="324"/>
      <c r="P1267" s="324"/>
      <c r="Q1267" s="324" t="s">
        <v>18</v>
      </c>
      <c r="R1267" s="324"/>
      <c r="S1267" s="324" t="s">
        <v>19</v>
      </c>
      <c r="T1267" s="528">
        <v>9</v>
      </c>
      <c r="U1267" s="324">
        <f>E1267/237*60</f>
        <v>0</v>
      </c>
      <c r="V1267" s="676"/>
      <c r="W1267" s="528"/>
      <c r="X1267" s="529"/>
      <c r="Y1267" s="323"/>
      <c r="Z1267" s="312">
        <f t="shared" si="443"/>
        <v>0</v>
      </c>
      <c r="AA1267" s="316">
        <f>SUM(Z1267/514.1+0.25)</f>
        <v>0.25</v>
      </c>
    </row>
    <row r="1268" spans="1:27" ht="53.25" thickBot="1" x14ac:dyDescent="0.45">
      <c r="A1268" s="319" t="s">
        <v>776</v>
      </c>
      <c r="B1268" s="320" t="s">
        <v>998</v>
      </c>
      <c r="C1268" s="528">
        <f>C1111</f>
        <v>0</v>
      </c>
      <c r="D1268" s="567">
        <f>C1268*26</f>
        <v>0</v>
      </c>
      <c r="E1268" s="324">
        <f>D1268*0.18</f>
        <v>0</v>
      </c>
      <c r="F1268" s="324">
        <f t="shared" si="475"/>
        <v>0</v>
      </c>
      <c r="G1268" s="324">
        <f t="shared" si="473"/>
        <v>0</v>
      </c>
      <c r="H1268" s="324" t="s">
        <v>18</v>
      </c>
      <c r="I1268" s="528">
        <f t="shared" si="474"/>
        <v>0</v>
      </c>
      <c r="J1268" s="324" t="s">
        <v>19</v>
      </c>
      <c r="K1268" s="324"/>
      <c r="L1268" s="324"/>
      <c r="M1268" s="324">
        <f>C1268*26*6/45/64*1.03</f>
        <v>0</v>
      </c>
      <c r="N1268" s="324"/>
      <c r="O1268" s="324"/>
      <c r="P1268" s="324"/>
      <c r="Q1268" s="324" t="s">
        <v>18</v>
      </c>
      <c r="R1268" s="324"/>
      <c r="S1268" s="324" t="s">
        <v>19</v>
      </c>
      <c r="T1268" s="528">
        <v>9</v>
      </c>
      <c r="U1268" s="324">
        <f>E1268/237*60</f>
        <v>0</v>
      </c>
      <c r="V1268" s="676"/>
      <c r="W1268" s="528"/>
      <c r="X1268" s="529"/>
      <c r="Y1268" s="323"/>
      <c r="Z1268" s="312">
        <f t="shared" ref="Z1268:Z1293" si="476">E1268</f>
        <v>0</v>
      </c>
      <c r="AA1268" s="316">
        <f>SUM(Z1268/514.1+0.25)</f>
        <v>0.25</v>
      </c>
    </row>
    <row r="1269" spans="1:27" s="728" customFormat="1" ht="53.25" outlineLevel="1" thickBot="1" x14ac:dyDescent="0.45">
      <c r="A1269" s="636" t="s">
        <v>776</v>
      </c>
      <c r="B1269" s="634" t="s">
        <v>1041</v>
      </c>
      <c r="C1269" s="720">
        <f t="shared" ref="C1269:C1277" si="477">C1135</f>
        <v>0</v>
      </c>
      <c r="D1269" s="720">
        <f>C1269*12</f>
        <v>0</v>
      </c>
      <c r="E1269" s="721">
        <f t="shared" ref="E1269:E1275" si="478">D1269*0.25</f>
        <v>0</v>
      </c>
      <c r="F1269" s="722">
        <f t="shared" ref="F1269:F1279" si="479">E1269*0.9*1.01/147</f>
        <v>0</v>
      </c>
      <c r="G1269" s="720">
        <f t="shared" si="473"/>
        <v>0</v>
      </c>
      <c r="H1269" s="722" t="s">
        <v>18</v>
      </c>
      <c r="I1269" s="720">
        <f t="shared" si="474"/>
        <v>0</v>
      </c>
      <c r="J1269" s="722" t="s">
        <v>19</v>
      </c>
      <c r="K1269" s="722"/>
      <c r="L1269" s="722"/>
      <c r="M1269" s="722">
        <f>(F1269*6533/3456)</f>
        <v>0</v>
      </c>
      <c r="N1269" s="722"/>
      <c r="O1269" s="722"/>
      <c r="P1269" s="722"/>
      <c r="Q1269" s="722" t="s">
        <v>18</v>
      </c>
      <c r="R1269" s="722"/>
      <c r="S1269" s="722" t="s">
        <v>19</v>
      </c>
      <c r="T1269" s="720">
        <v>10</v>
      </c>
      <c r="U1269" s="324">
        <f t="shared" ref="U1269:U1276" si="480">E1269/390*60</f>
        <v>0</v>
      </c>
      <c r="V1269" s="724"/>
      <c r="W1269" s="720"/>
      <c r="X1269" s="725"/>
      <c r="Y1269" s="749"/>
      <c r="Z1269" s="727">
        <f t="shared" si="476"/>
        <v>0</v>
      </c>
      <c r="AA1269" s="815">
        <f>SUM(Z1269/413.1+0.25)</f>
        <v>0.25</v>
      </c>
    </row>
    <row r="1270" spans="1:27" ht="77.25" thickBot="1" x14ac:dyDescent="0.45">
      <c r="A1270" s="319" t="s">
        <v>776</v>
      </c>
      <c r="B1270" s="320" t="s">
        <v>828</v>
      </c>
      <c r="C1270" s="528">
        <f t="shared" si="477"/>
        <v>0</v>
      </c>
      <c r="D1270" s="557">
        <f>C1270*12</f>
        <v>0</v>
      </c>
      <c r="E1270" s="457">
        <f t="shared" si="478"/>
        <v>0</v>
      </c>
      <c r="F1270" s="359">
        <f t="shared" si="479"/>
        <v>0</v>
      </c>
      <c r="G1270" s="558">
        <f t="shared" ref="G1270:G1275" si="481">INT(M1270)</f>
        <v>0</v>
      </c>
      <c r="H1270" s="366" t="s">
        <v>18</v>
      </c>
      <c r="I1270" s="556">
        <f t="shared" ref="I1270:I1275" si="482">(M1270-G1270)*64</f>
        <v>0</v>
      </c>
      <c r="J1270" s="366" t="s">
        <v>19</v>
      </c>
      <c r="K1270" s="366"/>
      <c r="L1270" s="366"/>
      <c r="M1270" s="366">
        <f t="shared" ref="M1270:M1275" si="483">(F1270*7777/3456)</f>
        <v>0</v>
      </c>
      <c r="N1270" s="366"/>
      <c r="O1270" s="366"/>
      <c r="P1270" s="366"/>
      <c r="Q1270" s="358" t="s">
        <v>18</v>
      </c>
      <c r="R1270" s="358"/>
      <c r="S1270" s="358" t="s">
        <v>19</v>
      </c>
      <c r="T1270" s="528">
        <v>5</v>
      </c>
      <c r="U1270" s="324">
        <f t="shared" si="480"/>
        <v>0</v>
      </c>
      <c r="V1270" s="676"/>
      <c r="W1270" s="528"/>
      <c r="X1270" s="529"/>
      <c r="Y1270" s="660"/>
      <c r="Z1270" s="312">
        <f t="shared" si="476"/>
        <v>0</v>
      </c>
      <c r="AA1270" s="316">
        <f t="shared" ref="AA1270:AA1275" si="484">SUM(Z1270/347+0.25)</f>
        <v>0.25</v>
      </c>
    </row>
    <row r="1271" spans="1:27" ht="77.25" thickBot="1" x14ac:dyDescent="0.45">
      <c r="A1271" s="319" t="s">
        <v>776</v>
      </c>
      <c r="B1271" s="320" t="s">
        <v>1017</v>
      </c>
      <c r="C1271" s="528">
        <f t="shared" si="477"/>
        <v>0</v>
      </c>
      <c r="D1271" s="557">
        <f>C1271*12</f>
        <v>0</v>
      </c>
      <c r="E1271" s="457">
        <f t="shared" si="478"/>
        <v>0</v>
      </c>
      <c r="F1271" s="359">
        <f t="shared" si="479"/>
        <v>0</v>
      </c>
      <c r="G1271" s="558">
        <f t="shared" si="481"/>
        <v>0</v>
      </c>
      <c r="H1271" s="366" t="s">
        <v>18</v>
      </c>
      <c r="I1271" s="556">
        <f t="shared" si="482"/>
        <v>0</v>
      </c>
      <c r="J1271" s="366" t="s">
        <v>19</v>
      </c>
      <c r="K1271" s="366"/>
      <c r="L1271" s="366"/>
      <c r="M1271" s="366">
        <f t="shared" si="483"/>
        <v>0</v>
      </c>
      <c r="N1271" s="366"/>
      <c r="O1271" s="366"/>
      <c r="P1271" s="366"/>
      <c r="Q1271" s="358" t="s">
        <v>18</v>
      </c>
      <c r="R1271" s="358"/>
      <c r="S1271" s="358" t="s">
        <v>19</v>
      </c>
      <c r="T1271" s="528">
        <v>5</v>
      </c>
      <c r="U1271" s="324">
        <f t="shared" si="480"/>
        <v>0</v>
      </c>
      <c r="V1271" s="676"/>
      <c r="W1271" s="528"/>
      <c r="X1271" s="529"/>
      <c r="Y1271" s="665"/>
      <c r="Z1271" s="312">
        <f>E1271</f>
        <v>0</v>
      </c>
      <c r="AA1271" s="316">
        <f t="shared" si="484"/>
        <v>0.25</v>
      </c>
    </row>
    <row r="1272" spans="1:27" ht="77.25" thickBot="1" x14ac:dyDescent="0.45">
      <c r="A1272" s="319" t="s">
        <v>776</v>
      </c>
      <c r="B1272" s="320" t="s">
        <v>1073</v>
      </c>
      <c r="C1272" s="528">
        <f t="shared" si="477"/>
        <v>0</v>
      </c>
      <c r="D1272" s="709">
        <f>C1272*16</f>
        <v>0</v>
      </c>
      <c r="E1272" s="496">
        <f t="shared" si="478"/>
        <v>0</v>
      </c>
      <c r="F1272" s="354">
        <f>E1272*0.9*1.01/147</f>
        <v>0</v>
      </c>
      <c r="G1272" s="710">
        <f t="shared" si="481"/>
        <v>0</v>
      </c>
      <c r="H1272" s="555" t="s">
        <v>18</v>
      </c>
      <c r="I1272" s="553">
        <f t="shared" si="482"/>
        <v>0</v>
      </c>
      <c r="J1272" s="555" t="s">
        <v>19</v>
      </c>
      <c r="K1272" s="555"/>
      <c r="L1272" s="555"/>
      <c r="M1272" s="555">
        <f t="shared" si="483"/>
        <v>0</v>
      </c>
      <c r="N1272" s="555"/>
      <c r="O1272" s="555"/>
      <c r="P1272" s="555"/>
      <c r="Q1272" s="324" t="s">
        <v>18</v>
      </c>
      <c r="R1272" s="324"/>
      <c r="S1272" s="324" t="s">
        <v>19</v>
      </c>
      <c r="T1272" s="528">
        <v>5</v>
      </c>
      <c r="U1272" s="324">
        <f t="shared" si="480"/>
        <v>0</v>
      </c>
      <c r="V1272" s="676"/>
      <c r="W1272" s="528"/>
      <c r="X1272" s="529"/>
      <c r="Y1272" s="668"/>
      <c r="Z1272" s="312">
        <f>E1272</f>
        <v>0</v>
      </c>
      <c r="AA1272" s="316">
        <f t="shared" si="484"/>
        <v>0.25</v>
      </c>
    </row>
    <row r="1273" spans="1:27" ht="77.25" thickBot="1" x14ac:dyDescent="0.45">
      <c r="A1273" s="319" t="s">
        <v>776</v>
      </c>
      <c r="B1273" s="320" t="s">
        <v>1074</v>
      </c>
      <c r="C1273" s="528">
        <f t="shared" si="477"/>
        <v>0</v>
      </c>
      <c r="D1273" s="709">
        <f>C1273*16</f>
        <v>0</v>
      </c>
      <c r="E1273" s="496">
        <f t="shared" si="478"/>
        <v>0</v>
      </c>
      <c r="F1273" s="354">
        <f>E1273*0.9*1.01/147</f>
        <v>0</v>
      </c>
      <c r="G1273" s="710">
        <f t="shared" si="481"/>
        <v>0</v>
      </c>
      <c r="H1273" s="555" t="s">
        <v>18</v>
      </c>
      <c r="I1273" s="553">
        <f t="shared" si="482"/>
        <v>0</v>
      </c>
      <c r="J1273" s="555" t="s">
        <v>19</v>
      </c>
      <c r="K1273" s="555"/>
      <c r="L1273" s="555"/>
      <c r="M1273" s="555">
        <f t="shared" si="483"/>
        <v>0</v>
      </c>
      <c r="N1273" s="555"/>
      <c r="O1273" s="555"/>
      <c r="P1273" s="555"/>
      <c r="Q1273" s="324" t="s">
        <v>18</v>
      </c>
      <c r="R1273" s="324"/>
      <c r="S1273" s="324" t="s">
        <v>19</v>
      </c>
      <c r="T1273" s="528">
        <v>5</v>
      </c>
      <c r="U1273" s="324">
        <f t="shared" si="480"/>
        <v>0</v>
      </c>
      <c r="V1273" s="676"/>
      <c r="W1273" s="528"/>
      <c r="X1273" s="529"/>
      <c r="Y1273" s="660"/>
      <c r="Z1273" s="312">
        <f>E1273</f>
        <v>0</v>
      </c>
      <c r="AA1273" s="316">
        <f t="shared" si="484"/>
        <v>0.25</v>
      </c>
    </row>
    <row r="1274" spans="1:27" ht="77.25" thickBot="1" x14ac:dyDescent="0.45">
      <c r="A1274" s="319" t="s">
        <v>776</v>
      </c>
      <c r="B1274" s="320" t="s">
        <v>1184</v>
      </c>
      <c r="C1274" s="528">
        <f t="shared" si="477"/>
        <v>0</v>
      </c>
      <c r="D1274" s="557">
        <f>C1274*16</f>
        <v>0</v>
      </c>
      <c r="E1274" s="457">
        <f t="shared" si="478"/>
        <v>0</v>
      </c>
      <c r="F1274" s="359">
        <f t="shared" si="479"/>
        <v>0</v>
      </c>
      <c r="G1274" s="558">
        <f t="shared" si="481"/>
        <v>0</v>
      </c>
      <c r="H1274" s="366" t="s">
        <v>18</v>
      </c>
      <c r="I1274" s="556">
        <f t="shared" si="482"/>
        <v>0</v>
      </c>
      <c r="J1274" s="366" t="s">
        <v>19</v>
      </c>
      <c r="K1274" s="366"/>
      <c r="L1274" s="366"/>
      <c r="M1274" s="366">
        <f t="shared" si="483"/>
        <v>0</v>
      </c>
      <c r="N1274" s="366"/>
      <c r="O1274" s="366"/>
      <c r="P1274" s="366"/>
      <c r="Q1274" s="358" t="s">
        <v>18</v>
      </c>
      <c r="R1274" s="358"/>
      <c r="S1274" s="358" t="s">
        <v>19</v>
      </c>
      <c r="T1274" s="528">
        <v>5</v>
      </c>
      <c r="U1274" s="324">
        <f t="shared" si="480"/>
        <v>0</v>
      </c>
      <c r="V1274" s="676"/>
      <c r="W1274" s="528"/>
      <c r="X1274" s="529"/>
      <c r="Y1274" s="659"/>
      <c r="Z1274" s="312">
        <f t="shared" si="476"/>
        <v>0</v>
      </c>
      <c r="AA1274" s="316">
        <f t="shared" si="484"/>
        <v>0.25</v>
      </c>
    </row>
    <row r="1275" spans="1:27" ht="53.25" thickBot="1" x14ac:dyDescent="0.45">
      <c r="A1275" s="319" t="s">
        <v>776</v>
      </c>
      <c r="B1275" s="320" t="s">
        <v>856</v>
      </c>
      <c r="C1275" s="528">
        <f t="shared" si="477"/>
        <v>0</v>
      </c>
      <c r="D1275" s="557">
        <f>C1275*16</f>
        <v>0</v>
      </c>
      <c r="E1275" s="457">
        <f t="shared" si="478"/>
        <v>0</v>
      </c>
      <c r="F1275" s="359">
        <f t="shared" si="479"/>
        <v>0</v>
      </c>
      <c r="G1275" s="558">
        <f t="shared" si="481"/>
        <v>0</v>
      </c>
      <c r="H1275" s="366" t="s">
        <v>18</v>
      </c>
      <c r="I1275" s="556">
        <f t="shared" si="482"/>
        <v>0</v>
      </c>
      <c r="J1275" s="366" t="s">
        <v>19</v>
      </c>
      <c r="K1275" s="366"/>
      <c r="L1275" s="366"/>
      <c r="M1275" s="366">
        <f t="shared" si="483"/>
        <v>0</v>
      </c>
      <c r="N1275" s="366"/>
      <c r="O1275" s="366"/>
      <c r="P1275" s="366"/>
      <c r="Q1275" s="358" t="s">
        <v>18</v>
      </c>
      <c r="R1275" s="358"/>
      <c r="S1275" s="358" t="s">
        <v>19</v>
      </c>
      <c r="T1275" s="528">
        <v>5</v>
      </c>
      <c r="U1275" s="324">
        <f t="shared" si="480"/>
        <v>0</v>
      </c>
      <c r="V1275" s="676"/>
      <c r="W1275" s="528"/>
      <c r="X1275" s="529"/>
      <c r="Y1275" s="367"/>
      <c r="Z1275" s="312">
        <f t="shared" si="476"/>
        <v>0</v>
      </c>
      <c r="AA1275" s="316">
        <f t="shared" si="484"/>
        <v>0.25</v>
      </c>
    </row>
    <row r="1276" spans="1:27" ht="77.25" thickBot="1" x14ac:dyDescent="0.45">
      <c r="A1276" s="319" t="s">
        <v>776</v>
      </c>
      <c r="B1276" s="799" t="s">
        <v>1207</v>
      </c>
      <c r="C1276" s="528">
        <f t="shared" si="477"/>
        <v>0</v>
      </c>
      <c r="D1276" s="550">
        <f>C1276*12</f>
        <v>0</v>
      </c>
      <c r="E1276" s="456">
        <f>D1276*0.27</f>
        <v>0</v>
      </c>
      <c r="F1276" s="358">
        <f>E1276*0.87*1.01/151</f>
        <v>0</v>
      </c>
      <c r="G1276" s="358">
        <f>INT(M1276)</f>
        <v>0</v>
      </c>
      <c r="H1276" s="358" t="s">
        <v>18</v>
      </c>
      <c r="I1276" s="548">
        <f>(M1276-G1276)*64</f>
        <v>0</v>
      </c>
      <c r="J1276" s="358" t="s">
        <v>19</v>
      </c>
      <c r="K1276" s="358"/>
      <c r="L1276" s="358"/>
      <c r="M1276" s="358">
        <f>F1276*7889/3456</f>
        <v>0</v>
      </c>
      <c r="N1276" s="461"/>
      <c r="O1276" s="461"/>
      <c r="P1276" s="366"/>
      <c r="Q1276" s="358" t="s">
        <v>18</v>
      </c>
      <c r="R1276" s="358"/>
      <c r="S1276" s="358" t="s">
        <v>19</v>
      </c>
      <c r="T1276" s="528">
        <v>10</v>
      </c>
      <c r="U1276" s="324">
        <f t="shared" si="480"/>
        <v>0</v>
      </c>
      <c r="V1276" s="676"/>
      <c r="W1276" s="528"/>
      <c r="X1276" s="529"/>
      <c r="Y1276" s="367"/>
      <c r="Z1276" s="312">
        <f>E1276</f>
        <v>0</v>
      </c>
      <c r="AA1276" s="316">
        <f>SUM(Z1276/383.1+0.25)</f>
        <v>0.25</v>
      </c>
    </row>
    <row r="1277" spans="1:27" ht="77.25" thickBot="1" x14ac:dyDescent="0.45">
      <c r="A1277" s="319" t="s">
        <v>776</v>
      </c>
      <c r="B1277" s="799" t="s">
        <v>1221</v>
      </c>
      <c r="C1277" s="528">
        <f t="shared" si="477"/>
        <v>0</v>
      </c>
      <c r="D1277" s="550">
        <f>C1277*7</f>
        <v>0</v>
      </c>
      <c r="E1277" s="456">
        <f>D1277*0.27</f>
        <v>0</v>
      </c>
      <c r="F1277" s="358">
        <f>E1277*0.87*1.01/151</f>
        <v>0</v>
      </c>
      <c r="G1277" s="358">
        <f>INT(M1277)</f>
        <v>0</v>
      </c>
      <c r="H1277" s="358" t="s">
        <v>18</v>
      </c>
      <c r="I1277" s="548">
        <f>(M1277-G1277)*64</f>
        <v>0</v>
      </c>
      <c r="J1277" s="358" t="s">
        <v>19</v>
      </c>
      <c r="K1277" s="358"/>
      <c r="L1277" s="358"/>
      <c r="M1277" s="358">
        <f>F1277*7889/3456</f>
        <v>0</v>
      </c>
      <c r="N1277" s="461"/>
      <c r="O1277" s="461"/>
      <c r="P1277" s="366"/>
      <c r="Q1277" s="358" t="s">
        <v>18</v>
      </c>
      <c r="R1277" s="358"/>
      <c r="S1277" s="358" t="s">
        <v>19</v>
      </c>
      <c r="T1277" s="528">
        <v>10</v>
      </c>
      <c r="U1277" s="324">
        <f>E1277/390*60</f>
        <v>0</v>
      </c>
      <c r="V1277" s="676"/>
      <c r="W1277" s="528"/>
      <c r="X1277" s="529"/>
      <c r="Y1277" s="367"/>
      <c r="Z1277" s="312">
        <f>E1277</f>
        <v>0</v>
      </c>
      <c r="AA1277" s="316">
        <f>SUM(Z1277/383.1+0.25)</f>
        <v>0.25</v>
      </c>
    </row>
    <row r="1278" spans="1:27" ht="77.25" thickBot="1" x14ac:dyDescent="0.45">
      <c r="A1278" s="319" t="s">
        <v>776</v>
      </c>
      <c r="B1278" s="320" t="s">
        <v>904</v>
      </c>
      <c r="C1278" s="528">
        <f>C1112</f>
        <v>0</v>
      </c>
      <c r="D1278" s="569">
        <f>C1278*12</f>
        <v>0</v>
      </c>
      <c r="E1278" s="458">
        <f>D1278*0.55</f>
        <v>0</v>
      </c>
      <c r="F1278" s="358">
        <f t="shared" si="479"/>
        <v>0</v>
      </c>
      <c r="G1278" s="556">
        <f t="shared" ref="G1278:G1295" si="485">INT(M1278)</f>
        <v>0</v>
      </c>
      <c r="H1278" s="366" t="s">
        <v>18</v>
      </c>
      <c r="I1278" s="556">
        <f t="shared" ref="I1278:I1295" si="486">(M1278-G1278)*64</f>
        <v>0</v>
      </c>
      <c r="J1278" s="366" t="s">
        <v>19</v>
      </c>
      <c r="K1278" s="366"/>
      <c r="L1278" s="366"/>
      <c r="M1278" s="570">
        <f>(F1278*5300/3456)</f>
        <v>0</v>
      </c>
      <c r="N1278" s="366"/>
      <c r="O1278" s="366"/>
      <c r="P1278" s="366"/>
      <c r="Q1278" s="366" t="s">
        <v>18</v>
      </c>
      <c r="R1278" s="366"/>
      <c r="S1278" s="366" t="s">
        <v>19</v>
      </c>
      <c r="T1278" s="528">
        <v>10</v>
      </c>
      <c r="U1278" s="324"/>
      <c r="V1278" s="676"/>
      <c r="W1278" s="528"/>
      <c r="X1278" s="529"/>
      <c r="Y1278" s="658"/>
      <c r="Z1278" s="312">
        <f t="shared" si="476"/>
        <v>0</v>
      </c>
      <c r="AA1278" s="316">
        <f>SUM(Z1278/520.5+0.25)</f>
        <v>0.25</v>
      </c>
    </row>
    <row r="1279" spans="1:27" ht="77.25" thickBot="1" x14ac:dyDescent="0.45">
      <c r="A1279" s="319" t="s">
        <v>776</v>
      </c>
      <c r="B1279" s="320" t="s">
        <v>905</v>
      </c>
      <c r="C1279" s="528">
        <f>C1113</f>
        <v>0</v>
      </c>
      <c r="D1279" s="569">
        <f>C1279*12</f>
        <v>0</v>
      </c>
      <c r="E1279" s="458">
        <f>D1279*0.55</f>
        <v>0</v>
      </c>
      <c r="F1279" s="358">
        <f t="shared" si="479"/>
        <v>0</v>
      </c>
      <c r="G1279" s="556">
        <f t="shared" si="485"/>
        <v>0</v>
      </c>
      <c r="H1279" s="366" t="s">
        <v>18</v>
      </c>
      <c r="I1279" s="556">
        <f t="shared" si="486"/>
        <v>0</v>
      </c>
      <c r="J1279" s="366" t="s">
        <v>19</v>
      </c>
      <c r="K1279" s="366"/>
      <c r="L1279" s="366"/>
      <c r="M1279" s="570">
        <f>(F1279*5300/3456)</f>
        <v>0</v>
      </c>
      <c r="N1279" s="366"/>
      <c r="O1279" s="366"/>
      <c r="P1279" s="366"/>
      <c r="Q1279" s="366" t="s">
        <v>18</v>
      </c>
      <c r="R1279" s="366"/>
      <c r="S1279" s="366" t="s">
        <v>19</v>
      </c>
      <c r="T1279" s="528">
        <v>10</v>
      </c>
      <c r="U1279" s="324"/>
      <c r="V1279" s="676"/>
      <c r="W1279" s="528"/>
      <c r="X1279" s="529"/>
      <c r="Y1279" s="660"/>
      <c r="Z1279" s="312">
        <f t="shared" si="476"/>
        <v>0</v>
      </c>
      <c r="AA1279" s="316">
        <f>SUM(Z1279/520.5+0.25)</f>
        <v>0.25</v>
      </c>
    </row>
    <row r="1280" spans="1:27" ht="53.25" thickBot="1" x14ac:dyDescent="0.45">
      <c r="A1280" s="319" t="s">
        <v>776</v>
      </c>
      <c r="B1280" s="344" t="s">
        <v>860</v>
      </c>
      <c r="C1280" s="528">
        <f t="shared" ref="C1280:C1295" si="487">C1144</f>
        <v>0</v>
      </c>
      <c r="D1280" s="548">
        <f>C1280*12</f>
        <v>0</v>
      </c>
      <c r="E1280" s="456">
        <f>D1280*0.2</f>
        <v>0</v>
      </c>
      <c r="F1280" s="358">
        <f>E1280*0.99*1.03/147</f>
        <v>0</v>
      </c>
      <c r="G1280" s="548">
        <f>INT(M1280)</f>
        <v>0</v>
      </c>
      <c r="H1280" s="358" t="s">
        <v>18</v>
      </c>
      <c r="I1280" s="548">
        <f>(M1280-G1280)*64</f>
        <v>0</v>
      </c>
      <c r="J1280" s="358" t="s">
        <v>19</v>
      </c>
      <c r="K1280" s="358"/>
      <c r="L1280" s="358"/>
      <c r="M1280" s="358">
        <f>(F1280*8655)/2880</f>
        <v>0</v>
      </c>
      <c r="N1280" s="358"/>
      <c r="O1280" s="358"/>
      <c r="P1280" s="358"/>
      <c r="Q1280" s="358" t="s">
        <v>18</v>
      </c>
      <c r="R1280" s="358"/>
      <c r="S1280" s="358" t="s">
        <v>19</v>
      </c>
      <c r="T1280" s="528">
        <v>5</v>
      </c>
      <c r="U1280" s="324">
        <f>E1280/403*60</f>
        <v>0</v>
      </c>
      <c r="V1280" s="676"/>
      <c r="W1280" s="528"/>
      <c r="X1280" s="529"/>
      <c r="Y1280" s="381"/>
      <c r="Z1280" s="312">
        <f t="shared" si="476"/>
        <v>0</v>
      </c>
      <c r="AA1280" s="316">
        <f>SUM(E1280/313+0.25)</f>
        <v>0.25</v>
      </c>
    </row>
    <row r="1281" spans="1:27" ht="53.25" thickBot="1" x14ac:dyDescent="0.45">
      <c r="A1281" s="319" t="s">
        <v>776</v>
      </c>
      <c r="B1281" s="344" t="s">
        <v>861</v>
      </c>
      <c r="C1281" s="528">
        <f t="shared" si="487"/>
        <v>0</v>
      </c>
      <c r="D1281" s="548">
        <f>C1281*12</f>
        <v>0</v>
      </c>
      <c r="E1281" s="456">
        <f>D1281*0.2</f>
        <v>0</v>
      </c>
      <c r="F1281" s="358">
        <f>E1281*0.99*1.03/147</f>
        <v>0</v>
      </c>
      <c r="G1281" s="548">
        <f>INT(M1281)</f>
        <v>0</v>
      </c>
      <c r="H1281" s="358" t="s">
        <v>18</v>
      </c>
      <c r="I1281" s="548">
        <f>(M1281-G1281)*64</f>
        <v>0</v>
      </c>
      <c r="J1281" s="358" t="s">
        <v>19</v>
      </c>
      <c r="K1281" s="358"/>
      <c r="L1281" s="358"/>
      <c r="M1281" s="358">
        <f>(F1281*8655)/2880</f>
        <v>0</v>
      </c>
      <c r="N1281" s="358"/>
      <c r="O1281" s="358"/>
      <c r="P1281" s="358"/>
      <c r="Q1281" s="358" t="s">
        <v>18</v>
      </c>
      <c r="R1281" s="358"/>
      <c r="S1281" s="358" t="s">
        <v>19</v>
      </c>
      <c r="T1281" s="528">
        <v>5</v>
      </c>
      <c r="U1281" s="324">
        <f>E1281/403*60</f>
        <v>0</v>
      </c>
      <c r="V1281" s="676"/>
      <c r="W1281" s="528"/>
      <c r="X1281" s="529"/>
      <c r="Y1281" s="323"/>
      <c r="Z1281" s="312">
        <f t="shared" si="476"/>
        <v>0</v>
      </c>
      <c r="AA1281" s="316">
        <f>SUM(E1281/313+0.25)</f>
        <v>0.25</v>
      </c>
    </row>
    <row r="1282" spans="1:27" s="728" customFormat="1" ht="53.25" outlineLevel="1" thickBot="1" x14ac:dyDescent="0.45">
      <c r="A1282" s="636" t="s">
        <v>776</v>
      </c>
      <c r="B1282" s="634" t="s">
        <v>1042</v>
      </c>
      <c r="C1282" s="720">
        <f t="shared" si="487"/>
        <v>0</v>
      </c>
      <c r="D1282" s="741">
        <f>C1282*12</f>
        <v>0</v>
      </c>
      <c r="E1282" s="721">
        <f>D1282*0.25</f>
        <v>0</v>
      </c>
      <c r="F1282" s="722">
        <f>E1282*0.99*1.02/147</f>
        <v>0</v>
      </c>
      <c r="G1282" s="720">
        <f>INT(M1282)</f>
        <v>0</v>
      </c>
      <c r="H1282" s="722" t="s">
        <v>18</v>
      </c>
      <c r="I1282" s="720">
        <f>(M1282-G1282)*64</f>
        <v>0</v>
      </c>
      <c r="J1282" s="722" t="s">
        <v>19</v>
      </c>
      <c r="K1282" s="722"/>
      <c r="L1282" s="722"/>
      <c r="M1282" s="722">
        <f>(F1282*5880)/3456</f>
        <v>0</v>
      </c>
      <c r="N1282" s="722"/>
      <c r="O1282" s="722"/>
      <c r="P1282" s="722"/>
      <c r="Q1282" s="722" t="s">
        <v>18</v>
      </c>
      <c r="R1282" s="722"/>
      <c r="S1282" s="722" t="s">
        <v>19</v>
      </c>
      <c r="T1282" s="720">
        <v>12</v>
      </c>
      <c r="U1282" s="324">
        <f>E1282/390*60</f>
        <v>0</v>
      </c>
      <c r="V1282" s="724"/>
      <c r="W1282" s="720"/>
      <c r="X1282" s="725"/>
      <c r="Y1282" s="736"/>
      <c r="Z1282" s="727">
        <f t="shared" si="476"/>
        <v>0</v>
      </c>
      <c r="AA1282" s="815">
        <f>SUM(Z1282/474.3+0.25)</f>
        <v>0.25</v>
      </c>
    </row>
    <row r="1283" spans="1:27" ht="53.25" thickBot="1" x14ac:dyDescent="0.45">
      <c r="A1283" s="319" t="s">
        <v>776</v>
      </c>
      <c r="B1283" s="320" t="s">
        <v>809</v>
      </c>
      <c r="C1283" s="528">
        <f t="shared" si="487"/>
        <v>0</v>
      </c>
      <c r="D1283" s="551">
        <f>C1283*8</f>
        <v>0</v>
      </c>
      <c r="E1283" s="456">
        <f>D1283*0.34</f>
        <v>0</v>
      </c>
      <c r="F1283" s="358">
        <f>E1283*0.99*1.01/147</f>
        <v>0</v>
      </c>
      <c r="G1283" s="548">
        <f>INT(M1283)</f>
        <v>0</v>
      </c>
      <c r="H1283" s="358" t="s">
        <v>18</v>
      </c>
      <c r="I1283" s="548">
        <f>(M1283-G1283)*64</f>
        <v>0</v>
      </c>
      <c r="J1283" s="358" t="s">
        <v>19</v>
      </c>
      <c r="K1283" s="358"/>
      <c r="L1283" s="358"/>
      <c r="M1283" s="358">
        <f>(F1283*5250)/2880</f>
        <v>0</v>
      </c>
      <c r="N1283" s="358"/>
      <c r="O1283" s="358"/>
      <c r="P1283" s="358"/>
      <c r="Q1283" s="358" t="s">
        <v>18</v>
      </c>
      <c r="R1283" s="358"/>
      <c r="S1283" s="358" t="s">
        <v>19</v>
      </c>
      <c r="T1283" s="528">
        <v>12</v>
      </c>
      <c r="U1283" s="324"/>
      <c r="V1283" s="676"/>
      <c r="W1283" s="528"/>
      <c r="X1283" s="529"/>
      <c r="Y1283" s="323"/>
      <c r="Z1283" s="312">
        <f t="shared" si="476"/>
        <v>0</v>
      </c>
      <c r="AA1283" s="316">
        <f>SUM(Z1283/531.2+0.25)</f>
        <v>0.25</v>
      </c>
    </row>
    <row r="1284" spans="1:27" ht="53.25" thickBot="1" x14ac:dyDescent="0.45">
      <c r="A1284" s="319" t="s">
        <v>776</v>
      </c>
      <c r="B1284" s="320" t="s">
        <v>810</v>
      </c>
      <c r="C1284" s="528">
        <f t="shared" si="487"/>
        <v>0</v>
      </c>
      <c r="D1284" s="551">
        <f>C1284*8</f>
        <v>0</v>
      </c>
      <c r="E1284" s="456">
        <f>D1284*0.34</f>
        <v>0</v>
      </c>
      <c r="F1284" s="358">
        <f>E1284*0.99*1.01/147</f>
        <v>0</v>
      </c>
      <c r="G1284" s="548">
        <f t="shared" si="485"/>
        <v>0</v>
      </c>
      <c r="H1284" s="358" t="s">
        <v>18</v>
      </c>
      <c r="I1284" s="548">
        <f t="shared" si="486"/>
        <v>0</v>
      </c>
      <c r="J1284" s="358" t="s">
        <v>19</v>
      </c>
      <c r="K1284" s="358"/>
      <c r="L1284" s="358"/>
      <c r="M1284" s="358">
        <f>(F1284*5250)/2880</f>
        <v>0</v>
      </c>
      <c r="N1284" s="358"/>
      <c r="O1284" s="358"/>
      <c r="P1284" s="358"/>
      <c r="Q1284" s="358" t="s">
        <v>18</v>
      </c>
      <c r="R1284" s="358"/>
      <c r="S1284" s="358" t="s">
        <v>19</v>
      </c>
      <c r="T1284" s="528">
        <v>12</v>
      </c>
      <c r="U1284" s="324"/>
      <c r="V1284" s="676"/>
      <c r="W1284" s="528"/>
      <c r="X1284" s="529"/>
      <c r="Y1284" s="360"/>
      <c r="Z1284" s="312">
        <f t="shared" si="476"/>
        <v>0</v>
      </c>
      <c r="AA1284" s="316">
        <f>SUM(Z1284/531.2+0.25)</f>
        <v>0.25</v>
      </c>
    </row>
    <row r="1285" spans="1:27" ht="53.25" thickBot="1" x14ac:dyDescent="0.45">
      <c r="A1285" s="319" t="s">
        <v>776</v>
      </c>
      <c r="B1285" s="320" t="s">
        <v>812</v>
      </c>
      <c r="C1285" s="528">
        <f t="shared" si="487"/>
        <v>0</v>
      </c>
      <c r="D1285" s="551">
        <f>C1285*15</f>
        <v>0</v>
      </c>
      <c r="E1285" s="456">
        <f>D1285*0.18</f>
        <v>0</v>
      </c>
      <c r="F1285" s="358">
        <f>E1285*0.99*1.03/147</f>
        <v>0</v>
      </c>
      <c r="G1285" s="548">
        <f t="shared" si="485"/>
        <v>0</v>
      </c>
      <c r="H1285" s="358" t="s">
        <v>18</v>
      </c>
      <c r="I1285" s="548">
        <f t="shared" si="486"/>
        <v>0</v>
      </c>
      <c r="J1285" s="358" t="s">
        <v>19</v>
      </c>
      <c r="K1285" s="358"/>
      <c r="L1285" s="358"/>
      <c r="M1285" s="358">
        <f>(F1285*6450)/2880</f>
        <v>0</v>
      </c>
      <c r="N1285" s="358"/>
      <c r="O1285" s="358"/>
      <c r="P1285" s="358"/>
      <c r="Q1285" s="358" t="s">
        <v>18</v>
      </c>
      <c r="R1285" s="358"/>
      <c r="S1285" s="358" t="s">
        <v>19</v>
      </c>
      <c r="T1285" s="528">
        <v>14</v>
      </c>
      <c r="U1285" s="324">
        <f>E1285/237*60</f>
        <v>0</v>
      </c>
      <c r="V1285" s="676"/>
      <c r="W1285" s="528"/>
      <c r="X1285" s="529"/>
      <c r="Y1285" s="323"/>
      <c r="Z1285" s="312">
        <f t="shared" si="476"/>
        <v>0</v>
      </c>
      <c r="AA1285" s="316">
        <f>SUM(Z1285/436.4+0.25)</f>
        <v>0.25</v>
      </c>
    </row>
    <row r="1286" spans="1:27" ht="53.25" thickBot="1" x14ac:dyDescent="0.45">
      <c r="A1286" s="319" t="s">
        <v>776</v>
      </c>
      <c r="B1286" s="344" t="s">
        <v>846</v>
      </c>
      <c r="C1286" s="528">
        <f t="shared" si="487"/>
        <v>0</v>
      </c>
      <c r="D1286" s="551">
        <f>C1286*12</f>
        <v>0</v>
      </c>
      <c r="E1286" s="456">
        <f>D1286*0.25</f>
        <v>0</v>
      </c>
      <c r="F1286" s="358">
        <f>E1286*0.99*1.03/147</f>
        <v>0</v>
      </c>
      <c r="G1286" s="548">
        <f t="shared" si="485"/>
        <v>0</v>
      </c>
      <c r="H1286" s="358" t="s">
        <v>18</v>
      </c>
      <c r="I1286" s="548">
        <f t="shared" si="486"/>
        <v>0</v>
      </c>
      <c r="J1286" s="358" t="s">
        <v>19</v>
      </c>
      <c r="K1286" s="358"/>
      <c r="L1286" s="358"/>
      <c r="M1286" s="358">
        <f>(F1286*6989)/2880</f>
        <v>0</v>
      </c>
      <c r="N1286" s="358"/>
      <c r="O1286" s="358"/>
      <c r="P1286" s="358"/>
      <c r="Q1286" s="358" t="s">
        <v>18</v>
      </c>
      <c r="R1286" s="358"/>
      <c r="S1286" s="358" t="s">
        <v>19</v>
      </c>
      <c r="T1286" s="528">
        <v>5</v>
      </c>
      <c r="U1286" s="324">
        <f>E1286/403*60</f>
        <v>0</v>
      </c>
      <c r="V1286" s="676"/>
      <c r="W1286" s="528"/>
      <c r="X1286" s="529"/>
      <c r="Y1286" s="323"/>
      <c r="Z1286" s="312">
        <f t="shared" si="476"/>
        <v>0</v>
      </c>
      <c r="AA1286" s="316">
        <f>SUM(E1286/398.4+0.25)</f>
        <v>0.25</v>
      </c>
    </row>
    <row r="1287" spans="1:27" ht="53.25" thickBot="1" x14ac:dyDescent="0.45">
      <c r="A1287" s="319" t="s">
        <v>776</v>
      </c>
      <c r="B1287" s="344" t="s">
        <v>847</v>
      </c>
      <c r="C1287" s="528">
        <f t="shared" si="487"/>
        <v>0</v>
      </c>
      <c r="D1287" s="551">
        <f>C1287*12</f>
        <v>0</v>
      </c>
      <c r="E1287" s="456">
        <f>D1287*0.25</f>
        <v>0</v>
      </c>
      <c r="F1287" s="358">
        <f>E1287*0.99*1.03/147</f>
        <v>0</v>
      </c>
      <c r="G1287" s="548">
        <f t="shared" si="485"/>
        <v>0</v>
      </c>
      <c r="H1287" s="358" t="s">
        <v>18</v>
      </c>
      <c r="I1287" s="548">
        <f t="shared" si="486"/>
        <v>0</v>
      </c>
      <c r="J1287" s="358" t="s">
        <v>19</v>
      </c>
      <c r="K1287" s="358"/>
      <c r="L1287" s="358"/>
      <c r="M1287" s="358">
        <f>(F1287*6989)/2880</f>
        <v>0</v>
      </c>
      <c r="N1287" s="358"/>
      <c r="O1287" s="358"/>
      <c r="P1287" s="358"/>
      <c r="Q1287" s="358" t="s">
        <v>18</v>
      </c>
      <c r="R1287" s="358"/>
      <c r="S1287" s="358" t="s">
        <v>19</v>
      </c>
      <c r="T1287" s="528">
        <v>5</v>
      </c>
      <c r="U1287" s="324">
        <f>E1287/403*60</f>
        <v>0</v>
      </c>
      <c r="V1287" s="676"/>
      <c r="W1287" s="528"/>
      <c r="X1287" s="529"/>
      <c r="Y1287" s="323"/>
      <c r="Z1287" s="312">
        <f t="shared" si="476"/>
        <v>0</v>
      </c>
      <c r="AA1287" s="316">
        <f>SUM(E1287/398.4+0.25)</f>
        <v>0.25</v>
      </c>
    </row>
    <row r="1288" spans="1:27" ht="53.25" thickBot="1" x14ac:dyDescent="0.45">
      <c r="A1288" s="319" t="s">
        <v>776</v>
      </c>
      <c r="B1288" s="879" t="s">
        <v>1211</v>
      </c>
      <c r="C1288" s="528">
        <f t="shared" si="487"/>
        <v>0</v>
      </c>
      <c r="D1288" s="551">
        <f>C1288*14</f>
        <v>0</v>
      </c>
      <c r="E1288" s="456">
        <f>D1288*0.25</f>
        <v>0</v>
      </c>
      <c r="F1288" s="358">
        <f>E1288*0.99*1.03/147</f>
        <v>0</v>
      </c>
      <c r="G1288" s="548">
        <f>INT(M1288)</f>
        <v>0</v>
      </c>
      <c r="H1288" s="358" t="s">
        <v>18</v>
      </c>
      <c r="I1288" s="548">
        <f>(M1288-G1288)*64</f>
        <v>0</v>
      </c>
      <c r="J1288" s="358" t="s">
        <v>19</v>
      </c>
      <c r="K1288" s="358"/>
      <c r="L1288" s="358"/>
      <c r="M1288" s="358">
        <f>(F1288*6989)/2880</f>
        <v>0</v>
      </c>
      <c r="N1288" s="358"/>
      <c r="O1288" s="358"/>
      <c r="P1288" s="358"/>
      <c r="Q1288" s="358" t="s">
        <v>18</v>
      </c>
      <c r="R1288" s="358"/>
      <c r="S1288" s="358" t="s">
        <v>19</v>
      </c>
      <c r="T1288" s="528">
        <v>5</v>
      </c>
      <c r="U1288" s="324">
        <f>E1288/403*60</f>
        <v>0</v>
      </c>
      <c r="V1288" s="676"/>
      <c r="W1288" s="528"/>
      <c r="X1288" s="529"/>
      <c r="Y1288" s="323"/>
      <c r="Z1288" s="312">
        <f>E1288</f>
        <v>0</v>
      </c>
      <c r="AA1288" s="316">
        <f>SUM(E1288/398.4+0.25)</f>
        <v>0.25</v>
      </c>
    </row>
    <row r="1289" spans="1:27" ht="53.25" thickBot="1" x14ac:dyDescent="0.45">
      <c r="A1289" s="319" t="s">
        <v>776</v>
      </c>
      <c r="B1289" s="879" t="s">
        <v>1213</v>
      </c>
      <c r="C1289" s="528">
        <f t="shared" si="487"/>
        <v>0</v>
      </c>
      <c r="D1289" s="551">
        <f>C1289*14</f>
        <v>0</v>
      </c>
      <c r="E1289" s="456">
        <f>D1289*0.25</f>
        <v>0</v>
      </c>
      <c r="F1289" s="358">
        <f>E1289*0.99*1.03/147</f>
        <v>0</v>
      </c>
      <c r="G1289" s="548">
        <f>INT(M1289)</f>
        <v>0</v>
      </c>
      <c r="H1289" s="358" t="s">
        <v>18</v>
      </c>
      <c r="I1289" s="548">
        <f>(M1289-G1289)*64</f>
        <v>0</v>
      </c>
      <c r="J1289" s="358" t="s">
        <v>19</v>
      </c>
      <c r="K1289" s="358"/>
      <c r="L1289" s="358"/>
      <c r="M1289" s="358">
        <f>(F1289*6989)/2880</f>
        <v>0</v>
      </c>
      <c r="N1289" s="358"/>
      <c r="O1289" s="358"/>
      <c r="P1289" s="358"/>
      <c r="Q1289" s="358" t="s">
        <v>18</v>
      </c>
      <c r="R1289" s="358"/>
      <c r="S1289" s="358" t="s">
        <v>19</v>
      </c>
      <c r="T1289" s="528">
        <v>5</v>
      </c>
      <c r="U1289" s="324">
        <f>E1289/403*60</f>
        <v>0</v>
      </c>
      <c r="V1289" s="676"/>
      <c r="W1289" s="528"/>
      <c r="X1289" s="529"/>
      <c r="Y1289" s="323"/>
      <c r="Z1289" s="312">
        <f>E1289</f>
        <v>0</v>
      </c>
      <c r="AA1289" s="316">
        <f>SUM(E1289/398.4+0.25)</f>
        <v>0.25</v>
      </c>
    </row>
    <row r="1290" spans="1:27" ht="53.25" thickBot="1" x14ac:dyDescent="0.45">
      <c r="A1290" s="319" t="s">
        <v>776</v>
      </c>
      <c r="B1290" s="320" t="s">
        <v>1021</v>
      </c>
      <c r="C1290" s="528">
        <f t="shared" si="487"/>
        <v>0</v>
      </c>
      <c r="D1290" s="530">
        <f>C1290*22</f>
        <v>0</v>
      </c>
      <c r="E1290" s="460">
        <f>D1290*0.13</f>
        <v>0</v>
      </c>
      <c r="F1290" s="324">
        <f t="shared" ref="F1290:F1295" si="488">E1290*0.99*1.02/170</f>
        <v>0</v>
      </c>
      <c r="G1290" s="324">
        <f>INT(M1290)</f>
        <v>0</v>
      </c>
      <c r="H1290" s="324" t="s">
        <v>18</v>
      </c>
      <c r="I1290" s="528">
        <f>(M1290-G1290)*64</f>
        <v>0</v>
      </c>
      <c r="J1290" s="324" t="s">
        <v>19</v>
      </c>
      <c r="K1290" s="324"/>
      <c r="L1290" s="324"/>
      <c r="M1290" s="324">
        <f t="shared" ref="M1290:M1295" si="489">(F1290*8500)/3456</f>
        <v>0</v>
      </c>
      <c r="N1290" s="324"/>
      <c r="O1290" s="324"/>
      <c r="P1290" s="324"/>
      <c r="Q1290" s="324" t="s">
        <v>18</v>
      </c>
      <c r="R1290" s="324"/>
      <c r="S1290" s="324" t="s">
        <v>19</v>
      </c>
      <c r="T1290" s="528">
        <v>5</v>
      </c>
      <c r="U1290" s="324">
        <f>E1290/237*60</f>
        <v>0</v>
      </c>
      <c r="V1290" s="676"/>
      <c r="W1290" s="528"/>
      <c r="X1290" s="529"/>
      <c r="Y1290" s="323"/>
      <c r="Z1290" s="312">
        <f t="shared" si="476"/>
        <v>0</v>
      </c>
      <c r="AA1290" s="316">
        <f>SUM(Z1290/377.5+0.25)</f>
        <v>0.25</v>
      </c>
    </row>
    <row r="1291" spans="1:27" ht="53.25" thickBot="1" x14ac:dyDescent="0.45">
      <c r="A1291" s="319" t="s">
        <v>776</v>
      </c>
      <c r="B1291" s="799" t="s">
        <v>1223</v>
      </c>
      <c r="C1291" s="528">
        <f t="shared" si="487"/>
        <v>0</v>
      </c>
      <c r="D1291" s="530">
        <f>C1291*12</f>
        <v>0</v>
      </c>
      <c r="E1291" s="460">
        <f>D1291*0.13</f>
        <v>0</v>
      </c>
      <c r="F1291" s="324">
        <f t="shared" si="488"/>
        <v>0</v>
      </c>
      <c r="G1291" s="324">
        <f>INT(M1291)</f>
        <v>0</v>
      </c>
      <c r="H1291" s="324" t="s">
        <v>18</v>
      </c>
      <c r="I1291" s="528">
        <f>(M1291-G1291)*64</f>
        <v>0</v>
      </c>
      <c r="J1291" s="324" t="s">
        <v>19</v>
      </c>
      <c r="K1291" s="324"/>
      <c r="L1291" s="324"/>
      <c r="M1291" s="324">
        <f t="shared" si="489"/>
        <v>0</v>
      </c>
      <c r="N1291" s="324"/>
      <c r="O1291" s="324"/>
      <c r="P1291" s="324"/>
      <c r="Q1291" s="324" t="s">
        <v>18</v>
      </c>
      <c r="R1291" s="324"/>
      <c r="S1291" s="324" t="s">
        <v>19</v>
      </c>
      <c r="T1291" s="528">
        <v>5</v>
      </c>
      <c r="U1291" s="324">
        <f>E1291/237*60</f>
        <v>0</v>
      </c>
      <c r="V1291" s="676"/>
      <c r="W1291" s="528"/>
      <c r="X1291" s="529"/>
      <c r="Y1291" s="323"/>
      <c r="Z1291" s="312">
        <f>E1291</f>
        <v>0</v>
      </c>
      <c r="AA1291" s="316">
        <f>SUM(Z1291/377.5+0.25)</f>
        <v>0.25</v>
      </c>
    </row>
    <row r="1292" spans="1:27" ht="53.25" thickBot="1" x14ac:dyDescent="0.45">
      <c r="A1292" s="319" t="s">
        <v>776</v>
      </c>
      <c r="B1292" s="320" t="s">
        <v>1023</v>
      </c>
      <c r="C1292" s="528">
        <f t="shared" si="487"/>
        <v>0</v>
      </c>
      <c r="D1292" s="530">
        <f>C1292*8</f>
        <v>0</v>
      </c>
      <c r="E1292" s="460">
        <f>D1292*0.16</f>
        <v>0</v>
      </c>
      <c r="F1292" s="324">
        <f t="shared" si="488"/>
        <v>0</v>
      </c>
      <c r="G1292" s="324">
        <f>INT(M1292)</f>
        <v>0</v>
      </c>
      <c r="H1292" s="324" t="s">
        <v>18</v>
      </c>
      <c r="I1292" s="528">
        <f>(M1292-G1292)*64</f>
        <v>0</v>
      </c>
      <c r="J1292" s="324" t="s">
        <v>19</v>
      </c>
      <c r="K1292" s="324"/>
      <c r="L1292" s="324"/>
      <c r="M1292" s="324">
        <f t="shared" si="489"/>
        <v>0</v>
      </c>
      <c r="N1292" s="324"/>
      <c r="O1292" s="324"/>
      <c r="P1292" s="324"/>
      <c r="Q1292" s="324" t="s">
        <v>18</v>
      </c>
      <c r="R1292" s="324"/>
      <c r="S1292" s="324" t="s">
        <v>19</v>
      </c>
      <c r="T1292" s="528">
        <v>5</v>
      </c>
      <c r="U1292" s="324">
        <f>E1292/237*60</f>
        <v>0</v>
      </c>
      <c r="V1292" s="676"/>
      <c r="W1292" s="528"/>
      <c r="X1292" s="529"/>
      <c r="Y1292" s="323"/>
      <c r="Z1292" s="312">
        <f t="shared" si="476"/>
        <v>0</v>
      </c>
      <c r="AA1292" s="316">
        <f>SUM(Z1292/380+0.25)</f>
        <v>0.25</v>
      </c>
    </row>
    <row r="1293" spans="1:27" ht="53.25" thickBot="1" x14ac:dyDescent="0.45">
      <c r="A1293" s="319" t="s">
        <v>776</v>
      </c>
      <c r="B1293" s="343" t="s">
        <v>1194</v>
      </c>
      <c r="C1293" s="528">
        <f t="shared" si="487"/>
        <v>0</v>
      </c>
      <c r="D1293" s="551">
        <f>C1293*12</f>
        <v>0</v>
      </c>
      <c r="E1293" s="456">
        <f>D1293*0.16</f>
        <v>0</v>
      </c>
      <c r="F1293" s="358">
        <f t="shared" si="488"/>
        <v>0</v>
      </c>
      <c r="G1293" s="358">
        <f t="shared" si="485"/>
        <v>0</v>
      </c>
      <c r="H1293" s="358" t="s">
        <v>18</v>
      </c>
      <c r="I1293" s="548">
        <f t="shared" si="486"/>
        <v>0</v>
      </c>
      <c r="J1293" s="358" t="s">
        <v>19</v>
      </c>
      <c r="K1293" s="358"/>
      <c r="L1293" s="358"/>
      <c r="M1293" s="358">
        <f t="shared" si="489"/>
        <v>0</v>
      </c>
      <c r="N1293" s="324"/>
      <c r="O1293" s="324"/>
      <c r="P1293" s="324"/>
      <c r="Q1293" s="324" t="s">
        <v>18</v>
      </c>
      <c r="R1293" s="324"/>
      <c r="S1293" s="324" t="s">
        <v>19</v>
      </c>
      <c r="T1293" s="528">
        <v>5</v>
      </c>
      <c r="U1293" s="324">
        <f>E1293/403*60</f>
        <v>0</v>
      </c>
      <c r="V1293" s="676"/>
      <c r="W1293" s="528"/>
      <c r="X1293" s="529"/>
      <c r="Y1293" s="323"/>
      <c r="Z1293" s="312">
        <f t="shared" si="476"/>
        <v>0</v>
      </c>
      <c r="AA1293" s="316">
        <f>SUM(Z1293/380+0.25)</f>
        <v>0.25</v>
      </c>
    </row>
    <row r="1294" spans="1:27" ht="53.25" thickBot="1" x14ac:dyDescent="0.45">
      <c r="A1294" s="319" t="s">
        <v>776</v>
      </c>
      <c r="B1294" s="802" t="s">
        <v>1215</v>
      </c>
      <c r="C1294" s="528">
        <f t="shared" si="487"/>
        <v>0</v>
      </c>
      <c r="D1294" s="551">
        <f>C1294*10</f>
        <v>0</v>
      </c>
      <c r="E1294" s="456">
        <f>D1294*0.16</f>
        <v>0</v>
      </c>
      <c r="F1294" s="358">
        <f t="shared" si="488"/>
        <v>0</v>
      </c>
      <c r="G1294" s="358">
        <f t="shared" si="485"/>
        <v>0</v>
      </c>
      <c r="H1294" s="358" t="s">
        <v>18</v>
      </c>
      <c r="I1294" s="548">
        <f t="shared" si="486"/>
        <v>0</v>
      </c>
      <c r="J1294" s="358" t="s">
        <v>19</v>
      </c>
      <c r="K1294" s="358"/>
      <c r="L1294" s="358"/>
      <c r="M1294" s="358">
        <f t="shared" si="489"/>
        <v>0</v>
      </c>
      <c r="N1294" s="324"/>
      <c r="O1294" s="324"/>
      <c r="P1294" s="324"/>
      <c r="Q1294" s="324" t="s">
        <v>18</v>
      </c>
      <c r="R1294" s="324"/>
      <c r="S1294" s="324" t="s">
        <v>19</v>
      </c>
      <c r="T1294" s="528">
        <v>5</v>
      </c>
      <c r="U1294" s="324">
        <f>E1294/237*60</f>
        <v>0</v>
      </c>
      <c r="V1294" s="676"/>
      <c r="W1294" s="528"/>
      <c r="X1294" s="529"/>
      <c r="Y1294" s="323"/>
      <c r="Z1294" s="312">
        <f>E1294</f>
        <v>0</v>
      </c>
      <c r="AA1294" s="316">
        <f>SUM(Z1294/380+0.25)</f>
        <v>0.25</v>
      </c>
    </row>
    <row r="1295" spans="1:27" ht="77.25" thickBot="1" x14ac:dyDescent="0.45">
      <c r="A1295" s="319" t="s">
        <v>776</v>
      </c>
      <c r="B1295" s="362" t="s">
        <v>1182</v>
      </c>
      <c r="C1295" s="528">
        <f t="shared" si="487"/>
        <v>0</v>
      </c>
      <c r="D1295" s="530">
        <f>C1295*10</f>
        <v>0</v>
      </c>
      <c r="E1295" s="460">
        <f>D1295*0.26</f>
        <v>0</v>
      </c>
      <c r="F1295" s="324">
        <f t="shared" si="488"/>
        <v>0</v>
      </c>
      <c r="G1295" s="324">
        <f t="shared" si="485"/>
        <v>0</v>
      </c>
      <c r="H1295" s="324" t="s">
        <v>18</v>
      </c>
      <c r="I1295" s="528">
        <f t="shared" si="486"/>
        <v>0</v>
      </c>
      <c r="J1295" s="324" t="s">
        <v>19</v>
      </c>
      <c r="K1295" s="324"/>
      <c r="L1295" s="324"/>
      <c r="M1295" s="324">
        <f t="shared" si="489"/>
        <v>0</v>
      </c>
      <c r="N1295" s="324"/>
      <c r="O1295" s="324"/>
      <c r="P1295" s="324"/>
      <c r="Q1295" s="324" t="s">
        <v>18</v>
      </c>
      <c r="R1295" s="324"/>
      <c r="S1295" s="324" t="s">
        <v>19</v>
      </c>
      <c r="T1295" s="528">
        <v>5</v>
      </c>
      <c r="U1295" s="324">
        <f>E1295/237*60</f>
        <v>0</v>
      </c>
      <c r="V1295" s="676"/>
      <c r="W1295" s="528"/>
      <c r="X1295" s="529"/>
      <c r="Y1295" s="323"/>
      <c r="Z1295" s="312">
        <f>E1295</f>
        <v>0</v>
      </c>
      <c r="AA1295" s="316">
        <f>SUM(Z1295/377.5+0.25)</f>
        <v>0.25</v>
      </c>
    </row>
    <row r="1296" spans="1:27" thickBot="1" x14ac:dyDescent="0.45">
      <c r="A1296" s="329"/>
      <c r="B1296" s="344"/>
      <c r="C1296" s="536"/>
      <c r="D1296" s="530"/>
      <c r="E1296" s="460"/>
      <c r="F1296" s="324"/>
      <c r="G1296" s="324"/>
      <c r="H1296" s="324"/>
      <c r="I1296" s="528"/>
      <c r="J1296" s="324"/>
      <c r="K1296" s="324"/>
      <c r="L1296" s="324"/>
      <c r="M1296" s="324"/>
      <c r="N1296" s="324"/>
      <c r="O1296" s="324"/>
      <c r="P1296" s="324"/>
      <c r="Q1296" s="324"/>
      <c r="R1296" s="324"/>
      <c r="S1296" s="324"/>
      <c r="T1296" s="528"/>
      <c r="U1296" s="324"/>
      <c r="V1296" s="676"/>
      <c r="W1296" s="528"/>
      <c r="X1296" s="529"/>
      <c r="Y1296" s="323"/>
    </row>
    <row r="1297" spans="1:27" thickBot="1" x14ac:dyDescent="0.45">
      <c r="A1297" s="329"/>
      <c r="B1297" s="344"/>
      <c r="C1297" s="536"/>
      <c r="D1297" s="530"/>
      <c r="E1297" s="460"/>
      <c r="F1297" s="324"/>
      <c r="G1297" s="324"/>
      <c r="H1297" s="324"/>
      <c r="I1297" s="528"/>
      <c r="J1297" s="324"/>
      <c r="K1297" s="324"/>
      <c r="L1297" s="324"/>
      <c r="M1297" s="324"/>
      <c r="N1297" s="324"/>
      <c r="O1297" s="324"/>
      <c r="P1297" s="324"/>
      <c r="Q1297" s="324"/>
      <c r="R1297" s="324"/>
      <c r="S1297" s="324"/>
      <c r="T1297" s="528"/>
      <c r="U1297" s="324"/>
      <c r="V1297" s="676"/>
      <c r="W1297" s="528"/>
      <c r="X1297" s="529"/>
      <c r="Y1297" s="323"/>
    </row>
    <row r="1298" spans="1:27" ht="158.25" thickBot="1" x14ac:dyDescent="0.45">
      <c r="A1298" s="829"/>
      <c r="B1298" s="304" t="s">
        <v>1055</v>
      </c>
      <c r="C1298" s="537"/>
      <c r="D1298" s="537"/>
      <c r="E1298" s="499">
        <v>115</v>
      </c>
      <c r="F1298" s="538"/>
      <c r="G1298" s="528"/>
      <c r="H1298" s="324"/>
      <c r="I1298" s="528"/>
      <c r="J1298" s="324"/>
      <c r="K1298" s="324"/>
      <c r="L1298" s="324"/>
      <c r="M1298" s="324"/>
      <c r="N1298" s="324"/>
      <c r="O1298" s="324"/>
      <c r="P1298" s="324"/>
      <c r="Q1298" s="324"/>
      <c r="R1298" s="324"/>
      <c r="S1298" s="324"/>
      <c r="T1298" s="528"/>
      <c r="U1298" s="324"/>
      <c r="V1298" s="693"/>
      <c r="W1298" s="528"/>
      <c r="X1298" s="529"/>
      <c r="Y1298" s="323" t="s">
        <v>1053</v>
      </c>
    </row>
    <row r="1299" spans="1:27" thickBot="1" x14ac:dyDescent="0.45">
      <c r="A1299" s="829"/>
      <c r="B1299" s="304"/>
      <c r="C1299" s="537"/>
      <c r="D1299" s="537"/>
      <c r="E1299" s="499"/>
      <c r="F1299" s="538"/>
      <c r="G1299" s="528"/>
      <c r="H1299" s="324"/>
      <c r="I1299" s="528"/>
      <c r="J1299" s="324"/>
      <c r="K1299" s="324"/>
      <c r="L1299" s="324"/>
      <c r="M1299" s="324"/>
      <c r="N1299" s="324"/>
      <c r="O1299" s="324"/>
      <c r="P1299" s="324"/>
      <c r="Q1299" s="324"/>
      <c r="R1299" s="324"/>
      <c r="S1299" s="324"/>
      <c r="T1299" s="528"/>
      <c r="U1299" s="324"/>
      <c r="V1299" s="693"/>
      <c r="W1299" s="528"/>
      <c r="X1299" s="529"/>
      <c r="Y1299" s="323"/>
    </row>
    <row r="1300" spans="1:27" thickBot="1" x14ac:dyDescent="0.45">
      <c r="A1300" s="829"/>
      <c r="B1300" s="332" t="s">
        <v>120</v>
      </c>
      <c r="C1300" s="537"/>
      <c r="D1300" s="537"/>
      <c r="E1300" s="496">
        <f>SUM(E1189:E1295)</f>
        <v>0</v>
      </c>
      <c r="F1300" s="354"/>
      <c r="G1300" s="528"/>
      <c r="H1300" s="324"/>
      <c r="I1300" s="528"/>
      <c r="J1300" s="324"/>
      <c r="K1300" s="324"/>
      <c r="L1300" s="324"/>
      <c r="M1300" s="324"/>
      <c r="N1300" s="324"/>
      <c r="O1300" s="324"/>
      <c r="P1300" s="324"/>
      <c r="Q1300" s="324"/>
      <c r="R1300" s="324"/>
      <c r="S1300" s="324"/>
      <c r="T1300" s="528"/>
      <c r="U1300" s="324"/>
      <c r="V1300" s="676"/>
      <c r="W1300" s="528"/>
      <c r="X1300" s="529"/>
      <c r="Y1300" s="323"/>
    </row>
    <row r="1301" spans="1:27" thickBot="1" x14ac:dyDescent="0.45">
      <c r="A1301" s="829"/>
      <c r="B1301" s="329"/>
      <c r="C1301" s="539"/>
      <c r="D1301" s="539"/>
      <c r="E1301" s="502"/>
      <c r="F1301" s="333"/>
      <c r="G1301" s="539"/>
      <c r="H1301" s="333"/>
      <c r="I1301" s="539"/>
      <c r="J1301" s="333"/>
      <c r="K1301" s="333"/>
      <c r="L1301" s="333"/>
      <c r="M1301" s="333"/>
      <c r="N1301" s="333"/>
      <c r="O1301" s="333"/>
      <c r="P1301" s="333"/>
      <c r="Q1301" s="333"/>
      <c r="R1301" s="333"/>
      <c r="S1301" s="333"/>
      <c r="T1301" s="539"/>
      <c r="U1301" s="333"/>
      <c r="V1301" s="681"/>
      <c r="W1301" s="539"/>
      <c r="X1301" s="333"/>
      <c r="Y1301" s="323"/>
    </row>
    <row r="1302" spans="1:27" thickBot="1" x14ac:dyDescent="0.45">
      <c r="A1302" s="829"/>
      <c r="B1302" s="329"/>
      <c r="C1302" s="539"/>
      <c r="D1302" s="539"/>
      <c r="E1302" s="502"/>
      <c r="F1302" s="333"/>
      <c r="G1302" s="539"/>
      <c r="H1302" s="333"/>
      <c r="I1302" s="539"/>
      <c r="J1302" s="333"/>
      <c r="K1302" s="333"/>
      <c r="L1302" s="333"/>
      <c r="M1302" s="333"/>
      <c r="N1302" s="333"/>
      <c r="O1302" s="333"/>
      <c r="P1302" s="333"/>
      <c r="Q1302" s="333"/>
      <c r="R1302" s="333"/>
      <c r="S1302" s="333"/>
      <c r="T1302" s="539"/>
      <c r="U1302" s="333"/>
      <c r="V1302" s="681"/>
      <c r="W1302" s="539"/>
      <c r="X1302" s="333"/>
      <c r="Y1302" s="323"/>
    </row>
    <row r="1303" spans="1:27" thickBot="1" x14ac:dyDescent="0.45">
      <c r="A1303" s="829"/>
      <c r="B1303" s="303" t="s">
        <v>779</v>
      </c>
      <c r="C1303" s="537"/>
      <c r="D1303" s="537"/>
      <c r="E1303" s="496"/>
      <c r="F1303" s="354"/>
      <c r="G1303" s="537"/>
      <c r="H1303" s="354"/>
      <c r="I1303" s="537"/>
      <c r="J1303" s="354"/>
      <c r="K1303" s="354"/>
      <c r="L1303" s="354"/>
      <c r="M1303" s="354"/>
      <c r="N1303" s="354"/>
      <c r="O1303" s="354"/>
      <c r="P1303" s="354"/>
      <c r="Q1303" s="354"/>
      <c r="R1303" s="354"/>
      <c r="S1303" s="354"/>
      <c r="T1303" s="537"/>
      <c r="U1303" s="354"/>
      <c r="V1303" s="682"/>
      <c r="W1303" s="354"/>
      <c r="X1303" s="540"/>
      <c r="Y1303" s="301"/>
      <c r="AA1303" s="391" t="s">
        <v>680</v>
      </c>
    </row>
    <row r="1304" spans="1:27" thickBot="1" x14ac:dyDescent="0.45">
      <c r="A1304" s="830"/>
      <c r="B1304" s="332" t="s">
        <v>286</v>
      </c>
      <c r="C1304" s="347"/>
      <c r="D1304" s="347"/>
      <c r="E1304" s="494"/>
      <c r="F1304" s="348"/>
      <c r="G1304" s="347"/>
      <c r="H1304" s="348"/>
      <c r="I1304" s="347"/>
      <c r="J1304" s="348"/>
      <c r="K1304" s="348"/>
      <c r="L1304" s="348"/>
      <c r="M1304" s="348"/>
      <c r="N1304" s="348"/>
      <c r="O1304" s="348"/>
      <c r="P1304" s="348"/>
      <c r="Q1304" s="348"/>
      <c r="R1304" s="348"/>
      <c r="S1304" s="348"/>
      <c r="T1304" s="347"/>
      <c r="U1304" s="348"/>
      <c r="V1304" s="356"/>
      <c r="W1304" s="348"/>
      <c r="X1304" s="495"/>
      <c r="Y1304" s="357"/>
    </row>
    <row r="1305" spans="1:27" thickBot="1" x14ac:dyDescent="0.45">
      <c r="A1305" s="829"/>
      <c r="B1305" s="305" t="s">
        <v>60</v>
      </c>
      <c r="C1305" s="539"/>
      <c r="D1305" s="539"/>
      <c r="E1305" s="502"/>
      <c r="F1305" s="333"/>
      <c r="G1305" s="539"/>
      <c r="H1305" s="333"/>
      <c r="I1305" s="539"/>
      <c r="J1305" s="333"/>
      <c r="K1305" s="333"/>
      <c r="L1305" s="333"/>
      <c r="M1305" s="333"/>
      <c r="N1305" s="333"/>
      <c r="O1305" s="333"/>
      <c r="P1305" s="333"/>
      <c r="Q1305" s="333"/>
      <c r="R1305" s="333"/>
      <c r="S1305" s="333"/>
      <c r="T1305" s="539"/>
      <c r="U1305" s="333"/>
      <c r="V1305" s="681"/>
      <c r="W1305" s="333"/>
      <c r="X1305" s="333"/>
      <c r="Y1305" s="374"/>
    </row>
    <row r="1306" spans="1:27" ht="51.75" thickBot="1" x14ac:dyDescent="0.45">
      <c r="A1306" s="319" t="s">
        <v>772</v>
      </c>
      <c r="B1306" s="362" t="s">
        <v>620</v>
      </c>
      <c r="C1306" s="586">
        <f>C136+C360+C588</f>
        <v>0</v>
      </c>
      <c r="D1306" s="528">
        <f>C1306*12</f>
        <v>0</v>
      </c>
      <c r="E1306" s="460">
        <f>D1306*0.255</f>
        <v>0</v>
      </c>
      <c r="F1306" s="324">
        <f>E1306*1.03*1.05/173</f>
        <v>0</v>
      </c>
      <c r="G1306" s="528">
        <f t="shared" ref="G1306:G1311" si="490">INT(M1306)</f>
        <v>0</v>
      </c>
      <c r="H1306" s="324" t="s">
        <v>18</v>
      </c>
      <c r="I1306" s="528">
        <f t="shared" ref="I1306:I1311" si="491">(M1306-G1306)*64</f>
        <v>0</v>
      </c>
      <c r="J1306" s="324" t="s">
        <v>19</v>
      </c>
      <c r="K1306" s="324"/>
      <c r="L1306" s="324"/>
      <c r="M1306" s="324">
        <f>(F1306*7673)/2880</f>
        <v>0</v>
      </c>
      <c r="N1306" s="324"/>
      <c r="O1306" s="324"/>
      <c r="P1306" s="324"/>
      <c r="Q1306" s="324" t="s">
        <v>18</v>
      </c>
      <c r="R1306" s="324"/>
      <c r="S1306" s="324" t="s">
        <v>19</v>
      </c>
      <c r="T1306" s="528">
        <v>7</v>
      </c>
      <c r="U1306" s="324">
        <f>E1306/272*60</f>
        <v>0</v>
      </c>
      <c r="V1306" s="676"/>
      <c r="W1306" s="528"/>
      <c r="X1306" s="529"/>
      <c r="Y1306" s="323"/>
      <c r="Z1306" s="312">
        <f t="shared" ref="Z1306:Z1311" si="492">E1306</f>
        <v>0</v>
      </c>
      <c r="AA1306" s="316">
        <f>SUM(Z1306/625+0.25)</f>
        <v>0.25</v>
      </c>
    </row>
    <row r="1307" spans="1:27" ht="51.75" thickBot="1" x14ac:dyDescent="0.45">
      <c r="A1307" s="319" t="s">
        <v>772</v>
      </c>
      <c r="B1307" s="362" t="s">
        <v>621</v>
      </c>
      <c r="C1307" s="586">
        <f>C137+C361+C589</f>
        <v>0</v>
      </c>
      <c r="D1307" s="528">
        <f>C1307*12</f>
        <v>0</v>
      </c>
      <c r="E1307" s="460">
        <f>D1307*0.255</f>
        <v>0</v>
      </c>
      <c r="F1307" s="324">
        <f>E1307*1.03*1.05/173</f>
        <v>0</v>
      </c>
      <c r="G1307" s="528">
        <f t="shared" si="490"/>
        <v>0</v>
      </c>
      <c r="H1307" s="324" t="s">
        <v>18</v>
      </c>
      <c r="I1307" s="528">
        <f t="shared" si="491"/>
        <v>0</v>
      </c>
      <c r="J1307" s="324" t="s">
        <v>19</v>
      </c>
      <c r="K1307" s="324"/>
      <c r="L1307" s="324"/>
      <c r="M1307" s="324">
        <f>(F1307*7673)/2880</f>
        <v>0</v>
      </c>
      <c r="N1307" s="324"/>
      <c r="O1307" s="324"/>
      <c r="P1307" s="324"/>
      <c r="Q1307" s="324" t="s">
        <v>18</v>
      </c>
      <c r="R1307" s="324"/>
      <c r="S1307" s="324" t="s">
        <v>19</v>
      </c>
      <c r="T1307" s="528">
        <v>4</v>
      </c>
      <c r="U1307" s="324">
        <f>E1307/272*60</f>
        <v>0</v>
      </c>
      <c r="V1307" s="676"/>
      <c r="W1307" s="528"/>
      <c r="X1307" s="529"/>
      <c r="Y1307" s="323"/>
      <c r="Z1307" s="312">
        <f t="shared" si="492"/>
        <v>0</v>
      </c>
      <c r="AA1307" s="316">
        <f>SUM(Z1307/625+0.25)</f>
        <v>0.25</v>
      </c>
    </row>
    <row r="1308" spans="1:27" ht="51.75" thickBot="1" x14ac:dyDescent="0.45">
      <c r="A1308" s="319" t="s">
        <v>772</v>
      </c>
      <c r="B1308" s="362" t="s">
        <v>622</v>
      </c>
      <c r="C1308" s="586">
        <f>C138+C362+C590</f>
        <v>0</v>
      </c>
      <c r="D1308" s="528">
        <f>C1308*12</f>
        <v>0</v>
      </c>
      <c r="E1308" s="460">
        <f>D1308*0.255</f>
        <v>0</v>
      </c>
      <c r="F1308" s="324">
        <f>E1308*1.03*1.05/173</f>
        <v>0</v>
      </c>
      <c r="G1308" s="528">
        <f t="shared" si="490"/>
        <v>0</v>
      </c>
      <c r="H1308" s="324" t="s">
        <v>18</v>
      </c>
      <c r="I1308" s="528">
        <f t="shared" si="491"/>
        <v>0</v>
      </c>
      <c r="J1308" s="324" t="s">
        <v>19</v>
      </c>
      <c r="K1308" s="324"/>
      <c r="L1308" s="324"/>
      <c r="M1308" s="324">
        <f>(F1308*7673)/2880</f>
        <v>0</v>
      </c>
      <c r="N1308" s="324"/>
      <c r="O1308" s="324"/>
      <c r="P1308" s="324"/>
      <c r="Q1308" s="324" t="s">
        <v>18</v>
      </c>
      <c r="R1308" s="324"/>
      <c r="S1308" s="324" t="s">
        <v>19</v>
      </c>
      <c r="T1308" s="528">
        <v>4</v>
      </c>
      <c r="U1308" s="324">
        <f>E1308/272*60</f>
        <v>0</v>
      </c>
      <c r="V1308" s="676"/>
      <c r="W1308" s="528"/>
      <c r="X1308" s="529"/>
      <c r="Y1308" s="323"/>
      <c r="Z1308" s="312">
        <f t="shared" si="492"/>
        <v>0</v>
      </c>
      <c r="AA1308" s="316">
        <f>SUM(Z1308/625+0.25)</f>
        <v>0.25</v>
      </c>
    </row>
    <row r="1309" spans="1:27" ht="51.75" thickBot="1" x14ac:dyDescent="0.45">
      <c r="A1309" s="319" t="s">
        <v>772</v>
      </c>
      <c r="B1309" s="320" t="s">
        <v>619</v>
      </c>
      <c r="C1309" s="528">
        <f>C133+C357+C585</f>
        <v>0</v>
      </c>
      <c r="D1309" s="525">
        <f>C1309*10</f>
        <v>0</v>
      </c>
      <c r="E1309" s="545">
        <f>D1309*0.25</f>
        <v>0</v>
      </c>
      <c r="F1309" s="461">
        <f>E1309*1.15*0.82/173</f>
        <v>0</v>
      </c>
      <c r="G1309" s="525">
        <f t="shared" si="490"/>
        <v>0</v>
      </c>
      <c r="H1309" s="461" t="s">
        <v>18</v>
      </c>
      <c r="I1309" s="525">
        <f t="shared" si="491"/>
        <v>0</v>
      </c>
      <c r="J1309" s="461" t="s">
        <v>19</v>
      </c>
      <c r="K1309" s="461"/>
      <c r="L1309" s="461"/>
      <c r="M1309" s="461">
        <f>(F1309*7863)/3456</f>
        <v>0</v>
      </c>
      <c r="N1309" s="461"/>
      <c r="O1309" s="461"/>
      <c r="P1309" s="461"/>
      <c r="Q1309" s="324" t="s">
        <v>18</v>
      </c>
      <c r="R1309" s="324"/>
      <c r="S1309" s="324" t="s">
        <v>19</v>
      </c>
      <c r="T1309" s="528">
        <v>7</v>
      </c>
      <c r="U1309" s="324">
        <f>E1309/272*60</f>
        <v>0</v>
      </c>
      <c r="V1309" s="676"/>
      <c r="W1309" s="528"/>
      <c r="X1309" s="529"/>
      <c r="Y1309" s="323"/>
      <c r="Z1309" s="312">
        <f t="shared" si="492"/>
        <v>0</v>
      </c>
      <c r="AA1309" s="316">
        <f>SUM(Z1309/560+0.25)</f>
        <v>0.25</v>
      </c>
    </row>
    <row r="1310" spans="1:27" ht="51.75" thickBot="1" x14ac:dyDescent="0.45">
      <c r="A1310" s="319" t="s">
        <v>772</v>
      </c>
      <c r="B1310" s="320" t="s">
        <v>911</v>
      </c>
      <c r="C1310" s="528">
        <f>C135+C359+C587</f>
        <v>0</v>
      </c>
      <c r="D1310" s="525">
        <f>C1310*10</f>
        <v>0</v>
      </c>
      <c r="E1310" s="545">
        <f>D1310*0.2</f>
        <v>0</v>
      </c>
      <c r="F1310" s="461">
        <f>E1310*1.15*0.82/173</f>
        <v>0</v>
      </c>
      <c r="G1310" s="525">
        <f t="shared" si="490"/>
        <v>0</v>
      </c>
      <c r="H1310" s="461" t="s">
        <v>18</v>
      </c>
      <c r="I1310" s="525">
        <f t="shared" si="491"/>
        <v>0</v>
      </c>
      <c r="J1310" s="461" t="s">
        <v>19</v>
      </c>
      <c r="K1310" s="461"/>
      <c r="L1310" s="461"/>
      <c r="M1310" s="461">
        <f>(F1310*9600)/3456</f>
        <v>0</v>
      </c>
      <c r="N1310" s="461"/>
      <c r="O1310" s="461"/>
      <c r="P1310" s="461"/>
      <c r="Q1310" s="324" t="s">
        <v>18</v>
      </c>
      <c r="R1310" s="324"/>
      <c r="S1310" s="324" t="s">
        <v>19</v>
      </c>
      <c r="T1310" s="528">
        <v>7</v>
      </c>
      <c r="U1310" s="324">
        <f>E1310/207*60</f>
        <v>0</v>
      </c>
      <c r="V1310" s="676"/>
      <c r="W1310" s="528"/>
      <c r="X1310" s="529"/>
      <c r="Y1310" s="323"/>
      <c r="Z1310" s="312">
        <f t="shared" si="492"/>
        <v>0</v>
      </c>
      <c r="AA1310" s="316">
        <f>SUM(Z1310/450+0.25)</f>
        <v>0.25</v>
      </c>
    </row>
    <row r="1311" spans="1:27" ht="77.25" thickBot="1" x14ac:dyDescent="0.45">
      <c r="A1311" s="319" t="s">
        <v>772</v>
      </c>
      <c r="B1311" s="320" t="s">
        <v>813</v>
      </c>
      <c r="C1311" s="528">
        <f>C1937</f>
        <v>0</v>
      </c>
      <c r="D1311" s="525">
        <f>C1311*10</f>
        <v>0</v>
      </c>
      <c r="E1311" s="545">
        <f>D1311*0.2</f>
        <v>0</v>
      </c>
      <c r="F1311" s="461">
        <f>E1311*1.15*0.82/173</f>
        <v>0</v>
      </c>
      <c r="G1311" s="525">
        <f t="shared" si="490"/>
        <v>0</v>
      </c>
      <c r="H1311" s="461" t="s">
        <v>18</v>
      </c>
      <c r="I1311" s="525">
        <f t="shared" si="491"/>
        <v>0</v>
      </c>
      <c r="J1311" s="461" t="s">
        <v>19</v>
      </c>
      <c r="K1311" s="461"/>
      <c r="L1311" s="461"/>
      <c r="M1311" s="461">
        <f>(F1311*9600)/3456</f>
        <v>0</v>
      </c>
      <c r="N1311" s="461"/>
      <c r="O1311" s="461"/>
      <c r="P1311" s="461"/>
      <c r="Q1311" s="324" t="s">
        <v>18</v>
      </c>
      <c r="R1311" s="324"/>
      <c r="S1311" s="324" t="s">
        <v>19</v>
      </c>
      <c r="T1311" s="528">
        <v>7</v>
      </c>
      <c r="U1311" s="324">
        <f>E1311/207*60</f>
        <v>0</v>
      </c>
      <c r="V1311" s="676"/>
      <c r="W1311" s="528"/>
      <c r="X1311" s="529"/>
      <c r="Y1311" s="323"/>
      <c r="Z1311" s="312">
        <f t="shared" si="492"/>
        <v>0</v>
      </c>
      <c r="AA1311" s="316">
        <f>SUM(Z1311/450+0.25)</f>
        <v>0.25</v>
      </c>
    </row>
    <row r="1312" spans="1:27" thickBot="1" x14ac:dyDescent="0.45">
      <c r="A1312" s="829"/>
      <c r="B1312" s="305" t="s">
        <v>644</v>
      </c>
      <c r="C1312" s="539"/>
      <c r="D1312" s="539"/>
      <c r="E1312" s="502"/>
      <c r="F1312" s="333"/>
      <c r="G1312" s="539"/>
      <c r="H1312" s="333"/>
      <c r="I1312" s="539"/>
      <c r="J1312" s="333"/>
      <c r="K1312" s="333"/>
      <c r="L1312" s="333"/>
      <c r="M1312" s="333"/>
      <c r="N1312" s="333"/>
      <c r="O1312" s="333"/>
      <c r="P1312" s="333"/>
      <c r="Q1312" s="333"/>
      <c r="R1312" s="333"/>
      <c r="S1312" s="333"/>
      <c r="T1312" s="539"/>
      <c r="U1312" s="333"/>
      <c r="V1312" s="681"/>
      <c r="W1312" s="333"/>
      <c r="X1312" s="333"/>
      <c r="Y1312" s="374"/>
    </row>
    <row r="1313" spans="1:27" ht="105.75" thickBot="1" x14ac:dyDescent="0.45">
      <c r="A1313" s="319" t="s">
        <v>772</v>
      </c>
      <c r="B1313" s="320" t="s">
        <v>858</v>
      </c>
      <c r="C1313" s="528">
        <f>C1459</f>
        <v>0</v>
      </c>
      <c r="D1313" s="551">
        <f>C1313*18</f>
        <v>0</v>
      </c>
      <c r="E1313" s="456">
        <f>D1313*0.18</f>
        <v>0</v>
      </c>
      <c r="F1313" s="358">
        <f>E1313*1.03*0.8/147</f>
        <v>0</v>
      </c>
      <c r="G1313" s="548">
        <f t="shared" ref="G1313:G1323" si="493">INT(M1313)</f>
        <v>0</v>
      </c>
      <c r="H1313" s="358" t="s">
        <v>18</v>
      </c>
      <c r="I1313" s="548">
        <f t="shared" ref="I1313:I1323" si="494">(M1313-G1313)*64</f>
        <v>0</v>
      </c>
      <c r="J1313" s="358" t="s">
        <v>19</v>
      </c>
      <c r="K1313" s="358"/>
      <c r="L1313" s="358"/>
      <c r="M1313" s="358">
        <f>F1313*5960/3456</f>
        <v>0</v>
      </c>
      <c r="N1313" s="324"/>
      <c r="O1313" s="324"/>
      <c r="P1313" s="324"/>
      <c r="Q1313" s="324" t="s">
        <v>18</v>
      </c>
      <c r="R1313" s="324"/>
      <c r="S1313" s="324" t="s">
        <v>19</v>
      </c>
      <c r="T1313" s="528">
        <v>4</v>
      </c>
      <c r="U1313" s="324">
        <f t="shared" ref="U1313:U1318" si="495">E1313/220*60</f>
        <v>0</v>
      </c>
      <c r="V1313" s="676"/>
      <c r="W1313" s="528"/>
      <c r="X1313" s="529"/>
      <c r="Y1313" s="323" t="s">
        <v>1014</v>
      </c>
      <c r="Z1313" s="312">
        <f t="shared" ref="Z1313:Z1386" si="496">E1313</f>
        <v>0</v>
      </c>
      <c r="AA1313" s="316">
        <f>SUM(Z1313/505.3+0.25)</f>
        <v>0.25</v>
      </c>
    </row>
    <row r="1314" spans="1:27" ht="51.75" thickBot="1" x14ac:dyDescent="0.45">
      <c r="A1314" s="319" t="s">
        <v>772</v>
      </c>
      <c r="B1314" s="320" t="s">
        <v>1031</v>
      </c>
      <c r="C1314" s="528">
        <f>C1460</f>
        <v>0</v>
      </c>
      <c r="D1314" s="530">
        <f>C1314*22</f>
        <v>0</v>
      </c>
      <c r="E1314" s="460">
        <f>D1314*0.18</f>
        <v>0</v>
      </c>
      <c r="F1314" s="324">
        <f>E1314*1.03*0.8/147</f>
        <v>0</v>
      </c>
      <c r="G1314" s="528">
        <f t="shared" si="493"/>
        <v>0</v>
      </c>
      <c r="H1314" s="324" t="s">
        <v>18</v>
      </c>
      <c r="I1314" s="528">
        <f t="shared" si="494"/>
        <v>0</v>
      </c>
      <c r="J1314" s="324" t="s">
        <v>19</v>
      </c>
      <c r="K1314" s="324"/>
      <c r="L1314" s="324"/>
      <c r="M1314" s="324">
        <f>F1314*5960/3456</f>
        <v>0</v>
      </c>
      <c r="N1314" s="324"/>
      <c r="O1314" s="324"/>
      <c r="P1314" s="324"/>
      <c r="Q1314" s="324" t="s">
        <v>18</v>
      </c>
      <c r="R1314" s="324"/>
      <c r="S1314" s="324" t="s">
        <v>19</v>
      </c>
      <c r="T1314" s="528" t="s">
        <v>924</v>
      </c>
      <c r="U1314" s="324">
        <f t="shared" si="495"/>
        <v>0</v>
      </c>
      <c r="V1314" s="676"/>
      <c r="W1314" s="528"/>
      <c r="X1314" s="529"/>
      <c r="Y1314" s="300"/>
      <c r="Z1314" s="312">
        <f>E1314</f>
        <v>0</v>
      </c>
      <c r="AA1314" s="316">
        <f>SUM(Z1314/505.3+0.25)</f>
        <v>0.25</v>
      </c>
    </row>
    <row r="1315" spans="1:27" ht="77.25" thickBot="1" x14ac:dyDescent="0.45">
      <c r="A1315" s="319" t="s">
        <v>772</v>
      </c>
      <c r="B1315" s="320" t="s">
        <v>893</v>
      </c>
      <c r="C1315" s="528">
        <f>C1461</f>
        <v>0</v>
      </c>
      <c r="D1315" s="551">
        <f>C1315*18</f>
        <v>0</v>
      </c>
      <c r="E1315" s="456">
        <f>D1315*0.18</f>
        <v>0</v>
      </c>
      <c r="F1315" s="358">
        <f>E1315*1.03*0.8/147</f>
        <v>0</v>
      </c>
      <c r="G1315" s="548">
        <f t="shared" si="493"/>
        <v>0</v>
      </c>
      <c r="H1315" s="358" t="s">
        <v>18</v>
      </c>
      <c r="I1315" s="548">
        <f t="shared" si="494"/>
        <v>0</v>
      </c>
      <c r="J1315" s="358" t="s">
        <v>19</v>
      </c>
      <c r="K1315" s="358"/>
      <c r="L1315" s="358"/>
      <c r="M1315" s="358">
        <f>F1315*5960/3456</f>
        <v>0</v>
      </c>
      <c r="N1315" s="324"/>
      <c r="O1315" s="324"/>
      <c r="P1315" s="324"/>
      <c r="Q1315" s="324" t="s">
        <v>18</v>
      </c>
      <c r="R1315" s="324"/>
      <c r="S1315" s="324" t="s">
        <v>19</v>
      </c>
      <c r="T1315" s="528">
        <v>3</v>
      </c>
      <c r="U1315" s="324">
        <f t="shared" si="495"/>
        <v>0</v>
      </c>
      <c r="V1315" s="676"/>
      <c r="W1315" s="528"/>
      <c r="X1315" s="529"/>
      <c r="Y1315" s="323"/>
      <c r="Z1315" s="312">
        <f t="shared" si="496"/>
        <v>0</v>
      </c>
      <c r="AA1315" s="316">
        <f>SUM(Z1315/505.3+0.25)</f>
        <v>0.25</v>
      </c>
    </row>
    <row r="1316" spans="1:27" ht="105.75" thickBot="1" x14ac:dyDescent="0.45">
      <c r="A1316" s="319" t="s">
        <v>772</v>
      </c>
      <c r="B1316" s="362" t="s">
        <v>859</v>
      </c>
      <c r="C1316" s="528"/>
      <c r="D1316" s="551">
        <f>C1316*18</f>
        <v>0</v>
      </c>
      <c r="E1316" s="456">
        <f>D1316*0.18</f>
        <v>0</v>
      </c>
      <c r="F1316" s="358">
        <f>E1316*0.84/147</f>
        <v>0</v>
      </c>
      <c r="G1316" s="548">
        <f t="shared" si="493"/>
        <v>0</v>
      </c>
      <c r="H1316" s="358" t="s">
        <v>18</v>
      </c>
      <c r="I1316" s="548">
        <f t="shared" si="494"/>
        <v>0</v>
      </c>
      <c r="J1316" s="358" t="s">
        <v>19</v>
      </c>
      <c r="K1316" s="358"/>
      <c r="L1316" s="358"/>
      <c r="M1316" s="358">
        <f>F1316*5880/3456</f>
        <v>0</v>
      </c>
      <c r="N1316" s="324"/>
      <c r="O1316" s="324"/>
      <c r="P1316" s="324"/>
      <c r="Q1316" s="324" t="s">
        <v>18</v>
      </c>
      <c r="R1316" s="324"/>
      <c r="S1316" s="324" t="s">
        <v>19</v>
      </c>
      <c r="T1316" s="528">
        <v>5</v>
      </c>
      <c r="U1316" s="324">
        <f t="shared" si="495"/>
        <v>0</v>
      </c>
      <c r="V1316" s="676"/>
      <c r="W1316" s="528"/>
      <c r="X1316" s="529"/>
      <c r="Y1316" s="323" t="s">
        <v>1014</v>
      </c>
      <c r="Z1316" s="312">
        <f t="shared" si="496"/>
        <v>0</v>
      </c>
      <c r="AA1316" s="316">
        <f>SUM(Z1316/240+0.25)</f>
        <v>0.25</v>
      </c>
    </row>
    <row r="1317" spans="1:27" ht="77.25" thickBot="1" x14ac:dyDescent="0.45">
      <c r="A1317" s="319" t="s">
        <v>772</v>
      </c>
      <c r="B1317" s="362" t="s">
        <v>1032</v>
      </c>
      <c r="C1317" s="528"/>
      <c r="D1317" s="530">
        <f>C1317*22</f>
        <v>0</v>
      </c>
      <c r="E1317" s="460">
        <f>D1317*0.18</f>
        <v>0</v>
      </c>
      <c r="F1317" s="324">
        <f>E1317*0.84/147</f>
        <v>0</v>
      </c>
      <c r="G1317" s="528">
        <f t="shared" si="493"/>
        <v>0</v>
      </c>
      <c r="H1317" s="324" t="s">
        <v>18</v>
      </c>
      <c r="I1317" s="528">
        <f t="shared" si="494"/>
        <v>0</v>
      </c>
      <c r="J1317" s="324" t="s">
        <v>19</v>
      </c>
      <c r="K1317" s="324"/>
      <c r="L1317" s="324"/>
      <c r="M1317" s="324">
        <f>F1317*5880/3456</f>
        <v>0</v>
      </c>
      <c r="N1317" s="324"/>
      <c r="O1317" s="324"/>
      <c r="P1317" s="324"/>
      <c r="Q1317" s="324" t="s">
        <v>18</v>
      </c>
      <c r="R1317" s="324"/>
      <c r="S1317" s="324" t="s">
        <v>19</v>
      </c>
      <c r="T1317" s="528" t="s">
        <v>923</v>
      </c>
      <c r="U1317" s="324">
        <f t="shared" si="495"/>
        <v>0</v>
      </c>
      <c r="V1317" s="676"/>
      <c r="W1317" s="528"/>
      <c r="X1317" s="529"/>
      <c r="Y1317" s="323"/>
      <c r="Z1317" s="312">
        <f>E1317</f>
        <v>0</v>
      </c>
      <c r="AA1317" s="316">
        <f>SUM(Z1317/240+0.25)</f>
        <v>0.25</v>
      </c>
    </row>
    <row r="1318" spans="1:27" ht="51.75" outlineLevel="1" thickBot="1" x14ac:dyDescent="0.45">
      <c r="A1318" s="319" t="s">
        <v>772</v>
      </c>
      <c r="B1318" s="363" t="s">
        <v>683</v>
      </c>
      <c r="C1318" s="528">
        <f>C1466</f>
        <v>0</v>
      </c>
      <c r="D1318" s="548">
        <f>C1318*10</f>
        <v>0</v>
      </c>
      <c r="E1318" s="456">
        <f>D1318*0.2</f>
        <v>0</v>
      </c>
      <c r="F1318" s="358">
        <f>E1318*1.03*0.82/147</f>
        <v>0</v>
      </c>
      <c r="G1318" s="548">
        <f t="shared" si="493"/>
        <v>0</v>
      </c>
      <c r="H1318" s="358" t="s">
        <v>18</v>
      </c>
      <c r="I1318" s="548">
        <f t="shared" si="494"/>
        <v>0</v>
      </c>
      <c r="J1318" s="358" t="s">
        <v>19</v>
      </c>
      <c r="K1318" s="358"/>
      <c r="L1318" s="358"/>
      <c r="M1318" s="358">
        <f>(F1318*8750/3456)</f>
        <v>0</v>
      </c>
      <c r="N1318" s="324"/>
      <c r="O1318" s="324"/>
      <c r="P1318" s="324"/>
      <c r="Q1318" s="324" t="s">
        <v>18</v>
      </c>
      <c r="R1318" s="324"/>
      <c r="S1318" s="324" t="s">
        <v>19</v>
      </c>
      <c r="T1318" s="528">
        <v>7</v>
      </c>
      <c r="U1318" s="324">
        <f t="shared" si="495"/>
        <v>0</v>
      </c>
      <c r="V1318" s="676"/>
      <c r="W1318" s="528"/>
      <c r="X1318" s="529"/>
      <c r="Y1318" s="323"/>
      <c r="Z1318" s="312">
        <f t="shared" si="496"/>
        <v>0</v>
      </c>
      <c r="AA1318" s="316">
        <f>SUM(Z1318/379.4+0.25)</f>
        <v>0.25</v>
      </c>
    </row>
    <row r="1319" spans="1:27" s="728" customFormat="1" ht="77.25" outlineLevel="1" thickBot="1" x14ac:dyDescent="0.45">
      <c r="A1319" s="636" t="s">
        <v>772</v>
      </c>
      <c r="B1319" s="634" t="s">
        <v>764</v>
      </c>
      <c r="C1319" s="720">
        <f>C1467</f>
        <v>0</v>
      </c>
      <c r="D1319" s="720">
        <f>C1319*10</f>
        <v>0</v>
      </c>
      <c r="E1319" s="721">
        <f>D1319*0.2</f>
        <v>0</v>
      </c>
      <c r="F1319" s="722">
        <f>E1319*1.015*0.72/147</f>
        <v>0</v>
      </c>
      <c r="G1319" s="720">
        <f t="shared" si="493"/>
        <v>0</v>
      </c>
      <c r="H1319" s="722" t="s">
        <v>18</v>
      </c>
      <c r="I1319" s="720">
        <f t="shared" si="494"/>
        <v>0</v>
      </c>
      <c r="J1319" s="722" t="s">
        <v>19</v>
      </c>
      <c r="K1319" s="722"/>
      <c r="L1319" s="722"/>
      <c r="M1319" s="722">
        <f>(F1319*8070/3456)</f>
        <v>0</v>
      </c>
      <c r="N1319" s="722"/>
      <c r="O1319" s="722"/>
      <c r="P1319" s="722"/>
      <c r="Q1319" s="722" t="s">
        <v>18</v>
      </c>
      <c r="R1319" s="722"/>
      <c r="S1319" s="722" t="s">
        <v>19</v>
      </c>
      <c r="T1319" s="720">
        <v>4</v>
      </c>
      <c r="U1319" s="722">
        <f>E1319/259*60</f>
        <v>0</v>
      </c>
      <c r="V1319" s="724"/>
      <c r="W1319" s="720"/>
      <c r="X1319" s="725"/>
      <c r="Y1319" s="736"/>
      <c r="Z1319" s="727">
        <f t="shared" si="496"/>
        <v>0</v>
      </c>
      <c r="AA1319" s="815">
        <f>SUM(Z1319/411.6+0.25)</f>
        <v>0.25</v>
      </c>
    </row>
    <row r="1320" spans="1:27" ht="51.75" thickBot="1" x14ac:dyDescent="0.45">
      <c r="A1320" s="319" t="s">
        <v>772</v>
      </c>
      <c r="B1320" s="320" t="s">
        <v>1001</v>
      </c>
      <c r="C1320" s="586">
        <f>C1463</f>
        <v>0</v>
      </c>
      <c r="D1320" s="551">
        <f>C1320*22</f>
        <v>0</v>
      </c>
      <c r="E1320" s="456">
        <f>D1320*0.2</f>
        <v>0</v>
      </c>
      <c r="F1320" s="358">
        <f>E1320*1.03*0.82/147</f>
        <v>0</v>
      </c>
      <c r="G1320" s="548">
        <f t="shared" si="493"/>
        <v>0</v>
      </c>
      <c r="H1320" s="358" t="s">
        <v>18</v>
      </c>
      <c r="I1320" s="548">
        <f t="shared" si="494"/>
        <v>0</v>
      </c>
      <c r="J1320" s="358" t="s">
        <v>19</v>
      </c>
      <c r="K1320" s="358"/>
      <c r="L1320" s="358"/>
      <c r="M1320" s="358">
        <f>F1320*5250/3456</f>
        <v>0</v>
      </c>
      <c r="N1320" s="358"/>
      <c r="O1320" s="358"/>
      <c r="P1320" s="358"/>
      <c r="Q1320" s="358" t="s">
        <v>18</v>
      </c>
      <c r="R1320" s="358"/>
      <c r="S1320" s="358" t="s">
        <v>19</v>
      </c>
      <c r="T1320" s="528">
        <v>4</v>
      </c>
      <c r="U1320" s="354">
        <f>E1320/259*60</f>
        <v>0</v>
      </c>
      <c r="V1320" s="676"/>
      <c r="W1320" s="528"/>
      <c r="X1320" s="529"/>
      <c r="Y1320" s="323"/>
      <c r="Z1320" s="312">
        <f t="shared" si="496"/>
        <v>0</v>
      </c>
      <c r="AA1320" s="316">
        <f>SUM(Z1320/548.9+0.25)</f>
        <v>0.25</v>
      </c>
    </row>
    <row r="1321" spans="1:27" s="728" customFormat="1" ht="77.25" outlineLevel="1" thickBot="1" x14ac:dyDescent="0.45">
      <c r="A1321" s="636" t="s">
        <v>772</v>
      </c>
      <c r="B1321" s="634" t="s">
        <v>1040</v>
      </c>
      <c r="C1321" s="720">
        <f>C1475</f>
        <v>0</v>
      </c>
      <c r="D1321" s="720">
        <f>C1321*12</f>
        <v>0</v>
      </c>
      <c r="E1321" s="721">
        <f t="shared" ref="E1321:E1328" si="497">D1321*0.25</f>
        <v>0</v>
      </c>
      <c r="F1321" s="722">
        <f>E1321*1.03*0.729/147</f>
        <v>0</v>
      </c>
      <c r="G1321" s="720">
        <f t="shared" si="493"/>
        <v>0</v>
      </c>
      <c r="H1321" s="722" t="s">
        <v>18</v>
      </c>
      <c r="I1321" s="720">
        <f t="shared" si="494"/>
        <v>0</v>
      </c>
      <c r="J1321" s="722" t="s">
        <v>19</v>
      </c>
      <c r="K1321" s="722"/>
      <c r="L1321" s="722"/>
      <c r="M1321" s="722">
        <f>(F1321*7840/3456)</f>
        <v>0</v>
      </c>
      <c r="N1321" s="722"/>
      <c r="O1321" s="722"/>
      <c r="P1321" s="722"/>
      <c r="Q1321" s="722" t="s">
        <v>18</v>
      </c>
      <c r="R1321" s="722"/>
      <c r="S1321" s="722" t="s">
        <v>19</v>
      </c>
      <c r="T1321" s="720">
        <v>7</v>
      </c>
      <c r="U1321" s="324">
        <f>E1321/390*60</f>
        <v>0</v>
      </c>
      <c r="V1321" s="724"/>
      <c r="W1321" s="720"/>
      <c r="X1321" s="725"/>
      <c r="Y1321" s="736"/>
      <c r="Z1321" s="727">
        <f t="shared" si="496"/>
        <v>0</v>
      </c>
      <c r="AA1321" s="815">
        <f>SUM(Z1321/392+0.25)</f>
        <v>0.25</v>
      </c>
    </row>
    <row r="1322" spans="1:27" ht="77.25" thickBot="1" x14ac:dyDescent="0.45">
      <c r="A1322" s="319" t="s">
        <v>772</v>
      </c>
      <c r="B1322" s="364" t="s">
        <v>992</v>
      </c>
      <c r="C1322" s="528">
        <f>C2198</f>
        <v>0</v>
      </c>
      <c r="D1322" s="528">
        <f>C1322*12</f>
        <v>0</v>
      </c>
      <c r="E1322" s="324">
        <f t="shared" si="497"/>
        <v>0</v>
      </c>
      <c r="F1322" s="324">
        <f>E1322*1.03*0.81/170</f>
        <v>0</v>
      </c>
      <c r="G1322" s="528">
        <f>INT(M1322)</f>
        <v>0</v>
      </c>
      <c r="H1322" s="324" t="s">
        <v>18</v>
      </c>
      <c r="I1322" s="528">
        <f>(M1322-G1322)*64</f>
        <v>0</v>
      </c>
      <c r="J1322" s="324" t="s">
        <v>19</v>
      </c>
      <c r="K1322" s="324"/>
      <c r="L1322" s="324"/>
      <c r="M1322" s="324">
        <f>(F1322*8820/3456)</f>
        <v>0</v>
      </c>
      <c r="N1322" s="324"/>
      <c r="O1322" s="324"/>
      <c r="P1322" s="324"/>
      <c r="Q1322" s="324" t="s">
        <v>18</v>
      </c>
      <c r="R1322" s="324"/>
      <c r="S1322" s="324" t="s">
        <v>19</v>
      </c>
      <c r="T1322" s="528">
        <v>7</v>
      </c>
      <c r="U1322" s="324">
        <f>E1322/220*60</f>
        <v>0</v>
      </c>
      <c r="V1322" s="676"/>
      <c r="W1322" s="528"/>
      <c r="X1322" s="529"/>
      <c r="Y1322" s="323"/>
      <c r="Z1322" s="312">
        <f t="shared" si="496"/>
        <v>0</v>
      </c>
      <c r="AA1322" s="316">
        <f>SUM(Z1322/720+0.25)</f>
        <v>0.25</v>
      </c>
    </row>
    <row r="1323" spans="1:27" s="728" customFormat="1" outlineLevel="1" thickBot="1" x14ac:dyDescent="0.45">
      <c r="A1323" s="636" t="s">
        <v>772</v>
      </c>
      <c r="B1323" s="634" t="s">
        <v>1042</v>
      </c>
      <c r="C1323" s="720">
        <f>C1282</f>
        <v>0</v>
      </c>
      <c r="D1323" s="741">
        <f>C1323*12</f>
        <v>0</v>
      </c>
      <c r="E1323" s="721">
        <f t="shared" si="497"/>
        <v>0</v>
      </c>
      <c r="F1323" s="722">
        <f>E1323*0.99*1.02/147</f>
        <v>0</v>
      </c>
      <c r="G1323" s="720">
        <f t="shared" si="493"/>
        <v>0</v>
      </c>
      <c r="H1323" s="722" t="s">
        <v>18</v>
      </c>
      <c r="I1323" s="720">
        <f t="shared" si="494"/>
        <v>0</v>
      </c>
      <c r="J1323" s="722" t="s">
        <v>19</v>
      </c>
      <c r="K1323" s="722"/>
      <c r="L1323" s="722"/>
      <c r="M1323" s="722">
        <f>(F1323*5880)/3456</f>
        <v>0</v>
      </c>
      <c r="N1323" s="722"/>
      <c r="O1323" s="722"/>
      <c r="P1323" s="722"/>
      <c r="Q1323" s="722" t="s">
        <v>18</v>
      </c>
      <c r="R1323" s="722"/>
      <c r="S1323" s="722" t="s">
        <v>19</v>
      </c>
      <c r="T1323" s="720">
        <v>7</v>
      </c>
      <c r="U1323" s="324">
        <f>E1323/390*60</f>
        <v>0</v>
      </c>
      <c r="V1323" s="724"/>
      <c r="W1323" s="720"/>
      <c r="X1323" s="725"/>
      <c r="Y1323" s="736"/>
      <c r="Z1323" s="727">
        <f t="shared" si="496"/>
        <v>0</v>
      </c>
      <c r="AA1323" s="815">
        <f>SUM(Z1323/474.3+0.25)</f>
        <v>0.25</v>
      </c>
    </row>
    <row r="1324" spans="1:27" ht="53.25" thickBot="1" x14ac:dyDescent="0.45">
      <c r="A1324" s="319" t="s">
        <v>772</v>
      </c>
      <c r="B1324" s="319" t="s">
        <v>999</v>
      </c>
      <c r="C1324" s="586">
        <f>C1236</f>
        <v>0</v>
      </c>
      <c r="D1324" s="551">
        <f>C1324*16</f>
        <v>0</v>
      </c>
      <c r="E1324" s="456">
        <f t="shared" si="497"/>
        <v>0</v>
      </c>
      <c r="F1324" s="358">
        <f t="shared" ref="F1324:F1331" si="498">E1324*0.99*1.03/147</f>
        <v>0</v>
      </c>
      <c r="G1324" s="548">
        <f t="shared" ref="G1324:G1331" si="499">INT(M1324)</f>
        <v>0</v>
      </c>
      <c r="H1324" s="358" t="s">
        <v>18</v>
      </c>
      <c r="I1324" s="548">
        <f t="shared" ref="I1324:I1331" si="500">(M1324-G1324)*64</f>
        <v>0</v>
      </c>
      <c r="J1324" s="358" t="s">
        <v>19</v>
      </c>
      <c r="K1324" s="358"/>
      <c r="L1324" s="358"/>
      <c r="M1324" s="358">
        <f t="shared" ref="M1324:M1331" si="501">(F1324*6989)/2880</f>
        <v>0</v>
      </c>
      <c r="N1324" s="358"/>
      <c r="O1324" s="358"/>
      <c r="P1324" s="358"/>
      <c r="Q1324" s="358" t="s">
        <v>18</v>
      </c>
      <c r="R1324" s="358"/>
      <c r="S1324" s="358" t="s">
        <v>19</v>
      </c>
      <c r="T1324" s="528">
        <v>4</v>
      </c>
      <c r="V1324" s="676"/>
      <c r="W1324" s="528"/>
      <c r="X1324" s="529"/>
      <c r="Y1324" s="323"/>
      <c r="Z1324" s="312">
        <f t="shared" si="496"/>
        <v>0</v>
      </c>
      <c r="AA1324" s="316">
        <f t="shared" ref="AA1324:AA1331" si="502">SUM(Z1324/398.4+0.25)</f>
        <v>0.25</v>
      </c>
    </row>
    <row r="1325" spans="1:27" ht="53.25" thickBot="1" x14ac:dyDescent="0.45">
      <c r="A1325" s="319" t="s">
        <v>772</v>
      </c>
      <c r="B1325" s="319" t="s">
        <v>1002</v>
      </c>
      <c r="C1325" s="586">
        <f>C1237</f>
        <v>0</v>
      </c>
      <c r="D1325" s="551">
        <f>C1325*16</f>
        <v>0</v>
      </c>
      <c r="E1325" s="456">
        <f t="shared" si="497"/>
        <v>0</v>
      </c>
      <c r="F1325" s="358">
        <f t="shared" si="498"/>
        <v>0</v>
      </c>
      <c r="G1325" s="548">
        <f t="shared" si="499"/>
        <v>0</v>
      </c>
      <c r="H1325" s="358" t="s">
        <v>18</v>
      </c>
      <c r="I1325" s="548">
        <f t="shared" si="500"/>
        <v>0</v>
      </c>
      <c r="J1325" s="358" t="s">
        <v>19</v>
      </c>
      <c r="K1325" s="358"/>
      <c r="L1325" s="358"/>
      <c r="M1325" s="358">
        <f t="shared" si="501"/>
        <v>0</v>
      </c>
      <c r="N1325" s="358"/>
      <c r="O1325" s="358"/>
      <c r="P1325" s="358"/>
      <c r="Q1325" s="358" t="s">
        <v>18</v>
      </c>
      <c r="R1325" s="358"/>
      <c r="S1325" s="358" t="s">
        <v>19</v>
      </c>
      <c r="T1325" s="528">
        <v>4</v>
      </c>
      <c r="V1325" s="676"/>
      <c r="W1325" s="528"/>
      <c r="X1325" s="529"/>
      <c r="Y1325" s="323"/>
      <c r="Z1325" s="312">
        <f t="shared" si="496"/>
        <v>0</v>
      </c>
      <c r="AA1325" s="316">
        <f t="shared" si="502"/>
        <v>0.25</v>
      </c>
    </row>
    <row r="1326" spans="1:27" ht="51.75" thickBot="1" x14ac:dyDescent="0.45">
      <c r="A1326" s="319" t="s">
        <v>772</v>
      </c>
      <c r="B1326" s="320" t="s">
        <v>1000</v>
      </c>
      <c r="C1326" s="586">
        <f>C1238</f>
        <v>0</v>
      </c>
      <c r="D1326" s="551">
        <f>C1326*16</f>
        <v>0</v>
      </c>
      <c r="E1326" s="456">
        <f t="shared" si="497"/>
        <v>0</v>
      </c>
      <c r="F1326" s="358">
        <f t="shared" si="498"/>
        <v>0</v>
      </c>
      <c r="G1326" s="548">
        <f t="shared" si="499"/>
        <v>0</v>
      </c>
      <c r="H1326" s="358" t="s">
        <v>18</v>
      </c>
      <c r="I1326" s="548">
        <f t="shared" si="500"/>
        <v>0</v>
      </c>
      <c r="J1326" s="358" t="s">
        <v>19</v>
      </c>
      <c r="K1326" s="358"/>
      <c r="L1326" s="358"/>
      <c r="M1326" s="358">
        <f t="shared" si="501"/>
        <v>0</v>
      </c>
      <c r="N1326" s="358"/>
      <c r="O1326" s="358"/>
      <c r="P1326" s="358"/>
      <c r="Q1326" s="358" t="s">
        <v>18</v>
      </c>
      <c r="R1326" s="358"/>
      <c r="S1326" s="358" t="s">
        <v>19</v>
      </c>
      <c r="T1326" s="528">
        <v>4</v>
      </c>
      <c r="U1326" s="324"/>
      <c r="V1326" s="676"/>
      <c r="W1326" s="528"/>
      <c r="X1326" s="529"/>
      <c r="Y1326" s="323"/>
      <c r="Z1326" s="312">
        <f t="shared" si="496"/>
        <v>0</v>
      </c>
      <c r="AA1326" s="316">
        <f t="shared" si="502"/>
        <v>0.25</v>
      </c>
    </row>
    <row r="1327" spans="1:27" ht="105.75" thickBot="1" x14ac:dyDescent="0.45">
      <c r="A1327" s="319" t="s">
        <v>772</v>
      </c>
      <c r="B1327" s="344" t="s">
        <v>1006</v>
      </c>
      <c r="C1327" s="528">
        <f>C1259</f>
        <v>0</v>
      </c>
      <c r="D1327" s="530">
        <f>C1327*16</f>
        <v>0</v>
      </c>
      <c r="E1327" s="460">
        <f t="shared" si="497"/>
        <v>0</v>
      </c>
      <c r="F1327" s="324">
        <f t="shared" si="498"/>
        <v>0</v>
      </c>
      <c r="G1327" s="528">
        <f t="shared" si="499"/>
        <v>0</v>
      </c>
      <c r="H1327" s="324" t="s">
        <v>18</v>
      </c>
      <c r="I1327" s="528">
        <f t="shared" si="500"/>
        <v>0</v>
      </c>
      <c r="J1327" s="324" t="s">
        <v>19</v>
      </c>
      <c r="K1327" s="324"/>
      <c r="L1327" s="324"/>
      <c r="M1327" s="324">
        <f t="shared" si="501"/>
        <v>0</v>
      </c>
      <c r="N1327" s="324"/>
      <c r="O1327" s="324"/>
      <c r="P1327" s="324"/>
      <c r="Q1327" s="324" t="s">
        <v>18</v>
      </c>
      <c r="R1327" s="324"/>
      <c r="S1327" s="324" t="s">
        <v>19</v>
      </c>
      <c r="T1327" s="528" t="s">
        <v>924</v>
      </c>
      <c r="U1327" s="324">
        <f>E1327/403*60</f>
        <v>0</v>
      </c>
      <c r="V1327" s="676"/>
      <c r="W1327" s="528"/>
      <c r="X1327" s="529"/>
      <c r="Y1327" s="360" t="s">
        <v>1062</v>
      </c>
      <c r="Z1327" s="312">
        <f t="shared" si="496"/>
        <v>0</v>
      </c>
      <c r="AA1327" s="316">
        <f t="shared" si="502"/>
        <v>0.25</v>
      </c>
    </row>
    <row r="1328" spans="1:27" ht="105.75" thickBot="1" x14ac:dyDescent="0.45">
      <c r="A1328" s="319" t="s">
        <v>772</v>
      </c>
      <c r="B1328" s="344" t="s">
        <v>1007</v>
      </c>
      <c r="C1328" s="528">
        <f>C1260</f>
        <v>0</v>
      </c>
      <c r="D1328" s="530">
        <f>C1328*16</f>
        <v>0</v>
      </c>
      <c r="E1328" s="460">
        <f t="shared" si="497"/>
        <v>0</v>
      </c>
      <c r="F1328" s="324">
        <f t="shared" si="498"/>
        <v>0</v>
      </c>
      <c r="G1328" s="528">
        <f t="shared" si="499"/>
        <v>0</v>
      </c>
      <c r="H1328" s="324" t="s">
        <v>18</v>
      </c>
      <c r="I1328" s="528">
        <f t="shared" si="500"/>
        <v>0</v>
      </c>
      <c r="J1328" s="324" t="s">
        <v>19</v>
      </c>
      <c r="K1328" s="324"/>
      <c r="L1328" s="324"/>
      <c r="M1328" s="324">
        <f t="shared" si="501"/>
        <v>0</v>
      </c>
      <c r="N1328" s="324"/>
      <c r="O1328" s="324"/>
      <c r="P1328" s="324"/>
      <c r="Q1328" s="324" t="s">
        <v>18</v>
      </c>
      <c r="R1328" s="324"/>
      <c r="S1328" s="324" t="s">
        <v>19</v>
      </c>
      <c r="T1328" s="528" t="s">
        <v>924</v>
      </c>
      <c r="U1328" s="324">
        <f>E1328/403*60</f>
        <v>0</v>
      </c>
      <c r="V1328" s="676"/>
      <c r="W1328" s="528"/>
      <c r="X1328" s="529"/>
      <c r="Y1328" s="360" t="s">
        <v>1062</v>
      </c>
      <c r="Z1328" s="312">
        <f t="shared" si="496"/>
        <v>0</v>
      </c>
      <c r="AA1328" s="316">
        <f t="shared" si="502"/>
        <v>0.25</v>
      </c>
    </row>
    <row r="1329" spans="1:28" ht="77.25" thickBot="1" x14ac:dyDescent="0.45">
      <c r="A1329" s="319" t="s">
        <v>772</v>
      </c>
      <c r="B1329" s="320" t="s">
        <v>634</v>
      </c>
      <c r="C1329" s="586">
        <f>C1239</f>
        <v>0</v>
      </c>
      <c r="D1329" s="551">
        <f>C1329*14</f>
        <v>0</v>
      </c>
      <c r="E1329" s="456">
        <f>D1329*0.25</f>
        <v>0</v>
      </c>
      <c r="F1329" s="358">
        <f t="shared" si="498"/>
        <v>0</v>
      </c>
      <c r="G1329" s="548">
        <f t="shared" si="499"/>
        <v>0</v>
      </c>
      <c r="H1329" s="358" t="s">
        <v>18</v>
      </c>
      <c r="I1329" s="548">
        <f t="shared" si="500"/>
        <v>0</v>
      </c>
      <c r="J1329" s="358" t="s">
        <v>19</v>
      </c>
      <c r="K1329" s="358"/>
      <c r="L1329" s="358"/>
      <c r="M1329" s="358">
        <f t="shared" si="501"/>
        <v>0</v>
      </c>
      <c r="N1329" s="324"/>
      <c r="O1329" s="324"/>
      <c r="P1329" s="324"/>
      <c r="Q1329" s="324" t="s">
        <v>18</v>
      </c>
      <c r="R1329" s="324"/>
      <c r="S1329" s="324" t="s">
        <v>19</v>
      </c>
      <c r="T1329" s="528">
        <v>3</v>
      </c>
      <c r="V1329" s="676"/>
      <c r="W1329" s="528"/>
      <c r="X1329" s="529"/>
      <c r="Y1329" s="323"/>
      <c r="Z1329" s="312">
        <f t="shared" si="496"/>
        <v>0</v>
      </c>
      <c r="AA1329" s="316">
        <f t="shared" si="502"/>
        <v>0.25</v>
      </c>
    </row>
    <row r="1330" spans="1:28" ht="51.75" thickBot="1" x14ac:dyDescent="0.45">
      <c r="A1330" s="319" t="s">
        <v>772</v>
      </c>
      <c r="B1330" s="320" t="s">
        <v>635</v>
      </c>
      <c r="C1330" s="586">
        <f>C1240</f>
        <v>0</v>
      </c>
      <c r="D1330" s="551">
        <f>C1330*14</f>
        <v>0</v>
      </c>
      <c r="E1330" s="456">
        <f>D1330*0.25</f>
        <v>0</v>
      </c>
      <c r="F1330" s="358">
        <f t="shared" si="498"/>
        <v>0</v>
      </c>
      <c r="G1330" s="548">
        <f t="shared" si="499"/>
        <v>0</v>
      </c>
      <c r="H1330" s="358" t="s">
        <v>18</v>
      </c>
      <c r="I1330" s="548">
        <f t="shared" si="500"/>
        <v>0</v>
      </c>
      <c r="J1330" s="358" t="s">
        <v>19</v>
      </c>
      <c r="K1330" s="358"/>
      <c r="L1330" s="358"/>
      <c r="M1330" s="358">
        <f t="shared" si="501"/>
        <v>0</v>
      </c>
      <c r="N1330" s="324"/>
      <c r="O1330" s="324"/>
      <c r="P1330" s="324"/>
      <c r="Q1330" s="324" t="s">
        <v>18</v>
      </c>
      <c r="R1330" s="324"/>
      <c r="S1330" s="324" t="s">
        <v>19</v>
      </c>
      <c r="T1330" s="528">
        <v>3</v>
      </c>
      <c r="V1330" s="676"/>
      <c r="W1330" s="528"/>
      <c r="X1330" s="529"/>
      <c r="Y1330" s="323"/>
      <c r="Z1330" s="312">
        <f t="shared" si="496"/>
        <v>0</v>
      </c>
      <c r="AA1330" s="316">
        <f t="shared" si="502"/>
        <v>0.25</v>
      </c>
    </row>
    <row r="1331" spans="1:28" ht="51.75" thickBot="1" x14ac:dyDescent="0.45">
      <c r="A1331" s="319" t="s">
        <v>772</v>
      </c>
      <c r="B1331" s="320" t="s">
        <v>636</v>
      </c>
      <c r="C1331" s="586">
        <f>C1205</f>
        <v>0</v>
      </c>
      <c r="D1331" s="551">
        <f>C1331*14</f>
        <v>0</v>
      </c>
      <c r="E1331" s="456">
        <f>D1331*0.25</f>
        <v>0</v>
      </c>
      <c r="F1331" s="358">
        <f t="shared" si="498"/>
        <v>0</v>
      </c>
      <c r="G1331" s="548">
        <f t="shared" si="499"/>
        <v>0</v>
      </c>
      <c r="H1331" s="358" t="s">
        <v>18</v>
      </c>
      <c r="I1331" s="548">
        <f t="shared" si="500"/>
        <v>0</v>
      </c>
      <c r="J1331" s="358" t="s">
        <v>19</v>
      </c>
      <c r="K1331" s="358"/>
      <c r="L1331" s="358"/>
      <c r="M1331" s="358">
        <f t="shared" si="501"/>
        <v>0</v>
      </c>
      <c r="N1331" s="324"/>
      <c r="O1331" s="324"/>
      <c r="P1331" s="324"/>
      <c r="Q1331" s="324" t="s">
        <v>18</v>
      </c>
      <c r="R1331" s="324"/>
      <c r="S1331" s="324" t="s">
        <v>19</v>
      </c>
      <c r="T1331" s="528">
        <v>3</v>
      </c>
      <c r="V1331" s="676"/>
      <c r="W1331" s="528"/>
      <c r="X1331" s="529"/>
      <c r="Y1331" s="323"/>
      <c r="Z1331" s="312">
        <f t="shared" si="496"/>
        <v>0</v>
      </c>
      <c r="AA1331" s="316">
        <f t="shared" si="502"/>
        <v>0.25</v>
      </c>
    </row>
    <row r="1332" spans="1:28" ht="51.75" thickBot="1" x14ac:dyDescent="0.45">
      <c r="A1332" s="319" t="s">
        <v>772</v>
      </c>
      <c r="B1332" s="320" t="s">
        <v>637</v>
      </c>
      <c r="C1332" s="586">
        <f>C1241</f>
        <v>0</v>
      </c>
      <c r="D1332" s="528">
        <f>C1332*12</f>
        <v>0</v>
      </c>
      <c r="E1332" s="460">
        <f>D1332*0.25</f>
        <v>0</v>
      </c>
      <c r="F1332" s="324">
        <f>E1332*1.05*0.99/135</f>
        <v>0</v>
      </c>
      <c r="G1332" s="528">
        <f t="shared" ref="G1332:G1342" si="503">INT(M1332)</f>
        <v>0</v>
      </c>
      <c r="H1332" s="324" t="s">
        <v>18</v>
      </c>
      <c r="I1332" s="528">
        <f t="shared" ref="I1332:I1342" si="504">(M1332-G1332)*64</f>
        <v>0</v>
      </c>
      <c r="J1332" s="324" t="s">
        <v>19</v>
      </c>
      <c r="K1332" s="324"/>
      <c r="L1332" s="324"/>
      <c r="M1332" s="324">
        <f>(F1332*6253)/2880</f>
        <v>0</v>
      </c>
      <c r="N1332" s="324"/>
      <c r="O1332" s="324"/>
      <c r="P1332" s="528"/>
      <c r="Q1332" s="324"/>
      <c r="S1332" s="514">
        <v>0</v>
      </c>
      <c r="T1332" s="528">
        <v>3</v>
      </c>
      <c r="V1332" s="676"/>
      <c r="W1332" s="528"/>
      <c r="X1332" s="529"/>
      <c r="Y1332" s="323"/>
      <c r="Z1332" s="312">
        <f t="shared" si="496"/>
        <v>0</v>
      </c>
      <c r="AA1332" s="316">
        <f>SUM(Z1332/399.6+0.25)</f>
        <v>0.25</v>
      </c>
    </row>
    <row r="1333" spans="1:28" ht="77.25" outlineLevel="1" thickBot="1" x14ac:dyDescent="0.45">
      <c r="A1333" s="319" t="s">
        <v>772</v>
      </c>
      <c r="B1333" s="799" t="s">
        <v>1214</v>
      </c>
      <c r="C1333" s="586">
        <f t="shared" ref="C1333:C1348" si="505">C1243</f>
        <v>0</v>
      </c>
      <c r="D1333" s="528">
        <f>C1333*14</f>
        <v>0</v>
      </c>
      <c r="E1333" s="460">
        <f>D1333*0.25</f>
        <v>0</v>
      </c>
      <c r="F1333" s="324">
        <f>E1333*1.05*0.99/135</f>
        <v>0</v>
      </c>
      <c r="G1333" s="528">
        <f t="shared" si="503"/>
        <v>0</v>
      </c>
      <c r="H1333" s="324" t="s">
        <v>18</v>
      </c>
      <c r="I1333" s="528">
        <f t="shared" si="504"/>
        <v>0</v>
      </c>
      <c r="J1333" s="324" t="s">
        <v>19</v>
      </c>
      <c r="K1333" s="324"/>
      <c r="L1333" s="324"/>
      <c r="M1333" s="324">
        <f>(F1333*6253)/2880</f>
        <v>0</v>
      </c>
      <c r="N1333" s="324"/>
      <c r="O1333" s="324"/>
      <c r="P1333" s="528"/>
      <c r="Q1333" s="324" t="s">
        <v>18</v>
      </c>
      <c r="R1333" s="324"/>
      <c r="S1333" s="324" t="s">
        <v>19</v>
      </c>
      <c r="T1333" s="528">
        <v>3</v>
      </c>
      <c r="U1333" s="826"/>
      <c r="V1333" s="676"/>
      <c r="W1333" s="528"/>
      <c r="X1333" s="529"/>
      <c r="Y1333" s="323"/>
      <c r="Z1333" s="312">
        <f t="shared" si="496"/>
        <v>0</v>
      </c>
      <c r="AA1333" s="316">
        <f>SUM(Z1333/400+0.25)</f>
        <v>0.25</v>
      </c>
    </row>
    <row r="1334" spans="1:28" ht="51.75" thickBot="1" x14ac:dyDescent="0.45">
      <c r="A1334" s="319" t="s">
        <v>772</v>
      </c>
      <c r="B1334" s="320" t="s">
        <v>1037</v>
      </c>
      <c r="C1334" s="586">
        <f t="shared" si="505"/>
        <v>0</v>
      </c>
      <c r="D1334" s="548">
        <f>C1334*16</f>
        <v>0</v>
      </c>
      <c r="E1334" s="456">
        <f>D1334*0.27</f>
        <v>0</v>
      </c>
      <c r="F1334" s="358">
        <f>E1334*0.99*1.03/147</f>
        <v>0</v>
      </c>
      <c r="G1334" s="548">
        <f t="shared" si="503"/>
        <v>0</v>
      </c>
      <c r="H1334" s="358" t="s">
        <v>18</v>
      </c>
      <c r="I1334" s="548">
        <f t="shared" si="504"/>
        <v>0</v>
      </c>
      <c r="J1334" s="358" t="s">
        <v>19</v>
      </c>
      <c r="K1334" s="358"/>
      <c r="L1334" s="358"/>
      <c r="M1334" s="358">
        <f>(F1334*6391)/2880</f>
        <v>0</v>
      </c>
      <c r="N1334" s="358"/>
      <c r="O1334" s="358"/>
      <c r="P1334" s="358"/>
      <c r="Q1334" s="358" t="s">
        <v>18</v>
      </c>
      <c r="R1334" s="358"/>
      <c r="S1334" s="358" t="s">
        <v>19</v>
      </c>
      <c r="T1334" s="528">
        <v>4</v>
      </c>
      <c r="V1334" s="676"/>
      <c r="W1334" s="528"/>
      <c r="X1334" s="529"/>
      <c r="Y1334" s="323"/>
      <c r="Z1334" s="312">
        <f t="shared" si="496"/>
        <v>0</v>
      </c>
      <c r="AA1334" s="316">
        <f>SUM(Z1334/436.4+0.25)</f>
        <v>0.25</v>
      </c>
    </row>
    <row r="1335" spans="1:28" ht="51.75" thickBot="1" x14ac:dyDescent="0.45">
      <c r="A1335" s="319" t="s">
        <v>772</v>
      </c>
      <c r="B1335" s="343" t="s">
        <v>1038</v>
      </c>
      <c r="C1335" s="586">
        <f t="shared" si="505"/>
        <v>0</v>
      </c>
      <c r="D1335" s="548">
        <f>C1335*16</f>
        <v>0</v>
      </c>
      <c r="E1335" s="456">
        <f>D1335*0.27</f>
        <v>0</v>
      </c>
      <c r="F1335" s="358">
        <f>E1335*0.99*1.03/147</f>
        <v>0</v>
      </c>
      <c r="G1335" s="548">
        <f t="shared" si="503"/>
        <v>0</v>
      </c>
      <c r="H1335" s="358" t="s">
        <v>18</v>
      </c>
      <c r="I1335" s="548">
        <f t="shared" si="504"/>
        <v>0</v>
      </c>
      <c r="J1335" s="358" t="s">
        <v>19</v>
      </c>
      <c r="K1335" s="358"/>
      <c r="L1335" s="358"/>
      <c r="M1335" s="358">
        <f>(F1335*6391)/2880</f>
        <v>0</v>
      </c>
      <c r="N1335" s="358"/>
      <c r="O1335" s="358"/>
      <c r="P1335" s="358"/>
      <c r="Q1335" s="358" t="s">
        <v>18</v>
      </c>
      <c r="R1335" s="358"/>
      <c r="S1335" s="358" t="s">
        <v>19</v>
      </c>
      <c r="T1335" s="528">
        <v>4</v>
      </c>
      <c r="V1335" s="676"/>
      <c r="W1335" s="528"/>
      <c r="X1335" s="529"/>
      <c r="Y1335" s="323"/>
      <c r="Z1335" s="312">
        <f t="shared" si="496"/>
        <v>0</v>
      </c>
      <c r="AA1335" s="316">
        <f>SUM(Z1335/436.4+0.25)</f>
        <v>0.25</v>
      </c>
    </row>
    <row r="1336" spans="1:28" ht="53.25" thickBot="1" x14ac:dyDescent="0.45">
      <c r="A1336" s="319" t="s">
        <v>772</v>
      </c>
      <c r="B1336" s="319" t="s">
        <v>684</v>
      </c>
      <c r="C1336" s="586">
        <f t="shared" si="505"/>
        <v>0</v>
      </c>
      <c r="D1336" s="548">
        <f>C1336*12</f>
        <v>0</v>
      </c>
      <c r="E1336" s="456">
        <f>D1336*0.3</f>
        <v>0</v>
      </c>
      <c r="F1336" s="358">
        <f>E1336*0.99*1.03/147</f>
        <v>0</v>
      </c>
      <c r="G1336" s="548">
        <f t="shared" si="503"/>
        <v>0</v>
      </c>
      <c r="H1336" s="358" t="s">
        <v>18</v>
      </c>
      <c r="I1336" s="548">
        <f t="shared" si="504"/>
        <v>0</v>
      </c>
      <c r="J1336" s="358" t="s">
        <v>19</v>
      </c>
      <c r="K1336" s="358"/>
      <c r="L1336" s="358"/>
      <c r="M1336" s="358">
        <f>(F1336*5880)/2880</f>
        <v>0</v>
      </c>
      <c r="N1336" s="324"/>
      <c r="O1336" s="324"/>
      <c r="P1336" s="324"/>
      <c r="Q1336" s="324" t="s">
        <v>18</v>
      </c>
      <c r="R1336" s="324"/>
      <c r="S1336" s="324" t="s">
        <v>19</v>
      </c>
      <c r="T1336" s="528">
        <v>4</v>
      </c>
      <c r="V1336" s="676"/>
      <c r="W1336" s="528"/>
      <c r="X1336" s="529"/>
      <c r="Y1336" s="323"/>
      <c r="Z1336" s="312">
        <f t="shared" si="496"/>
        <v>0</v>
      </c>
      <c r="AA1336" s="316">
        <f>SUM(Z1336/474.3+0.25)</f>
        <v>0.25</v>
      </c>
    </row>
    <row r="1337" spans="1:28" ht="53.25" thickBot="1" x14ac:dyDescent="0.45">
      <c r="A1337" s="319" t="s">
        <v>772</v>
      </c>
      <c r="B1337" s="319" t="s">
        <v>685</v>
      </c>
      <c r="C1337" s="586">
        <f t="shared" si="505"/>
        <v>0</v>
      </c>
      <c r="D1337" s="548">
        <f>C1337*12</f>
        <v>0</v>
      </c>
      <c r="E1337" s="456">
        <f>D1337*0.3</f>
        <v>0</v>
      </c>
      <c r="F1337" s="358">
        <f>E1337*0.99*1.03/147</f>
        <v>0</v>
      </c>
      <c r="G1337" s="548">
        <f t="shared" si="503"/>
        <v>0</v>
      </c>
      <c r="H1337" s="358" t="s">
        <v>18</v>
      </c>
      <c r="I1337" s="548">
        <f t="shared" si="504"/>
        <v>0</v>
      </c>
      <c r="J1337" s="358" t="s">
        <v>19</v>
      </c>
      <c r="K1337" s="358"/>
      <c r="L1337" s="358"/>
      <c r="M1337" s="358">
        <f>(F1337*5880)/2880</f>
        <v>0</v>
      </c>
      <c r="N1337" s="324"/>
      <c r="O1337" s="324"/>
      <c r="P1337" s="324"/>
      <c r="Q1337" s="324" t="s">
        <v>18</v>
      </c>
      <c r="R1337" s="324"/>
      <c r="S1337" s="324" t="s">
        <v>19</v>
      </c>
      <c r="T1337" s="528">
        <v>4</v>
      </c>
      <c r="V1337" s="676"/>
      <c r="W1337" s="528"/>
      <c r="X1337" s="529"/>
      <c r="Y1337" s="323"/>
      <c r="Z1337" s="312">
        <f t="shared" si="496"/>
        <v>0</v>
      </c>
      <c r="AA1337" s="316">
        <f>SUM(Z1337/474.3+0.25)</f>
        <v>0.25</v>
      </c>
    </row>
    <row r="1338" spans="1:28" ht="53.25" thickBot="1" x14ac:dyDescent="0.45">
      <c r="A1338" s="319" t="s">
        <v>772</v>
      </c>
      <c r="B1338" s="854" t="s">
        <v>1196</v>
      </c>
      <c r="C1338" s="528">
        <f t="shared" si="505"/>
        <v>0</v>
      </c>
      <c r="D1338" s="548">
        <f>C1338*14</f>
        <v>0</v>
      </c>
      <c r="E1338" s="456">
        <f>D1338*0.3</f>
        <v>0</v>
      </c>
      <c r="F1338" s="358">
        <f>E1338*0.99*1.03/147</f>
        <v>0</v>
      </c>
      <c r="G1338" s="548">
        <f t="shared" si="503"/>
        <v>0</v>
      </c>
      <c r="H1338" s="358" t="s">
        <v>18</v>
      </c>
      <c r="I1338" s="548">
        <f t="shared" si="504"/>
        <v>0</v>
      </c>
      <c r="J1338" s="358" t="s">
        <v>19</v>
      </c>
      <c r="K1338" s="358"/>
      <c r="L1338" s="358"/>
      <c r="M1338" s="358">
        <f>(F1338*5880)/2880</f>
        <v>0</v>
      </c>
      <c r="N1338" s="324"/>
      <c r="O1338" s="324"/>
      <c r="P1338" s="324"/>
      <c r="Q1338" s="324" t="s">
        <v>18</v>
      </c>
      <c r="R1338" s="324"/>
      <c r="S1338" s="324" t="s">
        <v>19</v>
      </c>
      <c r="T1338" s="528">
        <v>4</v>
      </c>
      <c r="U1338" s="324">
        <f>E1338/403*60</f>
        <v>0</v>
      </c>
      <c r="V1338" s="676"/>
      <c r="W1338" s="528"/>
      <c r="X1338" s="529"/>
      <c r="Y1338" s="360"/>
      <c r="Z1338" s="312">
        <f>E1338</f>
        <v>0</v>
      </c>
      <c r="AA1338" s="316">
        <f>SUM(Z1338/474.3+0.25)</f>
        <v>0.25</v>
      </c>
    </row>
    <row r="1339" spans="1:28" ht="77.25" thickBot="1" x14ac:dyDescent="0.45">
      <c r="A1339" s="319" t="s">
        <v>772</v>
      </c>
      <c r="B1339" s="862" t="s">
        <v>1197</v>
      </c>
      <c r="C1339" s="853">
        <f t="shared" si="505"/>
        <v>0</v>
      </c>
      <c r="D1339" s="856">
        <f>C1339*16</f>
        <v>0</v>
      </c>
      <c r="E1339" s="629">
        <f>D1339*0.3</f>
        <v>0</v>
      </c>
      <c r="F1339" s="857">
        <f>E1339*0.9*1.01/147</f>
        <v>0</v>
      </c>
      <c r="G1339" s="858">
        <f t="shared" si="503"/>
        <v>0</v>
      </c>
      <c r="H1339" s="366"/>
      <c r="I1339" s="859">
        <f t="shared" si="504"/>
        <v>0</v>
      </c>
      <c r="J1339" s="860" t="s">
        <v>19</v>
      </c>
      <c r="K1339" s="860"/>
      <c r="L1339" s="860"/>
      <c r="M1339" s="861">
        <f>F1339*6533/3456</f>
        <v>0</v>
      </c>
      <c r="N1339" s="860"/>
      <c r="O1339" s="860"/>
      <c r="P1339" s="860"/>
      <c r="Q1339" s="324" t="s">
        <v>18</v>
      </c>
      <c r="R1339" s="324"/>
      <c r="S1339" s="324" t="s">
        <v>19</v>
      </c>
      <c r="T1339" s="528">
        <v>4</v>
      </c>
      <c r="U1339" s="324">
        <f>E1339/403*60</f>
        <v>0</v>
      </c>
      <c r="V1339" s="676"/>
      <c r="W1339" s="528"/>
      <c r="X1339" s="529"/>
      <c r="Y1339" s="711"/>
      <c r="Z1339" s="312">
        <f>E1339/1.02/1.143</f>
        <v>0</v>
      </c>
      <c r="AA1339" s="316">
        <f>SUM(AB1339/413.1+0.25)</f>
        <v>0.25</v>
      </c>
      <c r="AB1339" s="310">
        <f>E1339/1.02</f>
        <v>0</v>
      </c>
    </row>
    <row r="1340" spans="1:28" ht="53.25" thickBot="1" x14ac:dyDescent="0.45">
      <c r="A1340" s="319" t="s">
        <v>772</v>
      </c>
      <c r="B1340" s="319" t="s">
        <v>692</v>
      </c>
      <c r="C1340" s="586">
        <f t="shared" si="505"/>
        <v>0</v>
      </c>
      <c r="D1340" s="548">
        <f>C1340*12</f>
        <v>0</v>
      </c>
      <c r="E1340" s="456">
        <f>D1340*0.3</f>
        <v>0</v>
      </c>
      <c r="F1340" s="358">
        <f>E1340*0.99*1.03/147</f>
        <v>0</v>
      </c>
      <c r="G1340" s="548">
        <f t="shared" si="503"/>
        <v>0</v>
      </c>
      <c r="H1340" s="358" t="s">
        <v>18</v>
      </c>
      <c r="I1340" s="548">
        <f t="shared" si="504"/>
        <v>0</v>
      </c>
      <c r="J1340" s="358" t="s">
        <v>19</v>
      </c>
      <c r="K1340" s="358"/>
      <c r="L1340" s="358"/>
      <c r="M1340" s="358">
        <f>(F1340*5880)/2880</f>
        <v>0</v>
      </c>
      <c r="N1340" s="324"/>
      <c r="O1340" s="324"/>
      <c r="P1340" s="324"/>
      <c r="Q1340" s="324" t="s">
        <v>18</v>
      </c>
      <c r="R1340" s="324"/>
      <c r="S1340" s="324" t="s">
        <v>19</v>
      </c>
      <c r="T1340" s="528">
        <v>4</v>
      </c>
      <c r="V1340" s="676"/>
      <c r="W1340" s="528"/>
      <c r="X1340" s="529"/>
      <c r="Y1340" s="323"/>
      <c r="Z1340" s="312">
        <f t="shared" si="496"/>
        <v>0</v>
      </c>
      <c r="AA1340" s="316">
        <f>SUM(Z1340/474.3+0.25)</f>
        <v>0.25</v>
      </c>
    </row>
    <row r="1341" spans="1:28" ht="77.25" thickBot="1" x14ac:dyDescent="0.45">
      <c r="A1341" s="319" t="s">
        <v>772</v>
      </c>
      <c r="B1341" s="344" t="s">
        <v>1170</v>
      </c>
      <c r="C1341" s="586">
        <f t="shared" si="505"/>
        <v>0</v>
      </c>
      <c r="D1341" s="551">
        <f>C1341*16</f>
        <v>0</v>
      </c>
      <c r="E1341" s="456">
        <f t="shared" ref="E1341:E1349" si="506">D1341*0.25</f>
        <v>0</v>
      </c>
      <c r="F1341" s="358">
        <f t="shared" ref="F1341:F1349" si="507">E1341*0.99*1.03/147</f>
        <v>0</v>
      </c>
      <c r="G1341" s="548">
        <f t="shared" si="503"/>
        <v>0</v>
      </c>
      <c r="H1341" s="358" t="s">
        <v>18</v>
      </c>
      <c r="I1341" s="548">
        <f t="shared" si="504"/>
        <v>0</v>
      </c>
      <c r="J1341" s="358" t="s">
        <v>19</v>
      </c>
      <c r="K1341" s="358"/>
      <c r="L1341" s="358"/>
      <c r="M1341" s="358">
        <f t="shared" ref="M1341:M1351" si="508">(F1341*6989)/2880</f>
        <v>0</v>
      </c>
      <c r="N1341" s="324"/>
      <c r="O1341" s="324"/>
      <c r="P1341" s="324"/>
      <c r="Q1341" s="324" t="s">
        <v>18</v>
      </c>
      <c r="R1341" s="324"/>
      <c r="S1341" s="324" t="s">
        <v>19</v>
      </c>
      <c r="T1341" s="528">
        <v>3</v>
      </c>
      <c r="V1341" s="676"/>
      <c r="W1341" s="528"/>
      <c r="X1341" s="529"/>
      <c r="Y1341" s="323"/>
      <c r="Z1341" s="312">
        <f t="shared" si="496"/>
        <v>0</v>
      </c>
      <c r="AA1341" s="316">
        <f t="shared" ref="AA1341:AA1349" si="509">SUM(Z1341/398.4+0.25)</f>
        <v>0.25</v>
      </c>
    </row>
    <row r="1342" spans="1:28" ht="77.25" thickBot="1" x14ac:dyDescent="0.45">
      <c r="A1342" s="319" t="s">
        <v>772</v>
      </c>
      <c r="B1342" s="344" t="s">
        <v>1169</v>
      </c>
      <c r="C1342" s="586">
        <f t="shared" si="505"/>
        <v>0</v>
      </c>
      <c r="D1342" s="551">
        <f>C1342*16</f>
        <v>0</v>
      </c>
      <c r="E1342" s="456">
        <f t="shared" si="506"/>
        <v>0</v>
      </c>
      <c r="F1342" s="358">
        <f t="shared" si="507"/>
        <v>0</v>
      </c>
      <c r="G1342" s="548">
        <f t="shared" si="503"/>
        <v>0</v>
      </c>
      <c r="H1342" s="358" t="s">
        <v>18</v>
      </c>
      <c r="I1342" s="548">
        <f t="shared" si="504"/>
        <v>0</v>
      </c>
      <c r="J1342" s="358" t="s">
        <v>19</v>
      </c>
      <c r="K1342" s="358"/>
      <c r="L1342" s="358"/>
      <c r="M1342" s="358">
        <f t="shared" si="508"/>
        <v>0</v>
      </c>
      <c r="N1342" s="324"/>
      <c r="O1342" s="324"/>
      <c r="P1342" s="324"/>
      <c r="Q1342" s="324" t="s">
        <v>18</v>
      </c>
      <c r="R1342" s="324"/>
      <c r="S1342" s="324" t="s">
        <v>19</v>
      </c>
      <c r="T1342" s="528">
        <v>3</v>
      </c>
      <c r="V1342" s="676"/>
      <c r="W1342" s="528"/>
      <c r="X1342" s="529"/>
      <c r="Y1342" s="323"/>
      <c r="Z1342" s="312">
        <f t="shared" si="496"/>
        <v>0</v>
      </c>
      <c r="AA1342" s="316">
        <f t="shared" si="509"/>
        <v>0.25</v>
      </c>
    </row>
    <row r="1343" spans="1:28" ht="105.75" thickBot="1" x14ac:dyDescent="0.45">
      <c r="A1343" s="319" t="s">
        <v>772</v>
      </c>
      <c r="B1343" s="344" t="s">
        <v>701</v>
      </c>
      <c r="C1343" s="586">
        <f t="shared" si="505"/>
        <v>0</v>
      </c>
      <c r="D1343" s="551">
        <f>C1343*12</f>
        <v>0</v>
      </c>
      <c r="E1343" s="456">
        <f t="shared" si="506"/>
        <v>0</v>
      </c>
      <c r="F1343" s="358">
        <f t="shared" si="507"/>
        <v>0</v>
      </c>
      <c r="G1343" s="548">
        <f t="shared" ref="G1343:G1351" si="510">INT(M1343)</f>
        <v>0</v>
      </c>
      <c r="H1343" s="358" t="s">
        <v>18</v>
      </c>
      <c r="I1343" s="548">
        <f t="shared" ref="I1343:I1351" si="511">(M1343-G1343)*64</f>
        <v>0</v>
      </c>
      <c r="J1343" s="358" t="s">
        <v>19</v>
      </c>
      <c r="K1343" s="358"/>
      <c r="L1343" s="358"/>
      <c r="M1343" s="358">
        <f t="shared" si="508"/>
        <v>0</v>
      </c>
      <c r="N1343" s="324"/>
      <c r="O1343" s="324"/>
      <c r="P1343" s="324"/>
      <c r="Q1343" s="324" t="s">
        <v>18</v>
      </c>
      <c r="R1343" s="324"/>
      <c r="S1343" s="324" t="s">
        <v>19</v>
      </c>
      <c r="T1343" s="600" t="s">
        <v>924</v>
      </c>
      <c r="V1343" s="676"/>
      <c r="W1343" s="528"/>
      <c r="X1343" s="529"/>
      <c r="Y1343" s="360" t="s">
        <v>1062</v>
      </c>
      <c r="Z1343" s="312">
        <f t="shared" si="496"/>
        <v>0</v>
      </c>
      <c r="AA1343" s="316">
        <f t="shared" si="509"/>
        <v>0.25</v>
      </c>
    </row>
    <row r="1344" spans="1:28" ht="105.75" thickBot="1" x14ac:dyDescent="0.45">
      <c r="A1344" s="319" t="s">
        <v>772</v>
      </c>
      <c r="B1344" s="344" t="s">
        <v>702</v>
      </c>
      <c r="C1344" s="586">
        <f t="shared" si="505"/>
        <v>0</v>
      </c>
      <c r="D1344" s="551">
        <f>C1344*12</f>
        <v>0</v>
      </c>
      <c r="E1344" s="456">
        <f t="shared" si="506"/>
        <v>0</v>
      </c>
      <c r="F1344" s="358">
        <f t="shared" si="507"/>
        <v>0</v>
      </c>
      <c r="G1344" s="548">
        <f t="shared" si="510"/>
        <v>0</v>
      </c>
      <c r="H1344" s="358" t="s">
        <v>18</v>
      </c>
      <c r="I1344" s="548">
        <f t="shared" si="511"/>
        <v>0</v>
      </c>
      <c r="J1344" s="358" t="s">
        <v>19</v>
      </c>
      <c r="K1344" s="358"/>
      <c r="L1344" s="358"/>
      <c r="M1344" s="358">
        <f t="shared" si="508"/>
        <v>0</v>
      </c>
      <c r="N1344" s="324"/>
      <c r="O1344" s="324"/>
      <c r="P1344" s="324"/>
      <c r="Q1344" s="324" t="s">
        <v>18</v>
      </c>
      <c r="R1344" s="324"/>
      <c r="S1344" s="324" t="s">
        <v>19</v>
      </c>
      <c r="T1344" s="600" t="s">
        <v>924</v>
      </c>
      <c r="V1344" s="676"/>
      <c r="W1344" s="528"/>
      <c r="X1344" s="529"/>
      <c r="Y1344" s="360" t="s">
        <v>1062</v>
      </c>
      <c r="Z1344" s="312">
        <f t="shared" si="496"/>
        <v>0</v>
      </c>
      <c r="AA1344" s="316">
        <f t="shared" si="509"/>
        <v>0.25</v>
      </c>
    </row>
    <row r="1345" spans="1:27" ht="105.75" thickBot="1" x14ac:dyDescent="0.45">
      <c r="A1345" s="319" t="s">
        <v>772</v>
      </c>
      <c r="B1345" s="344" t="s">
        <v>1078</v>
      </c>
      <c r="C1345" s="586">
        <f t="shared" si="505"/>
        <v>0</v>
      </c>
      <c r="D1345" s="530">
        <f>C1345*16</f>
        <v>0</v>
      </c>
      <c r="E1345" s="460">
        <f>D1345*0.25</f>
        <v>0</v>
      </c>
      <c r="F1345" s="324">
        <f>E1345*0.99*1.03/147</f>
        <v>0</v>
      </c>
      <c r="G1345" s="528">
        <f t="shared" si="510"/>
        <v>0</v>
      </c>
      <c r="H1345" s="324" t="s">
        <v>18</v>
      </c>
      <c r="I1345" s="528">
        <f t="shared" si="511"/>
        <v>0</v>
      </c>
      <c r="J1345" s="324" t="s">
        <v>19</v>
      </c>
      <c r="K1345" s="324"/>
      <c r="L1345" s="324"/>
      <c r="M1345" s="324">
        <f>(F1345*6989)/2880</f>
        <v>0</v>
      </c>
      <c r="N1345" s="324"/>
      <c r="O1345" s="324"/>
      <c r="P1345" s="324"/>
      <c r="Q1345" s="324" t="s">
        <v>18</v>
      </c>
      <c r="R1345" s="324"/>
      <c r="S1345" s="324" t="s">
        <v>19</v>
      </c>
      <c r="T1345" s="600" t="s">
        <v>924</v>
      </c>
      <c r="V1345" s="676"/>
      <c r="W1345" s="528"/>
      <c r="X1345" s="529"/>
      <c r="Y1345" s="360" t="s">
        <v>1062</v>
      </c>
      <c r="Z1345" s="312">
        <f>E1345</f>
        <v>0</v>
      </c>
      <c r="AA1345" s="316">
        <f t="shared" si="509"/>
        <v>0.25</v>
      </c>
    </row>
    <row r="1346" spans="1:27" ht="105.75" thickBot="1" x14ac:dyDescent="0.45">
      <c r="A1346" s="319" t="s">
        <v>772</v>
      </c>
      <c r="B1346" s="344" t="s">
        <v>1077</v>
      </c>
      <c r="C1346" s="586">
        <f t="shared" si="505"/>
        <v>0</v>
      </c>
      <c r="D1346" s="530">
        <f>C1346*16</f>
        <v>0</v>
      </c>
      <c r="E1346" s="460">
        <f>D1346*0.25</f>
        <v>0</v>
      </c>
      <c r="F1346" s="324">
        <f>E1346*0.99*1.03/147</f>
        <v>0</v>
      </c>
      <c r="G1346" s="528">
        <f t="shared" si="510"/>
        <v>0</v>
      </c>
      <c r="H1346" s="324" t="s">
        <v>18</v>
      </c>
      <c r="I1346" s="528">
        <f t="shared" si="511"/>
        <v>0</v>
      </c>
      <c r="J1346" s="324" t="s">
        <v>19</v>
      </c>
      <c r="K1346" s="324"/>
      <c r="L1346" s="324"/>
      <c r="M1346" s="324">
        <f>(F1346*6989)/2880</f>
        <v>0</v>
      </c>
      <c r="N1346" s="324"/>
      <c r="O1346" s="324"/>
      <c r="P1346" s="324"/>
      <c r="Q1346" s="324" t="s">
        <v>18</v>
      </c>
      <c r="R1346" s="324"/>
      <c r="S1346" s="324" t="s">
        <v>19</v>
      </c>
      <c r="T1346" s="600" t="s">
        <v>924</v>
      </c>
      <c r="V1346" s="676"/>
      <c r="W1346" s="528"/>
      <c r="X1346" s="529"/>
      <c r="Y1346" s="360" t="s">
        <v>1062</v>
      </c>
      <c r="Z1346" s="312">
        <f>E1346</f>
        <v>0</v>
      </c>
      <c r="AA1346" s="316">
        <f t="shared" si="509"/>
        <v>0.25</v>
      </c>
    </row>
    <row r="1347" spans="1:27" ht="51.75" thickBot="1" x14ac:dyDescent="0.45">
      <c r="A1347" s="319" t="s">
        <v>772</v>
      </c>
      <c r="B1347" s="371" t="s">
        <v>823</v>
      </c>
      <c r="C1347" s="586">
        <f t="shared" si="505"/>
        <v>0</v>
      </c>
      <c r="D1347" s="551">
        <f>C1347*12</f>
        <v>0</v>
      </c>
      <c r="E1347" s="456">
        <f t="shared" si="506"/>
        <v>0</v>
      </c>
      <c r="F1347" s="358">
        <f t="shared" si="507"/>
        <v>0</v>
      </c>
      <c r="G1347" s="548">
        <f t="shared" si="510"/>
        <v>0</v>
      </c>
      <c r="H1347" s="358" t="s">
        <v>18</v>
      </c>
      <c r="I1347" s="548">
        <f t="shared" si="511"/>
        <v>0</v>
      </c>
      <c r="J1347" s="358" t="s">
        <v>19</v>
      </c>
      <c r="K1347" s="358"/>
      <c r="L1347" s="358"/>
      <c r="M1347" s="358">
        <f t="shared" si="508"/>
        <v>0</v>
      </c>
      <c r="N1347" s="324"/>
      <c r="O1347" s="324"/>
      <c r="P1347" s="324"/>
      <c r="Q1347" s="324" t="s">
        <v>18</v>
      </c>
      <c r="R1347" s="324"/>
      <c r="S1347" s="324" t="s">
        <v>19</v>
      </c>
      <c r="T1347" s="528">
        <v>4</v>
      </c>
      <c r="V1347" s="676"/>
      <c r="W1347" s="528"/>
      <c r="X1347" s="529"/>
      <c r="Y1347" s="323"/>
      <c r="Z1347" s="312">
        <f t="shared" si="496"/>
        <v>0</v>
      </c>
      <c r="AA1347" s="316">
        <f t="shared" si="509"/>
        <v>0.25</v>
      </c>
    </row>
    <row r="1348" spans="1:27" ht="51.75" thickBot="1" x14ac:dyDescent="0.45">
      <c r="A1348" s="319" t="s">
        <v>772</v>
      </c>
      <c r="B1348" s="371" t="s">
        <v>824</v>
      </c>
      <c r="C1348" s="586">
        <f t="shared" si="505"/>
        <v>0</v>
      </c>
      <c r="D1348" s="551">
        <f>C1348*12</f>
        <v>0</v>
      </c>
      <c r="E1348" s="456">
        <f t="shared" si="506"/>
        <v>0</v>
      </c>
      <c r="F1348" s="358">
        <f t="shared" si="507"/>
        <v>0</v>
      </c>
      <c r="G1348" s="548">
        <f t="shared" si="510"/>
        <v>0</v>
      </c>
      <c r="H1348" s="358" t="s">
        <v>18</v>
      </c>
      <c r="I1348" s="548">
        <f t="shared" si="511"/>
        <v>0</v>
      </c>
      <c r="J1348" s="358" t="s">
        <v>19</v>
      </c>
      <c r="K1348" s="358"/>
      <c r="L1348" s="358"/>
      <c r="M1348" s="358">
        <f t="shared" si="508"/>
        <v>0</v>
      </c>
      <c r="N1348" s="324"/>
      <c r="O1348" s="324"/>
      <c r="P1348" s="324"/>
      <c r="Q1348" s="324" t="s">
        <v>18</v>
      </c>
      <c r="R1348" s="324"/>
      <c r="S1348" s="324" t="s">
        <v>19</v>
      </c>
      <c r="T1348" s="528">
        <v>4</v>
      </c>
      <c r="V1348" s="676"/>
      <c r="W1348" s="528"/>
      <c r="X1348" s="529"/>
      <c r="Y1348" s="323"/>
      <c r="Z1348" s="312">
        <f t="shared" si="496"/>
        <v>0</v>
      </c>
      <c r="AA1348" s="316">
        <f t="shared" si="509"/>
        <v>0.25</v>
      </c>
    </row>
    <row r="1349" spans="1:27" ht="105.75" thickBot="1" x14ac:dyDescent="0.45">
      <c r="A1349" s="319" t="s">
        <v>772</v>
      </c>
      <c r="B1349" s="344" t="s">
        <v>703</v>
      </c>
      <c r="C1349" s="586">
        <f t="shared" ref="C1349:C1363" si="512">C1261</f>
        <v>0</v>
      </c>
      <c r="D1349" s="551">
        <f>C1349*12</f>
        <v>0</v>
      </c>
      <c r="E1349" s="456">
        <f t="shared" si="506"/>
        <v>0</v>
      </c>
      <c r="F1349" s="358">
        <f t="shared" si="507"/>
        <v>0</v>
      </c>
      <c r="G1349" s="548">
        <f t="shared" si="510"/>
        <v>0</v>
      </c>
      <c r="H1349" s="358" t="s">
        <v>18</v>
      </c>
      <c r="I1349" s="548">
        <f t="shared" si="511"/>
        <v>0</v>
      </c>
      <c r="J1349" s="358" t="s">
        <v>19</v>
      </c>
      <c r="K1349" s="358"/>
      <c r="L1349" s="358"/>
      <c r="M1349" s="358">
        <f t="shared" si="508"/>
        <v>0</v>
      </c>
      <c r="N1349" s="324"/>
      <c r="O1349" s="324"/>
      <c r="P1349" s="324"/>
      <c r="Q1349" s="324" t="s">
        <v>18</v>
      </c>
      <c r="R1349" s="324"/>
      <c r="S1349" s="324" t="s">
        <v>19</v>
      </c>
      <c r="T1349" s="600" t="s">
        <v>924</v>
      </c>
      <c r="V1349" s="676"/>
      <c r="W1349" s="528"/>
      <c r="X1349" s="529"/>
      <c r="Y1349" s="360" t="s">
        <v>1062</v>
      </c>
      <c r="Z1349" s="312">
        <f t="shared" si="496"/>
        <v>0</v>
      </c>
      <c r="AA1349" s="316">
        <f t="shared" si="509"/>
        <v>0.25</v>
      </c>
    </row>
    <row r="1350" spans="1:27" ht="79.5" thickBot="1" x14ac:dyDescent="0.45">
      <c r="A1350" s="319" t="s">
        <v>772</v>
      </c>
      <c r="B1350" s="344" t="s">
        <v>798</v>
      </c>
      <c r="C1350" s="586">
        <f t="shared" si="512"/>
        <v>0</v>
      </c>
      <c r="D1350" s="548">
        <f>C1350*28</f>
        <v>0</v>
      </c>
      <c r="E1350" s="456">
        <f>D1350*0.125</f>
        <v>0</v>
      </c>
      <c r="F1350" s="358">
        <f t="shared" ref="F1350:F1356" si="513">E1350*0.99*1.03/147</f>
        <v>0</v>
      </c>
      <c r="G1350" s="548">
        <f t="shared" si="510"/>
        <v>0</v>
      </c>
      <c r="H1350" s="358" t="s">
        <v>18</v>
      </c>
      <c r="I1350" s="548">
        <f t="shared" si="511"/>
        <v>0</v>
      </c>
      <c r="J1350" s="358" t="s">
        <v>19</v>
      </c>
      <c r="K1350" s="358"/>
      <c r="L1350" s="358"/>
      <c r="M1350" s="358">
        <f t="shared" si="508"/>
        <v>0</v>
      </c>
      <c r="N1350" s="324"/>
      <c r="O1350" s="324"/>
      <c r="P1350" s="324"/>
      <c r="Q1350" s="324" t="s">
        <v>18</v>
      </c>
      <c r="R1350" s="324"/>
      <c r="S1350" s="324" t="s">
        <v>19</v>
      </c>
      <c r="T1350" s="561" t="s">
        <v>923</v>
      </c>
      <c r="U1350" s="324">
        <f>E1350/403*60</f>
        <v>0</v>
      </c>
      <c r="V1350" s="676"/>
      <c r="W1350" s="528"/>
      <c r="X1350" s="529"/>
      <c r="Y1350" s="360" t="s">
        <v>1061</v>
      </c>
      <c r="Z1350" s="312">
        <f t="shared" si="496"/>
        <v>0</v>
      </c>
      <c r="AA1350" s="316">
        <f>SUM(Z1350/360+0.25)</f>
        <v>0.25</v>
      </c>
    </row>
    <row r="1351" spans="1:27" ht="79.5" thickBot="1" x14ac:dyDescent="0.45">
      <c r="A1351" s="319" t="s">
        <v>772</v>
      </c>
      <c r="B1351" s="344" t="s">
        <v>791</v>
      </c>
      <c r="C1351" s="586">
        <f t="shared" si="512"/>
        <v>0</v>
      </c>
      <c r="D1351" s="551">
        <f>C1351*28</f>
        <v>0</v>
      </c>
      <c r="E1351" s="456">
        <f>D1351*0.125</f>
        <v>0</v>
      </c>
      <c r="F1351" s="358">
        <f t="shared" si="513"/>
        <v>0</v>
      </c>
      <c r="G1351" s="548">
        <f t="shared" si="510"/>
        <v>0</v>
      </c>
      <c r="H1351" s="358" t="s">
        <v>18</v>
      </c>
      <c r="I1351" s="548">
        <f t="shared" si="511"/>
        <v>0</v>
      </c>
      <c r="J1351" s="358" t="s">
        <v>19</v>
      </c>
      <c r="K1351" s="358"/>
      <c r="L1351" s="358"/>
      <c r="M1351" s="358">
        <f t="shared" si="508"/>
        <v>0</v>
      </c>
      <c r="N1351" s="324"/>
      <c r="O1351" s="324"/>
      <c r="P1351" s="324"/>
      <c r="Q1351" s="324" t="s">
        <v>18</v>
      </c>
      <c r="R1351" s="324"/>
      <c r="S1351" s="324" t="s">
        <v>19</v>
      </c>
      <c r="T1351" s="528" t="s">
        <v>923</v>
      </c>
      <c r="U1351" s="324">
        <f>E1351/403*60</f>
        <v>0</v>
      </c>
      <c r="V1351" s="676"/>
      <c r="W1351" s="528"/>
      <c r="X1351" s="529"/>
      <c r="Y1351" s="360" t="s">
        <v>1061</v>
      </c>
      <c r="Z1351" s="312">
        <f t="shared" si="496"/>
        <v>0</v>
      </c>
      <c r="AA1351" s="316">
        <f>SUM(Z1351/360+0.25)</f>
        <v>0.25</v>
      </c>
    </row>
    <row r="1352" spans="1:27" ht="103.5" thickBot="1" x14ac:dyDescent="0.45">
      <c r="A1352" s="319" t="s">
        <v>772</v>
      </c>
      <c r="B1352" s="320" t="s">
        <v>781</v>
      </c>
      <c r="C1352" s="528">
        <f t="shared" si="512"/>
        <v>0</v>
      </c>
      <c r="D1352" s="548">
        <f>C1352*10</f>
        <v>0</v>
      </c>
      <c r="E1352" s="456">
        <f>D1352*0.18</f>
        <v>0</v>
      </c>
      <c r="F1352" s="358">
        <f t="shared" si="513"/>
        <v>0</v>
      </c>
      <c r="G1352" s="548">
        <f t="shared" ref="G1352:G1357" si="514">INT(M1352)</f>
        <v>0</v>
      </c>
      <c r="H1352" s="358" t="s">
        <v>18</v>
      </c>
      <c r="I1352" s="548">
        <f t="shared" ref="I1352:I1357" si="515">(M1352-G1352)*64</f>
        <v>0</v>
      </c>
      <c r="J1352" s="358" t="s">
        <v>19</v>
      </c>
      <c r="K1352" s="358"/>
      <c r="L1352" s="358"/>
      <c r="M1352" s="358">
        <f>(F1352*6400)/2880</f>
        <v>0</v>
      </c>
      <c r="N1352" s="324"/>
      <c r="O1352" s="324"/>
      <c r="P1352" s="324"/>
      <c r="Q1352" s="324" t="s">
        <v>18</v>
      </c>
      <c r="R1352" s="324"/>
      <c r="S1352" s="324" t="s">
        <v>19</v>
      </c>
      <c r="T1352" s="528">
        <v>5</v>
      </c>
      <c r="U1352" s="324">
        <f>E1352/237*60</f>
        <v>0</v>
      </c>
      <c r="V1352" s="676"/>
      <c r="W1352" s="528"/>
      <c r="X1352" s="529"/>
      <c r="Y1352" s="300" t="s">
        <v>888</v>
      </c>
      <c r="Z1352" s="312">
        <f t="shared" si="496"/>
        <v>0</v>
      </c>
      <c r="AA1352" s="316">
        <f>SUM(Z1352/436.4+0.25)</f>
        <v>0.25</v>
      </c>
    </row>
    <row r="1353" spans="1:27" ht="77.25" thickBot="1" x14ac:dyDescent="0.45">
      <c r="A1353" s="319" t="s">
        <v>772</v>
      </c>
      <c r="B1353" s="320" t="s">
        <v>1028</v>
      </c>
      <c r="C1353" s="528">
        <f t="shared" si="512"/>
        <v>0</v>
      </c>
      <c r="D1353" s="567">
        <f>C1353*12</f>
        <v>0</v>
      </c>
      <c r="E1353" s="324">
        <f>D1353*0.18</f>
        <v>0</v>
      </c>
      <c r="F1353" s="324">
        <f>E1353*0.99*1.03/147</f>
        <v>0</v>
      </c>
      <c r="G1353" s="324">
        <f t="shared" si="514"/>
        <v>0</v>
      </c>
      <c r="H1353" s="324" t="s">
        <v>18</v>
      </c>
      <c r="I1353" s="528">
        <f t="shared" si="515"/>
        <v>0</v>
      </c>
      <c r="J1353" s="324" t="s">
        <v>19</v>
      </c>
      <c r="K1353" s="324"/>
      <c r="L1353" s="324"/>
      <c r="M1353" s="324">
        <f>C1353*12*6/45/64*1.03</f>
        <v>0</v>
      </c>
      <c r="N1353" s="324"/>
      <c r="O1353" s="324"/>
      <c r="P1353" s="324"/>
      <c r="Q1353" s="324" t="s">
        <v>18</v>
      </c>
      <c r="R1353" s="324"/>
      <c r="S1353" s="324" t="s">
        <v>19</v>
      </c>
      <c r="T1353" s="528">
        <v>3</v>
      </c>
      <c r="U1353" s="324">
        <f>E1353/237*60</f>
        <v>0</v>
      </c>
      <c r="V1353" s="676"/>
      <c r="W1353" s="528"/>
      <c r="X1353" s="529"/>
      <c r="Y1353" s="323"/>
      <c r="Z1353" s="312">
        <f>E1353</f>
        <v>0</v>
      </c>
      <c r="AA1353" s="316">
        <f>SUM(Z1353/514.1+0.25)</f>
        <v>0.25</v>
      </c>
    </row>
    <row r="1354" spans="1:27" ht="51.75" thickBot="1" x14ac:dyDescent="0.45">
      <c r="A1354" s="319" t="s">
        <v>772</v>
      </c>
      <c r="B1354" s="320" t="s">
        <v>996</v>
      </c>
      <c r="C1354" s="528">
        <f t="shared" si="512"/>
        <v>0</v>
      </c>
      <c r="D1354" s="567">
        <f>C1354*12</f>
        <v>0</v>
      </c>
      <c r="E1354" s="324">
        <f>D1354*0.18</f>
        <v>0</v>
      </c>
      <c r="F1354" s="324">
        <f t="shared" si="513"/>
        <v>0</v>
      </c>
      <c r="G1354" s="324">
        <f t="shared" si="514"/>
        <v>0</v>
      </c>
      <c r="H1354" s="324" t="s">
        <v>18</v>
      </c>
      <c r="I1354" s="528">
        <f t="shared" si="515"/>
        <v>0</v>
      </c>
      <c r="J1354" s="324" t="s">
        <v>19</v>
      </c>
      <c r="K1354" s="324"/>
      <c r="L1354" s="324"/>
      <c r="M1354" s="324">
        <f>C1354*12*6/45/64*1.03</f>
        <v>0</v>
      </c>
      <c r="N1354" s="324"/>
      <c r="O1354" s="324"/>
      <c r="P1354" s="324"/>
      <c r="Q1354" s="324" t="s">
        <v>18</v>
      </c>
      <c r="R1354" s="324"/>
      <c r="S1354" s="324" t="s">
        <v>19</v>
      </c>
      <c r="T1354" s="528">
        <v>3</v>
      </c>
      <c r="U1354" s="324">
        <f>E1354/237*60</f>
        <v>0</v>
      </c>
      <c r="V1354" s="676"/>
      <c r="W1354" s="528"/>
      <c r="X1354" s="529"/>
      <c r="Y1354" s="323"/>
      <c r="Z1354" s="312">
        <f t="shared" si="496"/>
        <v>0</v>
      </c>
      <c r="AA1354" s="316">
        <f>SUM(Z1354/514.1+0.25)</f>
        <v>0.25</v>
      </c>
    </row>
    <row r="1355" spans="1:27" ht="51.75" thickBot="1" x14ac:dyDescent="0.45">
      <c r="A1355" s="319" t="s">
        <v>772</v>
      </c>
      <c r="B1355" s="320" t="s">
        <v>997</v>
      </c>
      <c r="C1355" s="528">
        <f t="shared" si="512"/>
        <v>0</v>
      </c>
      <c r="D1355" s="567">
        <f>C1355*12</f>
        <v>0</v>
      </c>
      <c r="E1355" s="324">
        <f>D1355*0.18</f>
        <v>0</v>
      </c>
      <c r="F1355" s="324">
        <f t="shared" si="513"/>
        <v>0</v>
      </c>
      <c r="G1355" s="324">
        <f t="shared" si="514"/>
        <v>0</v>
      </c>
      <c r="H1355" s="324" t="s">
        <v>18</v>
      </c>
      <c r="I1355" s="528">
        <f t="shared" si="515"/>
        <v>0</v>
      </c>
      <c r="J1355" s="324" t="s">
        <v>19</v>
      </c>
      <c r="K1355" s="324"/>
      <c r="L1355" s="324"/>
      <c r="M1355" s="324">
        <f>C1355*12*6/45/64*1.03</f>
        <v>0</v>
      </c>
      <c r="N1355" s="324"/>
      <c r="O1355" s="324"/>
      <c r="P1355" s="324"/>
      <c r="Q1355" s="324" t="s">
        <v>18</v>
      </c>
      <c r="R1355" s="324"/>
      <c r="S1355" s="324" t="s">
        <v>19</v>
      </c>
      <c r="T1355" s="528">
        <v>3</v>
      </c>
      <c r="U1355" s="324">
        <f>E1355/237*60</f>
        <v>0</v>
      </c>
      <c r="V1355" s="676"/>
      <c r="W1355" s="528"/>
      <c r="X1355" s="529"/>
      <c r="Y1355" s="323"/>
      <c r="Z1355" s="312">
        <f t="shared" si="496"/>
        <v>0</v>
      </c>
      <c r="AA1355" s="316">
        <f>SUM(Z1355/514.1+0.25)</f>
        <v>0.25</v>
      </c>
    </row>
    <row r="1356" spans="1:27" ht="51.75" thickBot="1" x14ac:dyDescent="0.45">
      <c r="A1356" s="319" t="s">
        <v>772</v>
      </c>
      <c r="B1356" s="320" t="s">
        <v>998</v>
      </c>
      <c r="C1356" s="528">
        <f t="shared" si="512"/>
        <v>0</v>
      </c>
      <c r="D1356" s="567">
        <f>C1356*26</f>
        <v>0</v>
      </c>
      <c r="E1356" s="324">
        <f>D1356*0.18</f>
        <v>0</v>
      </c>
      <c r="F1356" s="324">
        <f t="shared" si="513"/>
        <v>0</v>
      </c>
      <c r="G1356" s="324">
        <f t="shared" si="514"/>
        <v>0</v>
      </c>
      <c r="H1356" s="324" t="s">
        <v>18</v>
      </c>
      <c r="I1356" s="528">
        <f t="shared" si="515"/>
        <v>0</v>
      </c>
      <c r="J1356" s="324" t="s">
        <v>19</v>
      </c>
      <c r="K1356" s="324"/>
      <c r="L1356" s="324"/>
      <c r="M1356" s="324">
        <f>C1356*26*6/45/64*1.03</f>
        <v>0</v>
      </c>
      <c r="N1356" s="324"/>
      <c r="O1356" s="324"/>
      <c r="P1356" s="324"/>
      <c r="Q1356" s="324" t="s">
        <v>18</v>
      </c>
      <c r="R1356" s="324"/>
      <c r="S1356" s="324" t="s">
        <v>19</v>
      </c>
      <c r="T1356" s="528">
        <v>4</v>
      </c>
      <c r="U1356" s="324">
        <f>E1356/237*60</f>
        <v>0</v>
      </c>
      <c r="V1356" s="676"/>
      <c r="W1356" s="528"/>
      <c r="X1356" s="529"/>
      <c r="Y1356" s="323"/>
      <c r="Z1356" s="312">
        <f t="shared" si="496"/>
        <v>0</v>
      </c>
      <c r="AA1356" s="316">
        <f>SUM(Z1356/514.1+0.25)</f>
        <v>0.25</v>
      </c>
    </row>
    <row r="1357" spans="1:27" s="728" customFormat="1" ht="51.75" outlineLevel="1" thickBot="1" x14ac:dyDescent="0.45">
      <c r="A1357" s="636" t="s">
        <v>772</v>
      </c>
      <c r="B1357" s="634" t="s">
        <v>1041</v>
      </c>
      <c r="C1357" s="720">
        <f t="shared" si="512"/>
        <v>0</v>
      </c>
      <c r="D1357" s="720">
        <f>C1357*12</f>
        <v>0</v>
      </c>
      <c r="E1357" s="721">
        <f t="shared" ref="E1357:E1363" si="516">D1357*0.25</f>
        <v>0</v>
      </c>
      <c r="F1357" s="722">
        <f t="shared" ref="F1357:F1363" si="517">E1357*0.9*1.01/147</f>
        <v>0</v>
      </c>
      <c r="G1357" s="720">
        <f t="shared" si="514"/>
        <v>0</v>
      </c>
      <c r="H1357" s="722" t="s">
        <v>18</v>
      </c>
      <c r="I1357" s="720">
        <f t="shared" si="515"/>
        <v>0</v>
      </c>
      <c r="J1357" s="722" t="s">
        <v>19</v>
      </c>
      <c r="K1357" s="722"/>
      <c r="L1357" s="722"/>
      <c r="M1357" s="722">
        <f>(F1357*6533/3456)</f>
        <v>0</v>
      </c>
      <c r="N1357" s="722"/>
      <c r="O1357" s="722"/>
      <c r="P1357" s="722"/>
      <c r="Q1357" s="722" t="s">
        <v>18</v>
      </c>
      <c r="R1357" s="722"/>
      <c r="S1357" s="722" t="s">
        <v>19</v>
      </c>
      <c r="T1357" s="720">
        <v>7</v>
      </c>
      <c r="U1357" s="324">
        <f t="shared" ref="U1357:U1363" si="518">E1357/390*60</f>
        <v>0</v>
      </c>
      <c r="V1357" s="724"/>
      <c r="W1357" s="720"/>
      <c r="X1357" s="725"/>
      <c r="Y1357" s="749"/>
      <c r="Z1357" s="727">
        <f t="shared" si="496"/>
        <v>0</v>
      </c>
      <c r="AA1357" s="815">
        <f>SUM(Z1357/413.1+0.25)</f>
        <v>0.25</v>
      </c>
    </row>
    <row r="1358" spans="1:27" ht="105.75" thickBot="1" x14ac:dyDescent="0.45">
      <c r="A1358" s="319" t="s">
        <v>772</v>
      </c>
      <c r="B1358" s="320" t="s">
        <v>828</v>
      </c>
      <c r="C1358" s="528">
        <f t="shared" si="512"/>
        <v>0</v>
      </c>
      <c r="D1358" s="557">
        <f>C1358*12</f>
        <v>0</v>
      </c>
      <c r="E1358" s="457">
        <f t="shared" si="516"/>
        <v>0</v>
      </c>
      <c r="F1358" s="359">
        <f t="shared" si="517"/>
        <v>0</v>
      </c>
      <c r="G1358" s="558">
        <f t="shared" ref="G1358:G1363" si="519">INT(M1358)</f>
        <v>0</v>
      </c>
      <c r="H1358" s="366" t="s">
        <v>18</v>
      </c>
      <c r="I1358" s="556">
        <f t="shared" ref="I1358:I1363" si="520">(M1358-G1358)*64</f>
        <v>0</v>
      </c>
      <c r="J1358" s="366" t="s">
        <v>19</v>
      </c>
      <c r="K1358" s="366"/>
      <c r="L1358" s="366"/>
      <c r="M1358" s="366">
        <f t="shared" ref="M1358:M1363" si="521">(F1358*7777/3456)</f>
        <v>0</v>
      </c>
      <c r="N1358" s="366"/>
      <c r="O1358" s="366"/>
      <c r="P1358" s="366"/>
      <c r="Q1358" s="358" t="s">
        <v>18</v>
      </c>
      <c r="R1358" s="358"/>
      <c r="S1358" s="358" t="s">
        <v>19</v>
      </c>
      <c r="T1358" s="528">
        <v>4</v>
      </c>
      <c r="U1358" s="324">
        <f t="shared" si="518"/>
        <v>0</v>
      </c>
      <c r="V1358" s="676"/>
      <c r="W1358" s="528"/>
      <c r="X1358" s="529"/>
      <c r="Y1358" s="660" t="s">
        <v>1062</v>
      </c>
      <c r="Z1358" s="312">
        <f t="shared" si="496"/>
        <v>0</v>
      </c>
      <c r="AA1358" s="316">
        <f t="shared" ref="AA1358:AA1363" si="522">SUM(Z1358/347+0.25)</f>
        <v>0.25</v>
      </c>
    </row>
    <row r="1359" spans="1:27" ht="105.75" thickBot="1" x14ac:dyDescent="0.45">
      <c r="A1359" s="319" t="s">
        <v>772</v>
      </c>
      <c r="B1359" s="320" t="s">
        <v>1017</v>
      </c>
      <c r="C1359" s="528">
        <f t="shared" si="512"/>
        <v>0</v>
      </c>
      <c r="D1359" s="557">
        <f>C1359*12</f>
        <v>0</v>
      </c>
      <c r="E1359" s="457">
        <f t="shared" si="516"/>
        <v>0</v>
      </c>
      <c r="F1359" s="359">
        <f t="shared" si="517"/>
        <v>0</v>
      </c>
      <c r="G1359" s="558">
        <f t="shared" si="519"/>
        <v>0</v>
      </c>
      <c r="H1359" s="366" t="s">
        <v>18</v>
      </c>
      <c r="I1359" s="556">
        <f t="shared" si="520"/>
        <v>0</v>
      </c>
      <c r="J1359" s="366" t="s">
        <v>19</v>
      </c>
      <c r="K1359" s="366"/>
      <c r="L1359" s="366"/>
      <c r="M1359" s="366">
        <f t="shared" si="521"/>
        <v>0</v>
      </c>
      <c r="N1359" s="366"/>
      <c r="O1359" s="366"/>
      <c r="P1359" s="366"/>
      <c r="Q1359" s="358" t="s">
        <v>18</v>
      </c>
      <c r="R1359" s="358"/>
      <c r="S1359" s="358" t="s">
        <v>19</v>
      </c>
      <c r="T1359" s="528">
        <v>5</v>
      </c>
      <c r="U1359" s="324">
        <f t="shared" si="518"/>
        <v>0</v>
      </c>
      <c r="V1359" s="676"/>
      <c r="W1359" s="528"/>
      <c r="X1359" s="529"/>
      <c r="Y1359" s="666" t="s">
        <v>1062</v>
      </c>
      <c r="Z1359" s="312">
        <f t="shared" si="496"/>
        <v>0</v>
      </c>
      <c r="AA1359" s="316">
        <f t="shared" si="522"/>
        <v>0.25</v>
      </c>
    </row>
    <row r="1360" spans="1:27" ht="105.75" thickBot="1" x14ac:dyDescent="0.45">
      <c r="A1360" s="319" t="s">
        <v>772</v>
      </c>
      <c r="B1360" s="320" t="s">
        <v>1073</v>
      </c>
      <c r="C1360" s="528">
        <f t="shared" si="512"/>
        <v>0</v>
      </c>
      <c r="D1360" s="709">
        <f>C1360*16</f>
        <v>0</v>
      </c>
      <c r="E1360" s="496">
        <f t="shared" si="516"/>
        <v>0</v>
      </c>
      <c r="F1360" s="354">
        <f t="shared" si="517"/>
        <v>0</v>
      </c>
      <c r="G1360" s="710">
        <f t="shared" si="519"/>
        <v>0</v>
      </c>
      <c r="H1360" s="555" t="s">
        <v>18</v>
      </c>
      <c r="I1360" s="553">
        <f t="shared" si="520"/>
        <v>0</v>
      </c>
      <c r="J1360" s="555" t="s">
        <v>19</v>
      </c>
      <c r="K1360" s="555"/>
      <c r="L1360" s="555"/>
      <c r="M1360" s="555">
        <f t="shared" si="521"/>
        <v>0</v>
      </c>
      <c r="N1360" s="555"/>
      <c r="O1360" s="555"/>
      <c r="P1360" s="555"/>
      <c r="Q1360" s="324" t="s">
        <v>18</v>
      </c>
      <c r="R1360" s="324"/>
      <c r="S1360" s="324" t="s">
        <v>19</v>
      </c>
      <c r="T1360" s="528">
        <v>5</v>
      </c>
      <c r="U1360" s="324">
        <f t="shared" si="518"/>
        <v>0</v>
      </c>
      <c r="V1360" s="676"/>
      <c r="W1360" s="528"/>
      <c r="X1360" s="529"/>
      <c r="Y1360" s="668" t="s">
        <v>1062</v>
      </c>
      <c r="Z1360" s="312">
        <f>E1360</f>
        <v>0</v>
      </c>
      <c r="AA1360" s="316">
        <f t="shared" si="522"/>
        <v>0.25</v>
      </c>
    </row>
    <row r="1361" spans="1:27" ht="105.75" thickBot="1" x14ac:dyDescent="0.45">
      <c r="A1361" s="319" t="s">
        <v>772</v>
      </c>
      <c r="B1361" s="320" t="s">
        <v>1074</v>
      </c>
      <c r="C1361" s="528">
        <f t="shared" si="512"/>
        <v>0</v>
      </c>
      <c r="D1361" s="709">
        <f>C1361*16</f>
        <v>0</v>
      </c>
      <c r="E1361" s="496">
        <f t="shared" si="516"/>
        <v>0</v>
      </c>
      <c r="F1361" s="354">
        <f t="shared" si="517"/>
        <v>0</v>
      </c>
      <c r="G1361" s="710">
        <f t="shared" si="519"/>
        <v>0</v>
      </c>
      <c r="H1361" s="555" t="s">
        <v>18</v>
      </c>
      <c r="I1361" s="553">
        <f t="shared" si="520"/>
        <v>0</v>
      </c>
      <c r="J1361" s="555" t="s">
        <v>19</v>
      </c>
      <c r="K1361" s="555"/>
      <c r="L1361" s="555"/>
      <c r="M1361" s="555">
        <f t="shared" si="521"/>
        <v>0</v>
      </c>
      <c r="N1361" s="555"/>
      <c r="O1361" s="555"/>
      <c r="P1361" s="555"/>
      <c r="Q1361" s="324" t="s">
        <v>18</v>
      </c>
      <c r="R1361" s="324"/>
      <c r="S1361" s="324" t="s">
        <v>19</v>
      </c>
      <c r="T1361" s="528">
        <v>5</v>
      </c>
      <c r="U1361" s="324">
        <f t="shared" si="518"/>
        <v>0</v>
      </c>
      <c r="V1361" s="676"/>
      <c r="W1361" s="528"/>
      <c r="X1361" s="529"/>
      <c r="Y1361" s="660" t="s">
        <v>1062</v>
      </c>
      <c r="Z1361" s="312">
        <f>E1361</f>
        <v>0</v>
      </c>
      <c r="AA1361" s="316">
        <f t="shared" si="522"/>
        <v>0.25</v>
      </c>
    </row>
    <row r="1362" spans="1:27" ht="77.25" thickBot="1" x14ac:dyDescent="0.45">
      <c r="A1362" s="319" t="s">
        <v>772</v>
      </c>
      <c r="B1362" s="320" t="s">
        <v>1184</v>
      </c>
      <c r="C1362" s="528">
        <f t="shared" si="512"/>
        <v>0</v>
      </c>
      <c r="D1362" s="551">
        <f>C1362*16</f>
        <v>0</v>
      </c>
      <c r="E1362" s="456">
        <f t="shared" si="516"/>
        <v>0</v>
      </c>
      <c r="F1362" s="358">
        <f t="shared" si="517"/>
        <v>0</v>
      </c>
      <c r="G1362" s="556">
        <f t="shared" si="519"/>
        <v>0</v>
      </c>
      <c r="H1362" s="366" t="s">
        <v>18</v>
      </c>
      <c r="I1362" s="556">
        <f t="shared" si="520"/>
        <v>0</v>
      </c>
      <c r="J1362" s="366" t="s">
        <v>19</v>
      </c>
      <c r="K1362" s="366"/>
      <c r="L1362" s="366"/>
      <c r="M1362" s="366">
        <f t="shared" si="521"/>
        <v>0</v>
      </c>
      <c r="N1362" s="366"/>
      <c r="O1362" s="366"/>
      <c r="P1362" s="366"/>
      <c r="Q1362" s="358" t="s">
        <v>18</v>
      </c>
      <c r="R1362" s="358"/>
      <c r="S1362" s="358" t="s">
        <v>19</v>
      </c>
      <c r="T1362" s="528">
        <v>4</v>
      </c>
      <c r="U1362" s="324">
        <f t="shared" si="518"/>
        <v>0</v>
      </c>
      <c r="V1362" s="676"/>
      <c r="W1362" s="528"/>
      <c r="X1362" s="529"/>
      <c r="Y1362" s="381"/>
      <c r="Z1362" s="312">
        <f t="shared" si="496"/>
        <v>0</v>
      </c>
      <c r="AA1362" s="316">
        <f t="shared" si="522"/>
        <v>0.25</v>
      </c>
    </row>
    <row r="1363" spans="1:27" ht="51.75" thickBot="1" x14ac:dyDescent="0.45">
      <c r="A1363" s="319" t="s">
        <v>772</v>
      </c>
      <c r="B1363" s="320" t="s">
        <v>856</v>
      </c>
      <c r="C1363" s="528">
        <f t="shared" si="512"/>
        <v>0</v>
      </c>
      <c r="D1363" s="551">
        <f>C1363*16</f>
        <v>0</v>
      </c>
      <c r="E1363" s="456">
        <f t="shared" si="516"/>
        <v>0</v>
      </c>
      <c r="F1363" s="358">
        <f t="shared" si="517"/>
        <v>0</v>
      </c>
      <c r="G1363" s="556">
        <f t="shared" si="519"/>
        <v>0</v>
      </c>
      <c r="H1363" s="366" t="s">
        <v>18</v>
      </c>
      <c r="I1363" s="556">
        <f t="shared" si="520"/>
        <v>0</v>
      </c>
      <c r="J1363" s="366" t="s">
        <v>19</v>
      </c>
      <c r="K1363" s="366"/>
      <c r="L1363" s="366"/>
      <c r="M1363" s="366">
        <f t="shared" si="521"/>
        <v>0</v>
      </c>
      <c r="N1363" s="366"/>
      <c r="O1363" s="366"/>
      <c r="P1363" s="366"/>
      <c r="Q1363" s="358" t="s">
        <v>18</v>
      </c>
      <c r="R1363" s="358"/>
      <c r="S1363" s="358" t="s">
        <v>19</v>
      </c>
      <c r="T1363" s="528">
        <v>4</v>
      </c>
      <c r="U1363" s="324">
        <f t="shared" si="518"/>
        <v>0</v>
      </c>
      <c r="V1363" s="676"/>
      <c r="W1363" s="528"/>
      <c r="X1363" s="529"/>
      <c r="Y1363" s="323"/>
      <c r="Z1363" s="312">
        <f t="shared" si="496"/>
        <v>0</v>
      </c>
      <c r="AA1363" s="316">
        <f t="shared" si="522"/>
        <v>0.25</v>
      </c>
    </row>
    <row r="1364" spans="1:27" ht="51.75" thickBot="1" x14ac:dyDescent="0.45">
      <c r="A1364" s="319" t="s">
        <v>772</v>
      </c>
      <c r="B1364" s="344" t="s">
        <v>860</v>
      </c>
      <c r="C1364" s="528">
        <f>C1280</f>
        <v>0</v>
      </c>
      <c r="D1364" s="548">
        <f>C1364*12</f>
        <v>0</v>
      </c>
      <c r="E1364" s="456">
        <f>D1364*0.2</f>
        <v>0</v>
      </c>
      <c r="F1364" s="358">
        <f>E1364*0.99*1.03/147</f>
        <v>0</v>
      </c>
      <c r="G1364" s="548">
        <f t="shared" ref="G1364:G1374" si="523">INT(M1364)</f>
        <v>0</v>
      </c>
      <c r="H1364" s="358" t="s">
        <v>18</v>
      </c>
      <c r="I1364" s="548">
        <f t="shared" ref="I1364:I1374" si="524">(M1364-G1364)*64</f>
        <v>0</v>
      </c>
      <c r="J1364" s="358" t="s">
        <v>19</v>
      </c>
      <c r="K1364" s="358"/>
      <c r="L1364" s="358"/>
      <c r="M1364" s="358">
        <f>(F1364*8655)/2880</f>
        <v>0</v>
      </c>
      <c r="N1364" s="358"/>
      <c r="O1364" s="358"/>
      <c r="P1364" s="358"/>
      <c r="Q1364" s="358" t="s">
        <v>18</v>
      </c>
      <c r="R1364" s="358"/>
      <c r="S1364" s="358" t="s">
        <v>19</v>
      </c>
      <c r="T1364" s="528">
        <v>4</v>
      </c>
      <c r="U1364" s="324">
        <f>E1364/403*60</f>
        <v>0</v>
      </c>
      <c r="V1364" s="676"/>
      <c r="W1364" s="528"/>
      <c r="X1364" s="529"/>
      <c r="Y1364" s="323"/>
      <c r="Z1364" s="312">
        <f t="shared" si="496"/>
        <v>0</v>
      </c>
      <c r="AA1364" s="316">
        <f>SUM(E1364/313+0.25)</f>
        <v>0.25</v>
      </c>
    </row>
    <row r="1365" spans="1:27" ht="51.75" thickBot="1" x14ac:dyDescent="0.45">
      <c r="A1365" s="319" t="s">
        <v>772</v>
      </c>
      <c r="B1365" s="344" t="s">
        <v>861</v>
      </c>
      <c r="C1365" s="528">
        <f>C1281</f>
        <v>0</v>
      </c>
      <c r="D1365" s="548">
        <f>C1365*12</f>
        <v>0</v>
      </c>
      <c r="E1365" s="456">
        <f>D1365*0.2</f>
        <v>0</v>
      </c>
      <c r="F1365" s="358">
        <f>E1365*0.99*1.03/147</f>
        <v>0</v>
      </c>
      <c r="G1365" s="548">
        <f t="shared" si="523"/>
        <v>0</v>
      </c>
      <c r="H1365" s="358" t="s">
        <v>18</v>
      </c>
      <c r="I1365" s="548">
        <f t="shared" si="524"/>
        <v>0</v>
      </c>
      <c r="J1365" s="358" t="s">
        <v>19</v>
      </c>
      <c r="K1365" s="358"/>
      <c r="L1365" s="358"/>
      <c r="M1365" s="358">
        <f>(F1365*8655)/2880</f>
        <v>0</v>
      </c>
      <c r="N1365" s="358"/>
      <c r="O1365" s="358"/>
      <c r="P1365" s="358"/>
      <c r="Q1365" s="358" t="s">
        <v>18</v>
      </c>
      <c r="R1365" s="358"/>
      <c r="S1365" s="358" t="s">
        <v>19</v>
      </c>
      <c r="T1365" s="528">
        <v>4</v>
      </c>
      <c r="U1365" s="324">
        <f>E1365/403*60</f>
        <v>0</v>
      </c>
      <c r="V1365" s="676"/>
      <c r="W1365" s="528"/>
      <c r="X1365" s="529"/>
      <c r="Y1365" s="323"/>
      <c r="Z1365" s="312">
        <f t="shared" si="496"/>
        <v>0</v>
      </c>
      <c r="AA1365" s="316">
        <f>SUM(E1365/313+0.25)</f>
        <v>0.25</v>
      </c>
    </row>
    <row r="1366" spans="1:27" ht="51.75" thickBot="1" x14ac:dyDescent="0.45">
      <c r="A1366" s="319" t="s">
        <v>772</v>
      </c>
      <c r="B1366" s="320" t="s">
        <v>1036</v>
      </c>
      <c r="C1366" s="528">
        <f>C1462</f>
        <v>0</v>
      </c>
      <c r="D1366" s="550">
        <f>C1366*22</f>
        <v>0</v>
      </c>
      <c r="E1366" s="456">
        <f>D1366*0.2</f>
        <v>0</v>
      </c>
      <c r="F1366" s="358">
        <f>E1366*1.03*0.82/147</f>
        <v>0</v>
      </c>
      <c r="G1366" s="548">
        <f t="shared" si="523"/>
        <v>0</v>
      </c>
      <c r="H1366" s="358" t="s">
        <v>18</v>
      </c>
      <c r="I1366" s="548">
        <f t="shared" si="524"/>
        <v>0</v>
      </c>
      <c r="J1366" s="358" t="s">
        <v>19</v>
      </c>
      <c r="K1366" s="358"/>
      <c r="L1366" s="358"/>
      <c r="M1366" s="358">
        <f>F1366*5250/3456</f>
        <v>0</v>
      </c>
      <c r="N1366" s="358"/>
      <c r="O1366" s="358"/>
      <c r="P1366" s="358"/>
      <c r="Q1366" s="358" t="s">
        <v>18</v>
      </c>
      <c r="R1366" s="358"/>
      <c r="S1366" s="358" t="s">
        <v>19</v>
      </c>
      <c r="T1366" s="528">
        <v>4</v>
      </c>
      <c r="U1366" s="324">
        <f>E1366/220*60</f>
        <v>0</v>
      </c>
      <c r="V1366" s="676"/>
      <c r="W1366" s="528"/>
      <c r="X1366" s="529"/>
      <c r="Y1366" s="323"/>
      <c r="Z1366" s="312">
        <f t="shared" si="496"/>
        <v>0</v>
      </c>
      <c r="AA1366" s="316">
        <f>SUM(Z1366/548.9+0.25)</f>
        <v>0.25</v>
      </c>
    </row>
    <row r="1367" spans="1:27" ht="77.25" thickBot="1" x14ac:dyDescent="0.45">
      <c r="A1367" s="319" t="s">
        <v>772</v>
      </c>
      <c r="B1367" s="364" t="s">
        <v>694</v>
      </c>
      <c r="C1367" s="528">
        <f>C1470</f>
        <v>0</v>
      </c>
      <c r="D1367" s="548">
        <f>C1367*10</f>
        <v>0</v>
      </c>
      <c r="E1367" s="456">
        <f>D1367*0.25</f>
        <v>0</v>
      </c>
      <c r="F1367" s="358">
        <f>E1367*1.03*0.81/147</f>
        <v>0</v>
      </c>
      <c r="G1367" s="548">
        <f t="shared" si="523"/>
        <v>0</v>
      </c>
      <c r="H1367" s="358" t="s">
        <v>18</v>
      </c>
      <c r="I1367" s="548">
        <f t="shared" si="524"/>
        <v>0</v>
      </c>
      <c r="J1367" s="358" t="s">
        <v>19</v>
      </c>
      <c r="K1367" s="358"/>
      <c r="L1367" s="358"/>
      <c r="M1367" s="358">
        <f>(F1367*8820/3456)</f>
        <v>0</v>
      </c>
      <c r="N1367" s="324"/>
      <c r="O1367" s="324"/>
      <c r="P1367" s="324"/>
      <c r="Q1367" s="324" t="s">
        <v>18</v>
      </c>
      <c r="R1367" s="324"/>
      <c r="S1367" s="324" t="s">
        <v>19</v>
      </c>
      <c r="T1367" s="528">
        <v>7</v>
      </c>
      <c r="U1367" s="324">
        <f>E1367/220*60</f>
        <v>0</v>
      </c>
      <c r="V1367" s="676"/>
      <c r="W1367" s="528"/>
      <c r="X1367" s="529"/>
      <c r="Y1367" s="323"/>
      <c r="Z1367" s="312">
        <f t="shared" si="496"/>
        <v>0</v>
      </c>
      <c r="AA1367" s="316">
        <f>SUM(Z1367/472.6+0.25)</f>
        <v>0.25</v>
      </c>
    </row>
    <row r="1368" spans="1:27" ht="77.25" thickBot="1" x14ac:dyDescent="0.45">
      <c r="A1368" s="319" t="s">
        <v>772</v>
      </c>
      <c r="B1368" s="364" t="s">
        <v>1068</v>
      </c>
      <c r="C1368" s="528">
        <f>C1471</f>
        <v>0</v>
      </c>
      <c r="D1368" s="528">
        <f>C1368*10</f>
        <v>0</v>
      </c>
      <c r="E1368" s="460">
        <f>D1368*0.25</f>
        <v>0</v>
      </c>
      <c r="F1368" s="324">
        <f>E1368*1.03*0.81/147</f>
        <v>0</v>
      </c>
      <c r="G1368" s="528">
        <f>INT(M1368)</f>
        <v>0</v>
      </c>
      <c r="H1368" s="324" t="s">
        <v>18</v>
      </c>
      <c r="I1368" s="528">
        <f>(M1368-G1368)*64</f>
        <v>0</v>
      </c>
      <c r="J1368" s="324" t="s">
        <v>19</v>
      </c>
      <c r="K1368" s="324"/>
      <c r="L1368" s="324"/>
      <c r="M1368" s="324">
        <f>(F1368*8820/3456)</f>
        <v>0</v>
      </c>
      <c r="N1368" s="324"/>
      <c r="O1368" s="324"/>
      <c r="P1368" s="324"/>
      <c r="Q1368" s="324" t="s">
        <v>18</v>
      </c>
      <c r="R1368" s="324"/>
      <c r="S1368" s="324" t="s">
        <v>19</v>
      </c>
      <c r="T1368" s="528">
        <v>7</v>
      </c>
      <c r="U1368" s="324">
        <f>E1368/220*60</f>
        <v>0</v>
      </c>
      <c r="V1368" s="676"/>
      <c r="W1368" s="528"/>
      <c r="X1368" s="529"/>
      <c r="Y1368" s="323"/>
      <c r="Z1368" s="312">
        <f>E1368</f>
        <v>0</v>
      </c>
      <c r="AA1368" s="316">
        <f>SUM(Z1368/472.6+0.25)</f>
        <v>0.25</v>
      </c>
    </row>
    <row r="1369" spans="1:27" ht="77.25" thickBot="1" x14ac:dyDescent="0.45">
      <c r="A1369" s="319" t="s">
        <v>772</v>
      </c>
      <c r="B1369" s="364" t="s">
        <v>1072</v>
      </c>
      <c r="C1369" s="528">
        <f>C1472</f>
        <v>0</v>
      </c>
      <c r="D1369" s="528">
        <f>C1369*10</f>
        <v>0</v>
      </c>
      <c r="E1369" s="460">
        <f>D1369*0.25</f>
        <v>0</v>
      </c>
      <c r="F1369" s="324">
        <f>E1369*1.03*0.81/147</f>
        <v>0</v>
      </c>
      <c r="G1369" s="528">
        <f>INT(M1369)</f>
        <v>0</v>
      </c>
      <c r="H1369" s="324" t="s">
        <v>18</v>
      </c>
      <c r="I1369" s="528">
        <f>(M1369-G1369)*64</f>
        <v>0</v>
      </c>
      <c r="J1369" s="324" t="s">
        <v>19</v>
      </c>
      <c r="K1369" s="324"/>
      <c r="L1369" s="324"/>
      <c r="M1369" s="324">
        <f>(F1369*8820/3456)</f>
        <v>0</v>
      </c>
      <c r="N1369" s="324"/>
      <c r="O1369" s="324"/>
      <c r="P1369" s="324"/>
      <c r="Q1369" s="324" t="s">
        <v>18</v>
      </c>
      <c r="R1369" s="324"/>
      <c r="S1369" s="324" t="s">
        <v>19</v>
      </c>
      <c r="T1369" s="528">
        <v>7</v>
      </c>
      <c r="U1369" s="324">
        <f>E1369/220*60</f>
        <v>0</v>
      </c>
      <c r="V1369" s="676"/>
      <c r="W1369" s="528"/>
      <c r="X1369" s="529"/>
      <c r="Y1369" s="323"/>
      <c r="Z1369" s="312">
        <f>E1369</f>
        <v>0</v>
      </c>
      <c r="AA1369" s="316">
        <f>SUM(Z1369/405.1+0.25)</f>
        <v>0.25</v>
      </c>
    </row>
    <row r="1370" spans="1:27" ht="77.25" thickBot="1" x14ac:dyDescent="0.45">
      <c r="A1370" s="319" t="s">
        <v>772</v>
      </c>
      <c r="B1370" s="320" t="s">
        <v>796</v>
      </c>
      <c r="C1370" s="528">
        <f>C1464</f>
        <v>0</v>
      </c>
      <c r="D1370" s="551">
        <f>C1370*8</f>
        <v>0</v>
      </c>
      <c r="E1370" s="456">
        <f>D1370*0.25</f>
        <v>0</v>
      </c>
      <c r="F1370" s="358">
        <f>E1370*1.015*0.72/147</f>
        <v>0</v>
      </c>
      <c r="G1370" s="548">
        <f t="shared" si="523"/>
        <v>0</v>
      </c>
      <c r="H1370" s="358" t="s">
        <v>18</v>
      </c>
      <c r="I1370" s="548">
        <f t="shared" si="524"/>
        <v>0</v>
      </c>
      <c r="J1370" s="358" t="s">
        <v>19</v>
      </c>
      <c r="K1370" s="358"/>
      <c r="L1370" s="358"/>
      <c r="M1370" s="552">
        <f>(F1370*6447/3456)</f>
        <v>0</v>
      </c>
      <c r="N1370" s="324"/>
      <c r="O1370" s="324"/>
      <c r="P1370" s="324"/>
      <c r="Q1370" s="324" t="s">
        <v>18</v>
      </c>
      <c r="R1370" s="324"/>
      <c r="S1370" s="324" t="s">
        <v>19</v>
      </c>
      <c r="T1370" s="528">
        <v>3</v>
      </c>
      <c r="U1370" s="324">
        <f>E1370/259*60</f>
        <v>0</v>
      </c>
      <c r="V1370" s="676"/>
      <c r="W1370" s="528"/>
      <c r="X1370" s="529"/>
      <c r="Y1370" s="323"/>
      <c r="Z1370" s="312">
        <f t="shared" si="496"/>
        <v>0</v>
      </c>
      <c r="AA1370" s="316">
        <f>SUM(Z1370/509.7+0.25)</f>
        <v>0.25</v>
      </c>
    </row>
    <row r="1371" spans="1:27" ht="77.25" thickBot="1" x14ac:dyDescent="0.45">
      <c r="A1371" s="319" t="s">
        <v>772</v>
      </c>
      <c r="B1371" s="320" t="s">
        <v>797</v>
      </c>
      <c r="C1371" s="528">
        <f>C1465</f>
        <v>0</v>
      </c>
      <c r="D1371" s="551">
        <f>C1371*8</f>
        <v>0</v>
      </c>
      <c r="E1371" s="456">
        <f>D1371*0.25</f>
        <v>0</v>
      </c>
      <c r="F1371" s="358">
        <f>E1371*1.015*0.72/147</f>
        <v>0</v>
      </c>
      <c r="G1371" s="548">
        <f t="shared" si="523"/>
        <v>0</v>
      </c>
      <c r="H1371" s="358" t="s">
        <v>18</v>
      </c>
      <c r="I1371" s="548">
        <f t="shared" si="524"/>
        <v>0</v>
      </c>
      <c r="J1371" s="358" t="s">
        <v>19</v>
      </c>
      <c r="K1371" s="358"/>
      <c r="L1371" s="358"/>
      <c r="M1371" s="552">
        <f>(F1371*6447/3456)</f>
        <v>0</v>
      </c>
      <c r="N1371" s="324"/>
      <c r="O1371" s="324"/>
      <c r="P1371" s="324"/>
      <c r="Q1371" s="324" t="s">
        <v>18</v>
      </c>
      <c r="R1371" s="324"/>
      <c r="S1371" s="324" t="s">
        <v>19</v>
      </c>
      <c r="T1371" s="528">
        <v>3</v>
      </c>
      <c r="U1371" s="324">
        <f>E1371/259*60</f>
        <v>0</v>
      </c>
      <c r="V1371" s="676"/>
      <c r="W1371" s="528"/>
      <c r="X1371" s="529"/>
      <c r="Y1371" s="323"/>
      <c r="Z1371" s="312">
        <f t="shared" si="496"/>
        <v>0</v>
      </c>
      <c r="AA1371" s="316">
        <f>SUM(Z1371/509.7+0.25)</f>
        <v>0.25</v>
      </c>
    </row>
    <row r="1372" spans="1:27" ht="51.75" thickBot="1" x14ac:dyDescent="0.45">
      <c r="A1372" s="319" t="s">
        <v>772</v>
      </c>
      <c r="B1372" s="320" t="s">
        <v>909</v>
      </c>
      <c r="C1372" s="528">
        <f>C1478</f>
        <v>0</v>
      </c>
      <c r="D1372" s="550">
        <f>C1372*12</f>
        <v>0</v>
      </c>
      <c r="E1372" s="358">
        <f>D1372*0.36</f>
        <v>0</v>
      </c>
      <c r="F1372" s="358">
        <f>E1372*1.03*0.8/147</f>
        <v>0</v>
      </c>
      <c r="G1372" s="548">
        <f t="shared" si="523"/>
        <v>0</v>
      </c>
      <c r="H1372" s="358" t="s">
        <v>18</v>
      </c>
      <c r="I1372" s="548">
        <f t="shared" si="524"/>
        <v>0</v>
      </c>
      <c r="J1372" s="358" t="s">
        <v>19</v>
      </c>
      <c r="K1372" s="358"/>
      <c r="L1372" s="358"/>
      <c r="M1372" s="358">
        <f>F1372*6000/3456</f>
        <v>0</v>
      </c>
      <c r="N1372" s="358"/>
      <c r="O1372" s="358"/>
      <c r="P1372" s="358"/>
      <c r="Q1372" s="358" t="s">
        <v>18</v>
      </c>
      <c r="R1372" s="358"/>
      <c r="S1372" s="358" t="s">
        <v>19</v>
      </c>
      <c r="T1372" s="528">
        <v>3</v>
      </c>
      <c r="U1372" s="324">
        <f>E1372/220*60</f>
        <v>0</v>
      </c>
      <c r="V1372" s="676"/>
      <c r="W1372" s="528"/>
      <c r="X1372" s="529"/>
      <c r="Y1372" s="323"/>
      <c r="Z1372" s="312">
        <f t="shared" si="496"/>
        <v>0</v>
      </c>
      <c r="AA1372" s="316">
        <f>SUM(E1372/540.1+0.25)</f>
        <v>0.25</v>
      </c>
    </row>
    <row r="1373" spans="1:27" ht="51.75" thickBot="1" x14ac:dyDescent="0.45">
      <c r="A1373" s="319" t="s">
        <v>772</v>
      </c>
      <c r="B1373" s="320" t="s">
        <v>1004</v>
      </c>
      <c r="C1373" s="528">
        <f>C1479</f>
        <v>0</v>
      </c>
      <c r="D1373" s="567">
        <f>C1373*14</f>
        <v>0</v>
      </c>
      <c r="E1373" s="324">
        <f>D1373*0.36</f>
        <v>0</v>
      </c>
      <c r="F1373" s="324">
        <f>E1373*1.03*0.8/147</f>
        <v>0</v>
      </c>
      <c r="G1373" s="528">
        <f t="shared" si="523"/>
        <v>0</v>
      </c>
      <c r="H1373" s="324" t="s">
        <v>18</v>
      </c>
      <c r="I1373" s="528">
        <f t="shared" si="524"/>
        <v>0</v>
      </c>
      <c r="J1373" s="324" t="s">
        <v>19</v>
      </c>
      <c r="K1373" s="324"/>
      <c r="L1373" s="324"/>
      <c r="M1373" s="324">
        <f>F1373*6000/3456</f>
        <v>0</v>
      </c>
      <c r="N1373" s="324"/>
      <c r="O1373" s="324"/>
      <c r="P1373" s="324"/>
      <c r="Q1373" s="324" t="s">
        <v>18</v>
      </c>
      <c r="R1373" s="324"/>
      <c r="S1373" s="324" t="s">
        <v>19</v>
      </c>
      <c r="T1373" s="528">
        <v>4</v>
      </c>
      <c r="U1373" s="324">
        <f>E1373/220*60</f>
        <v>0</v>
      </c>
      <c r="V1373" s="676"/>
      <c r="W1373" s="528"/>
      <c r="X1373" s="529"/>
      <c r="Y1373" s="323"/>
      <c r="Z1373" s="312">
        <f t="shared" si="496"/>
        <v>0</v>
      </c>
      <c r="AA1373" s="316">
        <f>SUM(Z1373/540.1+0.25)</f>
        <v>0.25</v>
      </c>
    </row>
    <row r="1374" spans="1:27" ht="102.75" thickBot="1" x14ac:dyDescent="0.45">
      <c r="A1374" s="319" t="s">
        <v>772</v>
      </c>
      <c r="B1374" s="320" t="s">
        <v>1027</v>
      </c>
      <c r="C1374" s="528">
        <f>C1480</f>
        <v>0</v>
      </c>
      <c r="D1374" s="567">
        <f>C1374*7</f>
        <v>0</v>
      </c>
      <c r="E1374" s="460">
        <f>D1374*0.36</f>
        <v>0</v>
      </c>
      <c r="F1374" s="324">
        <f>E1374*1.03*0.8/147</f>
        <v>0</v>
      </c>
      <c r="G1374" s="528">
        <f t="shared" si="523"/>
        <v>0</v>
      </c>
      <c r="H1374" s="324" t="s">
        <v>18</v>
      </c>
      <c r="I1374" s="528">
        <f t="shared" si="524"/>
        <v>0</v>
      </c>
      <c r="J1374" s="324" t="s">
        <v>19</v>
      </c>
      <c r="K1374" s="324"/>
      <c r="L1374" s="324"/>
      <c r="M1374" s="324">
        <f>F1374*6000/3456</f>
        <v>0</v>
      </c>
      <c r="N1374" s="324"/>
      <c r="O1374" s="324"/>
      <c r="P1374" s="324"/>
      <c r="Q1374" s="324" t="s">
        <v>18</v>
      </c>
      <c r="R1374" s="324"/>
      <c r="S1374" s="324" t="s">
        <v>19</v>
      </c>
      <c r="T1374" s="528">
        <v>3</v>
      </c>
      <c r="U1374" s="324">
        <f>E1374/220*60</f>
        <v>0</v>
      </c>
      <c r="V1374" s="676"/>
      <c r="W1374" s="528"/>
      <c r="X1374" s="529"/>
      <c r="Y1374" s="323"/>
      <c r="Z1374" s="312">
        <f t="shared" si="496"/>
        <v>0</v>
      </c>
      <c r="AA1374" s="316">
        <f>SUM(Z1374/352.8+0.25)</f>
        <v>0.25</v>
      </c>
    </row>
    <row r="1375" spans="1:27" ht="77.25" thickBot="1" x14ac:dyDescent="0.45">
      <c r="A1375" s="319" t="s">
        <v>772</v>
      </c>
      <c r="B1375" s="320" t="s">
        <v>627</v>
      </c>
      <c r="C1375" s="586">
        <f>C1469</f>
        <v>0</v>
      </c>
      <c r="D1375" s="548">
        <f>C1375*18</f>
        <v>0</v>
      </c>
      <c r="E1375" s="456">
        <f>D1375*0.2</f>
        <v>0</v>
      </c>
      <c r="F1375" s="358">
        <f>E1375*1.05*0.8/140</f>
        <v>0</v>
      </c>
      <c r="G1375" s="548">
        <f t="shared" ref="G1375:G1386" si="525">INT(M1375)</f>
        <v>0</v>
      </c>
      <c r="H1375" s="358" t="s">
        <v>18</v>
      </c>
      <c r="I1375" s="548">
        <f t="shared" ref="I1375:I1386" si="526">(M1375-G1375)*64</f>
        <v>0</v>
      </c>
      <c r="J1375" s="358" t="s">
        <v>19</v>
      </c>
      <c r="K1375" s="358"/>
      <c r="L1375" s="358"/>
      <c r="M1375" s="358">
        <f>F1375*5111/3456</f>
        <v>0</v>
      </c>
      <c r="N1375" s="324"/>
      <c r="O1375" s="324"/>
      <c r="P1375" s="324"/>
      <c r="Q1375" s="324" t="s">
        <v>18</v>
      </c>
      <c r="R1375" s="324"/>
      <c r="S1375" s="324" t="s">
        <v>19</v>
      </c>
      <c r="T1375" s="528">
        <v>3</v>
      </c>
      <c r="U1375" s="324">
        <f>E1375/220*60</f>
        <v>0</v>
      </c>
      <c r="V1375" s="676"/>
      <c r="W1375" s="528"/>
      <c r="X1375" s="529"/>
      <c r="Y1375" s="323"/>
      <c r="Z1375" s="312">
        <f t="shared" si="496"/>
        <v>0</v>
      </c>
      <c r="AA1375" s="316">
        <f>SUM(Z1375/548.9+0.25)</f>
        <v>0.25</v>
      </c>
    </row>
    <row r="1376" spans="1:27" ht="78" thickBot="1" x14ac:dyDescent="0.45">
      <c r="A1376" s="319" t="s">
        <v>772</v>
      </c>
      <c r="B1376" s="320" t="s">
        <v>952</v>
      </c>
      <c r="C1376" s="586">
        <f>C1474</f>
        <v>0</v>
      </c>
      <c r="D1376" s="551">
        <f>C1376*18</f>
        <v>0</v>
      </c>
      <c r="E1376" s="456">
        <f>D1376*0.2</f>
        <v>0</v>
      </c>
      <c r="F1376" s="358">
        <f>E1376*1.03*0.729/147</f>
        <v>0</v>
      </c>
      <c r="G1376" s="548">
        <f t="shared" si="525"/>
        <v>0</v>
      </c>
      <c r="H1376" s="358" t="s">
        <v>18</v>
      </c>
      <c r="I1376" s="548">
        <f t="shared" si="526"/>
        <v>0</v>
      </c>
      <c r="J1376" s="358" t="s">
        <v>19</v>
      </c>
      <c r="K1376" s="358"/>
      <c r="L1376" s="358"/>
      <c r="M1376" s="358">
        <f>F1376*5880/3456</f>
        <v>0</v>
      </c>
      <c r="N1376" s="324"/>
      <c r="O1376" s="324"/>
      <c r="P1376" s="324"/>
      <c r="Q1376" s="324" t="s">
        <v>18</v>
      </c>
      <c r="R1376" s="324"/>
      <c r="S1376" s="324" t="s">
        <v>19</v>
      </c>
      <c r="T1376" s="528">
        <v>4</v>
      </c>
      <c r="U1376" s="324">
        <f>E1376/220*60</f>
        <v>0</v>
      </c>
      <c r="V1376" s="676"/>
      <c r="W1376" s="528"/>
      <c r="X1376" s="529"/>
      <c r="Y1376" s="323"/>
      <c r="Z1376" s="312">
        <f t="shared" si="496"/>
        <v>0</v>
      </c>
      <c r="AA1376" s="316">
        <f>SUM(Z1376/529.3+0.25)</f>
        <v>0.25</v>
      </c>
    </row>
    <row r="1377" spans="1:27" ht="78" thickBot="1" x14ac:dyDescent="0.45">
      <c r="A1377" s="319" t="s">
        <v>772</v>
      </c>
      <c r="B1377" s="320" t="s">
        <v>953</v>
      </c>
      <c r="C1377" s="586">
        <f>C1481</f>
        <v>0</v>
      </c>
      <c r="D1377" s="551">
        <f>C1377*18</f>
        <v>0</v>
      </c>
      <c r="E1377" s="456">
        <f>D1377*0.2</f>
        <v>0</v>
      </c>
      <c r="F1377" s="358">
        <f>E1377*1.03*0.729/147</f>
        <v>0</v>
      </c>
      <c r="G1377" s="548">
        <f t="shared" si="525"/>
        <v>0</v>
      </c>
      <c r="H1377" s="358" t="s">
        <v>18</v>
      </c>
      <c r="I1377" s="548">
        <f t="shared" si="526"/>
        <v>0</v>
      </c>
      <c r="J1377" s="358" t="s">
        <v>19</v>
      </c>
      <c r="K1377" s="358"/>
      <c r="L1377" s="358"/>
      <c r="M1377" s="358">
        <f>F1377*5880/3456</f>
        <v>0</v>
      </c>
      <c r="N1377" s="324"/>
      <c r="O1377" s="324"/>
      <c r="P1377" s="324"/>
      <c r="Q1377" s="324" t="s">
        <v>18</v>
      </c>
      <c r="R1377" s="324"/>
      <c r="S1377" s="324" t="s">
        <v>19</v>
      </c>
      <c r="T1377" s="561">
        <v>4</v>
      </c>
      <c r="V1377" s="689"/>
      <c r="W1377" s="561"/>
      <c r="X1377" s="562"/>
      <c r="Y1377" s="323"/>
      <c r="Z1377" s="312">
        <f t="shared" si="496"/>
        <v>0</v>
      </c>
      <c r="AA1377" s="316">
        <f>SUM(Z1377/529.3+0.25)</f>
        <v>0.25</v>
      </c>
    </row>
    <row r="1378" spans="1:27" ht="51.75" thickBot="1" x14ac:dyDescent="0.45">
      <c r="A1378" s="319" t="s">
        <v>772</v>
      </c>
      <c r="B1378" s="320" t="s">
        <v>880</v>
      </c>
      <c r="C1378" s="528">
        <f>C1476</f>
        <v>0</v>
      </c>
      <c r="D1378" s="550">
        <f>C1378*18</f>
        <v>0</v>
      </c>
      <c r="E1378" s="358">
        <f>D1378*0.24</f>
        <v>0</v>
      </c>
      <c r="F1378" s="358">
        <f>E1378*0.81/147</f>
        <v>0</v>
      </c>
      <c r="G1378" s="548">
        <f t="shared" si="525"/>
        <v>0</v>
      </c>
      <c r="H1378" s="358" t="s">
        <v>18</v>
      </c>
      <c r="I1378" s="548">
        <f t="shared" si="526"/>
        <v>0</v>
      </c>
      <c r="J1378" s="358" t="s">
        <v>19</v>
      </c>
      <c r="K1378" s="358"/>
      <c r="L1378" s="358"/>
      <c r="M1378" s="358">
        <f>F1378*6125/3456</f>
        <v>0</v>
      </c>
      <c r="N1378" s="358"/>
      <c r="O1378" s="358"/>
      <c r="P1378" s="358"/>
      <c r="Q1378" s="358" t="s">
        <v>18</v>
      </c>
      <c r="R1378" s="358"/>
      <c r="S1378" s="358" t="s">
        <v>19</v>
      </c>
      <c r="T1378" s="528">
        <v>3</v>
      </c>
      <c r="U1378" s="324">
        <f>E1378/220*60</f>
        <v>0</v>
      </c>
      <c r="V1378" s="676"/>
      <c r="W1378" s="528"/>
      <c r="X1378" s="529"/>
      <c r="Y1378" s="323"/>
      <c r="Z1378" s="312">
        <f t="shared" si="496"/>
        <v>0</v>
      </c>
      <c r="AA1378" s="316">
        <f>SUM(Z1378/540.1+0.25)</f>
        <v>0.25</v>
      </c>
    </row>
    <row r="1379" spans="1:27" ht="51.75" thickBot="1" x14ac:dyDescent="0.45">
      <c r="A1379" s="319" t="s">
        <v>772</v>
      </c>
      <c r="B1379" s="320" t="s">
        <v>773</v>
      </c>
      <c r="C1379" s="528">
        <f>C1242</f>
        <v>0</v>
      </c>
      <c r="D1379" s="528">
        <f>C1379*6</f>
        <v>0</v>
      </c>
      <c r="E1379" s="460">
        <f>D1379*0.25</f>
        <v>0</v>
      </c>
      <c r="F1379" s="324">
        <f>E1379*1.05*0.99/135</f>
        <v>0</v>
      </c>
      <c r="G1379" s="528">
        <f t="shared" si="525"/>
        <v>0</v>
      </c>
      <c r="H1379" s="324" t="s">
        <v>18</v>
      </c>
      <c r="I1379" s="528">
        <f t="shared" si="526"/>
        <v>0</v>
      </c>
      <c r="J1379" s="324" t="s">
        <v>19</v>
      </c>
      <c r="K1379" s="324"/>
      <c r="L1379" s="324"/>
      <c r="M1379" s="324">
        <f>(F1379*6253)/2880</f>
        <v>0</v>
      </c>
      <c r="N1379" s="324"/>
      <c r="O1379" s="324"/>
      <c r="P1379" s="324"/>
      <c r="Q1379" s="324" t="s">
        <v>18</v>
      </c>
      <c r="R1379" s="324"/>
      <c r="S1379" s="324" t="s">
        <v>19</v>
      </c>
      <c r="T1379" s="528">
        <v>3</v>
      </c>
      <c r="U1379" s="324">
        <f>E1379/226*60</f>
        <v>0</v>
      </c>
      <c r="V1379" s="676"/>
      <c r="W1379" s="528"/>
      <c r="X1379" s="529"/>
      <c r="Y1379" s="323"/>
      <c r="Z1379" s="312">
        <f t="shared" si="496"/>
        <v>0</v>
      </c>
      <c r="AA1379" s="316">
        <f>SUM(Z1379/399.6+0.25)</f>
        <v>0.25</v>
      </c>
    </row>
    <row r="1380" spans="1:27" ht="52.5" thickBot="1" x14ac:dyDescent="0.45">
      <c r="A1380" s="319" t="s">
        <v>772</v>
      </c>
      <c r="B1380" s="320" t="s">
        <v>951</v>
      </c>
      <c r="C1380" s="528">
        <f>C1473</f>
        <v>0</v>
      </c>
      <c r="D1380" s="551">
        <f>C1380*18</f>
        <v>0</v>
      </c>
      <c r="E1380" s="456">
        <f>D1380*0.2</f>
        <v>0</v>
      </c>
      <c r="F1380" s="358">
        <f>E1380*1.03*0.82/147</f>
        <v>0</v>
      </c>
      <c r="G1380" s="548">
        <f t="shared" si="525"/>
        <v>0</v>
      </c>
      <c r="H1380" s="358" t="s">
        <v>18</v>
      </c>
      <c r="I1380" s="548">
        <f t="shared" si="526"/>
        <v>0</v>
      </c>
      <c r="J1380" s="358" t="s">
        <v>19</v>
      </c>
      <c r="K1380" s="358"/>
      <c r="L1380" s="358"/>
      <c r="M1380" s="358">
        <f>F1380*5250/3456</f>
        <v>0</v>
      </c>
      <c r="N1380" s="324"/>
      <c r="O1380" s="324"/>
      <c r="P1380" s="324"/>
      <c r="Q1380" s="324" t="s">
        <v>18</v>
      </c>
      <c r="R1380" s="324"/>
      <c r="S1380" s="324" t="s">
        <v>19</v>
      </c>
      <c r="T1380" s="528">
        <v>4</v>
      </c>
      <c r="U1380" s="324">
        <f>E1380/259*60</f>
        <v>0</v>
      </c>
      <c r="V1380" s="676"/>
      <c r="W1380" s="528"/>
      <c r="X1380" s="529"/>
      <c r="Y1380" s="323"/>
      <c r="Z1380" s="312">
        <f t="shared" si="496"/>
        <v>0</v>
      </c>
      <c r="AA1380" s="316">
        <f>SUM(Z1380/548.9+0.25)</f>
        <v>0.25</v>
      </c>
    </row>
    <row r="1381" spans="1:27" ht="77.25" thickBot="1" x14ac:dyDescent="0.45">
      <c r="A1381" s="319" t="s">
        <v>772</v>
      </c>
      <c r="B1381" s="371" t="s">
        <v>910</v>
      </c>
      <c r="C1381" s="528">
        <f>C2351</f>
        <v>0</v>
      </c>
      <c r="D1381" s="548">
        <f>C1381*12</f>
        <v>0</v>
      </c>
      <c r="E1381" s="456">
        <f>D1381*0.25</f>
        <v>0</v>
      </c>
      <c r="F1381" s="358">
        <f>E1381*0.99*1.03/147</f>
        <v>0</v>
      </c>
      <c r="G1381" s="548">
        <f t="shared" si="525"/>
        <v>0</v>
      </c>
      <c r="H1381" s="358" t="s">
        <v>18</v>
      </c>
      <c r="I1381" s="548">
        <f t="shared" si="526"/>
        <v>0</v>
      </c>
      <c r="J1381" s="358" t="s">
        <v>19</v>
      </c>
      <c r="K1381" s="358"/>
      <c r="L1381" s="358"/>
      <c r="M1381" s="358">
        <f>(F1381*7000)/2880</f>
        <v>0</v>
      </c>
      <c r="N1381" s="358"/>
      <c r="O1381" s="358"/>
      <c r="P1381" s="358"/>
      <c r="Q1381" s="358" t="s">
        <v>18</v>
      </c>
      <c r="R1381" s="358"/>
      <c r="S1381" s="358" t="s">
        <v>19</v>
      </c>
      <c r="T1381" s="528">
        <v>6</v>
      </c>
      <c r="U1381" s="324">
        <f>E1381/403*60</f>
        <v>0</v>
      </c>
      <c r="V1381" s="676"/>
      <c r="W1381" s="528"/>
      <c r="X1381" s="529"/>
      <c r="Y1381" s="323"/>
      <c r="Z1381" s="312">
        <f t="shared" si="496"/>
        <v>0</v>
      </c>
      <c r="AA1381" s="316">
        <f>SUM(Z1381/625+0.25)</f>
        <v>0.25</v>
      </c>
    </row>
    <row r="1382" spans="1:27" ht="51.75" thickBot="1" x14ac:dyDescent="0.45">
      <c r="A1382" s="319" t="s">
        <v>772</v>
      </c>
      <c r="B1382" s="320" t="s">
        <v>1021</v>
      </c>
      <c r="C1382" s="528">
        <f>C1290</f>
        <v>0</v>
      </c>
      <c r="D1382" s="530">
        <f>C1382*22</f>
        <v>0</v>
      </c>
      <c r="E1382" s="460">
        <f>D1382*0.13</f>
        <v>0</v>
      </c>
      <c r="F1382" s="324">
        <f>E1382*0.99*1.02/170</f>
        <v>0</v>
      </c>
      <c r="G1382" s="324">
        <f>INT(M1382)</f>
        <v>0</v>
      </c>
      <c r="H1382" s="324" t="s">
        <v>18</v>
      </c>
      <c r="I1382" s="528">
        <f>(M1382-G1382)*64</f>
        <v>0</v>
      </c>
      <c r="J1382" s="324" t="s">
        <v>19</v>
      </c>
      <c r="K1382" s="324"/>
      <c r="L1382" s="324"/>
      <c r="M1382" s="324">
        <f>(F1382*8500)/3456</f>
        <v>0</v>
      </c>
      <c r="N1382" s="324"/>
      <c r="O1382" s="324"/>
      <c r="P1382" s="324"/>
      <c r="Q1382" s="324" t="s">
        <v>18</v>
      </c>
      <c r="R1382" s="324"/>
      <c r="S1382" s="324" t="s">
        <v>19</v>
      </c>
      <c r="T1382" s="528">
        <v>3</v>
      </c>
      <c r="U1382" s="324">
        <f>E1382/237*60</f>
        <v>0</v>
      </c>
      <c r="V1382" s="676"/>
      <c r="W1382" s="528"/>
      <c r="X1382" s="529"/>
      <c r="Y1382" s="323"/>
      <c r="Z1382" s="312">
        <f t="shared" si="496"/>
        <v>0</v>
      </c>
      <c r="AA1382" s="316">
        <f>SUM(Z1382/377.5+0.25)</f>
        <v>0.25</v>
      </c>
    </row>
    <row r="1383" spans="1:27" ht="51.75" thickBot="1" x14ac:dyDescent="0.45">
      <c r="A1383" s="319" t="s">
        <v>772</v>
      </c>
      <c r="B1383" s="799" t="s">
        <v>1223</v>
      </c>
      <c r="C1383" s="528">
        <f>C1291</f>
        <v>0</v>
      </c>
      <c r="D1383" s="530">
        <f>C1383*12</f>
        <v>0</v>
      </c>
      <c r="E1383" s="460">
        <f>D1383*0.13</f>
        <v>0</v>
      </c>
      <c r="F1383" s="324">
        <f>E1383*0.99*1.02/170</f>
        <v>0</v>
      </c>
      <c r="G1383" s="324">
        <f>INT(M1383)</f>
        <v>0</v>
      </c>
      <c r="H1383" s="324" t="s">
        <v>18</v>
      </c>
      <c r="I1383" s="528">
        <f>(M1383-G1383)*64</f>
        <v>0</v>
      </c>
      <c r="J1383" s="324" t="s">
        <v>19</v>
      </c>
      <c r="K1383" s="324"/>
      <c r="L1383" s="324"/>
      <c r="M1383" s="324">
        <f>(F1383*8500)/3456</f>
        <v>0</v>
      </c>
      <c r="N1383" s="324"/>
      <c r="O1383" s="324"/>
      <c r="P1383" s="324"/>
      <c r="Q1383" s="324" t="s">
        <v>18</v>
      </c>
      <c r="R1383" s="324"/>
      <c r="S1383" s="324" t="s">
        <v>19</v>
      </c>
      <c r="T1383" s="528">
        <v>3</v>
      </c>
      <c r="U1383" s="324">
        <f>E1383/237*60</f>
        <v>0</v>
      </c>
      <c r="V1383" s="676"/>
      <c r="W1383" s="528"/>
      <c r="X1383" s="529"/>
      <c r="Y1383" s="323"/>
      <c r="Z1383" s="312">
        <f>E1383</f>
        <v>0</v>
      </c>
      <c r="AA1383" s="316">
        <f>SUM(Z1383/377.5+0.25)</f>
        <v>0.25</v>
      </c>
    </row>
    <row r="1384" spans="1:27" ht="51.75" thickBot="1" x14ac:dyDescent="0.45">
      <c r="A1384" s="319" t="s">
        <v>772</v>
      </c>
      <c r="B1384" s="344" t="s">
        <v>846</v>
      </c>
      <c r="C1384" s="528">
        <f>C1286</f>
        <v>0</v>
      </c>
      <c r="D1384" s="551">
        <f>C1384*12</f>
        <v>0</v>
      </c>
      <c r="E1384" s="456">
        <f t="shared" ref="E1384:E1389" si="527">D1384*0.25</f>
        <v>0</v>
      </c>
      <c r="F1384" s="358">
        <f t="shared" ref="F1384:F1389" si="528">E1384*0.99*1.03/147</f>
        <v>0</v>
      </c>
      <c r="G1384" s="548">
        <f t="shared" si="525"/>
        <v>0</v>
      </c>
      <c r="H1384" s="358" t="s">
        <v>18</v>
      </c>
      <c r="I1384" s="548">
        <f t="shared" si="526"/>
        <v>0</v>
      </c>
      <c r="J1384" s="358" t="s">
        <v>19</v>
      </c>
      <c r="K1384" s="358"/>
      <c r="L1384" s="358"/>
      <c r="M1384" s="358">
        <f t="shared" ref="M1384:M1389" si="529">(F1384*6989)/2880</f>
        <v>0</v>
      </c>
      <c r="N1384" s="358"/>
      <c r="O1384" s="358"/>
      <c r="P1384" s="358"/>
      <c r="Q1384" s="358" t="s">
        <v>18</v>
      </c>
      <c r="R1384" s="358"/>
      <c r="S1384" s="358" t="s">
        <v>19</v>
      </c>
      <c r="T1384" s="528">
        <v>3</v>
      </c>
      <c r="U1384" s="324">
        <f t="shared" ref="U1384:U1389" si="530">E1384/403*60</f>
        <v>0</v>
      </c>
      <c r="V1384" s="676"/>
      <c r="W1384" s="528"/>
      <c r="X1384" s="529"/>
      <c r="Y1384" s="323"/>
      <c r="Z1384" s="312">
        <f t="shared" si="496"/>
        <v>0</v>
      </c>
      <c r="AA1384" s="316">
        <f>SUM(E1384/398.4+0.25)</f>
        <v>0.25</v>
      </c>
    </row>
    <row r="1385" spans="1:27" ht="51.75" thickBot="1" x14ac:dyDescent="0.45">
      <c r="A1385" s="319" t="s">
        <v>772</v>
      </c>
      <c r="B1385" s="344" t="s">
        <v>847</v>
      </c>
      <c r="C1385" s="528">
        <f>C1287</f>
        <v>0</v>
      </c>
      <c r="D1385" s="551">
        <f>C1385*12</f>
        <v>0</v>
      </c>
      <c r="E1385" s="456">
        <f t="shared" si="527"/>
        <v>0</v>
      </c>
      <c r="F1385" s="358">
        <f t="shared" si="528"/>
        <v>0</v>
      </c>
      <c r="G1385" s="548">
        <f t="shared" si="525"/>
        <v>0</v>
      </c>
      <c r="H1385" s="358" t="s">
        <v>18</v>
      </c>
      <c r="I1385" s="548">
        <f t="shared" si="526"/>
        <v>0</v>
      </c>
      <c r="J1385" s="358" t="s">
        <v>19</v>
      </c>
      <c r="K1385" s="358"/>
      <c r="L1385" s="358"/>
      <c r="M1385" s="358">
        <f t="shared" si="529"/>
        <v>0</v>
      </c>
      <c r="N1385" s="358"/>
      <c r="O1385" s="358"/>
      <c r="P1385" s="358"/>
      <c r="Q1385" s="358" t="s">
        <v>18</v>
      </c>
      <c r="R1385" s="358"/>
      <c r="S1385" s="358" t="s">
        <v>19</v>
      </c>
      <c r="T1385" s="528">
        <v>3</v>
      </c>
      <c r="U1385" s="324">
        <f t="shared" si="530"/>
        <v>0</v>
      </c>
      <c r="V1385" s="676"/>
      <c r="W1385" s="528"/>
      <c r="X1385" s="529"/>
      <c r="Y1385" s="323"/>
      <c r="Z1385" s="312">
        <f t="shared" si="496"/>
        <v>0</v>
      </c>
      <c r="AA1385" s="316">
        <f>SUM(E1385/398.4+0.25)</f>
        <v>0.25</v>
      </c>
    </row>
    <row r="1386" spans="1:27" ht="51.75" thickBot="1" x14ac:dyDescent="0.45">
      <c r="A1386" s="319" t="s">
        <v>772</v>
      </c>
      <c r="B1386" s="371" t="s">
        <v>848</v>
      </c>
      <c r="C1386" s="528">
        <f>C2554</f>
        <v>0</v>
      </c>
      <c r="D1386" s="551">
        <f>C1386*12</f>
        <v>0</v>
      </c>
      <c r="E1386" s="456">
        <f t="shared" si="527"/>
        <v>0</v>
      </c>
      <c r="F1386" s="358">
        <f t="shared" si="528"/>
        <v>0</v>
      </c>
      <c r="G1386" s="548">
        <f t="shared" si="525"/>
        <v>0</v>
      </c>
      <c r="H1386" s="358" t="s">
        <v>18</v>
      </c>
      <c r="I1386" s="548">
        <f t="shared" si="526"/>
        <v>0</v>
      </c>
      <c r="J1386" s="358" t="s">
        <v>19</v>
      </c>
      <c r="K1386" s="358"/>
      <c r="L1386" s="358"/>
      <c r="M1386" s="358">
        <f t="shared" si="529"/>
        <v>0</v>
      </c>
      <c r="N1386" s="358"/>
      <c r="O1386" s="358"/>
      <c r="P1386" s="358"/>
      <c r="Q1386" s="358" t="s">
        <v>18</v>
      </c>
      <c r="R1386" s="358"/>
      <c r="S1386" s="358" t="s">
        <v>19</v>
      </c>
      <c r="T1386" s="528">
        <v>4</v>
      </c>
      <c r="U1386" s="324">
        <f t="shared" si="530"/>
        <v>0</v>
      </c>
      <c r="V1386" s="676"/>
      <c r="W1386" s="528"/>
      <c r="X1386" s="529"/>
      <c r="Y1386" s="323"/>
      <c r="Z1386" s="312">
        <f t="shared" si="496"/>
        <v>0</v>
      </c>
      <c r="AA1386" s="316">
        <f>SUM(Z1386/625+0.25)</f>
        <v>0.25</v>
      </c>
    </row>
    <row r="1387" spans="1:27" ht="51.75" thickBot="1" x14ac:dyDescent="0.45">
      <c r="A1387" s="319" t="s">
        <v>772</v>
      </c>
      <c r="B1387" s="879" t="s">
        <v>1211</v>
      </c>
      <c r="C1387" s="528">
        <f>C1288</f>
        <v>0</v>
      </c>
      <c r="D1387" s="551">
        <f>C1387*14</f>
        <v>0</v>
      </c>
      <c r="E1387" s="456">
        <f t="shared" si="527"/>
        <v>0</v>
      </c>
      <c r="F1387" s="358">
        <f t="shared" si="528"/>
        <v>0</v>
      </c>
      <c r="G1387" s="548">
        <f>INT(M1387)</f>
        <v>0</v>
      </c>
      <c r="H1387" s="358" t="s">
        <v>18</v>
      </c>
      <c r="I1387" s="548">
        <f>(M1387-G1387)*64</f>
        <v>0</v>
      </c>
      <c r="J1387" s="358" t="s">
        <v>19</v>
      </c>
      <c r="K1387" s="358"/>
      <c r="L1387" s="358"/>
      <c r="M1387" s="358">
        <f t="shared" si="529"/>
        <v>0</v>
      </c>
      <c r="N1387" s="358"/>
      <c r="O1387" s="358"/>
      <c r="P1387" s="358"/>
      <c r="Q1387" s="358" t="s">
        <v>18</v>
      </c>
      <c r="R1387" s="358"/>
      <c r="S1387" s="358" t="s">
        <v>19</v>
      </c>
      <c r="T1387" s="528">
        <v>3</v>
      </c>
      <c r="U1387" s="324">
        <f t="shared" si="530"/>
        <v>0</v>
      </c>
      <c r="V1387" s="676"/>
      <c r="W1387" s="528"/>
      <c r="X1387" s="529"/>
      <c r="Y1387" s="323"/>
      <c r="Z1387" s="312">
        <f>E1387</f>
        <v>0</v>
      </c>
      <c r="AA1387" s="316">
        <f>SUM(E1387/398.4+0.25)</f>
        <v>0.25</v>
      </c>
    </row>
    <row r="1388" spans="1:27" ht="51.75" thickBot="1" x14ac:dyDescent="0.45">
      <c r="A1388" s="319" t="s">
        <v>772</v>
      </c>
      <c r="B1388" s="879" t="s">
        <v>1213</v>
      </c>
      <c r="C1388" s="528">
        <f>C1289</f>
        <v>0</v>
      </c>
      <c r="D1388" s="551">
        <f>C1388*14</f>
        <v>0</v>
      </c>
      <c r="E1388" s="456">
        <f t="shared" si="527"/>
        <v>0</v>
      </c>
      <c r="F1388" s="358">
        <f t="shared" si="528"/>
        <v>0</v>
      </c>
      <c r="G1388" s="548">
        <f>INT(M1388)</f>
        <v>0</v>
      </c>
      <c r="H1388" s="358" t="s">
        <v>18</v>
      </c>
      <c r="I1388" s="548">
        <f>(M1388-G1388)*64</f>
        <v>0</v>
      </c>
      <c r="J1388" s="358" t="s">
        <v>19</v>
      </c>
      <c r="K1388" s="358"/>
      <c r="L1388" s="358"/>
      <c r="M1388" s="358">
        <f t="shared" si="529"/>
        <v>0</v>
      </c>
      <c r="N1388" s="358"/>
      <c r="O1388" s="358"/>
      <c r="P1388" s="358"/>
      <c r="Q1388" s="358" t="s">
        <v>18</v>
      </c>
      <c r="R1388" s="358"/>
      <c r="S1388" s="358" t="s">
        <v>19</v>
      </c>
      <c r="T1388" s="528">
        <v>3</v>
      </c>
      <c r="U1388" s="324">
        <f t="shared" si="530"/>
        <v>0</v>
      </c>
      <c r="V1388" s="676"/>
      <c r="W1388" s="528"/>
      <c r="X1388" s="529"/>
      <c r="Y1388" s="323"/>
      <c r="Z1388" s="312">
        <f>E1388</f>
        <v>0</v>
      </c>
      <c r="AA1388" s="316">
        <f>SUM(E1388/398.4+0.25)</f>
        <v>0.25</v>
      </c>
    </row>
    <row r="1389" spans="1:27" ht="51.75" thickBot="1" x14ac:dyDescent="0.45">
      <c r="A1389" s="319" t="s">
        <v>772</v>
      </c>
      <c r="B1389" s="880" t="s">
        <v>1212</v>
      </c>
      <c r="C1389" s="528">
        <f>C2557</f>
        <v>0</v>
      </c>
      <c r="D1389" s="551">
        <f>C1389*14</f>
        <v>0</v>
      </c>
      <c r="E1389" s="456">
        <f t="shared" si="527"/>
        <v>0</v>
      </c>
      <c r="F1389" s="358">
        <f t="shared" si="528"/>
        <v>0</v>
      </c>
      <c r="G1389" s="548">
        <f>INT(M1389)</f>
        <v>0</v>
      </c>
      <c r="H1389" s="358" t="s">
        <v>18</v>
      </c>
      <c r="I1389" s="548">
        <f>(M1389-G1389)*64</f>
        <v>0</v>
      </c>
      <c r="J1389" s="358" t="s">
        <v>19</v>
      </c>
      <c r="K1389" s="358"/>
      <c r="L1389" s="358"/>
      <c r="M1389" s="358">
        <f t="shared" si="529"/>
        <v>0</v>
      </c>
      <c r="N1389" s="358"/>
      <c r="O1389" s="358"/>
      <c r="P1389" s="358"/>
      <c r="Q1389" s="358" t="s">
        <v>18</v>
      </c>
      <c r="R1389" s="358"/>
      <c r="S1389" s="358" t="s">
        <v>19</v>
      </c>
      <c r="T1389" s="528">
        <v>4</v>
      </c>
      <c r="U1389" s="324">
        <f t="shared" si="530"/>
        <v>0</v>
      </c>
      <c r="V1389" s="676"/>
      <c r="W1389" s="528"/>
      <c r="X1389" s="529"/>
      <c r="Y1389" s="323"/>
      <c r="Z1389" s="312">
        <f>E1389</f>
        <v>0</v>
      </c>
      <c r="AA1389" s="316">
        <f>SUM(Z1389/625+0.25)</f>
        <v>0.25</v>
      </c>
    </row>
    <row r="1390" spans="1:27" ht="77.25" thickBot="1" x14ac:dyDescent="0.45">
      <c r="A1390" s="319" t="s">
        <v>772</v>
      </c>
      <c r="B1390" s="362" t="s">
        <v>1182</v>
      </c>
      <c r="C1390" s="528">
        <f>C1295</f>
        <v>0</v>
      </c>
      <c r="D1390" s="530">
        <f>C1390*10</f>
        <v>0</v>
      </c>
      <c r="E1390" s="460">
        <f>D1390*0.26</f>
        <v>0</v>
      </c>
      <c r="F1390" s="324">
        <f>E1390*0.99*1.02/170</f>
        <v>0</v>
      </c>
      <c r="G1390" s="324">
        <f>INT(M1390)</f>
        <v>0</v>
      </c>
      <c r="H1390" s="324" t="s">
        <v>18</v>
      </c>
      <c r="I1390" s="528">
        <f>(M1390-G1390)*64</f>
        <v>0</v>
      </c>
      <c r="J1390" s="324" t="s">
        <v>19</v>
      </c>
      <c r="K1390" s="324"/>
      <c r="L1390" s="324"/>
      <c r="M1390" s="324">
        <f>(F1390*8500)/3456</f>
        <v>0</v>
      </c>
      <c r="N1390" s="324"/>
      <c r="O1390" s="324"/>
      <c r="P1390" s="324"/>
      <c r="Q1390" s="324" t="s">
        <v>18</v>
      </c>
      <c r="R1390" s="324"/>
      <c r="S1390" s="324" t="s">
        <v>19</v>
      </c>
      <c r="T1390" s="528">
        <v>3</v>
      </c>
      <c r="U1390" s="324">
        <f>E1390/237*60</f>
        <v>0</v>
      </c>
      <c r="V1390" s="676"/>
      <c r="W1390" s="528"/>
      <c r="X1390" s="529"/>
      <c r="Y1390" s="323"/>
      <c r="Z1390" s="312">
        <f>E1390</f>
        <v>0</v>
      </c>
      <c r="AA1390" s="316">
        <f>SUM(Z1390/377.5+0.25)</f>
        <v>0.25</v>
      </c>
    </row>
    <row r="1391" spans="1:27" thickBot="1" x14ac:dyDescent="0.45">
      <c r="A1391" s="319"/>
      <c r="B1391" s="477" t="s">
        <v>989</v>
      </c>
      <c r="C1391" s="572"/>
      <c r="D1391" s="551"/>
      <c r="E1391" s="456"/>
      <c r="F1391" s="358"/>
      <c r="G1391" s="548"/>
      <c r="H1391" s="358"/>
      <c r="I1391" s="548"/>
      <c r="J1391" s="358"/>
      <c r="K1391" s="358"/>
      <c r="L1391" s="358"/>
      <c r="M1391" s="358"/>
      <c r="N1391" s="358"/>
      <c r="O1391" s="358"/>
      <c r="P1391" s="358"/>
      <c r="Q1391" s="358"/>
      <c r="R1391" s="358"/>
      <c r="S1391" s="358"/>
      <c r="T1391" s="528"/>
      <c r="U1391" s="324"/>
      <c r="V1391" s="676"/>
      <c r="W1391" s="528"/>
      <c r="X1391" s="529"/>
      <c r="Y1391" s="323"/>
    </row>
    <row r="1392" spans="1:27" ht="51.75" thickBot="1" x14ac:dyDescent="0.45">
      <c r="A1392" s="319" t="s">
        <v>772</v>
      </c>
      <c r="B1392" s="320" t="s">
        <v>614</v>
      </c>
      <c r="C1392" s="586">
        <f>C1931</f>
        <v>0</v>
      </c>
      <c r="D1392" s="533">
        <f>C1392*12</f>
        <v>0</v>
      </c>
      <c r="E1392" s="534">
        <f>D1392*0.2</f>
        <v>0</v>
      </c>
      <c r="F1392" s="321">
        <f>D1392*22*0.0086/24.7</f>
        <v>0</v>
      </c>
      <c r="G1392" s="533">
        <f>INT(M1392)</f>
        <v>0</v>
      </c>
      <c r="H1392" s="321" t="s">
        <v>18</v>
      </c>
      <c r="I1392" s="533">
        <f>(M1392-G1392)*64</f>
        <v>0</v>
      </c>
      <c r="J1392" s="321" t="s">
        <v>19</v>
      </c>
      <c r="K1392" s="324"/>
      <c r="L1392" s="324"/>
      <c r="M1392" s="321">
        <f>F1392*3024/16128</f>
        <v>0</v>
      </c>
      <c r="N1392" s="324"/>
      <c r="O1392" s="324"/>
      <c r="P1392" s="324"/>
      <c r="Q1392" s="324" t="s">
        <v>18</v>
      </c>
      <c r="R1392" s="324"/>
      <c r="S1392" s="324" t="s">
        <v>19</v>
      </c>
      <c r="T1392" s="528">
        <v>7</v>
      </c>
      <c r="U1392" s="324">
        <f>E1392/207*60</f>
        <v>0</v>
      </c>
      <c r="V1392" s="676"/>
      <c r="W1392" s="528"/>
      <c r="X1392" s="529"/>
      <c r="Y1392" s="360"/>
      <c r="Z1392" s="312">
        <f>E1392</f>
        <v>0</v>
      </c>
      <c r="AA1392" s="316">
        <f>AA1931</f>
        <v>0.25</v>
      </c>
    </row>
    <row r="1393" spans="1:27" ht="51.75" thickBot="1" x14ac:dyDescent="0.45">
      <c r="A1393" s="319" t="s">
        <v>772</v>
      </c>
      <c r="B1393" s="328" t="s">
        <v>615</v>
      </c>
      <c r="C1393" s="586">
        <f>C1932</f>
        <v>0</v>
      </c>
      <c r="D1393" s="533">
        <f>C1393*12</f>
        <v>0</v>
      </c>
      <c r="E1393" s="534">
        <f>D1393*0.2</f>
        <v>0</v>
      </c>
      <c r="F1393" s="321">
        <f>D1393*22*0.0086/24.7</f>
        <v>0</v>
      </c>
      <c r="G1393" s="533">
        <f>INT(M1393)</f>
        <v>0</v>
      </c>
      <c r="H1393" s="321" t="s">
        <v>18</v>
      </c>
      <c r="I1393" s="533">
        <f>(M1393-G1393)*64</f>
        <v>0</v>
      </c>
      <c r="J1393" s="321" t="s">
        <v>19</v>
      </c>
      <c r="K1393" s="324"/>
      <c r="L1393" s="324"/>
      <c r="M1393" s="321">
        <f>F1393*3024/16128</f>
        <v>0</v>
      </c>
      <c r="N1393" s="324"/>
      <c r="O1393" s="324"/>
      <c r="P1393" s="324"/>
      <c r="Q1393" s="324" t="s">
        <v>18</v>
      </c>
      <c r="R1393" s="324"/>
      <c r="S1393" s="324" t="s">
        <v>19</v>
      </c>
      <c r="T1393" s="528">
        <v>7</v>
      </c>
      <c r="U1393" s="324">
        <f>E1393/207*60</f>
        <v>0</v>
      </c>
      <c r="V1393" s="689"/>
      <c r="W1393" s="561"/>
      <c r="X1393" s="562"/>
      <c r="Y1393" s="360"/>
      <c r="Z1393" s="312">
        <f>E1393</f>
        <v>0</v>
      </c>
      <c r="AA1393" s="316">
        <f>AA1932</f>
        <v>0.25</v>
      </c>
    </row>
    <row r="1394" spans="1:27" thickBot="1" x14ac:dyDescent="0.45">
      <c r="A1394" s="329"/>
      <c r="B1394" s="344"/>
      <c r="C1394" s="536"/>
      <c r="D1394" s="528"/>
      <c r="E1394" s="460"/>
      <c r="F1394" s="324"/>
      <c r="G1394" s="528"/>
      <c r="H1394" s="324"/>
      <c r="I1394" s="528"/>
      <c r="J1394" s="324"/>
      <c r="K1394" s="324"/>
      <c r="L1394" s="324"/>
      <c r="M1394" s="324"/>
      <c r="N1394" s="324"/>
      <c r="O1394" s="324"/>
      <c r="P1394" s="324"/>
      <c r="Q1394" s="324"/>
      <c r="R1394" s="324"/>
      <c r="S1394" s="324"/>
      <c r="T1394" s="528"/>
      <c r="U1394" s="324"/>
      <c r="V1394" s="676"/>
      <c r="W1394" s="528"/>
      <c r="X1394" s="529"/>
      <c r="Y1394" s="323"/>
    </row>
    <row r="1395" spans="1:27" thickBot="1" x14ac:dyDescent="0.45">
      <c r="A1395" s="329"/>
      <c r="B1395" s="344"/>
      <c r="C1395" s="536"/>
      <c r="D1395" s="528"/>
      <c r="E1395" s="460"/>
      <c r="F1395" s="324"/>
      <c r="G1395" s="528"/>
      <c r="H1395" s="324"/>
      <c r="I1395" s="528"/>
      <c r="J1395" s="324"/>
      <c r="K1395" s="324"/>
      <c r="L1395" s="324"/>
      <c r="M1395" s="324"/>
      <c r="N1395" s="324"/>
      <c r="O1395" s="324"/>
      <c r="P1395" s="324"/>
      <c r="Q1395" s="324"/>
      <c r="R1395" s="324"/>
      <c r="S1395" s="324"/>
      <c r="T1395" s="528"/>
      <c r="U1395" s="324"/>
      <c r="V1395" s="676"/>
      <c r="W1395" s="528"/>
      <c r="X1395" s="529"/>
      <c r="Y1395" s="323"/>
    </row>
    <row r="1396" spans="1:27" ht="53.25" thickBot="1" x14ac:dyDescent="0.45">
      <c r="A1396" s="319"/>
      <c r="B1396" s="394" t="s">
        <v>695</v>
      </c>
      <c r="C1396" s="537"/>
      <c r="D1396" s="537"/>
      <c r="E1396" s="496"/>
      <c r="F1396" s="354"/>
      <c r="G1396" s="537"/>
      <c r="H1396" s="354"/>
      <c r="I1396" s="537"/>
      <c r="J1396" s="354"/>
      <c r="K1396" s="354"/>
      <c r="L1396" s="354"/>
      <c r="M1396" s="354"/>
      <c r="N1396" s="354"/>
      <c r="O1396" s="354"/>
      <c r="P1396" s="354"/>
      <c r="Q1396" s="354"/>
      <c r="R1396" s="354"/>
      <c r="S1396" s="354"/>
      <c r="T1396" s="537"/>
      <c r="U1396" s="354"/>
      <c r="V1396" s="682" t="s">
        <v>697</v>
      </c>
      <c r="W1396" s="537"/>
      <c r="X1396" s="540"/>
      <c r="Y1396" s="323"/>
    </row>
    <row r="1397" spans="1:27" thickBot="1" x14ac:dyDescent="0.45">
      <c r="A1397" s="319"/>
      <c r="B1397" s="319"/>
      <c r="C1397" s="528"/>
      <c r="D1397" s="528"/>
      <c r="E1397" s="460"/>
      <c r="F1397" s="324"/>
      <c r="G1397" s="528"/>
      <c r="H1397" s="324"/>
      <c r="I1397" s="528"/>
      <c r="J1397" s="324"/>
      <c r="K1397" s="324"/>
      <c r="L1397" s="324"/>
      <c r="M1397" s="324"/>
      <c r="N1397" s="324"/>
      <c r="O1397" s="324"/>
      <c r="P1397" s="528"/>
      <c r="Q1397" s="324"/>
      <c r="S1397" s="514"/>
      <c r="T1397" s="528"/>
      <c r="V1397" s="676"/>
      <c r="W1397" s="528"/>
      <c r="X1397" s="529"/>
      <c r="Y1397" s="323"/>
    </row>
    <row r="1398" spans="1:27" thickBot="1" x14ac:dyDescent="0.45">
      <c r="A1398" s="329"/>
      <c r="B1398" s="319"/>
      <c r="C1398" s="528"/>
      <c r="D1398" s="528"/>
      <c r="E1398" s="460"/>
      <c r="F1398" s="324"/>
      <c r="G1398" s="528"/>
      <c r="H1398" s="324"/>
      <c r="I1398" s="528"/>
      <c r="J1398" s="324"/>
      <c r="K1398" s="324"/>
      <c r="L1398" s="324"/>
      <c r="M1398" s="324"/>
      <c r="N1398" s="324"/>
      <c r="O1398" s="324"/>
      <c r="P1398" s="528"/>
      <c r="Q1398" s="324"/>
      <c r="S1398" s="514"/>
      <c r="T1398" s="528"/>
      <c r="V1398" s="676"/>
      <c r="W1398" s="528"/>
      <c r="X1398" s="529"/>
      <c r="Y1398" s="323"/>
    </row>
    <row r="1399" spans="1:27" thickBot="1" x14ac:dyDescent="0.45">
      <c r="A1399" s="329"/>
      <c r="B1399" s="382" t="s">
        <v>147</v>
      </c>
      <c r="C1399" s="537"/>
      <c r="D1399" s="537"/>
      <c r="E1399" s="496">
        <f>SUM(E1306:E1390)</f>
        <v>0</v>
      </c>
      <c r="F1399" s="324"/>
      <c r="G1399" s="528"/>
      <c r="H1399" s="324"/>
      <c r="I1399" s="528"/>
      <c r="J1399" s="324"/>
      <c r="K1399" s="324"/>
      <c r="L1399" s="324"/>
      <c r="M1399" s="324"/>
      <c r="N1399" s="324"/>
      <c r="O1399" s="324"/>
      <c r="P1399" s="324"/>
      <c r="Q1399" s="324"/>
      <c r="R1399" s="324"/>
      <c r="S1399" s="324"/>
      <c r="T1399" s="528"/>
      <c r="U1399" s="324"/>
      <c r="V1399" s="676"/>
      <c r="W1399" s="528"/>
      <c r="X1399" s="529"/>
      <c r="Y1399" s="323"/>
    </row>
    <row r="1400" spans="1:27" thickBot="1" x14ac:dyDescent="0.45">
      <c r="A1400" s="329"/>
      <c r="B1400" s="382" t="s">
        <v>709</v>
      </c>
      <c r="C1400" s="537"/>
      <c r="D1400" s="537"/>
      <c r="E1400" s="496">
        <f>E1392+E1393</f>
        <v>0</v>
      </c>
      <c r="F1400" s="324"/>
      <c r="G1400" s="528"/>
      <c r="H1400" s="324"/>
      <c r="I1400" s="528"/>
      <c r="J1400" s="324"/>
      <c r="K1400" s="324"/>
      <c r="L1400" s="324"/>
      <c r="M1400" s="324"/>
      <c r="N1400" s="324"/>
      <c r="O1400" s="324"/>
      <c r="P1400" s="324"/>
      <c r="Q1400" s="324"/>
      <c r="R1400" s="324"/>
      <c r="S1400" s="324"/>
      <c r="T1400" s="528"/>
      <c r="U1400" s="324"/>
      <c r="V1400" s="676"/>
      <c r="W1400" s="528"/>
      <c r="X1400" s="529"/>
      <c r="Y1400" s="323"/>
    </row>
    <row r="1401" spans="1:27" thickBot="1" x14ac:dyDescent="0.45">
      <c r="A1401" s="350"/>
      <c r="B1401" s="356"/>
      <c r="C1401" s="528"/>
      <c r="D1401" s="528"/>
      <c r="E1401" s="460"/>
      <c r="F1401" s="324"/>
      <c r="G1401" s="528"/>
      <c r="H1401" s="324"/>
      <c r="I1401" s="528"/>
      <c r="J1401" s="324"/>
      <c r="K1401" s="324"/>
      <c r="L1401" s="324"/>
      <c r="M1401" s="324"/>
      <c r="N1401" s="324"/>
      <c r="O1401" s="324"/>
      <c r="P1401" s="324"/>
      <c r="Q1401" s="324"/>
      <c r="R1401" s="324"/>
      <c r="S1401" s="324"/>
      <c r="T1401" s="528"/>
      <c r="U1401" s="324"/>
      <c r="V1401" s="676"/>
      <c r="W1401" s="528"/>
      <c r="X1401" s="529"/>
      <c r="Y1401" s="323"/>
    </row>
    <row r="1402" spans="1:27" thickBot="1" x14ac:dyDescent="0.45">
      <c r="A1402" s="350"/>
      <c r="B1402" s="356"/>
      <c r="C1402" s="528"/>
      <c r="D1402" s="528"/>
      <c r="E1402" s="460"/>
      <c r="F1402" s="324"/>
      <c r="G1402" s="528"/>
      <c r="H1402" s="324"/>
      <c r="I1402" s="528"/>
      <c r="J1402" s="324"/>
      <c r="K1402" s="324"/>
      <c r="L1402" s="324"/>
      <c r="M1402" s="324"/>
      <c r="N1402" s="324"/>
      <c r="O1402" s="324"/>
      <c r="P1402" s="324"/>
      <c r="Q1402" s="324"/>
      <c r="R1402" s="324"/>
      <c r="S1402" s="324"/>
      <c r="T1402" s="528"/>
      <c r="U1402" s="324"/>
      <c r="V1402" s="676"/>
      <c r="W1402" s="528"/>
      <c r="X1402" s="529"/>
      <c r="Y1402" s="323"/>
    </row>
    <row r="1403" spans="1:27" thickBot="1" x14ac:dyDescent="0.45">
      <c r="A1403" s="829"/>
      <c r="B1403" s="305" t="s">
        <v>829</v>
      </c>
      <c r="C1403" s="559"/>
      <c r="D1403" s="559"/>
      <c r="E1403" s="510"/>
      <c r="F1403" s="471"/>
      <c r="G1403" s="559"/>
      <c r="H1403" s="471"/>
      <c r="I1403" s="559"/>
      <c r="J1403" s="471"/>
      <c r="K1403" s="471"/>
      <c r="L1403" s="471"/>
      <c r="M1403" s="471"/>
      <c r="N1403" s="471"/>
      <c r="O1403" s="471"/>
      <c r="P1403" s="471"/>
      <c r="Q1403" s="471"/>
      <c r="R1403" s="471"/>
      <c r="S1403" s="471"/>
      <c r="T1403" s="559"/>
      <c r="U1403" s="471"/>
      <c r="V1403" s="687"/>
      <c r="W1403" s="471"/>
      <c r="X1403" s="471"/>
      <c r="Y1403" s="373"/>
      <c r="AA1403" s="391" t="s">
        <v>676</v>
      </c>
    </row>
    <row r="1404" spans="1:27" thickBot="1" x14ac:dyDescent="0.45">
      <c r="A1404" s="830"/>
      <c r="B1404" s="800" t="s">
        <v>1218</v>
      </c>
      <c r="C1404" s="559"/>
      <c r="D1404" s="559"/>
      <c r="E1404" s="510"/>
      <c r="F1404" s="471"/>
      <c r="G1404" s="559"/>
      <c r="H1404" s="471"/>
      <c r="I1404" s="559"/>
      <c r="J1404" s="471"/>
      <c r="K1404" s="471"/>
      <c r="L1404" s="471"/>
      <c r="M1404" s="471"/>
      <c r="N1404" s="471"/>
      <c r="O1404" s="471"/>
      <c r="P1404" s="471"/>
      <c r="Q1404" s="471"/>
      <c r="R1404" s="471"/>
      <c r="S1404" s="471"/>
      <c r="T1404" s="559"/>
      <c r="U1404" s="471"/>
      <c r="V1404" s="687"/>
      <c r="W1404" s="471"/>
      <c r="X1404" s="471"/>
      <c r="Y1404" s="882"/>
      <c r="AA1404" s="391"/>
    </row>
    <row r="1405" spans="1:27" outlineLevel="1" thickBot="1" x14ac:dyDescent="0.45">
      <c r="A1405" s="830"/>
      <c r="B1405" s="883" t="s">
        <v>294</v>
      </c>
      <c r="C1405" s="528"/>
      <c r="D1405" s="528"/>
      <c r="E1405" s="460"/>
      <c r="F1405" s="324"/>
      <c r="G1405" s="528"/>
      <c r="H1405" s="324"/>
      <c r="I1405" s="528"/>
      <c r="J1405" s="324"/>
      <c r="K1405" s="324"/>
      <c r="L1405" s="324"/>
      <c r="M1405" s="324"/>
      <c r="N1405" s="324"/>
      <c r="O1405" s="324"/>
      <c r="P1405" s="324"/>
      <c r="Q1405" s="324"/>
      <c r="R1405" s="324"/>
      <c r="S1405" s="324"/>
      <c r="T1405" s="528"/>
      <c r="U1405" s="324"/>
      <c r="V1405" s="676"/>
      <c r="W1405" s="324"/>
      <c r="X1405" s="529"/>
      <c r="Y1405" s="323"/>
    </row>
    <row r="1406" spans="1:27" ht="105.75" outlineLevel="1" thickBot="1" x14ac:dyDescent="0.45">
      <c r="A1406" s="319" t="s">
        <v>830</v>
      </c>
      <c r="B1406" s="799" t="s">
        <v>609</v>
      </c>
      <c r="C1406" s="586"/>
      <c r="D1406" s="533"/>
      <c r="E1406" s="534">
        <f t="shared" ref="E1406:E1412" si="531">C1406*2</f>
        <v>0</v>
      </c>
      <c r="F1406" s="321">
        <f t="shared" ref="F1406:F1411" si="532">E1406*0.76*1.034/20</f>
        <v>0</v>
      </c>
      <c r="G1406" s="533">
        <f t="shared" ref="G1406:G1419" si="533">INT(M1406)</f>
        <v>0</v>
      </c>
      <c r="H1406" s="321" t="s">
        <v>18</v>
      </c>
      <c r="I1406" s="533">
        <f t="shared" ref="I1406:I1413" si="534">(M1406-G1406)*64</f>
        <v>0</v>
      </c>
      <c r="J1406" s="321" t="s">
        <v>19</v>
      </c>
      <c r="K1406" s="324"/>
      <c r="L1406" s="324"/>
      <c r="M1406" s="321">
        <f>F1406*1008/8064</f>
        <v>0</v>
      </c>
      <c r="N1406" s="324"/>
      <c r="O1406" s="324"/>
      <c r="P1406" s="324"/>
      <c r="Q1406" s="324" t="s">
        <v>18</v>
      </c>
      <c r="R1406" s="324"/>
      <c r="S1406" s="324" t="s">
        <v>19</v>
      </c>
      <c r="T1406" s="528">
        <v>2</v>
      </c>
      <c r="U1406" s="324">
        <f t="shared" ref="U1406:U1411" si="535">E1406/272*60</f>
        <v>0</v>
      </c>
      <c r="V1406" s="676"/>
      <c r="W1406" s="528"/>
      <c r="X1406" s="529"/>
      <c r="Y1406" s="360" t="s">
        <v>990</v>
      </c>
      <c r="Z1406" s="312">
        <f t="shared" ref="Z1406:Z1411" si="536">E1406</f>
        <v>0</v>
      </c>
      <c r="AA1406" s="316">
        <f t="shared" ref="AA1406:AA1411" si="537">G1406/2.5+0.25</f>
        <v>0.25</v>
      </c>
    </row>
    <row r="1407" spans="1:27" ht="105.75" outlineLevel="1" thickBot="1" x14ac:dyDescent="0.45">
      <c r="A1407" s="319" t="s">
        <v>830</v>
      </c>
      <c r="B1407" s="799" t="s">
        <v>610</v>
      </c>
      <c r="C1407" s="586"/>
      <c r="D1407" s="533"/>
      <c r="E1407" s="534">
        <f t="shared" si="531"/>
        <v>0</v>
      </c>
      <c r="F1407" s="321">
        <f t="shared" si="532"/>
        <v>0</v>
      </c>
      <c r="G1407" s="533">
        <f t="shared" si="533"/>
        <v>0</v>
      </c>
      <c r="H1407" s="321" t="s">
        <v>18</v>
      </c>
      <c r="I1407" s="533">
        <f t="shared" si="534"/>
        <v>0</v>
      </c>
      <c r="J1407" s="321" t="s">
        <v>19</v>
      </c>
      <c r="K1407" s="324"/>
      <c r="L1407" s="324"/>
      <c r="M1407" s="321">
        <f>F1407*1008/8064</f>
        <v>0</v>
      </c>
      <c r="N1407" s="324"/>
      <c r="O1407" s="324"/>
      <c r="P1407" s="324"/>
      <c r="Q1407" s="324" t="s">
        <v>18</v>
      </c>
      <c r="R1407" s="324"/>
      <c r="S1407" s="324" t="s">
        <v>19</v>
      </c>
      <c r="T1407" s="528">
        <v>2</v>
      </c>
      <c r="U1407" s="324">
        <f t="shared" si="535"/>
        <v>0</v>
      </c>
      <c r="V1407" s="676"/>
      <c r="W1407" s="528"/>
      <c r="X1407" s="529"/>
      <c r="Y1407" s="360" t="s">
        <v>990</v>
      </c>
      <c r="Z1407" s="312">
        <f t="shared" si="536"/>
        <v>0</v>
      </c>
      <c r="AA1407" s="316">
        <f t="shared" si="537"/>
        <v>0.25</v>
      </c>
    </row>
    <row r="1408" spans="1:27" ht="105.75" outlineLevel="1" thickBot="1" x14ac:dyDescent="0.45">
      <c r="A1408" s="319" t="s">
        <v>830</v>
      </c>
      <c r="B1408" s="799" t="s">
        <v>742</v>
      </c>
      <c r="C1408" s="586"/>
      <c r="D1408" s="533"/>
      <c r="E1408" s="534">
        <f t="shared" si="531"/>
        <v>0</v>
      </c>
      <c r="F1408" s="321">
        <f t="shared" si="532"/>
        <v>0</v>
      </c>
      <c r="G1408" s="533">
        <f t="shared" si="533"/>
        <v>0</v>
      </c>
      <c r="H1408" s="321" t="s">
        <v>18</v>
      </c>
      <c r="I1408" s="533">
        <f t="shared" si="534"/>
        <v>0</v>
      </c>
      <c r="J1408" s="321" t="s">
        <v>19</v>
      </c>
      <c r="K1408" s="324"/>
      <c r="L1408" s="324"/>
      <c r="M1408" s="321">
        <f>F1408*1008/8064</f>
        <v>0</v>
      </c>
      <c r="N1408" s="324"/>
      <c r="O1408" s="324"/>
      <c r="P1408" s="324"/>
      <c r="Q1408" s="324" t="s">
        <v>18</v>
      </c>
      <c r="R1408" s="324"/>
      <c r="S1408" s="324" t="s">
        <v>19</v>
      </c>
      <c r="T1408" s="528">
        <v>3</v>
      </c>
      <c r="U1408" s="324">
        <f t="shared" si="535"/>
        <v>0</v>
      </c>
      <c r="V1408" s="676"/>
      <c r="W1408" s="528"/>
      <c r="X1408" s="529"/>
      <c r="Y1408" s="360" t="s">
        <v>990</v>
      </c>
      <c r="Z1408" s="312">
        <f t="shared" si="536"/>
        <v>0</v>
      </c>
      <c r="AA1408" s="316">
        <f t="shared" si="537"/>
        <v>0.25</v>
      </c>
    </row>
    <row r="1409" spans="1:29" ht="105.75" outlineLevel="1" thickBot="1" x14ac:dyDescent="0.45">
      <c r="A1409" s="319" t="s">
        <v>830</v>
      </c>
      <c r="B1409" s="799" t="s">
        <v>842</v>
      </c>
      <c r="C1409" s="586"/>
      <c r="D1409" s="533"/>
      <c r="E1409" s="534">
        <f t="shared" si="531"/>
        <v>0</v>
      </c>
      <c r="F1409" s="321">
        <f t="shared" si="532"/>
        <v>0</v>
      </c>
      <c r="G1409" s="533">
        <f t="shared" si="533"/>
        <v>0</v>
      </c>
      <c r="H1409" s="321" t="s">
        <v>18</v>
      </c>
      <c r="I1409" s="533">
        <f t="shared" si="534"/>
        <v>0</v>
      </c>
      <c r="J1409" s="321" t="s">
        <v>19</v>
      </c>
      <c r="K1409" s="324"/>
      <c r="L1409" s="324"/>
      <c r="M1409" s="321">
        <f>F1409*1008/8064</f>
        <v>0</v>
      </c>
      <c r="N1409" s="324"/>
      <c r="O1409" s="324"/>
      <c r="P1409" s="324"/>
      <c r="Q1409" s="324" t="s">
        <v>18</v>
      </c>
      <c r="R1409" s="324"/>
      <c r="S1409" s="324" t="s">
        <v>19</v>
      </c>
      <c r="T1409" s="528">
        <v>2</v>
      </c>
      <c r="U1409" s="324">
        <f t="shared" si="535"/>
        <v>0</v>
      </c>
      <c r="V1409" s="676"/>
      <c r="W1409" s="528"/>
      <c r="X1409" s="529"/>
      <c r="Y1409" s="360" t="s">
        <v>990</v>
      </c>
      <c r="Z1409" s="312">
        <f t="shared" si="536"/>
        <v>0</v>
      </c>
      <c r="AA1409" s="316">
        <f t="shared" si="537"/>
        <v>0.25</v>
      </c>
    </row>
    <row r="1410" spans="1:29" ht="105.75" outlineLevel="1" thickBot="1" x14ac:dyDescent="0.45">
      <c r="A1410" s="319" t="s">
        <v>830</v>
      </c>
      <c r="B1410" s="799" t="s">
        <v>611</v>
      </c>
      <c r="C1410" s="586"/>
      <c r="D1410" s="533"/>
      <c r="E1410" s="534">
        <f t="shared" si="531"/>
        <v>0</v>
      </c>
      <c r="F1410" s="321">
        <f t="shared" si="532"/>
        <v>0</v>
      </c>
      <c r="G1410" s="533">
        <f t="shared" si="533"/>
        <v>0</v>
      </c>
      <c r="H1410" s="321" t="s">
        <v>18</v>
      </c>
      <c r="I1410" s="533">
        <f t="shared" si="534"/>
        <v>0</v>
      </c>
      <c r="J1410" s="321" t="s">
        <v>19</v>
      </c>
      <c r="K1410" s="324"/>
      <c r="L1410" s="324"/>
      <c r="M1410" s="321">
        <f>F1410*1008/8064</f>
        <v>0</v>
      </c>
      <c r="N1410" s="324"/>
      <c r="O1410" s="324"/>
      <c r="P1410" s="324"/>
      <c r="Q1410" s="324" t="s">
        <v>18</v>
      </c>
      <c r="R1410" s="324"/>
      <c r="S1410" s="324" t="s">
        <v>19</v>
      </c>
      <c r="T1410" s="528">
        <v>3</v>
      </c>
      <c r="U1410" s="324">
        <f t="shared" si="535"/>
        <v>0</v>
      </c>
      <c r="V1410" s="676"/>
      <c r="W1410" s="528"/>
      <c r="X1410" s="529"/>
      <c r="Y1410" s="360" t="s">
        <v>990</v>
      </c>
      <c r="Z1410" s="312">
        <f t="shared" si="536"/>
        <v>0</v>
      </c>
      <c r="AA1410" s="316">
        <f t="shared" si="537"/>
        <v>0.25</v>
      </c>
    </row>
    <row r="1411" spans="1:29" ht="105.75" outlineLevel="1" thickBot="1" x14ac:dyDescent="0.45">
      <c r="A1411" s="319" t="s">
        <v>830</v>
      </c>
      <c r="B1411" s="799" t="s">
        <v>612</v>
      </c>
      <c r="C1411" s="586"/>
      <c r="D1411" s="528"/>
      <c r="E1411" s="460">
        <f t="shared" si="531"/>
        <v>0</v>
      </c>
      <c r="F1411" s="324">
        <f t="shared" si="532"/>
        <v>0</v>
      </c>
      <c r="G1411" s="528">
        <f t="shared" si="533"/>
        <v>0</v>
      </c>
      <c r="H1411" s="324" t="s">
        <v>18</v>
      </c>
      <c r="I1411" s="528">
        <f t="shared" si="534"/>
        <v>0</v>
      </c>
      <c r="J1411" s="324" t="s">
        <v>19</v>
      </c>
      <c r="K1411" s="324"/>
      <c r="L1411" s="324"/>
      <c r="M1411" s="324">
        <f>F1411*2016/16128</f>
        <v>0</v>
      </c>
      <c r="N1411" s="324"/>
      <c r="O1411" s="324"/>
      <c r="P1411" s="324"/>
      <c r="Q1411" s="324" t="s">
        <v>18</v>
      </c>
      <c r="R1411" s="324"/>
      <c r="S1411" s="324" t="s">
        <v>19</v>
      </c>
      <c r="T1411" s="528">
        <v>3</v>
      </c>
      <c r="U1411" s="324">
        <f t="shared" si="535"/>
        <v>0</v>
      </c>
      <c r="V1411" s="676"/>
      <c r="W1411" s="528"/>
      <c r="X1411" s="529"/>
      <c r="Y1411" s="360" t="s">
        <v>990</v>
      </c>
      <c r="Z1411" s="312">
        <f t="shared" si="536"/>
        <v>0</v>
      </c>
      <c r="AA1411" s="316">
        <f t="shared" si="537"/>
        <v>0.25</v>
      </c>
    </row>
    <row r="1412" spans="1:29" s="453" customFormat="1" ht="105.75" outlineLevel="1" thickBot="1" x14ac:dyDescent="0.45">
      <c r="A1412" s="319" t="s">
        <v>830</v>
      </c>
      <c r="B1412" s="862" t="s">
        <v>1044</v>
      </c>
      <c r="C1412" s="525"/>
      <c r="D1412" s="626"/>
      <c r="E1412" s="358">
        <f t="shared" si="531"/>
        <v>0</v>
      </c>
      <c r="F1412" s="358">
        <f>E1412*1.03*0.82/147</f>
        <v>0</v>
      </c>
      <c r="G1412" s="548">
        <f t="shared" si="533"/>
        <v>0</v>
      </c>
      <c r="H1412" s="358"/>
      <c r="I1412" s="548">
        <f t="shared" si="534"/>
        <v>0</v>
      </c>
      <c r="J1412" s="358" t="s">
        <v>19</v>
      </c>
      <c r="K1412" s="358"/>
      <c r="L1412" s="358"/>
      <c r="M1412" s="358">
        <f>F1412*147/0.46/64</f>
        <v>0</v>
      </c>
      <c r="N1412" s="631"/>
      <c r="O1412" s="631"/>
      <c r="P1412" s="631"/>
      <c r="Q1412" s="324" t="s">
        <v>18</v>
      </c>
      <c r="R1412" s="324"/>
      <c r="S1412" s="324" t="s">
        <v>19</v>
      </c>
      <c r="T1412" s="528">
        <v>3</v>
      </c>
      <c r="U1412" s="461"/>
      <c r="V1412" s="688"/>
      <c r="W1412" s="525"/>
      <c r="X1412" s="560"/>
      <c r="Y1412" s="360"/>
      <c r="Z1412" s="312">
        <f>E1412</f>
        <v>0</v>
      </c>
      <c r="AA1412" s="316">
        <f>G1412/2.8+0.25</f>
        <v>0.25</v>
      </c>
      <c r="AB1412" s="310"/>
    </row>
    <row r="1413" spans="1:29" s="453" customFormat="1" ht="105.75" outlineLevel="1" thickBot="1" x14ac:dyDescent="0.45">
      <c r="A1413" s="319" t="s">
        <v>830</v>
      </c>
      <c r="B1413" s="862" t="s">
        <v>1084</v>
      </c>
      <c r="C1413" s="525"/>
      <c r="D1413" s="626"/>
      <c r="E1413" s="358">
        <f>C1413*0.4</f>
        <v>0</v>
      </c>
      <c r="F1413" s="358">
        <f>E1413*1.03*0.82/147</f>
        <v>0</v>
      </c>
      <c r="G1413" s="548">
        <f t="shared" si="533"/>
        <v>0</v>
      </c>
      <c r="H1413" s="358"/>
      <c r="I1413" s="548">
        <f t="shared" si="534"/>
        <v>0</v>
      </c>
      <c r="J1413" s="358" t="s">
        <v>19</v>
      </c>
      <c r="K1413" s="358"/>
      <c r="L1413" s="358"/>
      <c r="M1413" s="358">
        <f>F1413*147/0.46/64</f>
        <v>0</v>
      </c>
      <c r="N1413" s="631"/>
      <c r="O1413" s="631"/>
      <c r="P1413" s="631"/>
      <c r="Q1413" s="324" t="s">
        <v>18</v>
      </c>
      <c r="R1413" s="324"/>
      <c r="S1413" s="324" t="s">
        <v>19</v>
      </c>
      <c r="T1413" s="528">
        <v>3</v>
      </c>
      <c r="U1413" s="461"/>
      <c r="V1413" s="688"/>
      <c r="W1413" s="525"/>
      <c r="X1413" s="560"/>
      <c r="Y1413" s="360"/>
      <c r="Z1413" s="312">
        <f>E1413</f>
        <v>0</v>
      </c>
      <c r="AA1413" s="316">
        <f>G1413/2.8+0.25</f>
        <v>0.25</v>
      </c>
      <c r="AB1413" s="310"/>
    </row>
    <row r="1414" spans="1:29" s="327" customFormat="1" ht="105.75" outlineLevel="1" thickBot="1" x14ac:dyDescent="0.45">
      <c r="A1414" s="319" t="s">
        <v>830</v>
      </c>
      <c r="B1414" s="884" t="s">
        <v>816</v>
      </c>
      <c r="C1414" s="586"/>
      <c r="D1414" s="535">
        <f>C1414*10</f>
        <v>0</v>
      </c>
      <c r="E1414" s="534">
        <f>D1414*0.35</f>
        <v>0</v>
      </c>
      <c r="F1414" s="321">
        <f>E1414*0.8*1/20</f>
        <v>0</v>
      </c>
      <c r="G1414" s="533">
        <f t="shared" si="533"/>
        <v>0</v>
      </c>
      <c r="H1414" s="321" t="s">
        <v>18</v>
      </c>
      <c r="I1414" s="533">
        <f t="shared" ref="I1414:I1419" si="538">(M1414-G1414)*64</f>
        <v>0</v>
      </c>
      <c r="J1414" s="321" t="s">
        <v>19</v>
      </c>
      <c r="K1414" s="321"/>
      <c r="L1414" s="321"/>
      <c r="M1414" s="321">
        <f>F1414*2016/16128</f>
        <v>0</v>
      </c>
      <c r="N1414" s="321"/>
      <c r="O1414" s="321"/>
      <c r="P1414" s="321"/>
      <c r="Q1414" s="321" t="s">
        <v>18</v>
      </c>
      <c r="R1414" s="321"/>
      <c r="S1414" s="321" t="s">
        <v>19</v>
      </c>
      <c r="T1414" s="533">
        <v>3</v>
      </c>
      <c r="U1414" s="321">
        <f>E1414/272*60</f>
        <v>0</v>
      </c>
      <c r="V1414" s="683"/>
      <c r="W1414" s="533"/>
      <c r="X1414" s="321"/>
      <c r="Y1414" s="360" t="s">
        <v>990</v>
      </c>
      <c r="Z1414" s="312">
        <f t="shared" ref="Z1414:Z1419" si="539">E1414</f>
        <v>0</v>
      </c>
      <c r="AA1414" s="316">
        <f t="shared" ref="AA1414:AA1419" si="540">G1414/2.5+0.25</f>
        <v>0.25</v>
      </c>
    </row>
    <row r="1415" spans="1:29" ht="105.75" outlineLevel="1" thickBot="1" x14ac:dyDescent="0.45">
      <c r="A1415" s="319" t="s">
        <v>830</v>
      </c>
      <c r="B1415" s="799" t="s">
        <v>1039</v>
      </c>
      <c r="C1415" s="586"/>
      <c r="D1415" s="533">
        <f>C1415*16</f>
        <v>0</v>
      </c>
      <c r="E1415" s="534">
        <f>D1415*0.25</f>
        <v>0</v>
      </c>
      <c r="F1415" s="321">
        <f>E1415*0.8*1/20</f>
        <v>0</v>
      </c>
      <c r="G1415" s="533">
        <f t="shared" si="533"/>
        <v>0</v>
      </c>
      <c r="H1415" s="321" t="s">
        <v>18</v>
      </c>
      <c r="I1415" s="533">
        <f t="shared" si="538"/>
        <v>0</v>
      </c>
      <c r="J1415" s="321" t="s">
        <v>19</v>
      </c>
      <c r="K1415" s="324"/>
      <c r="L1415" s="324"/>
      <c r="M1415" s="321">
        <f>F1415*2016/16128</f>
        <v>0</v>
      </c>
      <c r="N1415" s="324"/>
      <c r="O1415" s="324"/>
      <c r="P1415" s="324"/>
      <c r="Q1415" s="324" t="s">
        <v>18</v>
      </c>
      <c r="R1415" s="324"/>
      <c r="S1415" s="324" t="s">
        <v>19</v>
      </c>
      <c r="T1415" s="528">
        <v>3</v>
      </c>
      <c r="U1415" s="324">
        <f>E1415/272*60</f>
        <v>0</v>
      </c>
      <c r="V1415" s="676"/>
      <c r="W1415" s="528"/>
      <c r="X1415" s="529"/>
      <c r="Y1415" s="360" t="s">
        <v>990</v>
      </c>
      <c r="Z1415" s="312">
        <f t="shared" si="539"/>
        <v>0</v>
      </c>
      <c r="AA1415" s="316">
        <f t="shared" si="540"/>
        <v>0.25</v>
      </c>
    </row>
    <row r="1416" spans="1:29" ht="105.75" outlineLevel="1" thickBot="1" x14ac:dyDescent="0.45">
      <c r="A1416" s="319" t="s">
        <v>830</v>
      </c>
      <c r="B1416" s="862" t="s">
        <v>1079</v>
      </c>
      <c r="C1416" s="586"/>
      <c r="D1416" s="533">
        <f>C1416*7</f>
        <v>0</v>
      </c>
      <c r="E1416" s="321">
        <f>D1416*0.2</f>
        <v>0</v>
      </c>
      <c r="F1416" s="321">
        <f>E1416*10/225</f>
        <v>0</v>
      </c>
      <c r="G1416" s="533">
        <f t="shared" si="533"/>
        <v>0</v>
      </c>
      <c r="H1416" s="321" t="s">
        <v>18</v>
      </c>
      <c r="I1416" s="533">
        <f t="shared" si="538"/>
        <v>0</v>
      </c>
      <c r="J1416" s="321" t="s">
        <v>19</v>
      </c>
      <c r="K1416" s="324"/>
      <c r="L1416" s="324"/>
      <c r="M1416" s="321">
        <f>F1416*1008/8064</f>
        <v>0</v>
      </c>
      <c r="N1416" s="324"/>
      <c r="O1416" s="324"/>
      <c r="P1416" s="324"/>
      <c r="Q1416" s="324" t="s">
        <v>18</v>
      </c>
      <c r="R1416" s="324"/>
      <c r="S1416" s="324" t="s">
        <v>19</v>
      </c>
      <c r="T1416" s="528">
        <v>3</v>
      </c>
      <c r="U1416" s="324">
        <f>E1416/166*60</f>
        <v>0</v>
      </c>
      <c r="V1416" s="676"/>
      <c r="W1416" s="528"/>
      <c r="X1416" s="529"/>
      <c r="Y1416" s="360"/>
      <c r="Z1416" s="312">
        <f t="shared" si="539"/>
        <v>0</v>
      </c>
      <c r="AA1416" s="316">
        <f t="shared" si="540"/>
        <v>0.25</v>
      </c>
    </row>
    <row r="1417" spans="1:29" ht="105.75" outlineLevel="1" thickBot="1" x14ac:dyDescent="0.45">
      <c r="A1417" s="319" t="s">
        <v>830</v>
      </c>
      <c r="B1417" s="799" t="s">
        <v>613</v>
      </c>
      <c r="C1417" s="586"/>
      <c r="D1417" s="528">
        <f>C1417*20</f>
        <v>0</v>
      </c>
      <c r="E1417" s="460">
        <f>D1417*0.2</f>
        <v>0</v>
      </c>
      <c r="F1417" s="324">
        <f>E1417*0.8*1.01/20</f>
        <v>0</v>
      </c>
      <c r="G1417" s="528">
        <f t="shared" si="533"/>
        <v>0</v>
      </c>
      <c r="H1417" s="324" t="s">
        <v>18</v>
      </c>
      <c r="I1417" s="528">
        <f t="shared" si="538"/>
        <v>0</v>
      </c>
      <c r="J1417" s="324" t="s">
        <v>19</v>
      </c>
      <c r="K1417" s="324"/>
      <c r="L1417" s="324"/>
      <c r="M1417" s="324">
        <f>F1417*1008/8064</f>
        <v>0</v>
      </c>
      <c r="N1417" s="324"/>
      <c r="O1417" s="324"/>
      <c r="P1417" s="324"/>
      <c r="Q1417" s="324" t="s">
        <v>18</v>
      </c>
      <c r="R1417" s="324"/>
      <c r="S1417" s="324" t="s">
        <v>19</v>
      </c>
      <c r="T1417" s="528">
        <v>3</v>
      </c>
      <c r="U1417" s="324">
        <f>E1417/272*60</f>
        <v>0</v>
      </c>
      <c r="V1417" s="676"/>
      <c r="W1417" s="528"/>
      <c r="X1417" s="529"/>
      <c r="Y1417" s="360" t="s">
        <v>990</v>
      </c>
      <c r="Z1417" s="312">
        <f t="shared" si="539"/>
        <v>0</v>
      </c>
      <c r="AA1417" s="316">
        <f t="shared" si="540"/>
        <v>0.25</v>
      </c>
    </row>
    <row r="1418" spans="1:29" ht="105.75" outlineLevel="1" thickBot="1" x14ac:dyDescent="0.45">
      <c r="A1418" s="319" t="s">
        <v>830</v>
      </c>
      <c r="B1418" s="799" t="s">
        <v>614</v>
      </c>
      <c r="C1418" s="586"/>
      <c r="D1418" s="533">
        <f>C1418*12</f>
        <v>0</v>
      </c>
      <c r="E1418" s="534">
        <f>D1418*0.2</f>
        <v>0</v>
      </c>
      <c r="F1418" s="321">
        <f>D1418*22*0.0086/24.7</f>
        <v>0</v>
      </c>
      <c r="G1418" s="533">
        <f t="shared" si="533"/>
        <v>0</v>
      </c>
      <c r="H1418" s="321" t="s">
        <v>18</v>
      </c>
      <c r="I1418" s="533">
        <f t="shared" si="538"/>
        <v>0</v>
      </c>
      <c r="J1418" s="321" t="s">
        <v>19</v>
      </c>
      <c r="K1418" s="324"/>
      <c r="L1418" s="324"/>
      <c r="M1418" s="321">
        <f>F1418*3024/16128</f>
        <v>0</v>
      </c>
      <c r="N1418" s="324"/>
      <c r="O1418" s="324"/>
      <c r="P1418" s="324"/>
      <c r="Q1418" s="324" t="s">
        <v>18</v>
      </c>
      <c r="R1418" s="324"/>
      <c r="S1418" s="324" t="s">
        <v>19</v>
      </c>
      <c r="T1418" s="528">
        <v>10</v>
      </c>
      <c r="U1418" s="324">
        <f>E1418/207*60</f>
        <v>0</v>
      </c>
      <c r="V1418" s="676"/>
      <c r="W1418" s="528"/>
      <c r="X1418" s="529"/>
      <c r="Y1418" s="360" t="s">
        <v>990</v>
      </c>
      <c r="Z1418" s="312">
        <f t="shared" si="539"/>
        <v>0</v>
      </c>
      <c r="AA1418" s="316">
        <f t="shared" si="540"/>
        <v>0.25</v>
      </c>
    </row>
    <row r="1419" spans="1:29" ht="105.75" outlineLevel="1" thickBot="1" x14ac:dyDescent="0.45">
      <c r="A1419" s="319" t="s">
        <v>830</v>
      </c>
      <c r="B1419" s="885" t="s">
        <v>615</v>
      </c>
      <c r="C1419" s="586"/>
      <c r="D1419" s="533">
        <f>C1419*12</f>
        <v>0</v>
      </c>
      <c r="E1419" s="534">
        <f>D1419*0.2</f>
        <v>0</v>
      </c>
      <c r="F1419" s="321">
        <f>D1419*22*0.0086/24.7</f>
        <v>0</v>
      </c>
      <c r="G1419" s="533">
        <f t="shared" si="533"/>
        <v>0</v>
      </c>
      <c r="H1419" s="321" t="s">
        <v>18</v>
      </c>
      <c r="I1419" s="533">
        <f t="shared" si="538"/>
        <v>0</v>
      </c>
      <c r="J1419" s="321" t="s">
        <v>19</v>
      </c>
      <c r="K1419" s="324"/>
      <c r="L1419" s="324"/>
      <c r="M1419" s="321">
        <f>F1419*3024/16128</f>
        <v>0</v>
      </c>
      <c r="N1419" s="324"/>
      <c r="O1419" s="324"/>
      <c r="P1419" s="324"/>
      <c r="Q1419" s="324" t="s">
        <v>18</v>
      </c>
      <c r="R1419" s="324"/>
      <c r="S1419" s="324" t="s">
        <v>19</v>
      </c>
      <c r="T1419" s="528">
        <v>10</v>
      </c>
      <c r="U1419" s="324">
        <f>E1419/207*60</f>
        <v>0</v>
      </c>
      <c r="V1419" s="689"/>
      <c r="W1419" s="561"/>
      <c r="X1419" s="562"/>
      <c r="Y1419" s="360" t="s">
        <v>990</v>
      </c>
      <c r="Z1419" s="312">
        <f t="shared" si="539"/>
        <v>0</v>
      </c>
      <c r="AA1419" s="316">
        <f t="shared" si="540"/>
        <v>0.25</v>
      </c>
    </row>
    <row r="1420" spans="1:29" thickBot="1" x14ac:dyDescent="0.45">
      <c r="A1420" s="319"/>
      <c r="B1420" s="332" t="s">
        <v>298</v>
      </c>
      <c r="C1420" s="528"/>
      <c r="D1420" s="528"/>
      <c r="E1420" s="460"/>
      <c r="F1420" s="324"/>
      <c r="G1420" s="528"/>
      <c r="H1420" s="324"/>
      <c r="I1420" s="528"/>
      <c r="J1420" s="324"/>
      <c r="K1420" s="324"/>
      <c r="L1420" s="324"/>
      <c r="M1420" s="324"/>
      <c r="N1420" s="324"/>
      <c r="O1420" s="324"/>
      <c r="P1420" s="324"/>
      <c r="Q1420" s="324"/>
      <c r="R1420" s="324"/>
      <c r="S1420" s="324"/>
      <c r="T1420" s="528"/>
      <c r="U1420" s="324"/>
      <c r="V1420" s="676"/>
      <c r="W1420" s="528"/>
      <c r="X1420" s="529"/>
      <c r="Y1420" s="323"/>
    </row>
    <row r="1421" spans="1:29" thickBot="1" x14ac:dyDescent="0.45">
      <c r="A1421" s="830"/>
      <c r="B1421" s="332" t="s">
        <v>299</v>
      </c>
      <c r="C1421" s="347"/>
      <c r="D1421" s="347"/>
      <c r="E1421" s="494"/>
      <c r="F1421" s="348"/>
      <c r="G1421" s="347"/>
      <c r="H1421" s="348"/>
      <c r="I1421" s="347"/>
      <c r="J1421" s="348"/>
      <c r="K1421" s="348"/>
      <c r="L1421" s="348"/>
      <c r="M1421" s="348"/>
      <c r="N1421" s="348"/>
      <c r="O1421" s="348"/>
      <c r="P1421" s="348"/>
      <c r="Q1421" s="348"/>
      <c r="R1421" s="348"/>
      <c r="S1421" s="348"/>
      <c r="T1421" s="347"/>
      <c r="U1421" s="348"/>
      <c r="V1421" s="356"/>
      <c r="W1421" s="348"/>
      <c r="X1421" s="495"/>
      <c r="Y1421" s="357"/>
    </row>
    <row r="1422" spans="1:29" s="453" customFormat="1" ht="105.75" thickBot="1" x14ac:dyDescent="0.45">
      <c r="A1422" s="319" t="s">
        <v>830</v>
      </c>
      <c r="B1422" s="487" t="s">
        <v>1044</v>
      </c>
      <c r="C1422" s="525">
        <f>C611+C383+C159</f>
        <v>0</v>
      </c>
      <c r="D1422" s="626"/>
      <c r="E1422" s="358">
        <f>C1422*2</f>
        <v>0</v>
      </c>
      <c r="F1422" s="627">
        <f>E1422*1.03*0.82/147</f>
        <v>0</v>
      </c>
      <c r="G1422" s="628">
        <f>INT(M1422)</f>
        <v>0</v>
      </c>
      <c r="H1422" s="359"/>
      <c r="I1422" s="628">
        <f>(M1422-G1422)*64</f>
        <v>0</v>
      </c>
      <c r="J1422" s="629" t="s">
        <v>19</v>
      </c>
      <c r="K1422" s="630"/>
      <c r="L1422" s="630"/>
      <c r="M1422" s="627">
        <f>F1422*147/0.46/64</f>
        <v>0</v>
      </c>
      <c r="N1422" s="631"/>
      <c r="O1422" s="631"/>
      <c r="P1422" s="631"/>
      <c r="Q1422" s="324" t="s">
        <v>18</v>
      </c>
      <c r="R1422" s="324"/>
      <c r="S1422" s="324" t="s">
        <v>19</v>
      </c>
      <c r="T1422" s="528">
        <v>9</v>
      </c>
      <c r="U1422" s="461"/>
      <c r="V1422" s="688"/>
      <c r="W1422" s="525"/>
      <c r="X1422" s="560"/>
      <c r="Y1422" s="451"/>
      <c r="Z1422" s="312">
        <f>E1422</f>
        <v>0</v>
      </c>
      <c r="AA1422" s="316">
        <f>SUM(M1422/2.8)</f>
        <v>0</v>
      </c>
      <c r="AB1422" s="310"/>
      <c r="AC1422" s="453" t="s">
        <v>1058</v>
      </c>
    </row>
    <row r="1423" spans="1:29" s="453" customFormat="1" ht="105.75" thickBot="1" x14ac:dyDescent="0.45">
      <c r="A1423" s="319" t="s">
        <v>830</v>
      </c>
      <c r="B1423" s="487" t="s">
        <v>1084</v>
      </c>
      <c r="C1423" s="525">
        <f>C613+C385+C161</f>
        <v>0</v>
      </c>
      <c r="D1423" s="626"/>
      <c r="E1423" s="358">
        <f>C1423*0.4</f>
        <v>0</v>
      </c>
      <c r="F1423" s="627">
        <f>E1423*1.03*0.82/147</f>
        <v>0</v>
      </c>
      <c r="G1423" s="628">
        <f>INT(M1423)</f>
        <v>0</v>
      </c>
      <c r="H1423" s="359"/>
      <c r="I1423" s="628">
        <f>(M1423-G1423)*64</f>
        <v>0</v>
      </c>
      <c r="J1423" s="629" t="s">
        <v>19</v>
      </c>
      <c r="K1423" s="630"/>
      <c r="L1423" s="630"/>
      <c r="M1423" s="627">
        <f>F1423*147/0.46/64</f>
        <v>0</v>
      </c>
      <c r="N1423" s="631"/>
      <c r="O1423" s="631"/>
      <c r="P1423" s="631"/>
      <c r="Q1423" s="324" t="s">
        <v>18</v>
      </c>
      <c r="R1423" s="324"/>
      <c r="S1423" s="324" t="s">
        <v>19</v>
      </c>
      <c r="T1423" s="528">
        <v>7</v>
      </c>
      <c r="U1423" s="461"/>
      <c r="V1423" s="688"/>
      <c r="W1423" s="525"/>
      <c r="X1423" s="560"/>
      <c r="Y1423" s="451"/>
      <c r="Z1423" s="312">
        <f>E1423</f>
        <v>0</v>
      </c>
      <c r="AA1423" s="316">
        <f>SUM(M1423/2.8)</f>
        <v>0</v>
      </c>
      <c r="AB1423" s="310"/>
      <c r="AC1423" s="453" t="s">
        <v>1058</v>
      </c>
    </row>
    <row r="1424" spans="1:29" ht="105.75" thickBot="1" x14ac:dyDescent="0.45">
      <c r="A1424" s="319" t="s">
        <v>830</v>
      </c>
      <c r="B1424" s="320" t="s">
        <v>783</v>
      </c>
      <c r="C1424" s="528">
        <f t="shared" ref="C1424:C1437" si="541">C993</f>
        <v>0</v>
      </c>
      <c r="D1424" s="530"/>
      <c r="E1424" s="456">
        <f>C1424*4</f>
        <v>0</v>
      </c>
      <c r="F1424" s="358">
        <f t="shared" ref="F1424:F1429" si="542">E1424*1.01*0.72/147</f>
        <v>0</v>
      </c>
      <c r="G1424" s="548">
        <f t="shared" ref="G1424:G1429" si="543">INT(M1424)</f>
        <v>0</v>
      </c>
      <c r="H1424" s="358" t="s">
        <v>18</v>
      </c>
      <c r="I1424" s="548">
        <f t="shared" ref="I1424:I1429" si="544">(M1424-G1424)*64</f>
        <v>0</v>
      </c>
      <c r="J1424" s="358" t="s">
        <v>19</v>
      </c>
      <c r="K1424" s="358"/>
      <c r="L1424" s="358"/>
      <c r="M1424" s="358">
        <f t="shared" ref="M1424:M1429" si="545">(F1424*6035/3456)</f>
        <v>0</v>
      </c>
      <c r="N1424" s="324"/>
      <c r="O1424" s="324"/>
      <c r="P1424" s="324"/>
      <c r="Q1424" s="324" t="s">
        <v>18</v>
      </c>
      <c r="R1424" s="324"/>
      <c r="S1424" s="324" t="s">
        <v>19</v>
      </c>
      <c r="T1424" s="528"/>
      <c r="U1424" s="324">
        <f t="shared" ref="U1424:U1431" si="546">E1424/324*60</f>
        <v>0</v>
      </c>
      <c r="V1424" s="676"/>
      <c r="W1424" s="528"/>
      <c r="X1424" s="529"/>
      <c r="Y1424" s="323"/>
      <c r="Z1424" s="312">
        <f t="shared" ref="Z1424:Z1447" si="547">E1424</f>
        <v>0</v>
      </c>
      <c r="AA1424" s="316">
        <f>SUM(Z1424/548.9+0.25)</f>
        <v>0.25</v>
      </c>
    </row>
    <row r="1425" spans="1:27" ht="105.75" thickBot="1" x14ac:dyDescent="0.45">
      <c r="A1425" s="319" t="s">
        <v>830</v>
      </c>
      <c r="B1425" s="320" t="s">
        <v>784</v>
      </c>
      <c r="C1425" s="528">
        <f t="shared" si="541"/>
        <v>0</v>
      </c>
      <c r="D1425" s="530"/>
      <c r="E1425" s="456">
        <f>C1425*4</f>
        <v>0</v>
      </c>
      <c r="F1425" s="358">
        <f t="shared" si="542"/>
        <v>0</v>
      </c>
      <c r="G1425" s="548">
        <f t="shared" si="543"/>
        <v>0</v>
      </c>
      <c r="H1425" s="358" t="s">
        <v>18</v>
      </c>
      <c r="I1425" s="548">
        <f t="shared" si="544"/>
        <v>0</v>
      </c>
      <c r="J1425" s="358" t="s">
        <v>19</v>
      </c>
      <c r="K1425" s="358"/>
      <c r="L1425" s="358"/>
      <c r="M1425" s="358">
        <f t="shared" si="545"/>
        <v>0</v>
      </c>
      <c r="N1425" s="324"/>
      <c r="O1425" s="324"/>
      <c r="P1425" s="324"/>
      <c r="Q1425" s="324" t="s">
        <v>18</v>
      </c>
      <c r="R1425" s="324"/>
      <c r="S1425" s="324" t="s">
        <v>19</v>
      </c>
      <c r="T1425" s="528"/>
      <c r="U1425" s="324">
        <f>E1425/324*60</f>
        <v>0</v>
      </c>
      <c r="V1425" s="676"/>
      <c r="W1425" s="528"/>
      <c r="X1425" s="529"/>
      <c r="Y1425" s="323"/>
      <c r="Z1425" s="312">
        <f t="shared" si="547"/>
        <v>0</v>
      </c>
      <c r="AA1425" s="316">
        <f>SUM(Z1425/548.9+0.25)</f>
        <v>0.25</v>
      </c>
    </row>
    <row r="1426" spans="1:27" ht="105.75" thickBot="1" x14ac:dyDescent="0.45">
      <c r="A1426" s="319" t="s">
        <v>830</v>
      </c>
      <c r="B1426" s="320" t="s">
        <v>744</v>
      </c>
      <c r="C1426" s="528">
        <f t="shared" si="541"/>
        <v>0</v>
      </c>
      <c r="D1426" s="528"/>
      <c r="E1426" s="456">
        <f>C1426*4</f>
        <v>0</v>
      </c>
      <c r="F1426" s="358">
        <f t="shared" si="542"/>
        <v>0</v>
      </c>
      <c r="G1426" s="548">
        <f t="shared" si="543"/>
        <v>0</v>
      </c>
      <c r="H1426" s="358" t="s">
        <v>18</v>
      </c>
      <c r="I1426" s="548">
        <f t="shared" si="544"/>
        <v>0</v>
      </c>
      <c r="J1426" s="358" t="s">
        <v>19</v>
      </c>
      <c r="K1426" s="358"/>
      <c r="L1426" s="358"/>
      <c r="M1426" s="358">
        <f t="shared" si="545"/>
        <v>0</v>
      </c>
      <c r="N1426" s="324"/>
      <c r="O1426" s="324"/>
      <c r="P1426" s="324"/>
      <c r="Q1426" s="324" t="s">
        <v>18</v>
      </c>
      <c r="R1426" s="324"/>
      <c r="S1426" s="324" t="s">
        <v>19</v>
      </c>
      <c r="T1426" s="528"/>
      <c r="U1426" s="324">
        <f t="shared" si="546"/>
        <v>0</v>
      </c>
      <c r="V1426" s="676"/>
      <c r="W1426" s="528"/>
      <c r="X1426" s="529"/>
      <c r="Y1426" s="323"/>
      <c r="Z1426" s="312">
        <f t="shared" si="547"/>
        <v>0</v>
      </c>
      <c r="AA1426" s="316">
        <f>SUM(Z1426/630.2+0.25)</f>
        <v>0.25</v>
      </c>
    </row>
    <row r="1427" spans="1:27" ht="105.75" thickBot="1" x14ac:dyDescent="0.45">
      <c r="A1427" s="319" t="s">
        <v>830</v>
      </c>
      <c r="B1427" s="320" t="s">
        <v>745</v>
      </c>
      <c r="C1427" s="528">
        <f t="shared" si="541"/>
        <v>0</v>
      </c>
      <c r="D1427" s="528"/>
      <c r="E1427" s="456">
        <f>C1427*2.5</f>
        <v>0</v>
      </c>
      <c r="F1427" s="358">
        <f t="shared" si="542"/>
        <v>0</v>
      </c>
      <c r="G1427" s="548">
        <f t="shared" si="543"/>
        <v>0</v>
      </c>
      <c r="H1427" s="358" t="s">
        <v>18</v>
      </c>
      <c r="I1427" s="548">
        <f t="shared" si="544"/>
        <v>0</v>
      </c>
      <c r="J1427" s="358" t="s">
        <v>19</v>
      </c>
      <c r="K1427" s="358"/>
      <c r="L1427" s="358"/>
      <c r="M1427" s="358">
        <f t="shared" si="545"/>
        <v>0</v>
      </c>
      <c r="N1427" s="324"/>
      <c r="O1427" s="324"/>
      <c r="P1427" s="324"/>
      <c r="Q1427" s="324" t="s">
        <v>18</v>
      </c>
      <c r="R1427" s="324"/>
      <c r="S1427" s="324" t="s">
        <v>19</v>
      </c>
      <c r="T1427" s="528">
        <v>7</v>
      </c>
      <c r="U1427" s="324">
        <f t="shared" si="546"/>
        <v>0</v>
      </c>
      <c r="V1427" s="676"/>
      <c r="W1427" s="528"/>
      <c r="X1427" s="529"/>
      <c r="Y1427" s="323"/>
      <c r="Z1427" s="312">
        <f t="shared" si="547"/>
        <v>0</v>
      </c>
      <c r="AA1427" s="316">
        <f>SUM(Z1427/630.2+0.25)</f>
        <v>0.25</v>
      </c>
    </row>
    <row r="1428" spans="1:27" ht="105.75" thickBot="1" x14ac:dyDescent="0.45">
      <c r="A1428" s="319" t="s">
        <v>830</v>
      </c>
      <c r="B1428" s="320" t="s">
        <v>746</v>
      </c>
      <c r="C1428" s="528">
        <f t="shared" si="541"/>
        <v>0</v>
      </c>
      <c r="D1428" s="528"/>
      <c r="E1428" s="456">
        <f>C1428*4</f>
        <v>0</v>
      </c>
      <c r="F1428" s="358">
        <f t="shared" si="542"/>
        <v>0</v>
      </c>
      <c r="G1428" s="548">
        <f t="shared" si="543"/>
        <v>0</v>
      </c>
      <c r="H1428" s="358" t="s">
        <v>18</v>
      </c>
      <c r="I1428" s="548">
        <f t="shared" si="544"/>
        <v>0</v>
      </c>
      <c r="J1428" s="358" t="s">
        <v>19</v>
      </c>
      <c r="K1428" s="358"/>
      <c r="L1428" s="358"/>
      <c r="M1428" s="358">
        <f t="shared" si="545"/>
        <v>0</v>
      </c>
      <c r="N1428" s="324"/>
      <c r="O1428" s="324"/>
      <c r="P1428" s="324"/>
      <c r="Q1428" s="324" t="s">
        <v>18</v>
      </c>
      <c r="R1428" s="324"/>
      <c r="S1428" s="324" t="s">
        <v>19</v>
      </c>
      <c r="T1428" s="528"/>
      <c r="U1428" s="324">
        <f t="shared" si="546"/>
        <v>0</v>
      </c>
      <c r="V1428" s="676"/>
      <c r="W1428" s="528"/>
      <c r="X1428" s="529"/>
      <c r="Y1428" s="323"/>
      <c r="Z1428" s="312">
        <f t="shared" si="547"/>
        <v>0</v>
      </c>
      <c r="AA1428" s="316">
        <f>SUM(Z1428/548.9+0.25)</f>
        <v>0.25</v>
      </c>
    </row>
    <row r="1429" spans="1:27" ht="105.75" thickBot="1" x14ac:dyDescent="0.45">
      <c r="A1429" s="319" t="s">
        <v>830</v>
      </c>
      <c r="B1429" s="320" t="s">
        <v>747</v>
      </c>
      <c r="C1429" s="528">
        <f t="shared" si="541"/>
        <v>0</v>
      </c>
      <c r="D1429" s="528"/>
      <c r="E1429" s="456">
        <f>C1429*2.5</f>
        <v>0</v>
      </c>
      <c r="F1429" s="358">
        <f t="shared" si="542"/>
        <v>0</v>
      </c>
      <c r="G1429" s="548">
        <f t="shared" si="543"/>
        <v>0</v>
      </c>
      <c r="H1429" s="358" t="s">
        <v>18</v>
      </c>
      <c r="I1429" s="548">
        <f t="shared" si="544"/>
        <v>0</v>
      </c>
      <c r="J1429" s="358" t="s">
        <v>19</v>
      </c>
      <c r="K1429" s="358"/>
      <c r="L1429" s="358"/>
      <c r="M1429" s="358">
        <f t="shared" si="545"/>
        <v>0</v>
      </c>
      <c r="N1429" s="324"/>
      <c r="O1429" s="324"/>
      <c r="P1429" s="324"/>
      <c r="Q1429" s="324" t="s">
        <v>18</v>
      </c>
      <c r="R1429" s="324"/>
      <c r="S1429" s="324" t="s">
        <v>19</v>
      </c>
      <c r="T1429" s="528">
        <v>7</v>
      </c>
      <c r="U1429" s="324">
        <f t="shared" si="546"/>
        <v>0</v>
      </c>
      <c r="V1429" s="676"/>
      <c r="W1429" s="528"/>
      <c r="X1429" s="529"/>
      <c r="Y1429" s="323"/>
      <c r="Z1429" s="312">
        <f t="shared" si="547"/>
        <v>0</v>
      </c>
      <c r="AA1429" s="316">
        <f>SUM(Z1429/548.9+0.25)</f>
        <v>0.25</v>
      </c>
    </row>
    <row r="1430" spans="1:27" ht="105.75" thickBot="1" x14ac:dyDescent="0.45">
      <c r="A1430" s="319" t="s">
        <v>830</v>
      </c>
      <c r="B1430" s="320" t="s">
        <v>748</v>
      </c>
      <c r="C1430" s="528">
        <f t="shared" si="541"/>
        <v>0</v>
      </c>
      <c r="D1430" s="528"/>
      <c r="E1430" s="456">
        <f>C1430*2.5</f>
        <v>0</v>
      </c>
      <c r="F1430" s="358">
        <f>E1430*1.03*0.82/147</f>
        <v>0</v>
      </c>
      <c r="G1430" s="549">
        <f t="shared" ref="G1430:G1447" si="548">INT(M1430)</f>
        <v>0</v>
      </c>
      <c r="H1430" s="359" t="s">
        <v>18</v>
      </c>
      <c r="I1430" s="549">
        <f t="shared" ref="I1430:I1447" si="549">(M1430-G1430)*64</f>
        <v>0</v>
      </c>
      <c r="J1430" s="359" t="s">
        <v>19</v>
      </c>
      <c r="K1430" s="358"/>
      <c r="L1430" s="358"/>
      <c r="M1430" s="358">
        <f>(F1430*5547/3456)</f>
        <v>0</v>
      </c>
      <c r="N1430" s="324"/>
      <c r="O1430" s="324"/>
      <c r="P1430" s="324"/>
      <c r="Q1430" s="324" t="s">
        <v>18</v>
      </c>
      <c r="R1430" s="324"/>
      <c r="S1430" s="324" t="s">
        <v>19</v>
      </c>
      <c r="T1430" s="528">
        <v>7</v>
      </c>
      <c r="U1430" s="324">
        <f t="shared" si="546"/>
        <v>0</v>
      </c>
      <c r="V1430" s="676"/>
      <c r="W1430" s="528"/>
      <c r="X1430" s="529"/>
      <c r="Y1430" s="323"/>
      <c r="Z1430" s="312">
        <f t="shared" si="547"/>
        <v>0</v>
      </c>
      <c r="AA1430" s="316">
        <f>SUM(Z1430/630.2+0.25)</f>
        <v>0.25</v>
      </c>
    </row>
    <row r="1431" spans="1:27" ht="105.75" thickBot="1" x14ac:dyDescent="0.45">
      <c r="A1431" s="319" t="s">
        <v>830</v>
      </c>
      <c r="B1431" s="320" t="s">
        <v>749</v>
      </c>
      <c r="C1431" s="528">
        <f t="shared" si="541"/>
        <v>0</v>
      </c>
      <c r="D1431" s="528"/>
      <c r="E1431" s="456">
        <f>C1431*4</f>
        <v>0</v>
      </c>
      <c r="F1431" s="358">
        <f>E1431*1.03*0.82/147</f>
        <v>0</v>
      </c>
      <c r="G1431" s="548">
        <f t="shared" si="548"/>
        <v>0</v>
      </c>
      <c r="H1431" s="358" t="s">
        <v>18</v>
      </c>
      <c r="I1431" s="548">
        <f t="shared" si="549"/>
        <v>0</v>
      </c>
      <c r="J1431" s="358" t="s">
        <v>19</v>
      </c>
      <c r="K1431" s="358"/>
      <c r="L1431" s="358"/>
      <c r="M1431" s="358">
        <f>(F1431*5547/3456)</f>
        <v>0</v>
      </c>
      <c r="N1431" s="324"/>
      <c r="O1431" s="324"/>
      <c r="P1431" s="324"/>
      <c r="Q1431" s="324" t="s">
        <v>18</v>
      </c>
      <c r="R1431" s="324"/>
      <c r="S1431" s="324" t="s">
        <v>19</v>
      </c>
      <c r="T1431" s="528"/>
      <c r="U1431" s="324">
        <f t="shared" si="546"/>
        <v>0</v>
      </c>
      <c r="V1431" s="685"/>
      <c r="W1431" s="528"/>
      <c r="X1431" s="529"/>
      <c r="Y1431" s="323"/>
      <c r="Z1431" s="312">
        <f t="shared" si="547"/>
        <v>0</v>
      </c>
      <c r="AA1431" s="316">
        <f>SUM(Z1431/630.2+0.25)</f>
        <v>0.25</v>
      </c>
    </row>
    <row r="1432" spans="1:27" ht="105.75" thickBot="1" x14ac:dyDescent="0.45">
      <c r="A1432" s="319" t="s">
        <v>830</v>
      </c>
      <c r="B1432" s="320" t="s">
        <v>1149</v>
      </c>
      <c r="C1432" s="528">
        <f t="shared" si="541"/>
        <v>0</v>
      </c>
      <c r="D1432" s="528"/>
      <c r="E1432" s="456">
        <f>C1432*4</f>
        <v>0</v>
      </c>
      <c r="F1432" s="358">
        <f>E1432*1.03*0.82/147</f>
        <v>0</v>
      </c>
      <c r="G1432" s="548">
        <f t="shared" si="548"/>
        <v>0</v>
      </c>
      <c r="H1432" s="358" t="s">
        <v>18</v>
      </c>
      <c r="I1432" s="548">
        <f t="shared" si="549"/>
        <v>0</v>
      </c>
      <c r="J1432" s="358" t="s">
        <v>19</v>
      </c>
      <c r="K1432" s="358"/>
      <c r="L1432" s="358"/>
      <c r="M1432" s="358">
        <f>(F1432*5547/3456)</f>
        <v>0</v>
      </c>
      <c r="N1432" s="324"/>
      <c r="O1432" s="324"/>
      <c r="P1432" s="324"/>
      <c r="Q1432" s="324" t="s">
        <v>18</v>
      </c>
      <c r="R1432" s="324"/>
      <c r="S1432" s="324" t="s">
        <v>19</v>
      </c>
      <c r="T1432" s="528"/>
      <c r="U1432" s="324">
        <f t="shared" ref="U1432:U1447" si="550">E1432/324*60</f>
        <v>0</v>
      </c>
      <c r="V1432" s="676"/>
      <c r="W1432" s="528"/>
      <c r="X1432" s="529"/>
      <c r="Y1432" s="323"/>
      <c r="Z1432" s="312">
        <f t="shared" si="547"/>
        <v>0</v>
      </c>
      <c r="AA1432" s="316">
        <f>SUM(Z1432/630.2+0.25)</f>
        <v>0.25</v>
      </c>
    </row>
    <row r="1433" spans="1:27" ht="105.75" outlineLevel="1" thickBot="1" x14ac:dyDescent="0.45">
      <c r="A1433" s="319" t="s">
        <v>830</v>
      </c>
      <c r="B1433" s="799" t="s">
        <v>1209</v>
      </c>
      <c r="C1433" s="528">
        <f t="shared" si="541"/>
        <v>0</v>
      </c>
      <c r="D1433" s="528"/>
      <c r="E1433" s="456">
        <f>C1433*4</f>
        <v>0</v>
      </c>
      <c r="F1433" s="358">
        <f>E1433*1.03*0.82/147</f>
        <v>0</v>
      </c>
      <c r="G1433" s="548">
        <f t="shared" si="548"/>
        <v>0</v>
      </c>
      <c r="H1433" s="358" t="s">
        <v>18</v>
      </c>
      <c r="I1433" s="548">
        <f t="shared" si="549"/>
        <v>0</v>
      </c>
      <c r="J1433" s="358" t="s">
        <v>19</v>
      </c>
      <c r="K1433" s="358"/>
      <c r="L1433" s="358"/>
      <c r="M1433" s="358">
        <f>(F1433*5547/3456)</f>
        <v>0</v>
      </c>
      <c r="N1433" s="324"/>
      <c r="O1433" s="324"/>
      <c r="P1433" s="324"/>
      <c r="Q1433" s="324" t="s">
        <v>18</v>
      </c>
      <c r="R1433" s="324"/>
      <c r="S1433" s="324" t="s">
        <v>19</v>
      </c>
      <c r="T1433" s="528"/>
      <c r="U1433" s="324">
        <f t="shared" si="550"/>
        <v>0</v>
      </c>
      <c r="V1433" s="676"/>
      <c r="W1433" s="528"/>
      <c r="X1433" s="529"/>
      <c r="Y1433" s="323"/>
      <c r="Z1433" s="312">
        <f t="shared" si="547"/>
        <v>0</v>
      </c>
      <c r="AA1433" s="316">
        <f>SUM(Z1433/630.2+0.25)</f>
        <v>0.25</v>
      </c>
    </row>
    <row r="1434" spans="1:27" ht="105.75" thickBot="1" x14ac:dyDescent="0.45">
      <c r="A1434" s="319" t="s">
        <v>830</v>
      </c>
      <c r="B1434" s="320" t="s">
        <v>751</v>
      </c>
      <c r="C1434" s="528">
        <f t="shared" si="541"/>
        <v>0</v>
      </c>
      <c r="D1434" s="528"/>
      <c r="E1434" s="456">
        <f>C1434*4</f>
        <v>0</v>
      </c>
      <c r="F1434" s="358">
        <f>E1434*1.01*0.72/147</f>
        <v>0</v>
      </c>
      <c r="G1434" s="548">
        <f>INT(M1434)</f>
        <v>0</v>
      </c>
      <c r="H1434" s="358" t="s">
        <v>18</v>
      </c>
      <c r="I1434" s="548">
        <f>(M1434-G1434)*64</f>
        <v>0</v>
      </c>
      <c r="J1434" s="358" t="s">
        <v>19</v>
      </c>
      <c r="K1434" s="358"/>
      <c r="L1434" s="358"/>
      <c r="M1434" s="358">
        <f>(F1434*6035/3456)</f>
        <v>0</v>
      </c>
      <c r="N1434" s="324"/>
      <c r="O1434" s="324"/>
      <c r="P1434" s="324"/>
      <c r="Q1434" s="324" t="s">
        <v>18</v>
      </c>
      <c r="R1434" s="324"/>
      <c r="S1434" s="324" t="s">
        <v>19</v>
      </c>
      <c r="T1434" s="528"/>
      <c r="U1434" s="324">
        <f t="shared" si="550"/>
        <v>0</v>
      </c>
      <c r="V1434" s="676"/>
      <c r="W1434" s="528"/>
      <c r="X1434" s="529"/>
      <c r="Y1434" s="323"/>
      <c r="Z1434" s="312">
        <f t="shared" si="547"/>
        <v>0</v>
      </c>
      <c r="AA1434" s="316">
        <f>SUM(Z1434/548.9+0.25)</f>
        <v>0.25</v>
      </c>
    </row>
    <row r="1435" spans="1:27" ht="105.75" thickBot="1" x14ac:dyDescent="0.45">
      <c r="A1435" s="319" t="s">
        <v>830</v>
      </c>
      <c r="B1435" s="343" t="s">
        <v>752</v>
      </c>
      <c r="C1435" s="528">
        <f t="shared" si="541"/>
        <v>0</v>
      </c>
      <c r="D1435" s="528"/>
      <c r="E1435" s="457">
        <f>C1435*3</f>
        <v>0</v>
      </c>
      <c r="F1435" s="358">
        <f>E1435*1.03*0.82/147</f>
        <v>0</v>
      </c>
      <c r="G1435" s="549">
        <f>INT(M1435)</f>
        <v>0</v>
      </c>
      <c r="H1435" s="359" t="s">
        <v>18</v>
      </c>
      <c r="I1435" s="549">
        <f>(M1435-G1435)*64</f>
        <v>0</v>
      </c>
      <c r="J1435" s="359" t="s">
        <v>19</v>
      </c>
      <c r="K1435" s="358"/>
      <c r="L1435" s="358"/>
      <c r="M1435" s="358">
        <f>(F1435*5547/3456)</f>
        <v>0</v>
      </c>
      <c r="N1435" s="324"/>
      <c r="O1435" s="324"/>
      <c r="P1435" s="324"/>
      <c r="Q1435" s="324" t="s">
        <v>18</v>
      </c>
      <c r="R1435" s="324"/>
      <c r="S1435" s="324" t="s">
        <v>19</v>
      </c>
      <c r="T1435" s="528">
        <v>7</v>
      </c>
      <c r="U1435" s="324">
        <f t="shared" si="550"/>
        <v>0</v>
      </c>
      <c r="V1435" s="676"/>
      <c r="W1435" s="528"/>
      <c r="X1435" s="529"/>
      <c r="Y1435" s="323"/>
      <c r="Z1435" s="312">
        <f t="shared" si="547"/>
        <v>0</v>
      </c>
      <c r="AA1435" s="316">
        <f>SUM(Z1435/618.9+0.25)</f>
        <v>0.25</v>
      </c>
    </row>
    <row r="1436" spans="1:27" ht="105.75" thickBot="1" x14ac:dyDescent="0.45">
      <c r="A1436" s="319" t="s">
        <v>830</v>
      </c>
      <c r="B1436" s="344" t="s">
        <v>879</v>
      </c>
      <c r="C1436" s="528">
        <f t="shared" si="541"/>
        <v>0</v>
      </c>
      <c r="D1436" s="528"/>
      <c r="E1436" s="457">
        <f>C1436*3</f>
        <v>0</v>
      </c>
      <c r="F1436" s="358">
        <f>E1436*1.03*0.82/147</f>
        <v>0</v>
      </c>
      <c r="G1436" s="549">
        <f>INT(M1436)</f>
        <v>0</v>
      </c>
      <c r="H1436" s="359" t="s">
        <v>18</v>
      </c>
      <c r="I1436" s="549">
        <f>(M1436-G1436)*64</f>
        <v>0</v>
      </c>
      <c r="J1436" s="359" t="s">
        <v>19</v>
      </c>
      <c r="K1436" s="358"/>
      <c r="L1436" s="358"/>
      <c r="M1436" s="358">
        <f>(F1436*5547/3456)</f>
        <v>0</v>
      </c>
      <c r="N1436" s="324"/>
      <c r="O1436" s="324"/>
      <c r="P1436" s="324"/>
      <c r="Q1436" s="324" t="s">
        <v>18</v>
      </c>
      <c r="R1436" s="324"/>
      <c r="S1436" s="324" t="s">
        <v>19</v>
      </c>
      <c r="T1436" s="528"/>
      <c r="U1436" s="324">
        <f t="shared" si="550"/>
        <v>0</v>
      </c>
      <c r="V1436" s="676"/>
      <c r="W1436" s="528"/>
      <c r="X1436" s="529"/>
      <c r="Y1436" s="323"/>
      <c r="Z1436" s="312">
        <f t="shared" si="547"/>
        <v>0</v>
      </c>
      <c r="AA1436" s="316">
        <f>SUM(Z1436/630.2+0.25)</f>
        <v>0.25</v>
      </c>
    </row>
    <row r="1437" spans="1:27" ht="105.75" thickBot="1" x14ac:dyDescent="0.45">
      <c r="A1437" s="319" t="s">
        <v>830</v>
      </c>
      <c r="B1437" s="320" t="s">
        <v>895</v>
      </c>
      <c r="C1437" s="528">
        <f t="shared" si="541"/>
        <v>0</v>
      </c>
      <c r="D1437" s="528"/>
      <c r="E1437" s="456">
        <f>C1437*1.7</f>
        <v>0</v>
      </c>
      <c r="F1437" s="358">
        <f>E1437*1.03*0.82/147</f>
        <v>0</v>
      </c>
      <c r="G1437" s="549">
        <f t="shared" si="548"/>
        <v>0</v>
      </c>
      <c r="H1437" s="359" t="s">
        <v>18</v>
      </c>
      <c r="I1437" s="549">
        <f t="shared" si="549"/>
        <v>0</v>
      </c>
      <c r="J1437" s="359" t="s">
        <v>19</v>
      </c>
      <c r="K1437" s="358"/>
      <c r="L1437" s="358"/>
      <c r="M1437" s="358">
        <f>(F1437*5547/3456)</f>
        <v>0</v>
      </c>
      <c r="N1437" s="358"/>
      <c r="O1437" s="358"/>
      <c r="P1437" s="358"/>
      <c r="Q1437" s="358" t="s">
        <v>18</v>
      </c>
      <c r="R1437" s="358"/>
      <c r="S1437" s="358" t="s">
        <v>19</v>
      </c>
      <c r="T1437" s="528"/>
      <c r="U1437" s="324">
        <f t="shared" si="550"/>
        <v>0</v>
      </c>
      <c r="V1437" s="685"/>
      <c r="W1437" s="528"/>
      <c r="X1437" s="529"/>
      <c r="Y1437" s="323"/>
      <c r="Z1437" s="312">
        <f t="shared" si="547"/>
        <v>0</v>
      </c>
      <c r="AA1437" s="316">
        <f>SUM(Z1437/630.2+0.25)</f>
        <v>0.25</v>
      </c>
    </row>
    <row r="1438" spans="1:27" ht="105.75" thickBot="1" x14ac:dyDescent="0.45">
      <c r="A1438" s="319" t="s">
        <v>830</v>
      </c>
      <c r="B1438" s="799" t="s">
        <v>1185</v>
      </c>
      <c r="C1438" s="528">
        <f>C1007+C180+C407+C635</f>
        <v>0</v>
      </c>
      <c r="D1438" s="528"/>
      <c r="E1438" s="456">
        <f>C1438*1.7</f>
        <v>0</v>
      </c>
      <c r="F1438" s="358">
        <f>E1438*1.03*0.82/147</f>
        <v>0</v>
      </c>
      <c r="G1438" s="549">
        <f t="shared" si="548"/>
        <v>0</v>
      </c>
      <c r="H1438" s="359" t="s">
        <v>18</v>
      </c>
      <c r="I1438" s="549">
        <f t="shared" si="549"/>
        <v>0</v>
      </c>
      <c r="J1438" s="359" t="s">
        <v>19</v>
      </c>
      <c r="K1438" s="358"/>
      <c r="L1438" s="358"/>
      <c r="M1438" s="358">
        <f>(F1438*5547/3456)</f>
        <v>0</v>
      </c>
      <c r="N1438" s="358"/>
      <c r="O1438" s="358"/>
      <c r="P1438" s="358"/>
      <c r="Q1438" s="358" t="s">
        <v>18</v>
      </c>
      <c r="R1438" s="358"/>
      <c r="S1438" s="358" t="s">
        <v>19</v>
      </c>
      <c r="T1438" s="528"/>
      <c r="U1438" s="324">
        <f t="shared" si="550"/>
        <v>0</v>
      </c>
      <c r="V1438" s="685"/>
      <c r="W1438" s="528"/>
      <c r="X1438" s="529"/>
      <c r="Y1438" s="323"/>
      <c r="Z1438" s="312">
        <f t="shared" si="547"/>
        <v>0</v>
      </c>
      <c r="AA1438" s="316">
        <f>SUM(Z1438/630.2+0.25)</f>
        <v>0.25</v>
      </c>
    </row>
    <row r="1439" spans="1:27" ht="105.75" thickBot="1" x14ac:dyDescent="0.45">
      <c r="A1439" s="319" t="s">
        <v>830</v>
      </c>
      <c r="B1439" s="799" t="s">
        <v>1187</v>
      </c>
      <c r="C1439" s="528">
        <f t="shared" ref="C1439:C1447" si="551">C1008</f>
        <v>0</v>
      </c>
      <c r="D1439" s="528"/>
      <c r="E1439" s="456">
        <f>C1439*1.7</f>
        <v>0</v>
      </c>
      <c r="F1439" s="358">
        <f>E1439*1.01*0.72/147</f>
        <v>0</v>
      </c>
      <c r="G1439" s="548">
        <f t="shared" si="548"/>
        <v>0</v>
      </c>
      <c r="H1439" s="358" t="s">
        <v>18</v>
      </c>
      <c r="I1439" s="548">
        <f t="shared" si="549"/>
        <v>0</v>
      </c>
      <c r="J1439" s="358" t="s">
        <v>19</v>
      </c>
      <c r="K1439" s="358"/>
      <c r="L1439" s="358"/>
      <c r="M1439" s="358">
        <f>(F1439*6035/3456)</f>
        <v>0</v>
      </c>
      <c r="N1439" s="324"/>
      <c r="O1439" s="324"/>
      <c r="P1439" s="324"/>
      <c r="Q1439" s="324" t="s">
        <v>18</v>
      </c>
      <c r="R1439" s="324"/>
      <c r="S1439" s="324" t="s">
        <v>19</v>
      </c>
      <c r="T1439" s="528"/>
      <c r="U1439" s="324">
        <f t="shared" si="550"/>
        <v>0</v>
      </c>
      <c r="V1439" s="676"/>
      <c r="W1439" s="528"/>
      <c r="X1439" s="529"/>
      <c r="Y1439" s="323"/>
      <c r="Z1439" s="312">
        <f>E1439</f>
        <v>0</v>
      </c>
      <c r="AA1439" s="316">
        <f>SUM(Z1439/548.9+0.25)</f>
        <v>0.25</v>
      </c>
    </row>
    <row r="1440" spans="1:27" ht="105.75" thickBot="1" x14ac:dyDescent="0.45">
      <c r="A1440" s="319" t="s">
        <v>830</v>
      </c>
      <c r="B1440" s="320" t="s">
        <v>896</v>
      </c>
      <c r="C1440" s="528">
        <f t="shared" si="551"/>
        <v>0</v>
      </c>
      <c r="D1440" s="528"/>
      <c r="E1440" s="456">
        <f>C1440*1.2</f>
        <v>0</v>
      </c>
      <c r="F1440" s="358">
        <f>E1440*1.01*0.72/147</f>
        <v>0</v>
      </c>
      <c r="G1440" s="548">
        <f t="shared" si="548"/>
        <v>0</v>
      </c>
      <c r="H1440" s="358" t="s">
        <v>18</v>
      </c>
      <c r="I1440" s="548">
        <f t="shared" si="549"/>
        <v>0</v>
      </c>
      <c r="J1440" s="358" t="s">
        <v>19</v>
      </c>
      <c r="K1440" s="358"/>
      <c r="L1440" s="358"/>
      <c r="M1440" s="358">
        <f>(F1440*6035/3456)</f>
        <v>0</v>
      </c>
      <c r="N1440" s="358"/>
      <c r="O1440" s="358"/>
      <c r="P1440" s="358"/>
      <c r="Q1440" s="358" t="s">
        <v>18</v>
      </c>
      <c r="R1440" s="358"/>
      <c r="S1440" s="358" t="s">
        <v>19</v>
      </c>
      <c r="T1440" s="528">
        <v>7</v>
      </c>
      <c r="U1440" s="324">
        <f t="shared" si="550"/>
        <v>0</v>
      </c>
      <c r="V1440" s="685"/>
      <c r="W1440" s="528"/>
      <c r="X1440" s="529"/>
      <c r="Y1440" s="323"/>
      <c r="Z1440" s="312">
        <f t="shared" si="547"/>
        <v>0</v>
      </c>
      <c r="AA1440" s="316">
        <f>SUM(Z1440/519.5+0.25)</f>
        <v>0.25</v>
      </c>
    </row>
    <row r="1441" spans="1:27" ht="105.75" thickBot="1" x14ac:dyDescent="0.45">
      <c r="A1441" s="319" t="s">
        <v>830</v>
      </c>
      <c r="B1441" s="320" t="s">
        <v>1082</v>
      </c>
      <c r="C1441" s="528">
        <f t="shared" si="551"/>
        <v>0</v>
      </c>
      <c r="D1441" s="528"/>
      <c r="E1441" s="460">
        <f>C1441*1.2</f>
        <v>0</v>
      </c>
      <c r="F1441" s="324">
        <f>E1441*1.01*0.72/147</f>
        <v>0</v>
      </c>
      <c r="G1441" s="528">
        <f>INT(M1441)</f>
        <v>0</v>
      </c>
      <c r="H1441" s="324" t="s">
        <v>18</v>
      </c>
      <c r="I1441" s="528">
        <f>(M1441-G1441)*64</f>
        <v>0</v>
      </c>
      <c r="J1441" s="324" t="s">
        <v>19</v>
      </c>
      <c r="K1441" s="324"/>
      <c r="L1441" s="324"/>
      <c r="M1441" s="324">
        <f>(F1441*6035/3456)</f>
        <v>0</v>
      </c>
      <c r="N1441" s="324"/>
      <c r="O1441" s="324"/>
      <c r="P1441" s="324"/>
      <c r="Q1441" s="324" t="s">
        <v>18</v>
      </c>
      <c r="R1441" s="324"/>
      <c r="S1441" s="324" t="s">
        <v>19</v>
      </c>
      <c r="T1441" s="528">
        <v>7</v>
      </c>
      <c r="U1441" s="324">
        <f t="shared" ref="U1441:U1446" si="552">E1441/324*60</f>
        <v>0</v>
      </c>
      <c r="V1441" s="685"/>
      <c r="W1441" s="528"/>
      <c r="X1441" s="529"/>
      <c r="Y1441" s="323"/>
      <c r="Z1441" s="312">
        <f t="shared" ref="Z1441:Z1446" si="553">E1441</f>
        <v>0</v>
      </c>
      <c r="AA1441" s="316">
        <f>SUM(Z1441/519.5+0.25)</f>
        <v>0.25</v>
      </c>
    </row>
    <row r="1442" spans="1:27" ht="105.75" thickBot="1" x14ac:dyDescent="0.45">
      <c r="A1442" s="319" t="s">
        <v>830</v>
      </c>
      <c r="B1442" s="320" t="s">
        <v>1010</v>
      </c>
      <c r="C1442" s="528">
        <f t="shared" si="551"/>
        <v>0</v>
      </c>
      <c r="D1442" s="528"/>
      <c r="E1442" s="460">
        <f>C1442*2</f>
        <v>0</v>
      </c>
      <c r="F1442" s="324">
        <f>E1442*1.01*0.72/147</f>
        <v>0</v>
      </c>
      <c r="G1442" s="528">
        <f t="shared" si="548"/>
        <v>0</v>
      </c>
      <c r="H1442" s="324" t="s">
        <v>18</v>
      </c>
      <c r="I1442" s="528">
        <f t="shared" si="549"/>
        <v>0</v>
      </c>
      <c r="J1442" s="324" t="s">
        <v>19</v>
      </c>
      <c r="K1442" s="324"/>
      <c r="L1442" s="324"/>
      <c r="M1442" s="324">
        <f>(F1442*6035/3456)</f>
        <v>0</v>
      </c>
      <c r="N1442" s="324"/>
      <c r="O1442" s="324"/>
      <c r="P1442" s="324"/>
      <c r="Q1442" s="324" t="s">
        <v>18</v>
      </c>
      <c r="R1442" s="324"/>
      <c r="S1442" s="324" t="s">
        <v>19</v>
      </c>
      <c r="T1442" s="528"/>
      <c r="U1442" s="324">
        <f t="shared" si="552"/>
        <v>0</v>
      </c>
      <c r="V1442" s="685"/>
      <c r="W1442" s="528"/>
      <c r="X1442" s="529"/>
      <c r="Y1442" s="323"/>
      <c r="Z1442" s="312">
        <f t="shared" si="553"/>
        <v>0</v>
      </c>
      <c r="AA1442" s="316">
        <f>SUM(Z1442/519.5+0.25)</f>
        <v>0.25</v>
      </c>
    </row>
    <row r="1443" spans="1:27" ht="105.75" thickBot="1" x14ac:dyDescent="0.45">
      <c r="A1443" s="319" t="s">
        <v>830</v>
      </c>
      <c r="B1443" s="320" t="s">
        <v>1011</v>
      </c>
      <c r="C1443" s="528">
        <f t="shared" si="551"/>
        <v>0</v>
      </c>
      <c r="D1443" s="528"/>
      <c r="E1443" s="460">
        <f>C1443*2</f>
        <v>0</v>
      </c>
      <c r="F1443" s="324">
        <f>E1443*1.01*0.72/147</f>
        <v>0</v>
      </c>
      <c r="G1443" s="528">
        <f t="shared" si="548"/>
        <v>0</v>
      </c>
      <c r="H1443" s="324" t="s">
        <v>18</v>
      </c>
      <c r="I1443" s="528">
        <f t="shared" si="549"/>
        <v>0</v>
      </c>
      <c r="J1443" s="324" t="s">
        <v>19</v>
      </c>
      <c r="K1443" s="324"/>
      <c r="L1443" s="324"/>
      <c r="M1443" s="324">
        <f>(F1443*6035/3456)</f>
        <v>0</v>
      </c>
      <c r="N1443" s="324"/>
      <c r="O1443" s="324"/>
      <c r="P1443" s="324"/>
      <c r="Q1443" s="324" t="s">
        <v>18</v>
      </c>
      <c r="R1443" s="324"/>
      <c r="S1443" s="324" t="s">
        <v>19</v>
      </c>
      <c r="T1443" s="528"/>
      <c r="U1443" s="324">
        <f t="shared" si="552"/>
        <v>0</v>
      </c>
      <c r="V1443" s="685"/>
      <c r="W1443" s="528"/>
      <c r="X1443" s="529"/>
      <c r="Y1443" s="323"/>
      <c r="Z1443" s="312">
        <f t="shared" si="553"/>
        <v>0</v>
      </c>
      <c r="AA1443" s="316">
        <f>SUM(Z1443/519.5+0.25)</f>
        <v>0.25</v>
      </c>
    </row>
    <row r="1444" spans="1:27" ht="105.75" thickBot="1" x14ac:dyDescent="0.45">
      <c r="A1444" s="319" t="s">
        <v>830</v>
      </c>
      <c r="B1444" s="320" t="s">
        <v>1009</v>
      </c>
      <c r="C1444" s="528">
        <f t="shared" si="551"/>
        <v>0</v>
      </c>
      <c r="D1444" s="528"/>
      <c r="E1444" s="460">
        <f>C1444*2</f>
        <v>0</v>
      </c>
      <c r="F1444" s="324">
        <f>E1444*1.03*0.82/147</f>
        <v>0</v>
      </c>
      <c r="G1444" s="537">
        <f t="shared" si="548"/>
        <v>0</v>
      </c>
      <c r="H1444" s="354" t="s">
        <v>18</v>
      </c>
      <c r="I1444" s="537">
        <f t="shared" si="549"/>
        <v>0</v>
      </c>
      <c r="J1444" s="354" t="s">
        <v>19</v>
      </c>
      <c r="K1444" s="324"/>
      <c r="L1444" s="324"/>
      <c r="M1444" s="324">
        <f>(F1444*5547/3456)</f>
        <v>0</v>
      </c>
      <c r="N1444" s="324"/>
      <c r="O1444" s="324"/>
      <c r="P1444" s="324"/>
      <c r="Q1444" s="324" t="s">
        <v>18</v>
      </c>
      <c r="R1444" s="324"/>
      <c r="S1444" s="324" t="s">
        <v>19</v>
      </c>
      <c r="T1444" s="528"/>
      <c r="U1444" s="324">
        <f t="shared" si="552"/>
        <v>0</v>
      </c>
      <c r="V1444" s="685"/>
      <c r="W1444" s="528"/>
      <c r="X1444" s="529"/>
      <c r="Y1444" s="323"/>
      <c r="Z1444" s="312">
        <f t="shared" si="553"/>
        <v>0</v>
      </c>
      <c r="AA1444" s="316">
        <f>SUM(Z1444/596.4+0.25)</f>
        <v>0.25</v>
      </c>
    </row>
    <row r="1445" spans="1:27" ht="105.75" thickBot="1" x14ac:dyDescent="0.45">
      <c r="A1445" s="319" t="s">
        <v>830</v>
      </c>
      <c r="B1445" s="320" t="s">
        <v>1043</v>
      </c>
      <c r="C1445" s="528">
        <f t="shared" si="551"/>
        <v>0</v>
      </c>
      <c r="D1445" s="528"/>
      <c r="E1445" s="460">
        <f>C1445*2</f>
        <v>0</v>
      </c>
      <c r="F1445" s="324">
        <f>E1445*1.03*0.82/147</f>
        <v>0</v>
      </c>
      <c r="G1445" s="537">
        <f>INT(M1445)</f>
        <v>0</v>
      </c>
      <c r="H1445" s="354" t="s">
        <v>18</v>
      </c>
      <c r="I1445" s="537">
        <f>(M1445-G1445)*64</f>
        <v>0</v>
      </c>
      <c r="J1445" s="354" t="s">
        <v>19</v>
      </c>
      <c r="K1445" s="324"/>
      <c r="L1445" s="324"/>
      <c r="M1445" s="324">
        <f>(F1445*5547/3456)</f>
        <v>0</v>
      </c>
      <c r="N1445" s="324"/>
      <c r="O1445" s="324"/>
      <c r="P1445" s="324"/>
      <c r="Q1445" s="324" t="s">
        <v>18</v>
      </c>
      <c r="R1445" s="324"/>
      <c r="S1445" s="324" t="s">
        <v>19</v>
      </c>
      <c r="T1445" s="528"/>
      <c r="U1445" s="324">
        <f t="shared" si="552"/>
        <v>0</v>
      </c>
      <c r="V1445" s="685"/>
      <c r="W1445" s="528"/>
      <c r="X1445" s="529"/>
      <c r="Y1445" s="323"/>
      <c r="Z1445" s="312">
        <f t="shared" si="553"/>
        <v>0</v>
      </c>
      <c r="AA1445" s="316">
        <f>SUM(Z1445/596.4+0.25)</f>
        <v>0.25</v>
      </c>
    </row>
    <row r="1446" spans="1:27" ht="105.75" thickBot="1" x14ac:dyDescent="0.45">
      <c r="A1446" s="319" t="s">
        <v>830</v>
      </c>
      <c r="B1446" s="320" t="s">
        <v>897</v>
      </c>
      <c r="C1446" s="528">
        <f t="shared" si="551"/>
        <v>0</v>
      </c>
      <c r="D1446" s="528"/>
      <c r="E1446" s="456">
        <f>C1446*1.2</f>
        <v>0</v>
      </c>
      <c r="F1446" s="358">
        <f>E1446*1.03*0.82/147</f>
        <v>0</v>
      </c>
      <c r="G1446" s="549">
        <f>INT(M1446)</f>
        <v>0</v>
      </c>
      <c r="H1446" s="359" t="s">
        <v>18</v>
      </c>
      <c r="I1446" s="549">
        <f>(M1446-G1446)*64</f>
        <v>0</v>
      </c>
      <c r="J1446" s="359" t="s">
        <v>19</v>
      </c>
      <c r="K1446" s="358"/>
      <c r="L1446" s="358"/>
      <c r="M1446" s="358">
        <f>(F1446*5547/3456)</f>
        <v>0</v>
      </c>
      <c r="N1446" s="358"/>
      <c r="O1446" s="358"/>
      <c r="P1446" s="358"/>
      <c r="Q1446" s="358" t="s">
        <v>18</v>
      </c>
      <c r="R1446" s="358"/>
      <c r="S1446" s="358" t="s">
        <v>19</v>
      </c>
      <c r="T1446" s="528">
        <v>7</v>
      </c>
      <c r="U1446" s="324">
        <f t="shared" si="552"/>
        <v>0</v>
      </c>
      <c r="V1446" s="685"/>
      <c r="W1446" s="528"/>
      <c r="X1446" s="529"/>
      <c r="Y1446" s="323"/>
      <c r="Z1446" s="312">
        <f t="shared" si="553"/>
        <v>0</v>
      </c>
      <c r="AA1446" s="316">
        <f>SUM(Z1446/596.4+0.25)</f>
        <v>0.25</v>
      </c>
    </row>
    <row r="1447" spans="1:27" ht="105.75" thickBot="1" x14ac:dyDescent="0.45">
      <c r="A1447" s="319" t="s">
        <v>830</v>
      </c>
      <c r="B1447" s="799" t="s">
        <v>1203</v>
      </c>
      <c r="C1447" s="528">
        <f t="shared" si="551"/>
        <v>0</v>
      </c>
      <c r="D1447" s="528"/>
      <c r="E1447" s="456">
        <f>C1447*1.2</f>
        <v>0</v>
      </c>
      <c r="F1447" s="358">
        <f>E1447*1.03*0.82/147</f>
        <v>0</v>
      </c>
      <c r="G1447" s="549">
        <f t="shared" si="548"/>
        <v>0</v>
      </c>
      <c r="H1447" s="359" t="s">
        <v>18</v>
      </c>
      <c r="I1447" s="549">
        <f t="shared" si="549"/>
        <v>0</v>
      </c>
      <c r="J1447" s="359" t="s">
        <v>19</v>
      </c>
      <c r="K1447" s="358"/>
      <c r="L1447" s="358"/>
      <c r="M1447" s="358">
        <f>(F1447*5547/3456)</f>
        <v>0</v>
      </c>
      <c r="N1447" s="358"/>
      <c r="O1447" s="358"/>
      <c r="P1447" s="358"/>
      <c r="Q1447" s="358" t="s">
        <v>18</v>
      </c>
      <c r="R1447" s="358"/>
      <c r="S1447" s="358" t="s">
        <v>19</v>
      </c>
      <c r="T1447" s="528">
        <v>7</v>
      </c>
      <c r="U1447" s="324">
        <f t="shared" si="550"/>
        <v>0</v>
      </c>
      <c r="V1447" s="685"/>
      <c r="W1447" s="528"/>
      <c r="X1447" s="529"/>
      <c r="Y1447" s="323"/>
      <c r="Z1447" s="312">
        <f t="shared" si="547"/>
        <v>0</v>
      </c>
      <c r="AA1447" s="316">
        <f>SUM(Z1447/596.4+0.25)</f>
        <v>0.25</v>
      </c>
    </row>
    <row r="1448" spans="1:27" thickBot="1" x14ac:dyDescent="0.45">
      <c r="A1448" s="830"/>
      <c r="B1448" s="332" t="s">
        <v>286</v>
      </c>
      <c r="C1448" s="347"/>
      <c r="D1448" s="347"/>
      <c r="E1448" s="494"/>
      <c r="F1448" s="348"/>
      <c r="G1448" s="347"/>
      <c r="H1448" s="348"/>
      <c r="I1448" s="347"/>
      <c r="J1448" s="348"/>
      <c r="K1448" s="348"/>
      <c r="L1448" s="348"/>
      <c r="M1448" s="348"/>
      <c r="N1448" s="348"/>
      <c r="O1448" s="348"/>
      <c r="P1448" s="348"/>
      <c r="Q1448" s="348"/>
      <c r="R1448" s="348"/>
      <c r="S1448" s="348"/>
      <c r="T1448" s="347"/>
      <c r="U1448" s="348"/>
      <c r="V1448" s="356"/>
      <c r="W1448" s="348"/>
      <c r="X1448" s="501"/>
      <c r="Y1448" s="392"/>
    </row>
    <row r="1449" spans="1:27" ht="105.75" thickBot="1" x14ac:dyDescent="0.45">
      <c r="A1449" s="319" t="s">
        <v>830</v>
      </c>
      <c r="B1449" s="343" t="s">
        <v>970</v>
      </c>
      <c r="C1449" s="528">
        <f>C1046</f>
        <v>0</v>
      </c>
      <c r="D1449" s="548"/>
      <c r="E1449" s="456">
        <f>C1449*0.3</f>
        <v>0</v>
      </c>
      <c r="F1449" s="358">
        <f>E1449*1.03*0.82/147</f>
        <v>0</v>
      </c>
      <c r="G1449" s="549">
        <f t="shared" ref="G1449:G1454" si="554">INT(M1449)</f>
        <v>0</v>
      </c>
      <c r="H1449" s="359" t="s">
        <v>18</v>
      </c>
      <c r="I1449" s="549">
        <f t="shared" ref="I1449:I1454" si="555">(M1449-G1449)*64</f>
        <v>0</v>
      </c>
      <c r="J1449" s="359" t="s">
        <v>19</v>
      </c>
      <c r="K1449" s="358"/>
      <c r="L1449" s="358"/>
      <c r="M1449" s="358">
        <f>(F1449*5547/3456)</f>
        <v>0</v>
      </c>
      <c r="N1449" s="461"/>
      <c r="O1449" s="461"/>
      <c r="P1449" s="461"/>
      <c r="Q1449" s="358" t="s">
        <v>18</v>
      </c>
      <c r="R1449" s="358"/>
      <c r="S1449" s="358" t="s">
        <v>19</v>
      </c>
      <c r="T1449" s="528">
        <v>10</v>
      </c>
      <c r="U1449" s="324">
        <f t="shared" ref="U1449:U1458" si="556">E1449/324*60</f>
        <v>0</v>
      </c>
      <c r="V1449" s="676"/>
      <c r="W1449" s="528"/>
      <c r="X1449" s="529"/>
      <c r="Y1449" s="323"/>
      <c r="Z1449" s="312">
        <f t="shared" ref="Z1449:Z1481" si="557">E1449</f>
        <v>0</v>
      </c>
      <c r="AA1449" s="316">
        <f>SUM(E1449/619+0.25)</f>
        <v>0.25</v>
      </c>
    </row>
    <row r="1450" spans="1:27" ht="105.75" thickBot="1" x14ac:dyDescent="0.45">
      <c r="A1450" s="319" t="s">
        <v>830</v>
      </c>
      <c r="B1450" s="887" t="s">
        <v>1225</v>
      </c>
      <c r="C1450" s="528">
        <f>C1047</f>
        <v>0</v>
      </c>
      <c r="D1450" s="528">
        <f>C1450*10</f>
        <v>0</v>
      </c>
      <c r="E1450" s="460">
        <f>D1450*0.3</f>
        <v>0</v>
      </c>
      <c r="F1450" s="324">
        <f>E1450*1.03*0.82/147</f>
        <v>0</v>
      </c>
      <c r="G1450" s="537">
        <f t="shared" si="554"/>
        <v>0</v>
      </c>
      <c r="H1450" s="354"/>
      <c r="I1450" s="537">
        <f t="shared" si="555"/>
        <v>0</v>
      </c>
      <c r="J1450" s="354"/>
      <c r="K1450" s="324"/>
      <c r="L1450" s="324"/>
      <c r="M1450" s="324">
        <f>(F1450*4900/2880)</f>
        <v>0</v>
      </c>
      <c r="N1450" s="324"/>
      <c r="O1450" s="324"/>
      <c r="P1450" s="324"/>
      <c r="Q1450" s="324"/>
      <c r="R1450" s="324"/>
      <c r="S1450" s="324"/>
      <c r="T1450" s="528"/>
      <c r="U1450" s="324"/>
      <c r="V1450" s="676"/>
      <c r="W1450" s="528"/>
      <c r="X1450" s="529"/>
      <c r="Y1450" s="323"/>
      <c r="Z1450" s="312">
        <f>E1450</f>
        <v>0</v>
      </c>
      <c r="AA1450" s="316">
        <f>SUM(E1450/619+0.25)</f>
        <v>0.25</v>
      </c>
    </row>
    <row r="1451" spans="1:27" ht="105.75" thickBot="1" x14ac:dyDescent="0.45">
      <c r="A1451" s="319" t="s">
        <v>830</v>
      </c>
      <c r="B1451" s="343" t="s">
        <v>967</v>
      </c>
      <c r="C1451" s="528">
        <f>C1048</f>
        <v>0</v>
      </c>
      <c r="D1451" s="548"/>
      <c r="E1451" s="456">
        <f>C1451*0.3</f>
        <v>0</v>
      </c>
      <c r="F1451" s="358">
        <f>E1451*1.03*0.82/147</f>
        <v>0</v>
      </c>
      <c r="G1451" s="549">
        <f t="shared" si="554"/>
        <v>0</v>
      </c>
      <c r="H1451" s="359" t="s">
        <v>18</v>
      </c>
      <c r="I1451" s="549">
        <f t="shared" si="555"/>
        <v>0</v>
      </c>
      <c r="J1451" s="359" t="s">
        <v>19</v>
      </c>
      <c r="K1451" s="358"/>
      <c r="L1451" s="358"/>
      <c r="M1451" s="358">
        <f>(F1451*5547/3456)</f>
        <v>0</v>
      </c>
      <c r="N1451" s="461"/>
      <c r="O1451" s="461"/>
      <c r="P1451" s="461"/>
      <c r="Q1451" s="358" t="s">
        <v>18</v>
      </c>
      <c r="R1451" s="358"/>
      <c r="S1451" s="358" t="s">
        <v>19</v>
      </c>
      <c r="T1451" s="528">
        <v>10</v>
      </c>
      <c r="U1451" s="324">
        <f t="shared" si="556"/>
        <v>0</v>
      </c>
      <c r="V1451" s="676"/>
      <c r="W1451" s="528"/>
      <c r="X1451" s="529"/>
      <c r="Y1451" s="323"/>
      <c r="Z1451" s="312">
        <f t="shared" si="557"/>
        <v>0</v>
      </c>
      <c r="AA1451" s="316">
        <f>SUM(F1451/618.9+0.25)</f>
        <v>0.25</v>
      </c>
    </row>
    <row r="1452" spans="1:27" ht="105.75" thickBot="1" x14ac:dyDescent="0.45">
      <c r="A1452" s="319" t="s">
        <v>830</v>
      </c>
      <c r="B1452" s="343" t="s">
        <v>968</v>
      </c>
      <c r="C1452" s="528">
        <f>C1049</f>
        <v>0</v>
      </c>
      <c r="D1452" s="548"/>
      <c r="E1452" s="456">
        <f>C1452*0.3</f>
        <v>0</v>
      </c>
      <c r="F1452" s="358">
        <f>E1452*1.03*0.72/147</f>
        <v>0</v>
      </c>
      <c r="G1452" s="548">
        <f t="shared" si="554"/>
        <v>0</v>
      </c>
      <c r="H1452" s="358" t="s">
        <v>18</v>
      </c>
      <c r="I1452" s="548">
        <f t="shared" si="555"/>
        <v>0</v>
      </c>
      <c r="J1452" s="358" t="s">
        <v>19</v>
      </c>
      <c r="K1452" s="358"/>
      <c r="L1452" s="358"/>
      <c r="M1452" s="358">
        <f>(F1452*6035/3456)</f>
        <v>0</v>
      </c>
      <c r="N1452" s="461"/>
      <c r="O1452" s="461"/>
      <c r="P1452" s="461"/>
      <c r="Q1452" s="358" t="s">
        <v>18</v>
      </c>
      <c r="R1452" s="358"/>
      <c r="S1452" s="358" t="s">
        <v>19</v>
      </c>
      <c r="T1452" s="528">
        <v>10</v>
      </c>
      <c r="U1452" s="324">
        <f t="shared" si="556"/>
        <v>0</v>
      </c>
      <c r="V1452" s="676"/>
      <c r="W1452" s="528"/>
      <c r="X1452" s="529"/>
      <c r="Y1452" s="323"/>
      <c r="Z1452" s="312">
        <f t="shared" si="557"/>
        <v>0</v>
      </c>
      <c r="AA1452" s="316">
        <f>SUM(E1452/539+0.25)</f>
        <v>0.25</v>
      </c>
    </row>
    <row r="1453" spans="1:27" ht="105.75" thickBot="1" x14ac:dyDescent="0.45">
      <c r="A1453" s="319" t="s">
        <v>830</v>
      </c>
      <c r="B1453" s="343" t="s">
        <v>1141</v>
      </c>
      <c r="C1453" s="528">
        <f>C1050</f>
        <v>0</v>
      </c>
      <c r="D1453" s="548"/>
      <c r="E1453" s="456">
        <f>C1453*0.3</f>
        <v>0</v>
      </c>
      <c r="F1453" s="358">
        <f>E1453*1.03*0.72/147</f>
        <v>0</v>
      </c>
      <c r="G1453" s="548">
        <f t="shared" si="554"/>
        <v>0</v>
      </c>
      <c r="H1453" s="358" t="s">
        <v>18</v>
      </c>
      <c r="I1453" s="548">
        <f t="shared" si="555"/>
        <v>0</v>
      </c>
      <c r="J1453" s="358" t="s">
        <v>19</v>
      </c>
      <c r="K1453" s="358"/>
      <c r="L1453" s="358"/>
      <c r="M1453" s="358">
        <f>(F1453*6035/3456)</f>
        <v>0</v>
      </c>
      <c r="N1453" s="461"/>
      <c r="O1453" s="461"/>
      <c r="P1453" s="461"/>
      <c r="Q1453" s="358" t="s">
        <v>18</v>
      </c>
      <c r="R1453" s="358"/>
      <c r="S1453" s="358" t="s">
        <v>19</v>
      </c>
      <c r="T1453" s="528">
        <v>10</v>
      </c>
      <c r="U1453" s="324">
        <f t="shared" si="556"/>
        <v>0</v>
      </c>
      <c r="V1453" s="676"/>
      <c r="W1453" s="528"/>
      <c r="X1453" s="529"/>
      <c r="Y1453" s="323"/>
      <c r="Z1453" s="312">
        <f t="shared" si="557"/>
        <v>0</v>
      </c>
      <c r="AA1453" s="316">
        <f>SUM(E1453/539+0.25)</f>
        <v>0.25</v>
      </c>
    </row>
    <row r="1454" spans="1:27" ht="105.75" thickBot="1" x14ac:dyDescent="0.45">
      <c r="A1454" s="319" t="s">
        <v>830</v>
      </c>
      <c r="B1454" s="364" t="s">
        <v>992</v>
      </c>
      <c r="C1454" s="528">
        <f>C1045</f>
        <v>0</v>
      </c>
      <c r="D1454" s="528">
        <f>C1454*12</f>
        <v>0</v>
      </c>
      <c r="E1454" s="324">
        <f>D1454*0.25</f>
        <v>0</v>
      </c>
      <c r="F1454" s="324">
        <f>E1454*1.03*0.81/170</f>
        <v>0</v>
      </c>
      <c r="G1454" s="528">
        <f t="shared" si="554"/>
        <v>0</v>
      </c>
      <c r="H1454" s="324" t="s">
        <v>18</v>
      </c>
      <c r="I1454" s="528">
        <f t="shared" si="555"/>
        <v>0</v>
      </c>
      <c r="J1454" s="324" t="s">
        <v>19</v>
      </c>
      <c r="K1454" s="324"/>
      <c r="L1454" s="324"/>
      <c r="M1454" s="324">
        <f>(F1454*8820/3456)</f>
        <v>0</v>
      </c>
      <c r="N1454" s="324"/>
      <c r="O1454" s="324"/>
      <c r="P1454" s="324"/>
      <c r="Q1454" s="324" t="s">
        <v>18</v>
      </c>
      <c r="R1454" s="324"/>
      <c r="S1454" s="324" t="s">
        <v>19</v>
      </c>
      <c r="T1454" s="528">
        <v>10</v>
      </c>
      <c r="U1454" s="324">
        <f>E1454/220*60</f>
        <v>0</v>
      </c>
      <c r="V1454" s="676"/>
      <c r="W1454" s="528"/>
      <c r="X1454" s="529"/>
      <c r="Y1454" s="323"/>
      <c r="Z1454" s="312">
        <f t="shared" si="557"/>
        <v>0</v>
      </c>
      <c r="AA1454" s="316">
        <f>SUM(Z1454/448.3+0.25)</f>
        <v>0.25</v>
      </c>
    </row>
    <row r="1455" spans="1:27" ht="105.75" thickBot="1" x14ac:dyDescent="0.45">
      <c r="A1455" s="319" t="s">
        <v>830</v>
      </c>
      <c r="B1455" s="343" t="s">
        <v>827</v>
      </c>
      <c r="C1455" s="528">
        <f>C1018</f>
        <v>0</v>
      </c>
      <c r="D1455" s="548">
        <f>C1455*12</f>
        <v>0</v>
      </c>
      <c r="E1455" s="456">
        <f>D1455*0.6</f>
        <v>0</v>
      </c>
      <c r="F1455" s="358">
        <f>E1455*1.03*0.82/147</f>
        <v>0</v>
      </c>
      <c r="G1455" s="549">
        <f t="shared" ref="G1455:G1470" si="558">INT(M1455)</f>
        <v>0</v>
      </c>
      <c r="H1455" s="359" t="s">
        <v>18</v>
      </c>
      <c r="I1455" s="549">
        <f t="shared" ref="I1455:I1470" si="559">(M1455-G1455)*64</f>
        <v>0</v>
      </c>
      <c r="J1455" s="359" t="s">
        <v>19</v>
      </c>
      <c r="K1455" s="358"/>
      <c r="L1455" s="358"/>
      <c r="M1455" s="358">
        <f>(F1455*5250/3456)</f>
        <v>0</v>
      </c>
      <c r="N1455" s="358"/>
      <c r="O1455" s="358"/>
      <c r="P1455" s="358"/>
      <c r="Q1455" s="358" t="s">
        <v>18</v>
      </c>
      <c r="R1455" s="358"/>
      <c r="S1455" s="358" t="s">
        <v>19</v>
      </c>
      <c r="T1455" s="528">
        <v>10</v>
      </c>
      <c r="U1455" s="324">
        <f t="shared" si="556"/>
        <v>0</v>
      </c>
      <c r="V1455" s="676"/>
      <c r="W1455" s="528"/>
      <c r="X1455" s="529"/>
      <c r="Y1455" s="323"/>
      <c r="Z1455" s="312">
        <f t="shared" si="557"/>
        <v>0</v>
      </c>
      <c r="AA1455" s="316">
        <f>SUM(Z1455/618.9+0.25)</f>
        <v>0.25</v>
      </c>
    </row>
    <row r="1456" spans="1:27" ht="105.75" thickBot="1" x14ac:dyDescent="0.45">
      <c r="A1456" s="319" t="s">
        <v>830</v>
      </c>
      <c r="B1456" s="343" t="s">
        <v>1015</v>
      </c>
      <c r="C1456" s="528">
        <f>C1019</f>
        <v>0</v>
      </c>
      <c r="D1456" s="528">
        <f>C1456*12</f>
        <v>0</v>
      </c>
      <c r="E1456" s="460">
        <f>D1456*0.5</f>
        <v>0</v>
      </c>
      <c r="F1456" s="324">
        <f>E1456*1.03*0.82/147</f>
        <v>0</v>
      </c>
      <c r="G1456" s="537">
        <f t="shared" si="558"/>
        <v>0</v>
      </c>
      <c r="H1456" s="354" t="s">
        <v>18</v>
      </c>
      <c r="I1456" s="537">
        <f t="shared" si="559"/>
        <v>0</v>
      </c>
      <c r="J1456" s="354" t="s">
        <v>19</v>
      </c>
      <c r="K1456" s="324"/>
      <c r="L1456" s="324"/>
      <c r="M1456" s="324">
        <f>(F1456*5250/3456)</f>
        <v>0</v>
      </c>
      <c r="N1456" s="324"/>
      <c r="O1456" s="324"/>
      <c r="P1456" s="324"/>
      <c r="Q1456" s="324" t="s">
        <v>18</v>
      </c>
      <c r="R1456" s="324"/>
      <c r="S1456" s="324" t="s">
        <v>19</v>
      </c>
      <c r="T1456" s="528">
        <v>10</v>
      </c>
      <c r="U1456" s="324">
        <f>E1456/324*60</f>
        <v>0</v>
      </c>
      <c r="V1456" s="676"/>
      <c r="W1456" s="528"/>
      <c r="X1456" s="529"/>
      <c r="Y1456" s="323"/>
      <c r="Z1456" s="312">
        <f t="shared" si="557"/>
        <v>0</v>
      </c>
      <c r="AA1456" s="316">
        <f>SUM(Z1456/517.6+0.25)</f>
        <v>0.25</v>
      </c>
    </row>
    <row r="1457" spans="1:27" ht="105.75" thickBot="1" x14ac:dyDescent="0.45">
      <c r="A1457" s="319" t="s">
        <v>830</v>
      </c>
      <c r="B1457" s="343" t="s">
        <v>857</v>
      </c>
      <c r="C1457" s="528">
        <f>C1020</f>
        <v>0</v>
      </c>
      <c r="D1457" s="551">
        <f>C1457*12</f>
        <v>0</v>
      </c>
      <c r="E1457" s="456">
        <f>D1457*0.6</f>
        <v>0</v>
      </c>
      <c r="F1457" s="358">
        <f>E1457*1.01*0.72/147</f>
        <v>0</v>
      </c>
      <c r="G1457" s="548">
        <f t="shared" si="558"/>
        <v>0</v>
      </c>
      <c r="H1457" s="358" t="s">
        <v>18</v>
      </c>
      <c r="I1457" s="548">
        <f t="shared" si="559"/>
        <v>0</v>
      </c>
      <c r="J1457" s="358" t="s">
        <v>19</v>
      </c>
      <c r="K1457" s="358"/>
      <c r="L1457" s="358"/>
      <c r="M1457" s="358">
        <f>(F1457*6100/3456)</f>
        <v>0</v>
      </c>
      <c r="N1457" s="358"/>
      <c r="O1457" s="358"/>
      <c r="P1457" s="358"/>
      <c r="Q1457" s="358" t="s">
        <v>18</v>
      </c>
      <c r="R1457" s="358"/>
      <c r="S1457" s="358" t="s">
        <v>19</v>
      </c>
      <c r="T1457" s="528">
        <v>10</v>
      </c>
      <c r="U1457" s="324">
        <f t="shared" si="556"/>
        <v>0</v>
      </c>
      <c r="V1457" s="676"/>
      <c r="W1457" s="528"/>
      <c r="X1457" s="529"/>
      <c r="Y1457" s="323"/>
      <c r="Z1457" s="312">
        <f t="shared" si="557"/>
        <v>0</v>
      </c>
      <c r="AA1457" s="316">
        <f>SUM(E1457/539.1+0.25)</f>
        <v>0.25</v>
      </c>
    </row>
    <row r="1458" spans="1:27" ht="105.75" thickBot="1" x14ac:dyDescent="0.45">
      <c r="A1458" s="319" t="s">
        <v>830</v>
      </c>
      <c r="B1458" s="343" t="s">
        <v>908</v>
      </c>
      <c r="C1458" s="528">
        <f>C1021</f>
        <v>0</v>
      </c>
      <c r="D1458" s="551">
        <f>C1458*12</f>
        <v>0</v>
      </c>
      <c r="E1458" s="456">
        <f>D1458*0.6</f>
        <v>0</v>
      </c>
      <c r="F1458" s="358">
        <f>E1458*1.01*0.72/147</f>
        <v>0</v>
      </c>
      <c r="G1458" s="548">
        <f t="shared" si="558"/>
        <v>0</v>
      </c>
      <c r="H1458" s="358" t="s">
        <v>18</v>
      </c>
      <c r="I1458" s="548">
        <f t="shared" si="559"/>
        <v>0</v>
      </c>
      <c r="J1458" s="358" t="s">
        <v>19</v>
      </c>
      <c r="K1458" s="358"/>
      <c r="L1458" s="358"/>
      <c r="M1458" s="358">
        <f>(F1458*6100/3456)</f>
        <v>0</v>
      </c>
      <c r="N1458" s="358"/>
      <c r="O1458" s="358"/>
      <c r="P1458" s="358"/>
      <c r="Q1458" s="358" t="s">
        <v>18</v>
      </c>
      <c r="R1458" s="358"/>
      <c r="S1458" s="358" t="s">
        <v>19</v>
      </c>
      <c r="T1458" s="528">
        <v>10</v>
      </c>
      <c r="U1458" s="324">
        <f t="shared" si="556"/>
        <v>0</v>
      </c>
      <c r="V1458" s="676"/>
      <c r="W1458" s="528"/>
      <c r="X1458" s="529"/>
      <c r="Y1458" s="323"/>
      <c r="Z1458" s="312">
        <f t="shared" si="557"/>
        <v>0</v>
      </c>
      <c r="AA1458" s="316">
        <f>SUM(E1458/539.1+0.25)</f>
        <v>0.25</v>
      </c>
    </row>
    <row r="1459" spans="1:27" ht="105.75" thickBot="1" x14ac:dyDescent="0.45">
      <c r="A1459" s="319" t="s">
        <v>830</v>
      </c>
      <c r="B1459" s="320" t="s">
        <v>858</v>
      </c>
      <c r="C1459" s="528">
        <f>C1040</f>
        <v>0</v>
      </c>
      <c r="D1459" s="551">
        <f>C1459*18</f>
        <v>0</v>
      </c>
      <c r="E1459" s="456">
        <f>D1459*0.18</f>
        <v>0</v>
      </c>
      <c r="F1459" s="358">
        <f>E1459*1.03*0.8/147</f>
        <v>0</v>
      </c>
      <c r="G1459" s="548">
        <f t="shared" si="558"/>
        <v>0</v>
      </c>
      <c r="H1459" s="358" t="s">
        <v>18</v>
      </c>
      <c r="I1459" s="548">
        <f t="shared" si="559"/>
        <v>0</v>
      </c>
      <c r="J1459" s="358" t="s">
        <v>19</v>
      </c>
      <c r="K1459" s="358"/>
      <c r="L1459" s="358"/>
      <c r="M1459" s="358">
        <f>F1459*5960/3456</f>
        <v>0</v>
      </c>
      <c r="N1459" s="324"/>
      <c r="O1459" s="324"/>
      <c r="P1459" s="324"/>
      <c r="Q1459" s="324" t="s">
        <v>18</v>
      </c>
      <c r="R1459" s="324"/>
      <c r="S1459" s="324" t="s">
        <v>19</v>
      </c>
      <c r="T1459" s="528">
        <v>6</v>
      </c>
      <c r="U1459" s="324">
        <f>E1459/220*60</f>
        <v>0</v>
      </c>
      <c r="V1459" s="676"/>
      <c r="W1459" s="528"/>
      <c r="X1459" s="529"/>
      <c r="Y1459" s="323"/>
      <c r="Z1459" s="312">
        <f t="shared" si="557"/>
        <v>0</v>
      </c>
      <c r="AA1459" s="316">
        <f>SUM(Z1459/505.3+0.25)</f>
        <v>0.25</v>
      </c>
    </row>
    <row r="1460" spans="1:27" ht="105.75" thickBot="1" x14ac:dyDescent="0.45">
      <c r="A1460" s="319" t="s">
        <v>830</v>
      </c>
      <c r="B1460" s="320" t="s">
        <v>1031</v>
      </c>
      <c r="C1460" s="528">
        <f>C1041</f>
        <v>0</v>
      </c>
      <c r="D1460" s="530">
        <f>C1460*22</f>
        <v>0</v>
      </c>
      <c r="E1460" s="460">
        <f>D1460*0.18</f>
        <v>0</v>
      </c>
      <c r="F1460" s="324">
        <f>E1460*1.03*0.8/147</f>
        <v>0</v>
      </c>
      <c r="G1460" s="528">
        <f t="shared" si="558"/>
        <v>0</v>
      </c>
      <c r="H1460" s="324" t="s">
        <v>18</v>
      </c>
      <c r="I1460" s="528">
        <f t="shared" si="559"/>
        <v>0</v>
      </c>
      <c r="J1460" s="324" t="s">
        <v>19</v>
      </c>
      <c r="K1460" s="324"/>
      <c r="L1460" s="324"/>
      <c r="M1460" s="324">
        <f>F1460*5960/3456</f>
        <v>0</v>
      </c>
      <c r="N1460" s="324"/>
      <c r="O1460" s="324"/>
      <c r="P1460" s="324"/>
      <c r="Q1460" s="324" t="s">
        <v>18</v>
      </c>
      <c r="R1460" s="324"/>
      <c r="S1460" s="324" t="s">
        <v>19</v>
      </c>
      <c r="T1460" s="528">
        <v>6</v>
      </c>
      <c r="U1460" s="324">
        <f>E1460/220*60</f>
        <v>0</v>
      </c>
      <c r="V1460" s="676"/>
      <c r="W1460" s="528"/>
      <c r="X1460" s="529"/>
      <c r="Y1460" s="300"/>
      <c r="Z1460" s="312">
        <f>E1460</f>
        <v>0</v>
      </c>
      <c r="AA1460" s="316">
        <f>SUM(Z1460/505.3+0.25)</f>
        <v>0.25</v>
      </c>
    </row>
    <row r="1461" spans="1:27" ht="105.75" thickBot="1" x14ac:dyDescent="0.45">
      <c r="A1461" s="319" t="s">
        <v>830</v>
      </c>
      <c r="B1461" s="320" t="s">
        <v>893</v>
      </c>
      <c r="C1461" s="528">
        <f>C1039</f>
        <v>0</v>
      </c>
      <c r="D1461" s="551">
        <f>C1461*18</f>
        <v>0</v>
      </c>
      <c r="E1461" s="456">
        <f>D1461*0.18</f>
        <v>0</v>
      </c>
      <c r="F1461" s="358">
        <f>E1461*1.03*0.8/147</f>
        <v>0</v>
      </c>
      <c r="G1461" s="548">
        <f t="shared" si="558"/>
        <v>0</v>
      </c>
      <c r="H1461" s="358" t="s">
        <v>18</v>
      </c>
      <c r="I1461" s="548">
        <f t="shared" si="559"/>
        <v>0</v>
      </c>
      <c r="J1461" s="358" t="s">
        <v>19</v>
      </c>
      <c r="K1461" s="358"/>
      <c r="L1461" s="358"/>
      <c r="M1461" s="358">
        <f>F1461*5960/3456</f>
        <v>0</v>
      </c>
      <c r="N1461" s="324"/>
      <c r="O1461" s="324"/>
      <c r="P1461" s="324"/>
      <c r="Q1461" s="324" t="s">
        <v>18</v>
      </c>
      <c r="R1461" s="324"/>
      <c r="S1461" s="324" t="s">
        <v>19</v>
      </c>
      <c r="T1461" s="528">
        <v>6</v>
      </c>
      <c r="U1461" s="324">
        <f>E1461/220*60</f>
        <v>0</v>
      </c>
      <c r="V1461" s="676"/>
      <c r="W1461" s="528"/>
      <c r="X1461" s="529"/>
      <c r="Y1461" s="323"/>
      <c r="Z1461" s="312">
        <f t="shared" si="557"/>
        <v>0</v>
      </c>
      <c r="AA1461" s="316">
        <f>SUM(Z1461/505.3+0.25)</f>
        <v>0.25</v>
      </c>
    </row>
    <row r="1462" spans="1:27" ht="105.75" thickBot="1" x14ac:dyDescent="0.45">
      <c r="A1462" s="319" t="s">
        <v>830</v>
      </c>
      <c r="B1462" s="320" t="s">
        <v>1036</v>
      </c>
      <c r="C1462" s="528">
        <f t="shared" ref="C1462:C1475" si="560">C1022</f>
        <v>0</v>
      </c>
      <c r="D1462" s="550">
        <f>C1462*22</f>
        <v>0</v>
      </c>
      <c r="E1462" s="456">
        <f>D1462*0.2</f>
        <v>0</v>
      </c>
      <c r="F1462" s="358">
        <f>E1462*1.03*0.82/147</f>
        <v>0</v>
      </c>
      <c r="G1462" s="548">
        <f t="shared" si="558"/>
        <v>0</v>
      </c>
      <c r="H1462" s="358" t="s">
        <v>18</v>
      </c>
      <c r="I1462" s="548">
        <f t="shared" si="559"/>
        <v>0</v>
      </c>
      <c r="J1462" s="358" t="s">
        <v>19</v>
      </c>
      <c r="K1462" s="358"/>
      <c r="L1462" s="358"/>
      <c r="M1462" s="358">
        <f>F1462*5250/3456</f>
        <v>0</v>
      </c>
      <c r="N1462" s="358"/>
      <c r="O1462" s="358"/>
      <c r="P1462" s="358"/>
      <c r="Q1462" s="358" t="s">
        <v>18</v>
      </c>
      <c r="R1462" s="358"/>
      <c r="S1462" s="358" t="s">
        <v>19</v>
      </c>
      <c r="T1462" s="528">
        <v>6</v>
      </c>
      <c r="U1462" s="324">
        <f>E1462/220*60</f>
        <v>0</v>
      </c>
      <c r="V1462" s="676"/>
      <c r="W1462" s="528"/>
      <c r="X1462" s="529"/>
      <c r="Y1462" s="323"/>
      <c r="Z1462" s="312">
        <f t="shared" si="557"/>
        <v>0</v>
      </c>
      <c r="AA1462" s="316">
        <f>SUM(Z1462/548.9+0.25)</f>
        <v>0.25</v>
      </c>
    </row>
    <row r="1463" spans="1:27" ht="105.75" thickBot="1" x14ac:dyDescent="0.45">
      <c r="A1463" s="319" t="s">
        <v>830</v>
      </c>
      <c r="B1463" s="320" t="s">
        <v>1001</v>
      </c>
      <c r="C1463" s="528">
        <f t="shared" si="560"/>
        <v>0</v>
      </c>
      <c r="D1463" s="551">
        <f>C1463*22</f>
        <v>0</v>
      </c>
      <c r="E1463" s="456">
        <f>D1463*0.2</f>
        <v>0</v>
      </c>
      <c r="F1463" s="358">
        <f>E1463*1.03*0.82/147</f>
        <v>0</v>
      </c>
      <c r="G1463" s="548">
        <f t="shared" si="558"/>
        <v>0</v>
      </c>
      <c r="H1463" s="358" t="s">
        <v>18</v>
      </c>
      <c r="I1463" s="548">
        <f t="shared" si="559"/>
        <v>0</v>
      </c>
      <c r="J1463" s="358" t="s">
        <v>19</v>
      </c>
      <c r="K1463" s="358"/>
      <c r="L1463" s="358"/>
      <c r="M1463" s="358">
        <f>F1463*5250/3456</f>
        <v>0</v>
      </c>
      <c r="N1463" s="358"/>
      <c r="O1463" s="358"/>
      <c r="P1463" s="358"/>
      <c r="Q1463" s="358" t="s">
        <v>18</v>
      </c>
      <c r="R1463" s="358"/>
      <c r="S1463" s="358" t="s">
        <v>19</v>
      </c>
      <c r="T1463" s="528">
        <v>6</v>
      </c>
      <c r="U1463" s="324">
        <f>E1463/220*60</f>
        <v>0</v>
      </c>
      <c r="V1463" s="676"/>
      <c r="W1463" s="528"/>
      <c r="X1463" s="529"/>
      <c r="Y1463" s="323"/>
      <c r="Z1463" s="312">
        <f t="shared" si="557"/>
        <v>0</v>
      </c>
      <c r="AA1463" s="316">
        <f>SUM(Z1463/548.9+0.25)</f>
        <v>0.25</v>
      </c>
    </row>
    <row r="1464" spans="1:27" ht="105.75" thickBot="1" x14ac:dyDescent="0.45">
      <c r="A1464" s="319" t="s">
        <v>830</v>
      </c>
      <c r="B1464" s="320" t="s">
        <v>796</v>
      </c>
      <c r="C1464" s="528">
        <f t="shared" si="560"/>
        <v>0</v>
      </c>
      <c r="D1464" s="551">
        <f>C1464*8</f>
        <v>0</v>
      </c>
      <c r="E1464" s="456">
        <f>D1464*0.25</f>
        <v>0</v>
      </c>
      <c r="F1464" s="358">
        <f>E1464*1.015*0.72/147</f>
        <v>0</v>
      </c>
      <c r="G1464" s="548">
        <f t="shared" si="558"/>
        <v>0</v>
      </c>
      <c r="H1464" s="358" t="s">
        <v>18</v>
      </c>
      <c r="I1464" s="548">
        <f t="shared" si="559"/>
        <v>0</v>
      </c>
      <c r="J1464" s="358" t="s">
        <v>19</v>
      </c>
      <c r="K1464" s="358"/>
      <c r="L1464" s="358"/>
      <c r="M1464" s="552">
        <f>(F1464*6447/3456)</f>
        <v>0</v>
      </c>
      <c r="N1464" s="324"/>
      <c r="O1464" s="324"/>
      <c r="P1464" s="324"/>
      <c r="Q1464" s="324" t="s">
        <v>18</v>
      </c>
      <c r="R1464" s="324"/>
      <c r="S1464" s="324" t="s">
        <v>19</v>
      </c>
      <c r="T1464" s="528">
        <v>6</v>
      </c>
      <c r="U1464" s="324">
        <f>E1464/259*60</f>
        <v>0</v>
      </c>
      <c r="V1464" s="676"/>
      <c r="W1464" s="528"/>
      <c r="X1464" s="529"/>
      <c r="Y1464" s="323"/>
      <c r="Z1464" s="312">
        <f t="shared" si="557"/>
        <v>0</v>
      </c>
      <c r="AA1464" s="316">
        <f>SUM(Z1464/509.7+0.25)</f>
        <v>0.25</v>
      </c>
    </row>
    <row r="1465" spans="1:27" s="728" customFormat="1" ht="105.75" outlineLevel="1" thickBot="1" x14ac:dyDescent="0.45">
      <c r="A1465" s="636" t="s">
        <v>830</v>
      </c>
      <c r="B1465" s="634" t="s">
        <v>797</v>
      </c>
      <c r="C1465" s="720">
        <f t="shared" si="560"/>
        <v>0</v>
      </c>
      <c r="D1465" s="741">
        <f>C1465*8</f>
        <v>0</v>
      </c>
      <c r="E1465" s="721">
        <f>D1465*0.25</f>
        <v>0</v>
      </c>
      <c r="F1465" s="722">
        <f>E1465*1.015*0.72/147</f>
        <v>0</v>
      </c>
      <c r="G1465" s="720">
        <f t="shared" si="558"/>
        <v>0</v>
      </c>
      <c r="H1465" s="722" t="s">
        <v>18</v>
      </c>
      <c r="I1465" s="720">
        <f t="shared" si="559"/>
        <v>0</v>
      </c>
      <c r="J1465" s="722" t="s">
        <v>19</v>
      </c>
      <c r="K1465" s="722"/>
      <c r="L1465" s="722"/>
      <c r="M1465" s="816">
        <f>(F1465*6447/3456)</f>
        <v>0</v>
      </c>
      <c r="N1465" s="722"/>
      <c r="O1465" s="722"/>
      <c r="P1465" s="722"/>
      <c r="Q1465" s="722" t="s">
        <v>18</v>
      </c>
      <c r="R1465" s="722"/>
      <c r="S1465" s="722" t="s">
        <v>19</v>
      </c>
      <c r="T1465" s="720">
        <v>6</v>
      </c>
      <c r="U1465" s="722">
        <f>E1465/259*60</f>
        <v>0</v>
      </c>
      <c r="V1465" s="724"/>
      <c r="W1465" s="720"/>
      <c r="X1465" s="725"/>
      <c r="Y1465" s="736"/>
      <c r="Z1465" s="727">
        <f t="shared" si="557"/>
        <v>0</v>
      </c>
      <c r="AA1465" s="815">
        <f>SUM(Z1465/509.7+0.25)</f>
        <v>0.25</v>
      </c>
    </row>
    <row r="1466" spans="1:27" s="728" customFormat="1" ht="105.75" outlineLevel="1" thickBot="1" x14ac:dyDescent="0.45">
      <c r="A1466" s="636" t="s">
        <v>830</v>
      </c>
      <c r="B1466" s="814" t="s">
        <v>683</v>
      </c>
      <c r="C1466" s="720">
        <f t="shared" si="560"/>
        <v>0</v>
      </c>
      <c r="D1466" s="720">
        <f>C1466*10</f>
        <v>0</v>
      </c>
      <c r="E1466" s="721">
        <f>D1466*0.2</f>
        <v>0</v>
      </c>
      <c r="F1466" s="722">
        <f>E1466*1.03*0.82/147</f>
        <v>0</v>
      </c>
      <c r="G1466" s="720">
        <f t="shared" si="558"/>
        <v>0</v>
      </c>
      <c r="H1466" s="722" t="s">
        <v>18</v>
      </c>
      <c r="I1466" s="720">
        <f t="shared" si="559"/>
        <v>0</v>
      </c>
      <c r="J1466" s="722" t="s">
        <v>19</v>
      </c>
      <c r="K1466" s="722"/>
      <c r="L1466" s="722"/>
      <c r="M1466" s="722">
        <f>(F1466*8750/3456)</f>
        <v>0</v>
      </c>
      <c r="N1466" s="722"/>
      <c r="O1466" s="722"/>
      <c r="P1466" s="722"/>
      <c r="Q1466" s="722" t="s">
        <v>18</v>
      </c>
      <c r="R1466" s="722"/>
      <c r="S1466" s="722" t="s">
        <v>19</v>
      </c>
      <c r="T1466" s="720">
        <v>7</v>
      </c>
      <c r="U1466" s="722">
        <f>E1466/220*60</f>
        <v>0</v>
      </c>
      <c r="V1466" s="724"/>
      <c r="W1466" s="720"/>
      <c r="X1466" s="725"/>
      <c r="Y1466" s="736"/>
      <c r="Z1466" s="727">
        <f t="shared" si="557"/>
        <v>0</v>
      </c>
      <c r="AA1466" s="815">
        <f>SUM(Z1466/379.4+0.25)</f>
        <v>0.25</v>
      </c>
    </row>
    <row r="1467" spans="1:27" s="728" customFormat="1" ht="105.75" outlineLevel="1" thickBot="1" x14ac:dyDescent="0.45">
      <c r="A1467" s="636" t="s">
        <v>830</v>
      </c>
      <c r="B1467" s="634" t="s">
        <v>764</v>
      </c>
      <c r="C1467" s="720">
        <f t="shared" si="560"/>
        <v>0</v>
      </c>
      <c r="D1467" s="720">
        <f>C1467*10</f>
        <v>0</v>
      </c>
      <c r="E1467" s="721">
        <f>D1467*0.2</f>
        <v>0</v>
      </c>
      <c r="F1467" s="722">
        <f>E1467*1.015*0.72/147</f>
        <v>0</v>
      </c>
      <c r="G1467" s="720">
        <f t="shared" si="558"/>
        <v>0</v>
      </c>
      <c r="H1467" s="722" t="s">
        <v>18</v>
      </c>
      <c r="I1467" s="720">
        <f t="shared" si="559"/>
        <v>0</v>
      </c>
      <c r="J1467" s="722" t="s">
        <v>19</v>
      </c>
      <c r="K1467" s="722"/>
      <c r="L1467" s="722"/>
      <c r="M1467" s="722">
        <f>(F1467*8070/3456)</f>
        <v>0</v>
      </c>
      <c r="N1467" s="722"/>
      <c r="O1467" s="722"/>
      <c r="P1467" s="722"/>
      <c r="Q1467" s="722" t="s">
        <v>18</v>
      </c>
      <c r="R1467" s="722"/>
      <c r="S1467" s="722" t="s">
        <v>19</v>
      </c>
      <c r="T1467" s="720">
        <v>6</v>
      </c>
      <c r="U1467" s="722">
        <f>E1467/259*60</f>
        <v>0</v>
      </c>
      <c r="V1467" s="724"/>
      <c r="W1467" s="720"/>
      <c r="X1467" s="725"/>
      <c r="Y1467" s="736"/>
      <c r="Z1467" s="727">
        <f t="shared" si="557"/>
        <v>0</v>
      </c>
      <c r="AA1467" s="815">
        <f>SUM(Z1467/411.6+0.25)</f>
        <v>0.25</v>
      </c>
    </row>
    <row r="1468" spans="1:27" s="728" customFormat="1" ht="105.75" outlineLevel="1" thickBot="1" x14ac:dyDescent="0.45">
      <c r="A1468" s="636" t="s">
        <v>830</v>
      </c>
      <c r="B1468" s="634" t="s">
        <v>760</v>
      </c>
      <c r="C1468" s="720">
        <f t="shared" si="560"/>
        <v>0</v>
      </c>
      <c r="D1468" s="720">
        <f>C1468*10</f>
        <v>0</v>
      </c>
      <c r="E1468" s="721">
        <f>D1468*0.2</f>
        <v>0</v>
      </c>
      <c r="F1468" s="722">
        <f>E1468*1.015*0.72/147</f>
        <v>0</v>
      </c>
      <c r="G1468" s="720">
        <f t="shared" si="558"/>
        <v>0</v>
      </c>
      <c r="H1468" s="722" t="s">
        <v>18</v>
      </c>
      <c r="I1468" s="720">
        <f t="shared" si="559"/>
        <v>0</v>
      </c>
      <c r="J1468" s="722" t="s">
        <v>19</v>
      </c>
      <c r="K1468" s="722"/>
      <c r="L1468" s="722"/>
      <c r="M1468" s="722">
        <f>(F1468*8070/3456)</f>
        <v>0</v>
      </c>
      <c r="N1468" s="722"/>
      <c r="O1468" s="722"/>
      <c r="P1468" s="722"/>
      <c r="Q1468" s="722" t="s">
        <v>18</v>
      </c>
      <c r="R1468" s="722"/>
      <c r="S1468" s="722" t="s">
        <v>19</v>
      </c>
      <c r="T1468" s="720">
        <v>6</v>
      </c>
      <c r="U1468" s="722">
        <f>E1468/220*60</f>
        <v>0</v>
      </c>
      <c r="V1468" s="724"/>
      <c r="W1468" s="720"/>
      <c r="X1468" s="725"/>
      <c r="Y1468" s="736"/>
      <c r="Z1468" s="727">
        <f t="shared" si="557"/>
        <v>0</v>
      </c>
      <c r="AA1468" s="815">
        <f>SUM(Z1468/411.6+0.25)</f>
        <v>0.25</v>
      </c>
    </row>
    <row r="1469" spans="1:27" ht="105.75" thickBot="1" x14ac:dyDescent="0.45">
      <c r="A1469" s="319" t="s">
        <v>830</v>
      </c>
      <c r="B1469" s="320" t="s">
        <v>627</v>
      </c>
      <c r="C1469" s="528">
        <f t="shared" si="560"/>
        <v>0</v>
      </c>
      <c r="D1469" s="548">
        <f>C1469*18</f>
        <v>0</v>
      </c>
      <c r="E1469" s="456">
        <f>D1469*0.2</f>
        <v>0</v>
      </c>
      <c r="F1469" s="358">
        <f>E1469*1.05*0.8/140</f>
        <v>0</v>
      </c>
      <c r="G1469" s="548">
        <f t="shared" si="558"/>
        <v>0</v>
      </c>
      <c r="H1469" s="358" t="s">
        <v>18</v>
      </c>
      <c r="I1469" s="548">
        <f t="shared" si="559"/>
        <v>0</v>
      </c>
      <c r="J1469" s="358" t="s">
        <v>19</v>
      </c>
      <c r="K1469" s="358"/>
      <c r="L1469" s="358"/>
      <c r="M1469" s="358">
        <f>F1469*5111/3456</f>
        <v>0</v>
      </c>
      <c r="N1469" s="324"/>
      <c r="O1469" s="324"/>
      <c r="P1469" s="324"/>
      <c r="Q1469" s="324" t="s">
        <v>18</v>
      </c>
      <c r="R1469" s="324"/>
      <c r="S1469" s="324" t="s">
        <v>19</v>
      </c>
      <c r="T1469" s="528">
        <v>6</v>
      </c>
      <c r="U1469" s="324">
        <f>E1469/207*60</f>
        <v>0</v>
      </c>
      <c r="V1469" s="676"/>
      <c r="W1469" s="528"/>
      <c r="X1469" s="529"/>
      <c r="Y1469" s="360" t="s">
        <v>1029</v>
      </c>
      <c r="Z1469" s="312">
        <f t="shared" si="557"/>
        <v>0</v>
      </c>
      <c r="AA1469" s="316">
        <f>SUM(Z1469/548.9+0.25)</f>
        <v>0.25</v>
      </c>
    </row>
    <row r="1470" spans="1:27" ht="105.75" thickBot="1" x14ac:dyDescent="0.45">
      <c r="A1470" s="319" t="s">
        <v>830</v>
      </c>
      <c r="B1470" s="364" t="s">
        <v>694</v>
      </c>
      <c r="C1470" s="528">
        <f t="shared" si="560"/>
        <v>0</v>
      </c>
      <c r="D1470" s="548">
        <f>C1470*10</f>
        <v>0</v>
      </c>
      <c r="E1470" s="456">
        <f>D1470*0.25</f>
        <v>0</v>
      </c>
      <c r="F1470" s="358">
        <f>E1470*1.03*0.81/147</f>
        <v>0</v>
      </c>
      <c r="G1470" s="548">
        <f t="shared" si="558"/>
        <v>0</v>
      </c>
      <c r="H1470" s="358" t="s">
        <v>18</v>
      </c>
      <c r="I1470" s="548">
        <f t="shared" si="559"/>
        <v>0</v>
      </c>
      <c r="J1470" s="358" t="s">
        <v>19</v>
      </c>
      <c r="K1470" s="358"/>
      <c r="L1470" s="358"/>
      <c r="M1470" s="358">
        <f>(F1470*8820/3456)</f>
        <v>0</v>
      </c>
      <c r="N1470" s="324"/>
      <c r="O1470" s="324"/>
      <c r="P1470" s="324"/>
      <c r="Q1470" s="324" t="s">
        <v>18</v>
      </c>
      <c r="R1470" s="324"/>
      <c r="S1470" s="324" t="s">
        <v>19</v>
      </c>
      <c r="T1470" s="528">
        <v>7</v>
      </c>
      <c r="U1470" s="324">
        <f>E1470/220*60</f>
        <v>0</v>
      </c>
      <c r="V1470" s="676"/>
      <c r="W1470" s="528"/>
      <c r="X1470" s="529"/>
      <c r="Y1470" s="323"/>
      <c r="Z1470" s="312">
        <f t="shared" si="557"/>
        <v>0</v>
      </c>
      <c r="AA1470" s="316">
        <f>SUM(Z1470/472.6+0.25)</f>
        <v>0.25</v>
      </c>
    </row>
    <row r="1471" spans="1:27" ht="105.75" thickBot="1" x14ac:dyDescent="0.45">
      <c r="A1471" s="319" t="s">
        <v>830</v>
      </c>
      <c r="B1471" s="364" t="s">
        <v>1068</v>
      </c>
      <c r="C1471" s="528">
        <f t="shared" si="560"/>
        <v>0</v>
      </c>
      <c r="D1471" s="528">
        <f>C1471*10</f>
        <v>0</v>
      </c>
      <c r="E1471" s="460">
        <f>D1471*0.25</f>
        <v>0</v>
      </c>
      <c r="F1471" s="324">
        <f>E1471*1.03*0.81/147</f>
        <v>0</v>
      </c>
      <c r="G1471" s="528">
        <f>INT(M1471)</f>
        <v>0</v>
      </c>
      <c r="H1471" s="324" t="s">
        <v>18</v>
      </c>
      <c r="I1471" s="528">
        <f>(M1471-G1471)*64</f>
        <v>0</v>
      </c>
      <c r="J1471" s="324" t="s">
        <v>19</v>
      </c>
      <c r="K1471" s="324"/>
      <c r="L1471" s="324"/>
      <c r="M1471" s="324">
        <f>(F1471*8820/3456)</f>
        <v>0</v>
      </c>
      <c r="N1471" s="324"/>
      <c r="O1471" s="324"/>
      <c r="P1471" s="324"/>
      <c r="Q1471" s="324" t="s">
        <v>18</v>
      </c>
      <c r="R1471" s="324"/>
      <c r="S1471" s="324" t="s">
        <v>19</v>
      </c>
      <c r="T1471" s="528">
        <v>7</v>
      </c>
      <c r="U1471" s="324">
        <f>E1471/220*60</f>
        <v>0</v>
      </c>
      <c r="V1471" s="676"/>
      <c r="W1471" s="528"/>
      <c r="X1471" s="529"/>
      <c r="Y1471" s="323"/>
      <c r="Z1471" s="312">
        <f>E1471</f>
        <v>0</v>
      </c>
      <c r="AA1471" s="316">
        <f>SUM(Z1471/472.6+0.25)</f>
        <v>0.25</v>
      </c>
    </row>
    <row r="1472" spans="1:27" ht="105.75" thickBot="1" x14ac:dyDescent="0.45">
      <c r="A1472" s="319" t="s">
        <v>830</v>
      </c>
      <c r="B1472" s="364" t="s">
        <v>1072</v>
      </c>
      <c r="C1472" s="528">
        <f t="shared" si="560"/>
        <v>0</v>
      </c>
      <c r="D1472" s="528">
        <f>C1472*10</f>
        <v>0</v>
      </c>
      <c r="E1472" s="460">
        <f>D1472*0.25</f>
        <v>0</v>
      </c>
      <c r="F1472" s="324">
        <f>E1472*1.03*0.81/147</f>
        <v>0</v>
      </c>
      <c r="G1472" s="528">
        <f>INT(M1472)</f>
        <v>0</v>
      </c>
      <c r="H1472" s="324" t="s">
        <v>18</v>
      </c>
      <c r="I1472" s="528">
        <f>(M1472-G1472)*64</f>
        <v>0</v>
      </c>
      <c r="J1472" s="324" t="s">
        <v>19</v>
      </c>
      <c r="K1472" s="324"/>
      <c r="L1472" s="324"/>
      <c r="M1472" s="324">
        <f>(F1472*8820/3456)</f>
        <v>0</v>
      </c>
      <c r="N1472" s="324"/>
      <c r="O1472" s="324"/>
      <c r="P1472" s="324"/>
      <c r="Q1472" s="324" t="s">
        <v>18</v>
      </c>
      <c r="R1472" s="324"/>
      <c r="S1472" s="324" t="s">
        <v>19</v>
      </c>
      <c r="T1472" s="528">
        <v>7</v>
      </c>
      <c r="U1472" s="324">
        <f>E1472/220*60</f>
        <v>0</v>
      </c>
      <c r="V1472" s="676"/>
      <c r="W1472" s="528"/>
      <c r="X1472" s="529"/>
      <c r="Y1472" s="323"/>
      <c r="Z1472" s="312">
        <f>E1472</f>
        <v>0</v>
      </c>
      <c r="AA1472" s="316">
        <f>SUM(Z1472/405.1+0.25)</f>
        <v>0.25</v>
      </c>
    </row>
    <row r="1473" spans="1:27" ht="105.75" thickBot="1" x14ac:dyDescent="0.45">
      <c r="A1473" s="319" t="s">
        <v>830</v>
      </c>
      <c r="B1473" s="320" t="s">
        <v>951</v>
      </c>
      <c r="C1473" s="528">
        <f t="shared" si="560"/>
        <v>0</v>
      </c>
      <c r="D1473" s="551">
        <f>C1473*18</f>
        <v>0</v>
      </c>
      <c r="E1473" s="456">
        <f>D1473*0.2</f>
        <v>0</v>
      </c>
      <c r="F1473" s="358">
        <f>E1473*1.03*0.82/147</f>
        <v>0</v>
      </c>
      <c r="G1473" s="548">
        <f t="shared" ref="G1473:G1481" si="561">INT(M1473)</f>
        <v>0</v>
      </c>
      <c r="H1473" s="358" t="s">
        <v>18</v>
      </c>
      <c r="I1473" s="548">
        <f t="shared" ref="I1473:I1481" si="562">(M1473-G1473)*64</f>
        <v>0</v>
      </c>
      <c r="J1473" s="358" t="s">
        <v>19</v>
      </c>
      <c r="K1473" s="358"/>
      <c r="L1473" s="358"/>
      <c r="M1473" s="358">
        <f>F1473*5250/3456</f>
        <v>0</v>
      </c>
      <c r="N1473" s="324"/>
      <c r="O1473" s="324"/>
      <c r="P1473" s="324"/>
      <c r="Q1473" s="324" t="s">
        <v>18</v>
      </c>
      <c r="R1473" s="324"/>
      <c r="S1473" s="324" t="s">
        <v>19</v>
      </c>
      <c r="T1473" s="528">
        <v>6</v>
      </c>
      <c r="U1473" s="324">
        <f>E1473/220*60</f>
        <v>0</v>
      </c>
      <c r="V1473" s="676"/>
      <c r="W1473" s="528"/>
      <c r="X1473" s="529"/>
      <c r="Y1473" s="323"/>
      <c r="Z1473" s="312">
        <f t="shared" si="557"/>
        <v>0</v>
      </c>
      <c r="AA1473" s="316">
        <f>SUM(Z1473/548.9+0.25)</f>
        <v>0.25</v>
      </c>
    </row>
    <row r="1474" spans="1:27" ht="105.75" thickBot="1" x14ac:dyDescent="0.45">
      <c r="A1474" s="319" t="s">
        <v>830</v>
      </c>
      <c r="B1474" s="320" t="s">
        <v>952</v>
      </c>
      <c r="C1474" s="528">
        <f t="shared" si="560"/>
        <v>0</v>
      </c>
      <c r="D1474" s="551">
        <f>C1474*18</f>
        <v>0</v>
      </c>
      <c r="E1474" s="456">
        <f>D1474*0.2</f>
        <v>0</v>
      </c>
      <c r="F1474" s="358">
        <f>E1474*1.03*0.729/147</f>
        <v>0</v>
      </c>
      <c r="G1474" s="548">
        <f t="shared" si="561"/>
        <v>0</v>
      </c>
      <c r="H1474" s="358" t="s">
        <v>18</v>
      </c>
      <c r="I1474" s="548">
        <f t="shared" si="562"/>
        <v>0</v>
      </c>
      <c r="J1474" s="358" t="s">
        <v>19</v>
      </c>
      <c r="K1474" s="358"/>
      <c r="L1474" s="358"/>
      <c r="M1474" s="358">
        <f>F1474*5880/3456</f>
        <v>0</v>
      </c>
      <c r="N1474" s="324"/>
      <c r="O1474" s="324"/>
      <c r="P1474" s="324"/>
      <c r="Q1474" s="324" t="s">
        <v>18</v>
      </c>
      <c r="R1474" s="324"/>
      <c r="S1474" s="324" t="s">
        <v>19</v>
      </c>
      <c r="T1474" s="528">
        <v>6</v>
      </c>
      <c r="U1474" s="324">
        <f>E1474/220*60</f>
        <v>0</v>
      </c>
      <c r="V1474" s="676"/>
      <c r="W1474" s="528"/>
      <c r="X1474" s="529"/>
      <c r="Y1474" s="323"/>
      <c r="Z1474" s="312">
        <f t="shared" si="557"/>
        <v>0</v>
      </c>
      <c r="AA1474" s="316">
        <f>SUM(Z1474/529.3+0.25)</f>
        <v>0.25</v>
      </c>
    </row>
    <row r="1475" spans="1:27" s="728" customFormat="1" ht="105.75" outlineLevel="1" thickBot="1" x14ac:dyDescent="0.45">
      <c r="A1475" s="636" t="s">
        <v>830</v>
      </c>
      <c r="B1475" s="634" t="s">
        <v>1040</v>
      </c>
      <c r="C1475" s="720">
        <f t="shared" si="560"/>
        <v>0</v>
      </c>
      <c r="D1475" s="720">
        <f>C1475*12</f>
        <v>0</v>
      </c>
      <c r="E1475" s="721">
        <f>D1475*0.25</f>
        <v>0</v>
      </c>
      <c r="F1475" s="722">
        <f>E1475*1.03*0.729/147</f>
        <v>0</v>
      </c>
      <c r="G1475" s="720">
        <f t="shared" si="561"/>
        <v>0</v>
      </c>
      <c r="H1475" s="722" t="s">
        <v>18</v>
      </c>
      <c r="I1475" s="720">
        <f t="shared" si="562"/>
        <v>0</v>
      </c>
      <c r="J1475" s="722" t="s">
        <v>19</v>
      </c>
      <c r="K1475" s="722"/>
      <c r="L1475" s="722"/>
      <c r="M1475" s="722">
        <f>(F1475*7840/3456)</f>
        <v>0</v>
      </c>
      <c r="N1475" s="722"/>
      <c r="O1475" s="722"/>
      <c r="P1475" s="722"/>
      <c r="Q1475" s="722" t="s">
        <v>18</v>
      </c>
      <c r="R1475" s="722"/>
      <c r="S1475" s="722" t="s">
        <v>19</v>
      </c>
      <c r="T1475" s="720">
        <v>7</v>
      </c>
      <c r="U1475" s="324">
        <f>E1475/390*60</f>
        <v>0</v>
      </c>
      <c r="V1475" s="724"/>
      <c r="W1475" s="720"/>
      <c r="X1475" s="725"/>
      <c r="Y1475" s="736"/>
      <c r="Z1475" s="727">
        <f t="shared" si="557"/>
        <v>0</v>
      </c>
      <c r="AA1475" s="815">
        <f>SUM(Z1475/392+0.25)</f>
        <v>0.25</v>
      </c>
    </row>
    <row r="1476" spans="1:27" ht="105.75" thickBot="1" x14ac:dyDescent="0.45">
      <c r="A1476" s="319" t="s">
        <v>830</v>
      </c>
      <c r="B1476" s="343" t="s">
        <v>880</v>
      </c>
      <c r="C1476" s="528">
        <f>C1037</f>
        <v>0</v>
      </c>
      <c r="D1476" s="550">
        <f>C1476*18</f>
        <v>0</v>
      </c>
      <c r="E1476" s="358">
        <f>D1476*0.24</f>
        <v>0</v>
      </c>
      <c r="F1476" s="358">
        <f>E1476*0.81/147</f>
        <v>0</v>
      </c>
      <c r="G1476" s="548">
        <f t="shared" si="561"/>
        <v>0</v>
      </c>
      <c r="H1476" s="358" t="s">
        <v>18</v>
      </c>
      <c r="I1476" s="548">
        <f t="shared" si="562"/>
        <v>0</v>
      </c>
      <c r="J1476" s="358" t="s">
        <v>19</v>
      </c>
      <c r="K1476" s="358"/>
      <c r="L1476" s="358"/>
      <c r="M1476" s="358">
        <f>F1476*6125/3456</f>
        <v>0</v>
      </c>
      <c r="N1476" s="358"/>
      <c r="O1476" s="358"/>
      <c r="P1476" s="358"/>
      <c r="Q1476" s="358" t="s">
        <v>18</v>
      </c>
      <c r="R1476" s="358"/>
      <c r="S1476" s="358" t="s">
        <v>19</v>
      </c>
      <c r="T1476" s="528">
        <v>6</v>
      </c>
      <c r="U1476" s="324">
        <f t="shared" ref="U1476:U1481" si="563">E1476/220*60</f>
        <v>0</v>
      </c>
      <c r="V1476" s="676"/>
      <c r="W1476" s="528"/>
      <c r="X1476" s="529"/>
      <c r="Y1476" s="323"/>
      <c r="Z1476" s="312">
        <f t="shared" si="557"/>
        <v>0</v>
      </c>
      <c r="AA1476" s="316">
        <f>SUM(E1476/540.1+0.25)</f>
        <v>0.25</v>
      </c>
    </row>
    <row r="1477" spans="1:27" ht="105.75" thickBot="1" x14ac:dyDescent="0.45">
      <c r="A1477" s="329" t="s">
        <v>830</v>
      </c>
      <c r="B1477" s="878" t="s">
        <v>1208</v>
      </c>
      <c r="C1477" s="872">
        <f>C1038</f>
        <v>0</v>
      </c>
      <c r="D1477" s="548">
        <f>C1477*12</f>
        <v>0</v>
      </c>
      <c r="E1477" s="456">
        <f>D1477*0.3</f>
        <v>0</v>
      </c>
      <c r="F1477" s="358">
        <f>E1477*1.01*0.79/152</f>
        <v>0</v>
      </c>
      <c r="G1477" s="549">
        <f>INT(M1477)</f>
        <v>0</v>
      </c>
      <c r="H1477" s="359" t="s">
        <v>18</v>
      </c>
      <c r="I1477" s="549">
        <f>(M1477-G1477)*64</f>
        <v>0</v>
      </c>
      <c r="J1477" s="359" t="s">
        <v>19</v>
      </c>
      <c r="K1477" s="358"/>
      <c r="L1477" s="358"/>
      <c r="M1477" s="358">
        <f>F1477*7696/3456</f>
        <v>0</v>
      </c>
      <c r="N1477" s="461"/>
      <c r="O1477" s="461"/>
      <c r="P1477" s="358"/>
      <c r="Q1477" s="358" t="s">
        <v>18</v>
      </c>
      <c r="R1477" s="358"/>
      <c r="S1477" s="358" t="s">
        <v>19</v>
      </c>
      <c r="T1477" s="528">
        <v>10</v>
      </c>
      <c r="U1477" s="324">
        <f t="shared" si="563"/>
        <v>0</v>
      </c>
      <c r="V1477" s="676"/>
      <c r="W1477" s="528"/>
      <c r="X1477" s="529"/>
      <c r="Y1477" s="323"/>
      <c r="Z1477" s="312">
        <f>E1477</f>
        <v>0</v>
      </c>
      <c r="AA1477" s="316">
        <f>SUM(Z1477/450)</f>
        <v>0</v>
      </c>
    </row>
    <row r="1478" spans="1:27" ht="105.75" thickBot="1" x14ac:dyDescent="0.45">
      <c r="A1478" s="319" t="s">
        <v>830</v>
      </c>
      <c r="B1478" s="876" t="s">
        <v>909</v>
      </c>
      <c r="C1478" s="528">
        <f>C1042</f>
        <v>0</v>
      </c>
      <c r="D1478" s="550">
        <f>C1478*12</f>
        <v>0</v>
      </c>
      <c r="E1478" s="358">
        <f>D1478*0.36</f>
        <v>0</v>
      </c>
      <c r="F1478" s="358">
        <f>E1478*1.03*0.8/147</f>
        <v>0</v>
      </c>
      <c r="G1478" s="548">
        <f t="shared" si="561"/>
        <v>0</v>
      </c>
      <c r="H1478" s="358" t="s">
        <v>18</v>
      </c>
      <c r="I1478" s="548">
        <f t="shared" si="562"/>
        <v>0</v>
      </c>
      <c r="J1478" s="358" t="s">
        <v>19</v>
      </c>
      <c r="K1478" s="358"/>
      <c r="L1478" s="358"/>
      <c r="M1478" s="358">
        <f>F1478*6000/3456</f>
        <v>0</v>
      </c>
      <c r="N1478" s="358"/>
      <c r="O1478" s="358"/>
      <c r="P1478" s="358"/>
      <c r="Q1478" s="358" t="s">
        <v>18</v>
      </c>
      <c r="R1478" s="358"/>
      <c r="S1478" s="358" t="s">
        <v>19</v>
      </c>
      <c r="T1478" s="528">
        <v>6</v>
      </c>
      <c r="U1478" s="324">
        <f t="shared" si="563"/>
        <v>0</v>
      </c>
      <c r="V1478" s="676"/>
      <c r="W1478" s="528"/>
      <c r="X1478" s="529"/>
      <c r="Y1478" s="323"/>
      <c r="Z1478" s="312">
        <f t="shared" si="557"/>
        <v>0</v>
      </c>
      <c r="AA1478" s="316">
        <f>SUM(E1478/540.1+0.25)</f>
        <v>0.25</v>
      </c>
    </row>
    <row r="1479" spans="1:27" ht="105.75" thickBot="1" x14ac:dyDescent="0.45">
      <c r="A1479" s="319" t="s">
        <v>830</v>
      </c>
      <c r="B1479" s="320" t="s">
        <v>1004</v>
      </c>
      <c r="C1479" s="528">
        <f>C1043</f>
        <v>0</v>
      </c>
      <c r="D1479" s="567">
        <f>C1479*14</f>
        <v>0</v>
      </c>
      <c r="E1479" s="324">
        <f>D1479*0.36</f>
        <v>0</v>
      </c>
      <c r="F1479" s="324">
        <f>E1479*1.03*0.8/147</f>
        <v>0</v>
      </c>
      <c r="G1479" s="528">
        <f t="shared" si="561"/>
        <v>0</v>
      </c>
      <c r="H1479" s="324" t="s">
        <v>18</v>
      </c>
      <c r="I1479" s="528">
        <f t="shared" si="562"/>
        <v>0</v>
      </c>
      <c r="J1479" s="324" t="s">
        <v>19</v>
      </c>
      <c r="K1479" s="324"/>
      <c r="L1479" s="324"/>
      <c r="M1479" s="324">
        <f>F1479*6000/3456</f>
        <v>0</v>
      </c>
      <c r="N1479" s="324"/>
      <c r="O1479" s="324"/>
      <c r="P1479" s="324"/>
      <c r="Q1479" s="324" t="s">
        <v>18</v>
      </c>
      <c r="R1479" s="324"/>
      <c r="S1479" s="324" t="s">
        <v>19</v>
      </c>
      <c r="T1479" s="528">
        <v>6</v>
      </c>
      <c r="U1479" s="324">
        <f t="shared" si="563"/>
        <v>0</v>
      </c>
      <c r="V1479" s="676"/>
      <c r="W1479" s="528"/>
      <c r="X1479" s="529"/>
      <c r="Y1479" s="323"/>
      <c r="Z1479" s="312">
        <f t="shared" si="557"/>
        <v>0</v>
      </c>
      <c r="AA1479" s="316">
        <f>SUM(Z1479/540.1+0.25)</f>
        <v>0.25</v>
      </c>
    </row>
    <row r="1480" spans="1:27" ht="105.75" thickBot="1" x14ac:dyDescent="0.45">
      <c r="A1480" s="319" t="s">
        <v>830</v>
      </c>
      <c r="B1480" s="320" t="s">
        <v>1027</v>
      </c>
      <c r="C1480" s="528">
        <f>C1044</f>
        <v>0</v>
      </c>
      <c r="D1480" s="567">
        <f>C1480*7</f>
        <v>0</v>
      </c>
      <c r="E1480" s="460">
        <f>D1480*0.36</f>
        <v>0</v>
      </c>
      <c r="F1480" s="324">
        <f>E1480*1.03*0.8/147</f>
        <v>0</v>
      </c>
      <c r="G1480" s="528">
        <f t="shared" si="561"/>
        <v>0</v>
      </c>
      <c r="H1480" s="324" t="s">
        <v>18</v>
      </c>
      <c r="I1480" s="528">
        <f t="shared" si="562"/>
        <v>0</v>
      </c>
      <c r="J1480" s="324" t="s">
        <v>19</v>
      </c>
      <c r="K1480" s="324"/>
      <c r="L1480" s="324"/>
      <c r="M1480" s="324">
        <f>F1480*6000/3456</f>
        <v>0</v>
      </c>
      <c r="N1480" s="324"/>
      <c r="O1480" s="324"/>
      <c r="P1480" s="324"/>
      <c r="Q1480" s="324" t="s">
        <v>18</v>
      </c>
      <c r="R1480" s="324"/>
      <c r="S1480" s="324" t="s">
        <v>19</v>
      </c>
      <c r="T1480" s="528">
        <v>6</v>
      </c>
      <c r="U1480" s="324">
        <f t="shared" si="563"/>
        <v>0</v>
      </c>
      <c r="V1480" s="676"/>
      <c r="W1480" s="528"/>
      <c r="X1480" s="529"/>
      <c r="Y1480" s="323"/>
      <c r="Z1480" s="312">
        <f t="shared" si="557"/>
        <v>0</v>
      </c>
      <c r="AA1480" s="316">
        <f>SUM(Z1480/352.8+0.25)</f>
        <v>0.25</v>
      </c>
    </row>
    <row r="1481" spans="1:27" ht="105.75" thickBot="1" x14ac:dyDescent="0.45">
      <c r="A1481" s="319" t="s">
        <v>830</v>
      </c>
      <c r="B1481" s="343" t="s">
        <v>953</v>
      </c>
      <c r="C1481" s="561">
        <f>C1036</f>
        <v>0</v>
      </c>
      <c r="D1481" s="551">
        <f>C1481*18</f>
        <v>0</v>
      </c>
      <c r="E1481" s="456">
        <f>D1481*0.2</f>
        <v>0</v>
      </c>
      <c r="F1481" s="358">
        <f>E1481*1.03*0.729/147</f>
        <v>0</v>
      </c>
      <c r="G1481" s="548">
        <f t="shared" si="561"/>
        <v>0</v>
      </c>
      <c r="H1481" s="358" t="s">
        <v>18</v>
      </c>
      <c r="I1481" s="548">
        <f t="shared" si="562"/>
        <v>0</v>
      </c>
      <c r="J1481" s="358" t="s">
        <v>19</v>
      </c>
      <c r="K1481" s="358"/>
      <c r="L1481" s="358"/>
      <c r="M1481" s="358">
        <f>F1481*5880/3456</f>
        <v>0</v>
      </c>
      <c r="N1481" s="324"/>
      <c r="O1481" s="324"/>
      <c r="P1481" s="324"/>
      <c r="Q1481" s="324" t="s">
        <v>18</v>
      </c>
      <c r="R1481" s="324"/>
      <c r="S1481" s="324" t="s">
        <v>19</v>
      </c>
      <c r="T1481" s="528">
        <v>6</v>
      </c>
      <c r="U1481" s="324">
        <f t="shared" si="563"/>
        <v>0</v>
      </c>
      <c r="V1481" s="676"/>
      <c r="W1481" s="528"/>
      <c r="X1481" s="529"/>
      <c r="Y1481" s="323"/>
      <c r="Z1481" s="312">
        <f t="shared" si="557"/>
        <v>0</v>
      </c>
      <c r="AA1481" s="316">
        <f>SUM(Z1481/529.3+0.25)</f>
        <v>0.25</v>
      </c>
    </row>
    <row r="1482" spans="1:27" thickBot="1" x14ac:dyDescent="0.45">
      <c r="A1482" s="329"/>
      <c r="B1482" s="344"/>
      <c r="C1482" s="583"/>
      <c r="D1482" s="584"/>
      <c r="E1482" s="459"/>
      <c r="F1482" s="393"/>
      <c r="G1482" s="583"/>
      <c r="H1482" s="393"/>
      <c r="I1482" s="583"/>
      <c r="J1482" s="393"/>
      <c r="K1482" s="585"/>
      <c r="L1482" s="324"/>
      <c r="M1482" s="324"/>
      <c r="N1482" s="324"/>
      <c r="O1482" s="324"/>
      <c r="P1482" s="324"/>
      <c r="Q1482" s="324"/>
      <c r="R1482" s="324"/>
      <c r="S1482" s="324"/>
      <c r="T1482" s="528"/>
      <c r="U1482" s="324"/>
      <c r="V1482" s="676"/>
      <c r="W1482" s="528"/>
      <c r="X1482" s="529"/>
      <c r="Y1482" s="323"/>
    </row>
    <row r="1483" spans="1:27" thickBot="1" x14ac:dyDescent="0.45">
      <c r="A1483" s="329"/>
      <c r="B1483" s="344"/>
      <c r="C1483" s="583"/>
      <c r="D1483" s="584"/>
      <c r="E1483" s="459"/>
      <c r="F1483" s="393"/>
      <c r="G1483" s="583"/>
      <c r="H1483" s="393"/>
      <c r="I1483" s="583"/>
      <c r="J1483" s="393"/>
      <c r="K1483" s="585"/>
      <c r="L1483" s="324"/>
      <c r="M1483" s="324"/>
      <c r="N1483" s="324"/>
      <c r="O1483" s="324"/>
      <c r="P1483" s="324"/>
      <c r="Q1483" s="324"/>
      <c r="R1483" s="324"/>
      <c r="S1483" s="324"/>
      <c r="T1483" s="528"/>
      <c r="U1483" s="324"/>
      <c r="V1483" s="676"/>
      <c r="W1483" s="528"/>
      <c r="X1483" s="529"/>
      <c r="Y1483" s="323"/>
    </row>
    <row r="1484" spans="1:27" ht="53.25" thickBot="1" x14ac:dyDescent="0.45">
      <c r="A1484" s="319"/>
      <c r="B1484" s="394" t="s">
        <v>695</v>
      </c>
      <c r="C1484" s="537"/>
      <c r="D1484" s="537"/>
      <c r="E1484" s="496"/>
      <c r="F1484" s="354"/>
      <c r="G1484" s="537"/>
      <c r="H1484" s="354"/>
      <c r="I1484" s="537"/>
      <c r="J1484" s="354"/>
      <c r="K1484" s="354"/>
      <c r="L1484" s="354"/>
      <c r="M1484" s="354"/>
      <c r="N1484" s="354"/>
      <c r="O1484" s="354"/>
      <c r="P1484" s="354"/>
      <c r="Q1484" s="354"/>
      <c r="R1484" s="354"/>
      <c r="S1484" s="354"/>
      <c r="T1484" s="537"/>
      <c r="U1484" s="354"/>
      <c r="V1484" s="682" t="s">
        <v>696</v>
      </c>
      <c r="W1484" s="537"/>
      <c r="X1484" s="540"/>
      <c r="Y1484" s="323"/>
    </row>
    <row r="1485" spans="1:27" thickBot="1" x14ac:dyDescent="0.45">
      <c r="A1485" s="319"/>
      <c r="B1485" s="394"/>
      <c r="C1485" s="537"/>
      <c r="D1485" s="537"/>
      <c r="E1485" s="496"/>
      <c r="F1485" s="354"/>
      <c r="G1485" s="537"/>
      <c r="H1485" s="354"/>
      <c r="I1485" s="537"/>
      <c r="J1485" s="354"/>
      <c r="K1485" s="354"/>
      <c r="L1485" s="354"/>
      <c r="M1485" s="354"/>
      <c r="N1485" s="354"/>
      <c r="O1485" s="354"/>
      <c r="P1485" s="354"/>
      <c r="Q1485" s="354"/>
      <c r="R1485" s="354"/>
      <c r="S1485" s="354"/>
      <c r="T1485" s="537"/>
      <c r="U1485" s="354"/>
      <c r="V1485" s="682"/>
      <c r="W1485" s="537"/>
      <c r="X1485" s="540"/>
      <c r="Y1485" s="323"/>
    </row>
    <row r="1486" spans="1:27" ht="158.25" thickBot="1" x14ac:dyDescent="0.45">
      <c r="A1486" s="829"/>
      <c r="B1486" s="304" t="s">
        <v>1055</v>
      </c>
      <c r="C1486" s="537"/>
      <c r="D1486" s="537"/>
      <c r="E1486" s="499">
        <v>115</v>
      </c>
      <c r="F1486" s="538"/>
      <c r="G1486" s="528"/>
      <c r="H1486" s="324"/>
      <c r="I1486" s="528"/>
      <c r="J1486" s="324"/>
      <c r="K1486" s="324"/>
      <c r="L1486" s="324"/>
      <c r="M1486" s="324"/>
      <c r="N1486" s="324"/>
      <c r="O1486" s="324"/>
      <c r="P1486" s="324"/>
      <c r="Q1486" s="324"/>
      <c r="R1486" s="324"/>
      <c r="S1486" s="324"/>
      <c r="T1486" s="528"/>
      <c r="U1486" s="324"/>
      <c r="V1486" s="693"/>
      <c r="W1486" s="528"/>
      <c r="X1486" s="529"/>
      <c r="Y1486" s="323" t="s">
        <v>1053</v>
      </c>
    </row>
    <row r="1487" spans="1:27" thickBot="1" x14ac:dyDescent="0.45">
      <c r="A1487" s="319"/>
      <c r="B1487" s="364"/>
      <c r="C1487" s="528"/>
      <c r="D1487" s="528"/>
      <c r="E1487" s="460"/>
      <c r="F1487" s="324"/>
      <c r="G1487" s="528"/>
      <c r="H1487" s="324"/>
      <c r="I1487" s="528"/>
      <c r="J1487" s="324"/>
      <c r="K1487" s="324"/>
      <c r="L1487" s="324"/>
      <c r="M1487" s="324"/>
      <c r="N1487" s="324"/>
      <c r="O1487" s="324"/>
      <c r="P1487" s="324"/>
      <c r="Q1487" s="324"/>
      <c r="R1487" s="324"/>
      <c r="S1487" s="324"/>
      <c r="T1487" s="528"/>
      <c r="U1487" s="324"/>
      <c r="V1487" s="676"/>
      <c r="W1487" s="528"/>
      <c r="X1487" s="529"/>
      <c r="Y1487" s="323"/>
    </row>
    <row r="1488" spans="1:27" thickBot="1" x14ac:dyDescent="0.45">
      <c r="A1488" s="319"/>
      <c r="B1488" s="382" t="s">
        <v>147</v>
      </c>
      <c r="C1488" s="537"/>
      <c r="D1488" s="537"/>
      <c r="E1488" s="496">
        <f>SUM(E1422:E1481)</f>
        <v>0</v>
      </c>
      <c r="F1488" s="324"/>
      <c r="G1488" s="528"/>
      <c r="H1488" s="324"/>
      <c r="I1488" s="528"/>
      <c r="J1488" s="324"/>
      <c r="K1488" s="324"/>
      <c r="L1488" s="324"/>
      <c r="M1488" s="324"/>
      <c r="N1488" s="324"/>
      <c r="O1488" s="324"/>
      <c r="P1488" s="324"/>
      <c r="Q1488" s="324"/>
      <c r="R1488" s="324"/>
      <c r="S1488" s="324"/>
      <c r="T1488" s="528"/>
      <c r="U1488" s="324"/>
      <c r="V1488" s="676"/>
      <c r="W1488" s="528"/>
      <c r="X1488" s="529"/>
      <c r="Y1488" s="323"/>
    </row>
    <row r="1489" spans="1:27" thickBot="1" x14ac:dyDescent="0.45">
      <c r="A1489" s="319"/>
      <c r="B1489" s="382" t="s">
        <v>709</v>
      </c>
      <c r="C1489" s="537"/>
      <c r="D1489" s="537"/>
      <c r="E1489" s="496">
        <f>SUM(E1406:E1419)</f>
        <v>0</v>
      </c>
      <c r="F1489" s="324"/>
      <c r="G1489" s="528"/>
      <c r="H1489" s="324"/>
      <c r="I1489" s="528"/>
      <c r="J1489" s="324"/>
      <c r="K1489" s="324"/>
      <c r="L1489" s="324"/>
      <c r="M1489" s="324"/>
      <c r="N1489" s="324"/>
      <c r="O1489" s="324"/>
      <c r="P1489" s="324"/>
      <c r="Q1489" s="324"/>
      <c r="R1489" s="324"/>
      <c r="S1489" s="324"/>
      <c r="T1489" s="528"/>
      <c r="U1489" s="324"/>
      <c r="V1489" s="676"/>
      <c r="W1489" s="528"/>
      <c r="X1489" s="529"/>
      <c r="Y1489" s="323"/>
    </row>
    <row r="1490" spans="1:27" thickBot="1" x14ac:dyDescent="0.45">
      <c r="A1490" s="356"/>
      <c r="B1490" s="357"/>
      <c r="C1490" s="539"/>
      <c r="D1490" s="539"/>
      <c r="E1490" s="502"/>
      <c r="F1490" s="333"/>
      <c r="G1490" s="539"/>
      <c r="H1490" s="333"/>
      <c r="I1490" s="539"/>
      <c r="J1490" s="333"/>
      <c r="K1490" s="333"/>
      <c r="L1490" s="333"/>
      <c r="M1490" s="333"/>
      <c r="N1490" s="333"/>
      <c r="O1490" s="333"/>
      <c r="P1490" s="333"/>
      <c r="Q1490" s="333"/>
      <c r="R1490" s="333"/>
      <c r="S1490" s="333"/>
      <c r="T1490" s="539"/>
      <c r="U1490" s="333"/>
      <c r="V1490" s="681"/>
      <c r="W1490" s="539"/>
      <c r="X1490" s="333"/>
      <c r="Y1490" s="323"/>
    </row>
    <row r="1491" spans="1:27" thickBot="1" x14ac:dyDescent="0.45">
      <c r="A1491" s="356"/>
      <c r="B1491" s="357"/>
      <c r="C1491" s="539"/>
      <c r="D1491" s="539"/>
      <c r="E1491" s="502"/>
      <c r="F1491" s="333"/>
      <c r="G1491" s="539"/>
      <c r="H1491" s="333"/>
      <c r="I1491" s="539"/>
      <c r="J1491" s="333"/>
      <c r="K1491" s="333"/>
      <c r="L1491" s="333"/>
      <c r="M1491" s="333"/>
      <c r="N1491" s="333"/>
      <c r="O1491" s="333"/>
      <c r="P1491" s="333"/>
      <c r="Q1491" s="333"/>
      <c r="R1491" s="333"/>
      <c r="S1491" s="333"/>
      <c r="T1491" s="539"/>
      <c r="U1491" s="333"/>
      <c r="V1491" s="681"/>
      <c r="W1491" s="539"/>
      <c r="X1491" s="333"/>
      <c r="Y1491" s="323"/>
    </row>
    <row r="1492" spans="1:27" thickBot="1" x14ac:dyDescent="0.45">
      <c r="A1492" s="829"/>
      <c r="B1492" s="305" t="s">
        <v>140</v>
      </c>
      <c r="C1492" s="559"/>
      <c r="D1492" s="559"/>
      <c r="E1492" s="510"/>
      <c r="F1492" s="471"/>
      <c r="G1492" s="559"/>
      <c r="H1492" s="471"/>
      <c r="I1492" s="559"/>
      <c r="J1492" s="471"/>
      <c r="K1492" s="471"/>
      <c r="L1492" s="471"/>
      <c r="M1492" s="471"/>
      <c r="N1492" s="471"/>
      <c r="O1492" s="471"/>
      <c r="P1492" s="471"/>
      <c r="Q1492" s="471"/>
      <c r="R1492" s="471"/>
      <c r="S1492" s="471"/>
      <c r="T1492" s="559"/>
      <c r="U1492" s="471"/>
      <c r="V1492" s="687"/>
      <c r="W1492" s="471"/>
      <c r="X1492" s="471"/>
      <c r="Y1492" s="373"/>
      <c r="AA1492" s="391" t="s">
        <v>679</v>
      </c>
    </row>
    <row r="1493" spans="1:27" thickBot="1" x14ac:dyDescent="0.45">
      <c r="A1493" s="830"/>
      <c r="B1493" s="395" t="s">
        <v>294</v>
      </c>
      <c r="C1493" s="528"/>
      <c r="D1493" s="528"/>
      <c r="E1493" s="460"/>
      <c r="F1493" s="324"/>
      <c r="G1493" s="528"/>
      <c r="H1493" s="324"/>
      <c r="I1493" s="528"/>
      <c r="J1493" s="324"/>
      <c r="K1493" s="324"/>
      <c r="L1493" s="324"/>
      <c r="M1493" s="324"/>
      <c r="N1493" s="324"/>
      <c r="O1493" s="324"/>
      <c r="P1493" s="324"/>
      <c r="Q1493" s="324"/>
      <c r="R1493" s="324"/>
      <c r="S1493" s="324"/>
      <c r="T1493" s="528"/>
      <c r="U1493" s="324"/>
      <c r="V1493" s="676"/>
      <c r="W1493" s="324"/>
      <c r="X1493" s="529"/>
      <c r="Y1493" s="323"/>
    </row>
    <row r="1494" spans="1:27" ht="77.25" outlineLevel="1" thickBot="1" x14ac:dyDescent="0.45">
      <c r="A1494" s="319" t="s">
        <v>730</v>
      </c>
      <c r="B1494" s="479" t="s">
        <v>983</v>
      </c>
      <c r="C1494" s="525">
        <f t="shared" ref="C1494:C1499" si="564">C2187</f>
        <v>0</v>
      </c>
      <c r="D1494" s="526">
        <f t="shared" ref="D1494:D1499" si="565">C1494*5</f>
        <v>0</v>
      </c>
      <c r="E1494" s="527">
        <f t="shared" ref="E1494:E1499" si="566">D1494*0.5</f>
        <v>0</v>
      </c>
      <c r="F1494" s="463">
        <f t="shared" ref="F1494:F1499" si="567">E1494*0.76*1.034/20</f>
        <v>0</v>
      </c>
      <c r="G1494" s="526">
        <f t="shared" ref="G1494:G1501" si="568">INT(M1494)</f>
        <v>0</v>
      </c>
      <c r="H1494" s="463" t="s">
        <v>18</v>
      </c>
      <c r="I1494" s="526">
        <f t="shared" ref="I1494:I1501" si="569">(M1494-G1494)*64</f>
        <v>0</v>
      </c>
      <c r="J1494" s="463" t="s">
        <v>19</v>
      </c>
      <c r="K1494" s="463"/>
      <c r="L1494" s="463"/>
      <c r="M1494" s="463">
        <f t="shared" ref="M1494:M1499" si="570">F1494*1008/8064</f>
        <v>0</v>
      </c>
      <c r="N1494" s="463"/>
      <c r="O1494" s="463"/>
      <c r="P1494" s="463"/>
      <c r="Q1494" s="321" t="s">
        <v>18</v>
      </c>
      <c r="R1494" s="321"/>
      <c r="S1494" s="321" t="s">
        <v>19</v>
      </c>
      <c r="T1494" s="528">
        <v>4</v>
      </c>
      <c r="U1494" s="324">
        <f t="shared" ref="U1494:U1499" si="571">E1494/272*60</f>
        <v>0</v>
      </c>
      <c r="V1494" s="676"/>
      <c r="W1494" s="528"/>
      <c r="X1494" s="529"/>
      <c r="Y1494" s="323"/>
      <c r="Z1494" s="312">
        <f t="shared" ref="Z1494:Z1516" si="572">E1494</f>
        <v>0</v>
      </c>
      <c r="AA1494" s="416">
        <f t="shared" ref="AA1494:AA1501" si="573">SUM(Z1494/80+0.25)</f>
        <v>0.25</v>
      </c>
    </row>
    <row r="1495" spans="1:27" ht="77.25" outlineLevel="1" thickBot="1" x14ac:dyDescent="0.45">
      <c r="A1495" s="319" t="s">
        <v>730</v>
      </c>
      <c r="B1495" s="479" t="s">
        <v>984</v>
      </c>
      <c r="C1495" s="525">
        <f t="shared" si="564"/>
        <v>0</v>
      </c>
      <c r="D1495" s="526">
        <f t="shared" si="565"/>
        <v>0</v>
      </c>
      <c r="E1495" s="527">
        <f t="shared" si="566"/>
        <v>0</v>
      </c>
      <c r="F1495" s="463">
        <f t="shared" si="567"/>
        <v>0</v>
      </c>
      <c r="G1495" s="526">
        <f t="shared" si="568"/>
        <v>0</v>
      </c>
      <c r="H1495" s="463" t="s">
        <v>18</v>
      </c>
      <c r="I1495" s="526">
        <f t="shared" si="569"/>
        <v>0</v>
      </c>
      <c r="J1495" s="463" t="s">
        <v>19</v>
      </c>
      <c r="K1495" s="463"/>
      <c r="L1495" s="463"/>
      <c r="M1495" s="463">
        <f t="shared" si="570"/>
        <v>0</v>
      </c>
      <c r="N1495" s="463"/>
      <c r="O1495" s="463"/>
      <c r="P1495" s="463"/>
      <c r="Q1495" s="321" t="s">
        <v>18</v>
      </c>
      <c r="R1495" s="321"/>
      <c r="S1495" s="321" t="s">
        <v>19</v>
      </c>
      <c r="T1495" s="528">
        <v>4</v>
      </c>
      <c r="U1495" s="324">
        <f t="shared" si="571"/>
        <v>0</v>
      </c>
      <c r="V1495" s="676"/>
      <c r="W1495" s="528"/>
      <c r="X1495" s="529"/>
      <c r="Y1495" s="323"/>
      <c r="Z1495" s="312">
        <f t="shared" si="572"/>
        <v>0</v>
      </c>
      <c r="AA1495" s="416">
        <f t="shared" si="573"/>
        <v>0.25</v>
      </c>
    </row>
    <row r="1496" spans="1:27" ht="77.25" outlineLevel="1" thickBot="1" x14ac:dyDescent="0.45">
      <c r="A1496" s="319" t="s">
        <v>730</v>
      </c>
      <c r="B1496" s="479" t="s">
        <v>985</v>
      </c>
      <c r="C1496" s="525">
        <f t="shared" si="564"/>
        <v>0</v>
      </c>
      <c r="D1496" s="526">
        <f t="shared" si="565"/>
        <v>0</v>
      </c>
      <c r="E1496" s="527">
        <f t="shared" si="566"/>
        <v>0</v>
      </c>
      <c r="F1496" s="463">
        <f t="shared" si="567"/>
        <v>0</v>
      </c>
      <c r="G1496" s="526">
        <f t="shared" si="568"/>
        <v>0</v>
      </c>
      <c r="H1496" s="463" t="s">
        <v>18</v>
      </c>
      <c r="I1496" s="526">
        <f t="shared" si="569"/>
        <v>0</v>
      </c>
      <c r="J1496" s="463" t="s">
        <v>19</v>
      </c>
      <c r="K1496" s="463"/>
      <c r="L1496" s="463"/>
      <c r="M1496" s="463">
        <f t="shared" si="570"/>
        <v>0</v>
      </c>
      <c r="N1496" s="463"/>
      <c r="O1496" s="463"/>
      <c r="P1496" s="463"/>
      <c r="Q1496" s="321" t="s">
        <v>18</v>
      </c>
      <c r="R1496" s="321"/>
      <c r="S1496" s="321" t="s">
        <v>19</v>
      </c>
      <c r="T1496" s="528">
        <v>4</v>
      </c>
      <c r="U1496" s="324">
        <f t="shared" si="571"/>
        <v>0</v>
      </c>
      <c r="V1496" s="676"/>
      <c r="W1496" s="528"/>
      <c r="X1496" s="529"/>
      <c r="Y1496" s="323"/>
      <c r="Z1496" s="312">
        <f t="shared" si="572"/>
        <v>0</v>
      </c>
      <c r="AA1496" s="416">
        <f t="shared" si="573"/>
        <v>0.25</v>
      </c>
    </row>
    <row r="1497" spans="1:27" ht="102.75" thickBot="1" x14ac:dyDescent="0.45">
      <c r="A1497" s="319" t="s">
        <v>730</v>
      </c>
      <c r="B1497" s="479" t="s">
        <v>1018</v>
      </c>
      <c r="C1497" s="525">
        <f t="shared" si="564"/>
        <v>0</v>
      </c>
      <c r="D1497" s="526">
        <f t="shared" si="565"/>
        <v>0</v>
      </c>
      <c r="E1497" s="527">
        <f t="shared" si="566"/>
        <v>0</v>
      </c>
      <c r="F1497" s="463">
        <f t="shared" si="567"/>
        <v>0</v>
      </c>
      <c r="G1497" s="526">
        <f t="shared" si="568"/>
        <v>0</v>
      </c>
      <c r="H1497" s="463" t="s">
        <v>18</v>
      </c>
      <c r="I1497" s="526">
        <f t="shared" si="569"/>
        <v>0</v>
      </c>
      <c r="J1497" s="463" t="s">
        <v>19</v>
      </c>
      <c r="K1497" s="463"/>
      <c r="L1497" s="463"/>
      <c r="M1497" s="463">
        <f t="shared" si="570"/>
        <v>0</v>
      </c>
      <c r="N1497" s="463"/>
      <c r="O1497" s="463"/>
      <c r="P1497" s="463"/>
      <c r="Q1497" s="321" t="s">
        <v>18</v>
      </c>
      <c r="R1497" s="321"/>
      <c r="S1497" s="321" t="s">
        <v>19</v>
      </c>
      <c r="T1497" s="528">
        <v>4</v>
      </c>
      <c r="U1497" s="324">
        <f t="shared" si="571"/>
        <v>0</v>
      </c>
      <c r="V1497" s="676"/>
      <c r="W1497" s="528"/>
      <c r="X1497" s="529"/>
      <c r="Y1497" s="360"/>
      <c r="Z1497" s="312">
        <f t="shared" si="572"/>
        <v>0</v>
      </c>
      <c r="AA1497" s="416">
        <f t="shared" si="573"/>
        <v>0.25</v>
      </c>
    </row>
    <row r="1498" spans="1:27" ht="102.75" thickBot="1" x14ac:dyDescent="0.45">
      <c r="A1498" s="319" t="s">
        <v>730</v>
      </c>
      <c r="B1498" s="479" t="s">
        <v>1019</v>
      </c>
      <c r="C1498" s="525">
        <f t="shared" si="564"/>
        <v>0</v>
      </c>
      <c r="D1498" s="526">
        <f t="shared" si="565"/>
        <v>0</v>
      </c>
      <c r="E1498" s="527">
        <f t="shared" si="566"/>
        <v>0</v>
      </c>
      <c r="F1498" s="463">
        <f t="shared" si="567"/>
        <v>0</v>
      </c>
      <c r="G1498" s="526">
        <f t="shared" si="568"/>
        <v>0</v>
      </c>
      <c r="H1498" s="463" t="s">
        <v>18</v>
      </c>
      <c r="I1498" s="526">
        <f t="shared" si="569"/>
        <v>0</v>
      </c>
      <c r="J1498" s="463" t="s">
        <v>19</v>
      </c>
      <c r="K1498" s="463"/>
      <c r="L1498" s="463"/>
      <c r="M1498" s="463">
        <f t="shared" si="570"/>
        <v>0</v>
      </c>
      <c r="N1498" s="463"/>
      <c r="O1498" s="463"/>
      <c r="P1498" s="463"/>
      <c r="Q1498" s="321" t="s">
        <v>18</v>
      </c>
      <c r="R1498" s="321"/>
      <c r="S1498" s="321" t="s">
        <v>19</v>
      </c>
      <c r="T1498" s="528">
        <v>4</v>
      </c>
      <c r="U1498" s="324">
        <f t="shared" si="571"/>
        <v>0</v>
      </c>
      <c r="V1498" s="676"/>
      <c r="W1498" s="528"/>
      <c r="X1498" s="529"/>
      <c r="Y1498" s="360"/>
      <c r="Z1498" s="312">
        <f t="shared" si="572"/>
        <v>0</v>
      </c>
      <c r="AA1498" s="416">
        <f t="shared" si="573"/>
        <v>0.25</v>
      </c>
    </row>
    <row r="1499" spans="1:27" ht="102.75" thickBot="1" x14ac:dyDescent="0.45">
      <c r="A1499" s="319" t="s">
        <v>730</v>
      </c>
      <c r="B1499" s="479" t="s">
        <v>1020</v>
      </c>
      <c r="C1499" s="525">
        <f t="shared" si="564"/>
        <v>0</v>
      </c>
      <c r="D1499" s="526">
        <f t="shared" si="565"/>
        <v>0</v>
      </c>
      <c r="E1499" s="527">
        <f t="shared" si="566"/>
        <v>0</v>
      </c>
      <c r="F1499" s="463">
        <f t="shared" si="567"/>
        <v>0</v>
      </c>
      <c r="G1499" s="526">
        <f t="shared" si="568"/>
        <v>0</v>
      </c>
      <c r="H1499" s="463" t="s">
        <v>18</v>
      </c>
      <c r="I1499" s="526">
        <f t="shared" si="569"/>
        <v>0</v>
      </c>
      <c r="J1499" s="463" t="s">
        <v>19</v>
      </c>
      <c r="K1499" s="463"/>
      <c r="L1499" s="463"/>
      <c r="M1499" s="463">
        <f t="shared" si="570"/>
        <v>0</v>
      </c>
      <c r="N1499" s="463"/>
      <c r="O1499" s="463"/>
      <c r="P1499" s="463"/>
      <c r="Q1499" s="321" t="s">
        <v>18</v>
      </c>
      <c r="R1499" s="321"/>
      <c r="S1499" s="321" t="s">
        <v>19</v>
      </c>
      <c r="T1499" s="528">
        <v>4</v>
      </c>
      <c r="U1499" s="324">
        <f t="shared" si="571"/>
        <v>0</v>
      </c>
      <c r="V1499" s="676"/>
      <c r="W1499" s="528"/>
      <c r="X1499" s="529"/>
      <c r="Y1499" s="360"/>
      <c r="Z1499" s="312">
        <f t="shared" si="572"/>
        <v>0</v>
      </c>
      <c r="AA1499" s="416">
        <f t="shared" si="573"/>
        <v>0.25</v>
      </c>
    </row>
    <row r="1500" spans="1:27" ht="77.25" thickBot="1" x14ac:dyDescent="0.45">
      <c r="A1500" s="319" t="s">
        <v>730</v>
      </c>
      <c r="B1500" s="320" t="s">
        <v>986</v>
      </c>
      <c r="C1500" s="528">
        <f>C2194</f>
        <v>0</v>
      </c>
      <c r="D1500" s="533">
        <f>C1500*12</f>
        <v>0</v>
      </c>
      <c r="E1500" s="534">
        <f>D1500*0.25</f>
        <v>0</v>
      </c>
      <c r="F1500" s="321">
        <f>E1500*0.8*1/20</f>
        <v>0</v>
      </c>
      <c r="G1500" s="533">
        <f t="shared" si="568"/>
        <v>0</v>
      </c>
      <c r="H1500" s="321" t="s">
        <v>18</v>
      </c>
      <c r="I1500" s="533">
        <f t="shared" si="569"/>
        <v>0</v>
      </c>
      <c r="J1500" s="321" t="s">
        <v>19</v>
      </c>
      <c r="K1500" s="321"/>
      <c r="L1500" s="321"/>
      <c r="M1500" s="321">
        <f>F1500*2016/16128</f>
        <v>0</v>
      </c>
      <c r="N1500" s="321"/>
      <c r="O1500" s="321"/>
      <c r="P1500" s="321"/>
      <c r="Q1500" s="321" t="s">
        <v>18</v>
      </c>
      <c r="R1500" s="321"/>
      <c r="S1500" s="321" t="s">
        <v>19</v>
      </c>
      <c r="T1500" s="528">
        <v>4</v>
      </c>
      <c r="U1500" s="324"/>
      <c r="V1500" s="676"/>
      <c r="W1500" s="528"/>
      <c r="X1500" s="529"/>
      <c r="Y1500" s="323"/>
      <c r="Z1500" s="312">
        <f t="shared" si="572"/>
        <v>0</v>
      </c>
      <c r="AA1500" s="416">
        <f t="shared" si="573"/>
        <v>0.25</v>
      </c>
    </row>
    <row r="1501" spans="1:27" ht="77.25" thickBot="1" x14ac:dyDescent="0.45">
      <c r="A1501" s="319" t="s">
        <v>730</v>
      </c>
      <c r="B1501" s="320" t="s">
        <v>987</v>
      </c>
      <c r="C1501" s="528">
        <f>C2195</f>
        <v>0</v>
      </c>
      <c r="D1501" s="533">
        <f>C1501*12</f>
        <v>0</v>
      </c>
      <c r="E1501" s="534">
        <f>D1501*0.25</f>
        <v>0</v>
      </c>
      <c r="F1501" s="321">
        <f>E1501*0.8*1/20</f>
        <v>0</v>
      </c>
      <c r="G1501" s="533">
        <f t="shared" si="568"/>
        <v>0</v>
      </c>
      <c r="H1501" s="321" t="s">
        <v>18</v>
      </c>
      <c r="I1501" s="533">
        <f t="shared" si="569"/>
        <v>0</v>
      </c>
      <c r="J1501" s="321" t="s">
        <v>19</v>
      </c>
      <c r="K1501" s="321"/>
      <c r="L1501" s="321"/>
      <c r="M1501" s="321">
        <f>F1501*2016/16128</f>
        <v>0</v>
      </c>
      <c r="N1501" s="321"/>
      <c r="O1501" s="321"/>
      <c r="P1501" s="321"/>
      <c r="Q1501" s="321" t="s">
        <v>18</v>
      </c>
      <c r="R1501" s="321"/>
      <c r="S1501" s="321" t="s">
        <v>19</v>
      </c>
      <c r="T1501" s="528">
        <v>4</v>
      </c>
      <c r="U1501" s="324"/>
      <c r="V1501" s="676"/>
      <c r="W1501" s="528"/>
      <c r="X1501" s="529"/>
      <c r="Y1501" s="323"/>
      <c r="Z1501" s="312">
        <f t="shared" si="572"/>
        <v>0</v>
      </c>
      <c r="AA1501" s="416">
        <f t="shared" si="573"/>
        <v>0.25</v>
      </c>
    </row>
    <row r="1502" spans="1:27" ht="77.25" thickBot="1" x14ac:dyDescent="0.45">
      <c r="A1502" s="319" t="s">
        <v>730</v>
      </c>
      <c r="B1502" s="362" t="s">
        <v>609</v>
      </c>
      <c r="C1502" s="586">
        <f>C1919</f>
        <v>0</v>
      </c>
      <c r="D1502" s="533"/>
      <c r="E1502" s="534">
        <f t="shared" ref="E1502:E1507" si="574">C1502*2</f>
        <v>0</v>
      </c>
      <c r="F1502" s="321">
        <f t="shared" ref="F1502:F1507" si="575">E1502*0.76*1.034/20</f>
        <v>0</v>
      </c>
      <c r="G1502" s="533">
        <f t="shared" ref="G1502:G1516" si="576">INT(M1502)</f>
        <v>0</v>
      </c>
      <c r="H1502" s="321" t="s">
        <v>18</v>
      </c>
      <c r="I1502" s="533">
        <f t="shared" ref="I1502:I1516" si="577">(M1502-G1502)*64</f>
        <v>0</v>
      </c>
      <c r="J1502" s="321" t="s">
        <v>19</v>
      </c>
      <c r="K1502" s="324"/>
      <c r="L1502" s="324"/>
      <c r="M1502" s="321">
        <f>F1502*1008/8064</f>
        <v>0</v>
      </c>
      <c r="N1502" s="324"/>
      <c r="O1502" s="324"/>
      <c r="P1502" s="324"/>
      <c r="Q1502" s="324" t="s">
        <v>18</v>
      </c>
      <c r="R1502" s="324"/>
      <c r="S1502" s="324" t="s">
        <v>19</v>
      </c>
      <c r="T1502" s="528">
        <v>4</v>
      </c>
      <c r="U1502" s="324">
        <f t="shared" ref="U1502:U1513" si="578">E1502/272*60</f>
        <v>0</v>
      </c>
      <c r="V1502" s="676"/>
      <c r="W1502" s="528"/>
      <c r="X1502" s="529"/>
      <c r="Y1502" s="323"/>
      <c r="Z1502" s="312">
        <f t="shared" si="572"/>
        <v>0</v>
      </c>
      <c r="AA1502" s="316">
        <f t="shared" ref="AA1502:AA1507" si="579">SUM(Z1502/315+0.25)</f>
        <v>0.25</v>
      </c>
    </row>
    <row r="1503" spans="1:27" ht="77.25" thickBot="1" x14ac:dyDescent="0.45">
      <c r="A1503" s="319" t="s">
        <v>730</v>
      </c>
      <c r="B1503" s="362" t="s">
        <v>610</v>
      </c>
      <c r="C1503" s="586">
        <f>C1920</f>
        <v>0</v>
      </c>
      <c r="D1503" s="533"/>
      <c r="E1503" s="534">
        <f t="shared" si="574"/>
        <v>0</v>
      </c>
      <c r="F1503" s="321">
        <f t="shared" si="575"/>
        <v>0</v>
      </c>
      <c r="G1503" s="533">
        <f t="shared" si="576"/>
        <v>0</v>
      </c>
      <c r="H1503" s="321" t="s">
        <v>18</v>
      </c>
      <c r="I1503" s="533">
        <f t="shared" si="577"/>
        <v>0</v>
      </c>
      <c r="J1503" s="321" t="s">
        <v>19</v>
      </c>
      <c r="K1503" s="324"/>
      <c r="L1503" s="324"/>
      <c r="M1503" s="321">
        <f>F1503*1008/8064</f>
        <v>0</v>
      </c>
      <c r="N1503" s="324"/>
      <c r="O1503" s="324"/>
      <c r="P1503" s="324"/>
      <c r="Q1503" s="324" t="s">
        <v>18</v>
      </c>
      <c r="R1503" s="324"/>
      <c r="S1503" s="324" t="s">
        <v>19</v>
      </c>
      <c r="T1503" s="528">
        <v>4</v>
      </c>
      <c r="U1503" s="324">
        <f t="shared" si="578"/>
        <v>0</v>
      </c>
      <c r="V1503" s="676"/>
      <c r="W1503" s="528"/>
      <c r="X1503" s="529"/>
      <c r="Y1503" s="323"/>
      <c r="Z1503" s="312">
        <f t="shared" si="572"/>
        <v>0</v>
      </c>
      <c r="AA1503" s="316">
        <f t="shared" si="579"/>
        <v>0.25</v>
      </c>
    </row>
    <row r="1504" spans="1:27" thickBot="1" x14ac:dyDescent="0.45">
      <c r="A1504" s="319" t="s">
        <v>730</v>
      </c>
      <c r="B1504" s="362" t="s">
        <v>742</v>
      </c>
      <c r="C1504" s="586">
        <f>C1921</f>
        <v>0</v>
      </c>
      <c r="D1504" s="533"/>
      <c r="E1504" s="534">
        <f t="shared" si="574"/>
        <v>0</v>
      </c>
      <c r="F1504" s="321">
        <f t="shared" si="575"/>
        <v>0</v>
      </c>
      <c r="G1504" s="533">
        <f t="shared" si="576"/>
        <v>0</v>
      </c>
      <c r="H1504" s="321" t="s">
        <v>18</v>
      </c>
      <c r="I1504" s="533">
        <f t="shared" si="577"/>
        <v>0</v>
      </c>
      <c r="J1504" s="321" t="s">
        <v>19</v>
      </c>
      <c r="K1504" s="324"/>
      <c r="L1504" s="324"/>
      <c r="M1504" s="321">
        <f>F1504*1008/8064</f>
        <v>0</v>
      </c>
      <c r="N1504" s="324"/>
      <c r="O1504" s="324"/>
      <c r="P1504" s="324"/>
      <c r="Q1504" s="324" t="s">
        <v>18</v>
      </c>
      <c r="R1504" s="324"/>
      <c r="S1504" s="324" t="s">
        <v>19</v>
      </c>
      <c r="T1504" s="528">
        <v>4</v>
      </c>
      <c r="U1504" s="324">
        <f t="shared" si="578"/>
        <v>0</v>
      </c>
      <c r="V1504" s="676"/>
      <c r="W1504" s="528"/>
      <c r="X1504" s="529"/>
      <c r="Y1504" s="323"/>
      <c r="Z1504" s="312">
        <f t="shared" si="572"/>
        <v>0</v>
      </c>
      <c r="AA1504" s="316">
        <f t="shared" si="579"/>
        <v>0.25</v>
      </c>
    </row>
    <row r="1505" spans="1:28" ht="77.25" thickBot="1" x14ac:dyDescent="0.45">
      <c r="A1505" s="319" t="s">
        <v>730</v>
      </c>
      <c r="B1505" s="362" t="s">
        <v>1080</v>
      </c>
      <c r="C1505" s="586">
        <f>C2193</f>
        <v>0</v>
      </c>
      <c r="D1505" s="533"/>
      <c r="E1505" s="534">
        <f>C1505*2</f>
        <v>0</v>
      </c>
      <c r="F1505" s="321">
        <f>E1505*0.76*1.034/20</f>
        <v>0</v>
      </c>
      <c r="G1505" s="533">
        <f>INT(M1505)</f>
        <v>0</v>
      </c>
      <c r="H1505" s="321" t="s">
        <v>18</v>
      </c>
      <c r="I1505" s="533">
        <f>(M1505-G1505)*64</f>
        <v>0</v>
      </c>
      <c r="J1505" s="321" t="s">
        <v>19</v>
      </c>
      <c r="K1505" s="324"/>
      <c r="L1505" s="324"/>
      <c r="M1505" s="321">
        <f>F1505*1008/8064</f>
        <v>0</v>
      </c>
      <c r="N1505" s="324"/>
      <c r="O1505" s="324"/>
      <c r="P1505" s="324"/>
      <c r="Q1505" s="324" t="s">
        <v>18</v>
      </c>
      <c r="R1505" s="324"/>
      <c r="S1505" s="324" t="s">
        <v>19</v>
      </c>
      <c r="T1505" s="528">
        <v>4</v>
      </c>
      <c r="U1505" s="324">
        <f>E1505/272*60</f>
        <v>0</v>
      </c>
      <c r="V1505" s="676"/>
      <c r="W1505" s="528"/>
      <c r="X1505" s="529"/>
      <c r="Y1505" s="323"/>
      <c r="Z1505" s="312">
        <f>E1505</f>
        <v>0</v>
      </c>
      <c r="AA1505" s="316">
        <f>SUM(Z1505/80+0.25)</f>
        <v>0.25</v>
      </c>
    </row>
    <row r="1506" spans="1:28" ht="51.75" thickBot="1" x14ac:dyDescent="0.45">
      <c r="A1506" s="319" t="s">
        <v>730</v>
      </c>
      <c r="B1506" s="362" t="s">
        <v>611</v>
      </c>
      <c r="C1506" s="586">
        <f>C1923</f>
        <v>0</v>
      </c>
      <c r="D1506" s="533"/>
      <c r="E1506" s="534">
        <f t="shared" si="574"/>
        <v>0</v>
      </c>
      <c r="F1506" s="321">
        <f t="shared" si="575"/>
        <v>0</v>
      </c>
      <c r="G1506" s="533">
        <f t="shared" si="576"/>
        <v>0</v>
      </c>
      <c r="H1506" s="321" t="s">
        <v>18</v>
      </c>
      <c r="I1506" s="533">
        <f t="shared" si="577"/>
        <v>0</v>
      </c>
      <c r="J1506" s="321" t="s">
        <v>19</v>
      </c>
      <c r="K1506" s="324"/>
      <c r="L1506" s="324"/>
      <c r="M1506" s="321">
        <f>F1506*1008/8064</f>
        <v>0</v>
      </c>
      <c r="N1506" s="324"/>
      <c r="O1506" s="324"/>
      <c r="P1506" s="324"/>
      <c r="Q1506" s="324" t="s">
        <v>18</v>
      </c>
      <c r="R1506" s="324"/>
      <c r="S1506" s="324" t="s">
        <v>19</v>
      </c>
      <c r="T1506" s="528">
        <v>4</v>
      </c>
      <c r="U1506" s="324">
        <f t="shared" si="578"/>
        <v>0</v>
      </c>
      <c r="V1506" s="676"/>
      <c r="W1506" s="528"/>
      <c r="X1506" s="529"/>
      <c r="Y1506" s="323"/>
      <c r="Z1506" s="312">
        <f t="shared" si="572"/>
        <v>0</v>
      </c>
      <c r="AA1506" s="316">
        <f t="shared" si="579"/>
        <v>0.25</v>
      </c>
    </row>
    <row r="1507" spans="1:28" ht="51.75" thickBot="1" x14ac:dyDescent="0.45">
      <c r="A1507" s="319" t="s">
        <v>730</v>
      </c>
      <c r="B1507" s="362" t="s">
        <v>612</v>
      </c>
      <c r="C1507" s="586">
        <f>C1924</f>
        <v>0</v>
      </c>
      <c r="D1507" s="528"/>
      <c r="E1507" s="460">
        <f t="shared" si="574"/>
        <v>0</v>
      </c>
      <c r="F1507" s="324">
        <f t="shared" si="575"/>
        <v>0</v>
      </c>
      <c r="G1507" s="528">
        <f t="shared" si="576"/>
        <v>0</v>
      </c>
      <c r="H1507" s="324" t="s">
        <v>18</v>
      </c>
      <c r="I1507" s="528">
        <f t="shared" si="577"/>
        <v>0</v>
      </c>
      <c r="J1507" s="324" t="s">
        <v>19</v>
      </c>
      <c r="K1507" s="324"/>
      <c r="L1507" s="324"/>
      <c r="M1507" s="324">
        <f>F1507*2016/16128</f>
        <v>0</v>
      </c>
      <c r="N1507" s="324"/>
      <c r="O1507" s="324"/>
      <c r="P1507" s="324"/>
      <c r="Q1507" s="324" t="s">
        <v>18</v>
      </c>
      <c r="R1507" s="324"/>
      <c r="S1507" s="324" t="s">
        <v>19</v>
      </c>
      <c r="T1507" s="528">
        <v>4</v>
      </c>
      <c r="U1507" s="324">
        <f t="shared" si="578"/>
        <v>0</v>
      </c>
      <c r="V1507" s="676"/>
      <c r="W1507" s="528"/>
      <c r="X1507" s="529"/>
      <c r="Y1507" s="323"/>
      <c r="Z1507" s="312">
        <f t="shared" si="572"/>
        <v>0</v>
      </c>
      <c r="AA1507" s="316">
        <f t="shared" si="579"/>
        <v>0.25</v>
      </c>
    </row>
    <row r="1508" spans="1:28" s="453" customFormat="1" ht="51.75" thickBot="1" x14ac:dyDescent="0.45">
      <c r="A1508" s="319" t="s">
        <v>730</v>
      </c>
      <c r="B1508" s="480" t="s">
        <v>1044</v>
      </c>
      <c r="C1508" s="525">
        <f>C1422</f>
        <v>0</v>
      </c>
      <c r="D1508" s="626"/>
      <c r="E1508" s="358">
        <f>C1508*2</f>
        <v>0</v>
      </c>
      <c r="F1508" s="627">
        <f>E1508*1.03*0.82/147</f>
        <v>0</v>
      </c>
      <c r="G1508" s="628">
        <f>INT(M1508)</f>
        <v>0</v>
      </c>
      <c r="H1508" s="359"/>
      <c r="I1508" s="628">
        <f t="shared" si="577"/>
        <v>0</v>
      </c>
      <c r="J1508" s="629" t="s">
        <v>19</v>
      </c>
      <c r="K1508" s="630"/>
      <c r="L1508" s="630"/>
      <c r="M1508" s="627">
        <f>F1508*147/0.46/64</f>
        <v>0</v>
      </c>
      <c r="N1508" s="631"/>
      <c r="O1508" s="631"/>
      <c r="P1508" s="631"/>
      <c r="Q1508" s="324" t="s">
        <v>18</v>
      </c>
      <c r="R1508" s="324"/>
      <c r="S1508" s="324" t="s">
        <v>19</v>
      </c>
      <c r="T1508" s="528">
        <v>4</v>
      </c>
      <c r="U1508" s="461"/>
      <c r="V1508" s="688"/>
      <c r="W1508" s="525"/>
      <c r="X1508" s="560"/>
      <c r="Y1508" s="360"/>
      <c r="Z1508" s="312">
        <f t="shared" si="572"/>
        <v>0</v>
      </c>
      <c r="AA1508" s="316">
        <f>E1508/150+0.25</f>
        <v>0.25</v>
      </c>
      <c r="AB1508" s="310"/>
    </row>
    <row r="1509" spans="1:28" s="453" customFormat="1" ht="77.25" thickBot="1" x14ac:dyDescent="0.45">
      <c r="A1509" s="319" t="s">
        <v>730</v>
      </c>
      <c r="B1509" s="487" t="s">
        <v>1060</v>
      </c>
      <c r="C1509" s="525">
        <f>C2091</f>
        <v>0</v>
      </c>
      <c r="D1509" s="626"/>
      <c r="E1509" s="358">
        <f>C1509*2</f>
        <v>0</v>
      </c>
      <c r="F1509" s="627">
        <f>E1509*1.03*0.85/147</f>
        <v>0</v>
      </c>
      <c r="G1509" s="628">
        <f>INT(M1509)</f>
        <v>0</v>
      </c>
      <c r="H1509" s="359"/>
      <c r="I1509" s="628">
        <f t="shared" si="577"/>
        <v>0</v>
      </c>
      <c r="J1509" s="629"/>
      <c r="K1509" s="630"/>
      <c r="L1509" s="630"/>
      <c r="M1509" s="627">
        <f>F1509*147/0.57/64</f>
        <v>0</v>
      </c>
      <c r="N1509" s="631"/>
      <c r="O1509" s="631"/>
      <c r="P1509" s="631"/>
      <c r="Q1509" s="324" t="s">
        <v>18</v>
      </c>
      <c r="R1509" s="324"/>
      <c r="S1509" s="324" t="s">
        <v>19</v>
      </c>
      <c r="T1509" s="528">
        <v>4</v>
      </c>
      <c r="U1509" s="461"/>
      <c r="V1509" s="688"/>
      <c r="W1509" s="525"/>
      <c r="X1509" s="560"/>
      <c r="Y1509" s="451"/>
      <c r="Z1509" s="312">
        <f t="shared" si="572"/>
        <v>0</v>
      </c>
      <c r="AA1509" s="316">
        <f>SUM(Z1509/140.7+0.25)</f>
        <v>0.25</v>
      </c>
      <c r="AB1509" s="310" t="s">
        <v>1059</v>
      </c>
    </row>
    <row r="1510" spans="1:28" s="453" customFormat="1" ht="51.75" thickBot="1" x14ac:dyDescent="0.45">
      <c r="A1510" s="319" t="s">
        <v>730</v>
      </c>
      <c r="B1510" s="480" t="s">
        <v>1084</v>
      </c>
      <c r="C1510" s="525">
        <f>C1423</f>
        <v>0</v>
      </c>
      <c r="D1510" s="626"/>
      <c r="E1510" s="358">
        <f>C1510*0.4</f>
        <v>0</v>
      </c>
      <c r="F1510" s="627">
        <f>E1510*1.03*0.82/147</f>
        <v>0</v>
      </c>
      <c r="G1510" s="628">
        <f>INT(M1510)</f>
        <v>0</v>
      </c>
      <c r="H1510" s="359"/>
      <c r="I1510" s="628">
        <f>(M1510-G1510)*64</f>
        <v>0</v>
      </c>
      <c r="J1510" s="629" t="s">
        <v>19</v>
      </c>
      <c r="K1510" s="630"/>
      <c r="L1510" s="630"/>
      <c r="M1510" s="627">
        <f>F1510*147/0.46/64</f>
        <v>0</v>
      </c>
      <c r="N1510" s="631"/>
      <c r="O1510" s="631"/>
      <c r="P1510" s="631"/>
      <c r="Q1510" s="324" t="s">
        <v>18</v>
      </c>
      <c r="R1510" s="324"/>
      <c r="S1510" s="324" t="s">
        <v>19</v>
      </c>
      <c r="T1510" s="528">
        <v>4</v>
      </c>
      <c r="U1510" s="461"/>
      <c r="V1510" s="688"/>
      <c r="W1510" s="525"/>
      <c r="X1510" s="560"/>
      <c r="Y1510" s="360"/>
      <c r="Z1510" s="312">
        <f>E1510</f>
        <v>0</v>
      </c>
      <c r="AA1510" s="316">
        <f>E1510/150+0.25</f>
        <v>0.25</v>
      </c>
      <c r="AB1510" s="310"/>
    </row>
    <row r="1511" spans="1:28" s="453" customFormat="1" ht="77.25" thickBot="1" x14ac:dyDescent="0.45">
      <c r="A1511" s="319" t="s">
        <v>730</v>
      </c>
      <c r="B1511" s="487" t="s">
        <v>1083</v>
      </c>
      <c r="C1511" s="525">
        <f>C2092</f>
        <v>0</v>
      </c>
      <c r="D1511" s="626"/>
      <c r="E1511" s="358">
        <f>C1511*0.4</f>
        <v>0</v>
      </c>
      <c r="F1511" s="627">
        <f>E1511*1.03*0.85/147</f>
        <v>0</v>
      </c>
      <c r="G1511" s="628">
        <f>INT(M1511)</f>
        <v>0</v>
      </c>
      <c r="H1511" s="359"/>
      <c r="I1511" s="628">
        <f>(M1511-G1511)*64</f>
        <v>0</v>
      </c>
      <c r="J1511" s="629"/>
      <c r="K1511" s="630"/>
      <c r="L1511" s="630"/>
      <c r="M1511" s="627">
        <f>F1511*147/0.57/64</f>
        <v>0</v>
      </c>
      <c r="N1511" s="631"/>
      <c r="O1511" s="631"/>
      <c r="P1511" s="631"/>
      <c r="Q1511" s="324" t="s">
        <v>18</v>
      </c>
      <c r="R1511" s="324"/>
      <c r="S1511" s="324" t="s">
        <v>19</v>
      </c>
      <c r="T1511" s="528">
        <v>4</v>
      </c>
      <c r="U1511" s="461"/>
      <c r="V1511" s="688"/>
      <c r="W1511" s="525"/>
      <c r="X1511" s="560"/>
      <c r="Y1511" s="451"/>
      <c r="Z1511" s="312">
        <f>E1511</f>
        <v>0</v>
      </c>
      <c r="AA1511" s="316">
        <f>SUM(Z1511/140.7+0.25)</f>
        <v>0.25</v>
      </c>
      <c r="AB1511" s="310" t="s">
        <v>1059</v>
      </c>
    </row>
    <row r="1512" spans="1:28" s="327" customFormat="1" ht="53.25" thickBot="1" x14ac:dyDescent="0.45">
      <c r="A1512" s="319" t="s">
        <v>730</v>
      </c>
      <c r="B1512" s="368" t="s">
        <v>816</v>
      </c>
      <c r="C1512" s="586">
        <f>C1927</f>
        <v>0</v>
      </c>
      <c r="D1512" s="535">
        <f>C1512*10</f>
        <v>0</v>
      </c>
      <c r="E1512" s="534">
        <f>D1512*0.35</f>
        <v>0</v>
      </c>
      <c r="F1512" s="321">
        <f>E1512*0.8*1/20</f>
        <v>0</v>
      </c>
      <c r="G1512" s="533">
        <f>INT(M1512)</f>
        <v>0</v>
      </c>
      <c r="H1512" s="321" t="s">
        <v>18</v>
      </c>
      <c r="I1512" s="533">
        <f>(M1512-G1512)*64</f>
        <v>0</v>
      </c>
      <c r="J1512" s="321" t="s">
        <v>19</v>
      </c>
      <c r="K1512" s="321"/>
      <c r="L1512" s="321"/>
      <c r="M1512" s="321">
        <f>F1512*2016/16128</f>
        <v>0</v>
      </c>
      <c r="N1512" s="321"/>
      <c r="O1512" s="321"/>
      <c r="P1512" s="321"/>
      <c r="Q1512" s="321" t="s">
        <v>18</v>
      </c>
      <c r="R1512" s="321"/>
      <c r="S1512" s="321" t="s">
        <v>19</v>
      </c>
      <c r="T1512" s="533">
        <v>4</v>
      </c>
      <c r="U1512" s="321">
        <f>E1512/272*60</f>
        <v>0</v>
      </c>
      <c r="V1512" s="683"/>
      <c r="W1512" s="533"/>
      <c r="X1512" s="321"/>
      <c r="Y1512" s="326"/>
      <c r="Z1512" s="312">
        <f t="shared" si="572"/>
        <v>0</v>
      </c>
      <c r="AA1512" s="316">
        <f>SUM(Z1512/302+0.25)</f>
        <v>0.25</v>
      </c>
    </row>
    <row r="1513" spans="1:28" ht="77.25" thickBot="1" x14ac:dyDescent="0.45">
      <c r="A1513" s="319" t="s">
        <v>730</v>
      </c>
      <c r="B1513" s="362" t="s">
        <v>1039</v>
      </c>
      <c r="C1513" s="586">
        <f>C1928</f>
        <v>0</v>
      </c>
      <c r="D1513" s="533">
        <f>C1513*16</f>
        <v>0</v>
      </c>
      <c r="E1513" s="534">
        <f>D1513*0.25</f>
        <v>0</v>
      </c>
      <c r="F1513" s="321">
        <f>E1513*0.8*1/20</f>
        <v>0</v>
      </c>
      <c r="G1513" s="533">
        <f t="shared" si="576"/>
        <v>0</v>
      </c>
      <c r="H1513" s="321" t="s">
        <v>18</v>
      </c>
      <c r="I1513" s="533">
        <f t="shared" si="577"/>
        <v>0</v>
      </c>
      <c r="J1513" s="321" t="s">
        <v>19</v>
      </c>
      <c r="K1513" s="324"/>
      <c r="L1513" s="324"/>
      <c r="M1513" s="321">
        <f>F1513*2016/16128</f>
        <v>0</v>
      </c>
      <c r="N1513" s="324"/>
      <c r="O1513" s="324"/>
      <c r="P1513" s="324"/>
      <c r="Q1513" s="324" t="s">
        <v>18</v>
      </c>
      <c r="R1513" s="324"/>
      <c r="S1513" s="324" t="s">
        <v>19</v>
      </c>
      <c r="T1513" s="528">
        <v>4</v>
      </c>
      <c r="U1513" s="324">
        <f t="shared" si="578"/>
        <v>0</v>
      </c>
      <c r="V1513" s="676"/>
      <c r="W1513" s="528"/>
      <c r="X1513" s="529"/>
      <c r="Y1513" s="323"/>
      <c r="Z1513" s="312">
        <f t="shared" si="572"/>
        <v>0</v>
      </c>
      <c r="AA1513" s="316">
        <f>SUM(Z1513/302+0.25)</f>
        <v>0.25</v>
      </c>
    </row>
    <row r="1514" spans="1:28" ht="77.25" thickBot="1" x14ac:dyDescent="0.45">
      <c r="A1514" s="319" t="s">
        <v>730</v>
      </c>
      <c r="B1514" s="320" t="s">
        <v>1005</v>
      </c>
      <c r="C1514" s="528">
        <f>C2086</f>
        <v>0</v>
      </c>
      <c r="D1514" s="530">
        <f>C1514*1</f>
        <v>0</v>
      </c>
      <c r="E1514" s="546">
        <f>D1514*0.65</f>
        <v>0</v>
      </c>
      <c r="F1514" s="546">
        <f>E1514*1.03*0.87/19.3</f>
        <v>0</v>
      </c>
      <c r="G1514" s="639">
        <f>INT(M1514)</f>
        <v>0</v>
      </c>
      <c r="H1514" s="546" t="s">
        <v>18</v>
      </c>
      <c r="I1514" s="639">
        <f>(M1514-G1514)*64</f>
        <v>0</v>
      </c>
      <c r="J1514" s="546" t="s">
        <v>19</v>
      </c>
      <c r="K1514" s="546"/>
      <c r="L1514" s="546"/>
      <c r="M1514" s="546">
        <f>(F1514*877/2880)</f>
        <v>0</v>
      </c>
      <c r="N1514" s="546"/>
      <c r="O1514" s="324"/>
      <c r="P1514" s="324"/>
      <c r="Q1514" s="324" t="s">
        <v>18</v>
      </c>
      <c r="R1514" s="324"/>
      <c r="S1514" s="324" t="s">
        <v>19</v>
      </c>
      <c r="T1514" s="528">
        <v>5</v>
      </c>
      <c r="U1514" s="324">
        <f>E1514/259*60</f>
        <v>0</v>
      </c>
      <c r="V1514" s="676"/>
      <c r="W1514" s="528"/>
      <c r="X1514" s="529"/>
      <c r="Y1514" s="323"/>
      <c r="Z1514" s="312">
        <f t="shared" si="572"/>
        <v>0</v>
      </c>
      <c r="AA1514" s="316">
        <f>SUM(Z1514/302+0.25)</f>
        <v>0.25</v>
      </c>
      <c r="AB1514" s="352"/>
    </row>
    <row r="1515" spans="1:28" ht="77.25" thickBot="1" x14ac:dyDescent="0.45">
      <c r="A1515" s="319" t="s">
        <v>730</v>
      </c>
      <c r="B1515" s="719" t="s">
        <v>1079</v>
      </c>
      <c r="C1515" s="586">
        <f>C1929</f>
        <v>0</v>
      </c>
      <c r="D1515" s="533">
        <f>C1515*7</f>
        <v>0</v>
      </c>
      <c r="E1515" s="321">
        <f>D1515*0.2</f>
        <v>0</v>
      </c>
      <c r="F1515" s="321">
        <f>E1515*10/225</f>
        <v>0</v>
      </c>
      <c r="G1515" s="533">
        <f>INT(M1515)</f>
        <v>0</v>
      </c>
      <c r="H1515" s="321" t="s">
        <v>18</v>
      </c>
      <c r="I1515" s="533">
        <f>(M1515-G1515)*64</f>
        <v>0</v>
      </c>
      <c r="J1515" s="321" t="s">
        <v>19</v>
      </c>
      <c r="K1515" s="324"/>
      <c r="L1515" s="324"/>
      <c r="M1515" s="321">
        <f>F1515*1008/8064</f>
        <v>0</v>
      </c>
      <c r="N1515" s="324"/>
      <c r="O1515" s="324"/>
      <c r="P1515" s="324"/>
      <c r="Q1515" s="324" t="s">
        <v>18</v>
      </c>
      <c r="R1515" s="324"/>
      <c r="S1515" s="324" t="s">
        <v>19</v>
      </c>
      <c r="T1515" s="528">
        <v>4</v>
      </c>
      <c r="U1515" s="324">
        <f>E1515/272*60</f>
        <v>0</v>
      </c>
      <c r="V1515" s="676"/>
      <c r="W1515" s="528"/>
      <c r="X1515" s="529"/>
      <c r="Y1515" s="323"/>
      <c r="Z1515" s="312">
        <f t="shared" si="572"/>
        <v>0</v>
      </c>
      <c r="AA1515" s="316">
        <f>SUM(Z1515/302+0.25)</f>
        <v>0.25</v>
      </c>
    </row>
    <row r="1516" spans="1:28" ht="77.25" thickBot="1" x14ac:dyDescent="0.45">
      <c r="A1516" s="319" t="s">
        <v>730</v>
      </c>
      <c r="B1516" s="362" t="s">
        <v>613</v>
      </c>
      <c r="C1516" s="586">
        <f>C1930</f>
        <v>0</v>
      </c>
      <c r="D1516" s="528">
        <f>C1516*20</f>
        <v>0</v>
      </c>
      <c r="E1516" s="460">
        <f>D1516*0.2</f>
        <v>0</v>
      </c>
      <c r="F1516" s="324">
        <f>E1516*0.8*1.01/20</f>
        <v>0</v>
      </c>
      <c r="G1516" s="528">
        <f t="shared" si="576"/>
        <v>0</v>
      </c>
      <c r="H1516" s="324" t="s">
        <v>18</v>
      </c>
      <c r="I1516" s="528">
        <f t="shared" si="577"/>
        <v>0</v>
      </c>
      <c r="J1516" s="324" t="s">
        <v>19</v>
      </c>
      <c r="K1516" s="324"/>
      <c r="L1516" s="324"/>
      <c r="M1516" s="324">
        <f>F1516*1008/8064</f>
        <v>0</v>
      </c>
      <c r="N1516" s="324"/>
      <c r="O1516" s="324"/>
      <c r="P1516" s="324"/>
      <c r="Q1516" s="324" t="s">
        <v>18</v>
      </c>
      <c r="R1516" s="324"/>
      <c r="S1516" s="324" t="s">
        <v>19</v>
      </c>
      <c r="T1516" s="528">
        <v>4</v>
      </c>
      <c r="U1516" s="324">
        <f>E1516/207*60</f>
        <v>0</v>
      </c>
      <c r="V1516" s="676"/>
      <c r="W1516" s="528"/>
      <c r="X1516" s="529"/>
      <c r="Y1516" s="323"/>
      <c r="Z1516" s="312">
        <f t="shared" si="572"/>
        <v>0</v>
      </c>
      <c r="AA1516" s="316">
        <f>SUM(Z1516/302+0.25)</f>
        <v>0.25</v>
      </c>
    </row>
    <row r="1517" spans="1:28" ht="77.25" thickBot="1" x14ac:dyDescent="0.45">
      <c r="A1517" s="319" t="s">
        <v>730</v>
      </c>
      <c r="B1517" s="362" t="s">
        <v>894</v>
      </c>
      <c r="C1517" s="528">
        <f>C2087</f>
        <v>0</v>
      </c>
      <c r="D1517" s="532">
        <f>C1517*12</f>
        <v>0</v>
      </c>
      <c r="E1517" s="472">
        <f>D1517*0.27</f>
        <v>0</v>
      </c>
      <c r="F1517" s="472">
        <f>E1517*1.03*0.87/19.3</f>
        <v>0</v>
      </c>
      <c r="G1517" s="531">
        <f>INT(M1517)</f>
        <v>0</v>
      </c>
      <c r="H1517" s="472" t="s">
        <v>18</v>
      </c>
      <c r="I1517" s="531">
        <f>(M1517-G1517)*64</f>
        <v>0</v>
      </c>
      <c r="J1517" s="472" t="s">
        <v>19</v>
      </c>
      <c r="K1517" s="472"/>
      <c r="L1517" s="472"/>
      <c r="M1517" s="472">
        <f>(F1517*877/2880)</f>
        <v>0</v>
      </c>
      <c r="N1517" s="472"/>
      <c r="O1517" s="461"/>
      <c r="P1517" s="461"/>
      <c r="Q1517" s="461" t="s">
        <v>18</v>
      </c>
      <c r="R1517" s="461"/>
      <c r="S1517" s="461" t="s">
        <v>19</v>
      </c>
      <c r="T1517" s="568">
        <v>7</v>
      </c>
      <c r="U1517" s="324">
        <f>E1517/259*60</f>
        <v>0</v>
      </c>
      <c r="V1517" s="676"/>
      <c r="W1517" s="528"/>
      <c r="X1517" s="529"/>
      <c r="Y1517" s="323"/>
      <c r="Z1517" s="312">
        <f>E1517/1.134</f>
        <v>0</v>
      </c>
      <c r="AA1517" s="316">
        <f>SUM(E1517/321.6+0.25)</f>
        <v>0.25</v>
      </c>
      <c r="AB1517" s="352" t="s">
        <v>852</v>
      </c>
    </row>
    <row r="1518" spans="1:28" outlineLevel="1" thickBot="1" x14ac:dyDescent="0.45">
      <c r="A1518" s="319"/>
      <c r="B1518" s="332" t="s">
        <v>295</v>
      </c>
      <c r="C1518" s="528"/>
      <c r="D1518" s="528"/>
      <c r="E1518" s="460"/>
      <c r="F1518" s="324"/>
      <c r="G1518" s="528"/>
      <c r="H1518" s="324"/>
      <c r="I1518" s="528"/>
      <c r="J1518" s="324"/>
      <c r="K1518" s="324"/>
      <c r="L1518" s="324"/>
      <c r="M1518" s="324"/>
      <c r="N1518" s="324"/>
      <c r="O1518" s="324"/>
      <c r="P1518" s="324"/>
      <c r="Q1518" s="324"/>
      <c r="R1518" s="324"/>
      <c r="S1518" s="324"/>
      <c r="T1518" s="528"/>
      <c r="U1518" s="324"/>
      <c r="V1518" s="676"/>
      <c r="W1518" s="528"/>
      <c r="X1518" s="529"/>
      <c r="Y1518" s="323"/>
    </row>
    <row r="1519" spans="1:28" outlineLevel="1" thickBot="1" x14ac:dyDescent="0.45">
      <c r="A1519" s="319" t="s">
        <v>730</v>
      </c>
      <c r="B1519" s="337" t="s">
        <v>616</v>
      </c>
      <c r="C1519" s="586">
        <f>C2210</f>
        <v>0</v>
      </c>
      <c r="D1519" s="528"/>
      <c r="E1519" s="460">
        <f>C1519*4</f>
        <v>0</v>
      </c>
      <c r="F1519" s="324">
        <f>E1519*0.91*1.03/21</f>
        <v>0</v>
      </c>
      <c r="G1519" s="528">
        <f>INT(M1519)</f>
        <v>0</v>
      </c>
      <c r="H1519" s="324" t="s">
        <v>18</v>
      </c>
      <c r="I1519" s="528">
        <f>(M1519-G1519)*64</f>
        <v>0</v>
      </c>
      <c r="J1519" s="324" t="s">
        <v>19</v>
      </c>
      <c r="K1519" s="324"/>
      <c r="L1519" s="324"/>
      <c r="M1519" s="324">
        <f>F1519*1890/16128</f>
        <v>0</v>
      </c>
      <c r="N1519" s="324"/>
      <c r="O1519" s="324"/>
      <c r="P1519" s="324"/>
      <c r="Q1519" s="324" t="s">
        <v>18</v>
      </c>
      <c r="R1519" s="324"/>
      <c r="S1519" s="324" t="s">
        <v>19</v>
      </c>
      <c r="T1519" s="528">
        <v>4</v>
      </c>
      <c r="U1519" s="324">
        <f>E1519/272*60</f>
        <v>0</v>
      </c>
      <c r="V1519" s="676"/>
      <c r="W1519" s="528"/>
      <c r="X1519" s="529"/>
      <c r="Y1519" s="323"/>
      <c r="Z1519" s="312">
        <f>E1519</f>
        <v>0</v>
      </c>
      <c r="AA1519" s="316">
        <f>SUM(Z1519/121+0.25)</f>
        <v>0.25</v>
      </c>
    </row>
    <row r="1520" spans="1:28" outlineLevel="1" thickBot="1" x14ac:dyDescent="0.45">
      <c r="A1520" s="319" t="s">
        <v>730</v>
      </c>
      <c r="B1520" s="338" t="s">
        <v>617</v>
      </c>
      <c r="C1520" s="586">
        <f>C2211</f>
        <v>0</v>
      </c>
      <c r="D1520" s="528"/>
      <c r="E1520" s="460">
        <f>C1520*4</f>
        <v>0</v>
      </c>
      <c r="F1520" s="324">
        <f>E1520*0.91*1.03/21</f>
        <v>0</v>
      </c>
      <c r="G1520" s="528">
        <f>INT(M1520)</f>
        <v>0</v>
      </c>
      <c r="H1520" s="324" t="s">
        <v>18</v>
      </c>
      <c r="I1520" s="528">
        <f>(M1520-G1520)*64</f>
        <v>0</v>
      </c>
      <c r="J1520" s="324" t="s">
        <v>19</v>
      </c>
      <c r="K1520" s="324"/>
      <c r="L1520" s="324"/>
      <c r="M1520" s="324">
        <f>F1520*1890/16128</f>
        <v>0</v>
      </c>
      <c r="N1520" s="324"/>
      <c r="O1520" s="324"/>
      <c r="P1520" s="324"/>
      <c r="Q1520" s="324" t="s">
        <v>18</v>
      </c>
      <c r="R1520" s="324"/>
      <c r="S1520" s="324" t="s">
        <v>19</v>
      </c>
      <c r="T1520" s="528">
        <v>4</v>
      </c>
      <c r="U1520" s="324">
        <f>E1520/272*60</f>
        <v>0</v>
      </c>
      <c r="V1520" s="676"/>
      <c r="W1520" s="528"/>
      <c r="X1520" s="529"/>
      <c r="Y1520" s="323"/>
      <c r="Z1520" s="312">
        <f>E1520</f>
        <v>0</v>
      </c>
      <c r="AA1520" s="316">
        <f>SUM(Z1520/121+0.25)</f>
        <v>0.25</v>
      </c>
    </row>
    <row r="1521" spans="1:27" outlineLevel="1" collapsed="1" thickBot="1" x14ac:dyDescent="0.45">
      <c r="A1521" s="319"/>
      <c r="B1521" s="305" t="s">
        <v>623</v>
      </c>
      <c r="C1521" s="539"/>
      <c r="D1521" s="539"/>
      <c r="E1521" s="502"/>
      <c r="F1521" s="333"/>
      <c r="G1521" s="539"/>
      <c r="H1521" s="333"/>
      <c r="I1521" s="539"/>
      <c r="J1521" s="333"/>
      <c r="K1521" s="333"/>
      <c r="L1521" s="333"/>
      <c r="M1521" s="333"/>
      <c r="N1521" s="333"/>
      <c r="O1521" s="333"/>
      <c r="P1521" s="333"/>
      <c r="Q1521" s="333"/>
      <c r="R1521" s="333"/>
      <c r="S1521" s="333"/>
      <c r="T1521" s="539"/>
      <c r="U1521" s="333"/>
      <c r="V1521" s="681"/>
      <c r="W1521" s="333"/>
      <c r="X1521" s="333"/>
      <c r="Y1521" s="374"/>
    </row>
    <row r="1522" spans="1:27" ht="77.25" outlineLevel="1" thickBot="1" x14ac:dyDescent="0.45">
      <c r="A1522" s="319" t="s">
        <v>730</v>
      </c>
      <c r="B1522" s="320" t="s">
        <v>624</v>
      </c>
      <c r="C1522" s="586">
        <f>C2085/2</f>
        <v>0</v>
      </c>
      <c r="D1522" s="530">
        <f>C1522*10</f>
        <v>0</v>
      </c>
      <c r="E1522" s="460">
        <f>D1522*0.2</f>
        <v>0</v>
      </c>
      <c r="F1522" s="324">
        <f>E1522*0.97*0.8/19.6</f>
        <v>0</v>
      </c>
      <c r="G1522" s="528">
        <f>INT(M1522)</f>
        <v>0</v>
      </c>
      <c r="H1522" s="324" t="s">
        <v>18</v>
      </c>
      <c r="I1522" s="528">
        <f>(M1522-G1522)*64</f>
        <v>0</v>
      </c>
      <c r="J1522" s="324" t="s">
        <v>19</v>
      </c>
      <c r="K1522" s="324"/>
      <c r="L1522" s="324"/>
      <c r="M1522" s="324">
        <f>(F1522*1087/3456)</f>
        <v>0</v>
      </c>
      <c r="N1522" s="324"/>
      <c r="O1522" s="324"/>
      <c r="P1522" s="324"/>
      <c r="Q1522" s="324" t="s">
        <v>18</v>
      </c>
      <c r="R1522" s="324"/>
      <c r="S1522" s="324" t="s">
        <v>19</v>
      </c>
      <c r="T1522" s="528">
        <v>3</v>
      </c>
      <c r="U1522" s="324">
        <f>E1522/259*60</f>
        <v>0</v>
      </c>
      <c r="V1522" s="676"/>
      <c r="W1522" s="528"/>
      <c r="X1522" s="529"/>
      <c r="Y1522" s="323"/>
      <c r="Z1522" s="312">
        <f>E1522</f>
        <v>0</v>
      </c>
      <c r="AA1522" s="316">
        <f>SUM(Z1522/156+0.25)</f>
        <v>0.25</v>
      </c>
    </row>
    <row r="1523" spans="1:27" ht="77.25" outlineLevel="1" thickBot="1" x14ac:dyDescent="0.45">
      <c r="A1523" s="319" t="s">
        <v>730</v>
      </c>
      <c r="B1523" s="362" t="s">
        <v>625</v>
      </c>
      <c r="C1523" s="586">
        <f>C1939/2</f>
        <v>0</v>
      </c>
      <c r="D1523" s="530">
        <f>C1523*10</f>
        <v>0</v>
      </c>
      <c r="E1523" s="460">
        <f>D1523*0.2</f>
        <v>0</v>
      </c>
      <c r="F1523" s="324">
        <f>E1523*0.97*0.8/19.6</f>
        <v>0</v>
      </c>
      <c r="G1523" s="528">
        <f>INT(M1523)</f>
        <v>0</v>
      </c>
      <c r="H1523" s="324" t="s">
        <v>18</v>
      </c>
      <c r="I1523" s="528">
        <f>(M1523-G1523)*64</f>
        <v>0</v>
      </c>
      <c r="J1523" s="324" t="s">
        <v>19</v>
      </c>
      <c r="K1523" s="324"/>
      <c r="L1523" s="324"/>
      <c r="M1523" s="324">
        <f>(F1523*1087/3456)</f>
        <v>0</v>
      </c>
      <c r="N1523" s="324"/>
      <c r="O1523" s="324"/>
      <c r="P1523" s="324"/>
      <c r="Q1523" s="324" t="s">
        <v>18</v>
      </c>
      <c r="R1523" s="324"/>
      <c r="S1523" s="324" t="s">
        <v>19</v>
      </c>
      <c r="T1523" s="528">
        <v>3</v>
      </c>
      <c r="U1523" s="324">
        <f>E1523/259*60</f>
        <v>0</v>
      </c>
      <c r="V1523" s="676"/>
      <c r="W1523" s="528"/>
      <c r="X1523" s="529"/>
      <c r="Y1523" s="323"/>
      <c r="Z1523" s="312">
        <f>E1523</f>
        <v>0</v>
      </c>
      <c r="AA1523" s="316">
        <f>SUM(Z1523/265+0.25)</f>
        <v>0.25</v>
      </c>
    </row>
    <row r="1524" spans="1:27" ht="77.25" outlineLevel="1" thickBot="1" x14ac:dyDescent="0.45">
      <c r="A1524" s="319" t="s">
        <v>730</v>
      </c>
      <c r="B1524" s="369" t="s">
        <v>626</v>
      </c>
      <c r="C1524" s="586">
        <f>C1940/2</f>
        <v>0</v>
      </c>
      <c r="D1524" s="530">
        <f>C1524*10</f>
        <v>0</v>
      </c>
      <c r="E1524" s="460">
        <f>D1524*0.2</f>
        <v>0</v>
      </c>
      <c r="F1524" s="324">
        <f>E1524*0.97*0.8/19.6</f>
        <v>0</v>
      </c>
      <c r="G1524" s="528">
        <f>INT(M1524)</f>
        <v>0</v>
      </c>
      <c r="H1524" s="324" t="s">
        <v>18</v>
      </c>
      <c r="I1524" s="528">
        <f>(M1524-G1524)*64</f>
        <v>0</v>
      </c>
      <c r="J1524" s="324" t="s">
        <v>19</v>
      </c>
      <c r="K1524" s="324"/>
      <c r="L1524" s="324"/>
      <c r="M1524" s="324">
        <f>(F1524*1087/3456)</f>
        <v>0</v>
      </c>
      <c r="N1524" s="324"/>
      <c r="O1524" s="324"/>
      <c r="P1524" s="324"/>
      <c r="Q1524" s="324" t="s">
        <v>18</v>
      </c>
      <c r="R1524" s="324"/>
      <c r="S1524" s="324" t="s">
        <v>19</v>
      </c>
      <c r="T1524" s="528">
        <v>3</v>
      </c>
      <c r="U1524" s="324">
        <f>E1524/259*60</f>
        <v>0</v>
      </c>
      <c r="V1524" s="676"/>
      <c r="W1524" s="528"/>
      <c r="X1524" s="529"/>
      <c r="Y1524" s="323"/>
      <c r="Z1524" s="312">
        <f>E1524</f>
        <v>0</v>
      </c>
      <c r="AA1524" s="316">
        <f>SUM(Z1524/265+0.25)</f>
        <v>0.25</v>
      </c>
    </row>
    <row r="1525" spans="1:27" thickBot="1" x14ac:dyDescent="0.45">
      <c r="A1525" s="829"/>
      <c r="B1525" s="302" t="s">
        <v>289</v>
      </c>
      <c r="C1525" s="347"/>
      <c r="D1525" s="347"/>
      <c r="E1525" s="494"/>
      <c r="F1525" s="348"/>
      <c r="G1525" s="347"/>
      <c r="H1525" s="348"/>
      <c r="I1525" s="347"/>
      <c r="J1525" s="348"/>
      <c r="K1525" s="348"/>
      <c r="L1525" s="348"/>
      <c r="M1525" s="348"/>
      <c r="N1525" s="348"/>
      <c r="O1525" s="348"/>
      <c r="P1525" s="348"/>
      <c r="Q1525" s="348"/>
      <c r="R1525" s="348"/>
      <c r="S1525" s="348"/>
      <c r="T1525" s="347"/>
      <c r="U1525" s="348"/>
      <c r="V1525" s="356"/>
      <c r="W1525" s="348"/>
      <c r="X1525" s="495"/>
      <c r="Y1525" s="349"/>
    </row>
    <row r="1526" spans="1:27" thickBot="1" x14ac:dyDescent="0.45">
      <c r="A1526" s="830"/>
      <c r="B1526" s="332" t="s">
        <v>285</v>
      </c>
      <c r="C1526" s="347"/>
      <c r="D1526" s="347"/>
      <c r="E1526" s="494"/>
      <c r="F1526" s="348"/>
      <c r="G1526" s="347"/>
      <c r="H1526" s="348"/>
      <c r="I1526" s="347"/>
      <c r="J1526" s="348"/>
      <c r="K1526" s="348"/>
      <c r="L1526" s="348"/>
      <c r="M1526" s="348"/>
      <c r="N1526" s="348"/>
      <c r="O1526" s="348"/>
      <c r="P1526" s="348"/>
      <c r="Q1526" s="348"/>
      <c r="R1526" s="348"/>
      <c r="S1526" s="348"/>
      <c r="T1526" s="347"/>
      <c r="U1526" s="348"/>
      <c r="V1526" s="356"/>
      <c r="W1526" s="348"/>
      <c r="X1526" s="495"/>
      <c r="Y1526" s="357"/>
    </row>
    <row r="1527" spans="1:27" thickBot="1" x14ac:dyDescent="0.45">
      <c r="A1527" s="830"/>
      <c r="B1527" s="332" t="s">
        <v>299</v>
      </c>
      <c r="C1527" s="347"/>
      <c r="D1527" s="347"/>
      <c r="E1527" s="494"/>
      <c r="F1527" s="348"/>
      <c r="G1527" s="347"/>
      <c r="H1527" s="348"/>
      <c r="I1527" s="347"/>
      <c r="J1527" s="348"/>
      <c r="K1527" s="348"/>
      <c r="L1527" s="348"/>
      <c r="M1527" s="348"/>
      <c r="N1527" s="348"/>
      <c r="O1527" s="348"/>
      <c r="P1527" s="348"/>
      <c r="Q1527" s="348"/>
      <c r="R1527" s="348"/>
      <c r="S1527" s="348"/>
      <c r="T1527" s="347"/>
      <c r="U1527" s="348"/>
      <c r="V1527" s="356"/>
      <c r="W1527" s="348"/>
      <c r="X1527" s="495"/>
      <c r="Y1527" s="357"/>
    </row>
    <row r="1528" spans="1:27" ht="102.75" thickBot="1" x14ac:dyDescent="0.45">
      <c r="A1528" s="319" t="s">
        <v>730</v>
      </c>
      <c r="B1528" s="320" t="s">
        <v>783</v>
      </c>
      <c r="C1528" s="586">
        <f>C1424/2</f>
        <v>0</v>
      </c>
      <c r="D1528" s="530"/>
      <c r="E1528" s="456">
        <f>C1528*4</f>
        <v>0</v>
      </c>
      <c r="F1528" s="358">
        <f>E1528*1.01*0.72/147</f>
        <v>0</v>
      </c>
      <c r="G1528" s="548">
        <f t="shared" ref="G1528:G1535" si="580">INT(M1528)</f>
        <v>0</v>
      </c>
      <c r="H1528" s="358" t="s">
        <v>18</v>
      </c>
      <c r="I1528" s="548">
        <f t="shared" ref="I1528:I1535" si="581">(M1528-G1528)*64</f>
        <v>0</v>
      </c>
      <c r="J1528" s="358" t="s">
        <v>19</v>
      </c>
      <c r="K1528" s="358"/>
      <c r="L1528" s="358"/>
      <c r="M1528" s="358">
        <f>(F1528*6035/3456)</f>
        <v>0</v>
      </c>
      <c r="N1528" s="324"/>
      <c r="O1528" s="324"/>
      <c r="P1528" s="324"/>
      <c r="Q1528" s="324" t="s">
        <v>18</v>
      </c>
      <c r="R1528" s="324"/>
      <c r="S1528" s="324" t="s">
        <v>19</v>
      </c>
      <c r="T1528" s="528">
        <v>3</v>
      </c>
      <c r="U1528" s="324">
        <f>E1528/324*60</f>
        <v>0</v>
      </c>
      <c r="V1528" s="676"/>
      <c r="W1528" s="528"/>
      <c r="X1528" s="529"/>
      <c r="Y1528" s="323"/>
      <c r="Z1528" s="312">
        <f t="shared" ref="Z1528:Z1548" si="582">E1528</f>
        <v>0</v>
      </c>
      <c r="AA1528" s="316">
        <f>SUM(Z1528/548.9+0.25)</f>
        <v>0.25</v>
      </c>
    </row>
    <row r="1529" spans="1:27" ht="77.25" thickBot="1" x14ac:dyDescent="0.45">
      <c r="A1529" s="319" t="s">
        <v>730</v>
      </c>
      <c r="B1529" s="320" t="s">
        <v>784</v>
      </c>
      <c r="C1529" s="586">
        <f>C1425/2</f>
        <v>0</v>
      </c>
      <c r="D1529" s="530"/>
      <c r="E1529" s="456">
        <f>C1529*4</f>
        <v>0</v>
      </c>
      <c r="F1529" s="358">
        <f>E1529*1.01*0.72/147</f>
        <v>0</v>
      </c>
      <c r="G1529" s="548">
        <f t="shared" si="580"/>
        <v>0</v>
      </c>
      <c r="H1529" s="358" t="s">
        <v>18</v>
      </c>
      <c r="I1529" s="548">
        <f t="shared" si="581"/>
        <v>0</v>
      </c>
      <c r="J1529" s="358" t="s">
        <v>19</v>
      </c>
      <c r="K1529" s="358"/>
      <c r="L1529" s="358"/>
      <c r="M1529" s="358">
        <f>(F1529*6035/3456)</f>
        <v>0</v>
      </c>
      <c r="N1529" s="324"/>
      <c r="O1529" s="324"/>
      <c r="P1529" s="324"/>
      <c r="Q1529" s="324" t="s">
        <v>18</v>
      </c>
      <c r="R1529" s="324"/>
      <c r="S1529" s="324" t="s">
        <v>19</v>
      </c>
      <c r="T1529" s="528">
        <v>3</v>
      </c>
      <c r="U1529" s="324">
        <f>E1529/324*60</f>
        <v>0</v>
      </c>
      <c r="V1529" s="676"/>
      <c r="W1529" s="528"/>
      <c r="X1529" s="529"/>
      <c r="Y1529" s="323"/>
      <c r="Z1529" s="312">
        <f t="shared" si="582"/>
        <v>0</v>
      </c>
      <c r="AA1529" s="316">
        <f>SUM(Z1529/548.9+0.25)</f>
        <v>0.25</v>
      </c>
    </row>
    <row r="1530" spans="1:27" ht="77.25" thickBot="1" x14ac:dyDescent="0.45">
      <c r="A1530" s="319" t="s">
        <v>730</v>
      </c>
      <c r="B1530" s="320" t="s">
        <v>744</v>
      </c>
      <c r="C1530" s="586">
        <f>C1426/2</f>
        <v>0</v>
      </c>
      <c r="D1530" s="528"/>
      <c r="E1530" s="456">
        <f>C1530*4</f>
        <v>0</v>
      </c>
      <c r="F1530" s="358">
        <f>E1530*1.01*0.72/147</f>
        <v>0</v>
      </c>
      <c r="G1530" s="548">
        <f t="shared" si="580"/>
        <v>0</v>
      </c>
      <c r="H1530" s="358" t="s">
        <v>18</v>
      </c>
      <c r="I1530" s="548">
        <f t="shared" si="581"/>
        <v>0</v>
      </c>
      <c r="J1530" s="358" t="s">
        <v>19</v>
      </c>
      <c r="K1530" s="358"/>
      <c r="L1530" s="358"/>
      <c r="M1530" s="358">
        <f>(F1530*6035/3456)</f>
        <v>0</v>
      </c>
      <c r="N1530" s="324"/>
      <c r="O1530" s="324"/>
      <c r="P1530" s="324"/>
      <c r="Q1530" s="324" t="s">
        <v>18</v>
      </c>
      <c r="R1530" s="324"/>
      <c r="S1530" s="324" t="s">
        <v>19</v>
      </c>
      <c r="T1530" s="528">
        <v>3</v>
      </c>
      <c r="U1530" s="324">
        <f>E1530/324*60</f>
        <v>0</v>
      </c>
      <c r="V1530" s="676"/>
      <c r="W1530" s="528"/>
      <c r="X1530" s="529"/>
      <c r="Y1530" s="323"/>
      <c r="Z1530" s="312">
        <f t="shared" si="582"/>
        <v>0</v>
      </c>
      <c r="AA1530" s="316">
        <f>SUM(Z1530/630.2+0.25)</f>
        <v>0.25</v>
      </c>
    </row>
    <row r="1531" spans="1:27" ht="77.25" thickBot="1" x14ac:dyDescent="0.45">
      <c r="A1531" s="319" t="s">
        <v>730</v>
      </c>
      <c r="B1531" s="320" t="s">
        <v>746</v>
      </c>
      <c r="C1531" s="586">
        <f>C1428/2</f>
        <v>0</v>
      </c>
      <c r="D1531" s="528"/>
      <c r="E1531" s="456">
        <f>C1531*4</f>
        <v>0</v>
      </c>
      <c r="F1531" s="358">
        <f>E1531*1.01*0.72/147</f>
        <v>0</v>
      </c>
      <c r="G1531" s="548">
        <f t="shared" si="580"/>
        <v>0</v>
      </c>
      <c r="H1531" s="358" t="s">
        <v>18</v>
      </c>
      <c r="I1531" s="548">
        <f t="shared" si="581"/>
        <v>0</v>
      </c>
      <c r="J1531" s="358" t="s">
        <v>19</v>
      </c>
      <c r="K1531" s="358"/>
      <c r="L1531" s="358"/>
      <c r="M1531" s="358">
        <f>(F1531*6035/3456)</f>
        <v>0</v>
      </c>
      <c r="N1531" s="324"/>
      <c r="O1531" s="324"/>
      <c r="P1531" s="324"/>
      <c r="Q1531" s="324" t="s">
        <v>18</v>
      </c>
      <c r="R1531" s="324"/>
      <c r="S1531" s="324" t="s">
        <v>19</v>
      </c>
      <c r="T1531" s="528">
        <v>3</v>
      </c>
      <c r="U1531" s="324">
        <f>E1531/259*60</f>
        <v>0</v>
      </c>
      <c r="V1531" s="676"/>
      <c r="W1531" s="528"/>
      <c r="X1531" s="529"/>
      <c r="Y1531" s="323"/>
      <c r="Z1531" s="312">
        <f t="shared" si="582"/>
        <v>0</v>
      </c>
      <c r="AA1531" s="316">
        <f>SUM(Z1531/548.9+0.25)</f>
        <v>0.25</v>
      </c>
    </row>
    <row r="1532" spans="1:27" ht="77.25" thickBot="1" x14ac:dyDescent="0.45">
      <c r="A1532" s="319" t="s">
        <v>730</v>
      </c>
      <c r="B1532" s="320" t="s">
        <v>749</v>
      </c>
      <c r="C1532" s="586">
        <f>C1431/2</f>
        <v>0</v>
      </c>
      <c r="D1532" s="528"/>
      <c r="E1532" s="456">
        <f>C1532*4</f>
        <v>0</v>
      </c>
      <c r="F1532" s="358">
        <f>E1532*1.03*0.82/147</f>
        <v>0</v>
      </c>
      <c r="G1532" s="548">
        <f t="shared" si="580"/>
        <v>0</v>
      </c>
      <c r="H1532" s="358" t="s">
        <v>18</v>
      </c>
      <c r="I1532" s="548">
        <f t="shared" si="581"/>
        <v>0</v>
      </c>
      <c r="J1532" s="358" t="s">
        <v>19</v>
      </c>
      <c r="K1532" s="358"/>
      <c r="L1532" s="358"/>
      <c r="M1532" s="358">
        <f>(F1532*5547/3456)</f>
        <v>0</v>
      </c>
      <c r="N1532" s="324"/>
      <c r="O1532" s="324"/>
      <c r="P1532" s="324"/>
      <c r="Q1532" s="324" t="s">
        <v>18</v>
      </c>
      <c r="R1532" s="324"/>
      <c r="S1532" s="324" t="s">
        <v>19</v>
      </c>
      <c r="T1532" s="528">
        <v>3</v>
      </c>
      <c r="U1532" s="324">
        <f t="shared" ref="U1532:U1548" si="583">E1532/324*60</f>
        <v>0</v>
      </c>
      <c r="V1532" s="676"/>
      <c r="W1532" s="528"/>
      <c r="X1532" s="529"/>
      <c r="Y1532" s="323"/>
      <c r="Z1532" s="312">
        <f t="shared" si="582"/>
        <v>0</v>
      </c>
      <c r="AA1532" s="316">
        <f>SUM(Z1532/630.2+0.25)</f>
        <v>0.25</v>
      </c>
    </row>
    <row r="1533" spans="1:27" ht="77.25" outlineLevel="1" thickBot="1" x14ac:dyDescent="0.45">
      <c r="A1533" s="319" t="s">
        <v>730</v>
      </c>
      <c r="B1533" s="635" t="s">
        <v>750</v>
      </c>
      <c r="C1533" s="586">
        <f>C1956</f>
        <v>0</v>
      </c>
      <c r="D1533" s="548">
        <f>C1533*144</f>
        <v>0</v>
      </c>
      <c r="E1533" s="456">
        <f>D1533*0.025</f>
        <v>0</v>
      </c>
      <c r="F1533" s="358">
        <f>E1533*1.008*0.72/147</f>
        <v>0</v>
      </c>
      <c r="G1533" s="548">
        <f t="shared" si="580"/>
        <v>0</v>
      </c>
      <c r="H1533" s="358" t="s">
        <v>18</v>
      </c>
      <c r="I1533" s="548">
        <f t="shared" si="581"/>
        <v>0</v>
      </c>
      <c r="J1533" s="358" t="s">
        <v>19</v>
      </c>
      <c r="K1533" s="358"/>
      <c r="L1533" s="358"/>
      <c r="M1533" s="358">
        <f>(F1533*8166/3456)</f>
        <v>0</v>
      </c>
      <c r="N1533" s="324"/>
      <c r="O1533" s="324"/>
      <c r="P1533" s="324"/>
      <c r="Q1533" s="324" t="s">
        <v>18</v>
      </c>
      <c r="R1533" s="324"/>
      <c r="S1533" s="324" t="s">
        <v>19</v>
      </c>
      <c r="T1533" s="528">
        <v>4</v>
      </c>
      <c r="U1533" s="324">
        <f t="shared" si="583"/>
        <v>0</v>
      </c>
      <c r="V1533" s="676"/>
      <c r="W1533" s="528"/>
      <c r="X1533" s="529"/>
      <c r="Y1533" s="323"/>
      <c r="Z1533" s="312">
        <f t="shared" si="582"/>
        <v>0</v>
      </c>
      <c r="AA1533" s="316">
        <f>SUM(Z1533/136.8+0.25)</f>
        <v>0.25</v>
      </c>
    </row>
    <row r="1534" spans="1:27" ht="77.25" thickBot="1" x14ac:dyDescent="0.45">
      <c r="A1534" s="319" t="s">
        <v>730</v>
      </c>
      <c r="B1534" s="320" t="s">
        <v>1149</v>
      </c>
      <c r="C1534" s="586">
        <f>C1432/2</f>
        <v>0</v>
      </c>
      <c r="D1534" s="528"/>
      <c r="E1534" s="456">
        <f>C1534*4</f>
        <v>0</v>
      </c>
      <c r="F1534" s="358">
        <f>E1534*1.03*0.82/147</f>
        <v>0</v>
      </c>
      <c r="G1534" s="548">
        <f t="shared" si="580"/>
        <v>0</v>
      </c>
      <c r="H1534" s="358" t="s">
        <v>18</v>
      </c>
      <c r="I1534" s="548">
        <f t="shared" si="581"/>
        <v>0</v>
      </c>
      <c r="J1534" s="358" t="s">
        <v>19</v>
      </c>
      <c r="K1534" s="358"/>
      <c r="L1534" s="358"/>
      <c r="M1534" s="358">
        <f>(F1534*5547/3456)</f>
        <v>0</v>
      </c>
      <c r="N1534" s="324"/>
      <c r="O1534" s="324"/>
      <c r="P1534" s="324"/>
      <c r="Q1534" s="324" t="s">
        <v>18</v>
      </c>
      <c r="R1534" s="324"/>
      <c r="S1534" s="324" t="s">
        <v>19</v>
      </c>
      <c r="T1534" s="528">
        <v>3</v>
      </c>
      <c r="U1534" s="324">
        <f t="shared" si="583"/>
        <v>0</v>
      </c>
      <c r="V1534" s="676"/>
      <c r="W1534" s="528"/>
      <c r="X1534" s="529"/>
      <c r="Y1534" s="323"/>
      <c r="Z1534" s="312">
        <f t="shared" si="582"/>
        <v>0</v>
      </c>
      <c r="AA1534" s="316">
        <f>SUM(Z1534/630.2/2+0.25)</f>
        <v>0.25</v>
      </c>
    </row>
    <row r="1535" spans="1:27" ht="77.25" outlineLevel="1" thickBot="1" x14ac:dyDescent="0.45">
      <c r="A1535" s="319" t="s">
        <v>730</v>
      </c>
      <c r="B1535" s="799" t="s">
        <v>1209</v>
      </c>
      <c r="C1535" s="586">
        <f>C1433/2</f>
        <v>0</v>
      </c>
      <c r="D1535" s="528"/>
      <c r="E1535" s="456">
        <f>C1535*4</f>
        <v>0</v>
      </c>
      <c r="F1535" s="358">
        <f>E1535*1.03*0.82/147</f>
        <v>0</v>
      </c>
      <c r="G1535" s="548">
        <f t="shared" si="580"/>
        <v>0</v>
      </c>
      <c r="H1535" s="358" t="s">
        <v>18</v>
      </c>
      <c r="I1535" s="548">
        <f t="shared" si="581"/>
        <v>0</v>
      </c>
      <c r="J1535" s="358" t="s">
        <v>19</v>
      </c>
      <c r="K1535" s="358"/>
      <c r="L1535" s="358"/>
      <c r="M1535" s="358">
        <f>(F1535*5547/3456)</f>
        <v>0</v>
      </c>
      <c r="N1535" s="324"/>
      <c r="O1535" s="324"/>
      <c r="P1535" s="324"/>
      <c r="Q1535" s="324" t="s">
        <v>18</v>
      </c>
      <c r="R1535" s="324"/>
      <c r="S1535" s="324" t="s">
        <v>19</v>
      </c>
      <c r="T1535" s="528">
        <v>3</v>
      </c>
      <c r="U1535" s="324">
        <f>E1535/324*60</f>
        <v>0</v>
      </c>
      <c r="V1535" s="676"/>
      <c r="W1535" s="528"/>
      <c r="X1535" s="529"/>
      <c r="Y1535" s="323"/>
      <c r="Z1535" s="312">
        <f t="shared" si="582"/>
        <v>0</v>
      </c>
      <c r="AA1535" s="316">
        <f>SUM(Z1535/630.2+0.25)</f>
        <v>0.25</v>
      </c>
    </row>
    <row r="1536" spans="1:27" ht="102.75" thickBot="1" x14ac:dyDescent="0.45">
      <c r="A1536" s="319" t="s">
        <v>730</v>
      </c>
      <c r="B1536" s="320" t="s">
        <v>751</v>
      </c>
      <c r="C1536" s="586">
        <f>C1434/2</f>
        <v>0</v>
      </c>
      <c r="D1536" s="528"/>
      <c r="E1536" s="456">
        <f>C1536*4</f>
        <v>0</v>
      </c>
      <c r="F1536" s="358">
        <f>E1536*1.01*0.72/147</f>
        <v>0</v>
      </c>
      <c r="G1536" s="548">
        <f t="shared" ref="G1536:G1548" si="584">INT(M1536)</f>
        <v>0</v>
      </c>
      <c r="H1536" s="358" t="s">
        <v>18</v>
      </c>
      <c r="I1536" s="548">
        <f t="shared" ref="I1536:I1548" si="585">(M1536-G1536)*64</f>
        <v>0</v>
      </c>
      <c r="J1536" s="358" t="s">
        <v>19</v>
      </c>
      <c r="K1536" s="358"/>
      <c r="L1536" s="358"/>
      <c r="M1536" s="358">
        <f>(F1536*6035/3456)</f>
        <v>0</v>
      </c>
      <c r="N1536" s="324"/>
      <c r="O1536" s="324"/>
      <c r="P1536" s="324"/>
      <c r="Q1536" s="324" t="s">
        <v>18</v>
      </c>
      <c r="R1536" s="324"/>
      <c r="S1536" s="324" t="s">
        <v>19</v>
      </c>
      <c r="T1536" s="528">
        <v>3</v>
      </c>
      <c r="U1536" s="324">
        <f t="shared" si="583"/>
        <v>0</v>
      </c>
      <c r="V1536" s="676"/>
      <c r="W1536" s="528"/>
      <c r="X1536" s="529"/>
      <c r="Y1536" s="323"/>
      <c r="Z1536" s="312">
        <f t="shared" si="582"/>
        <v>0</v>
      </c>
      <c r="AA1536" s="316">
        <f>SUM(Z1536/548.9/2+0.25)</f>
        <v>0.25</v>
      </c>
    </row>
    <row r="1537" spans="1:27" ht="77.25" thickBot="1" x14ac:dyDescent="0.45">
      <c r="A1537" s="319" t="s">
        <v>730</v>
      </c>
      <c r="B1537" s="344" t="s">
        <v>879</v>
      </c>
      <c r="C1537" s="586">
        <f>C1436/2</f>
        <v>0</v>
      </c>
      <c r="D1537" s="528"/>
      <c r="E1537" s="457">
        <f>C1537*3</f>
        <v>0</v>
      </c>
      <c r="F1537" s="358">
        <f>E1537*1.03*0.82/147</f>
        <v>0</v>
      </c>
      <c r="G1537" s="549">
        <f>INT(M1537)</f>
        <v>0</v>
      </c>
      <c r="H1537" s="359" t="s">
        <v>18</v>
      </c>
      <c r="I1537" s="549">
        <f>(M1537-G1537)*64</f>
        <v>0</v>
      </c>
      <c r="J1537" s="359" t="s">
        <v>19</v>
      </c>
      <c r="K1537" s="358"/>
      <c r="L1537" s="358"/>
      <c r="M1537" s="358">
        <f>(F1537*5547/3456)</f>
        <v>0</v>
      </c>
      <c r="N1537" s="324"/>
      <c r="O1537" s="324"/>
      <c r="P1537" s="324"/>
      <c r="Q1537" s="324" t="s">
        <v>18</v>
      </c>
      <c r="R1537" s="324"/>
      <c r="S1537" s="324" t="s">
        <v>19</v>
      </c>
      <c r="T1537" s="528">
        <v>3</v>
      </c>
      <c r="U1537" s="324">
        <f t="shared" si="583"/>
        <v>0</v>
      </c>
      <c r="V1537" s="676"/>
      <c r="W1537" s="528"/>
      <c r="X1537" s="529"/>
      <c r="Y1537" s="323"/>
      <c r="Z1537" s="312">
        <f t="shared" si="582"/>
        <v>0</v>
      </c>
      <c r="AA1537" s="316">
        <f>SUM(Z1537/630.2+0.25)</f>
        <v>0.25</v>
      </c>
    </row>
    <row r="1538" spans="1:27" ht="77.25" thickBot="1" x14ac:dyDescent="0.45">
      <c r="A1538" s="319" t="s">
        <v>730</v>
      </c>
      <c r="B1538" s="362" t="s">
        <v>761</v>
      </c>
      <c r="C1538" s="638">
        <f>C2096</f>
        <v>0</v>
      </c>
      <c r="D1538" s="528"/>
      <c r="E1538" s="456">
        <f>C1538*4</f>
        <v>0</v>
      </c>
      <c r="F1538" s="358">
        <f>E1538*1.03*0.84/147</f>
        <v>0</v>
      </c>
      <c r="G1538" s="548">
        <f>INT(M1538)</f>
        <v>0</v>
      </c>
      <c r="H1538" s="358" t="s">
        <v>18</v>
      </c>
      <c r="I1538" s="548">
        <f>(M1538-G1538)*64</f>
        <v>0</v>
      </c>
      <c r="J1538" s="358" t="s">
        <v>19</v>
      </c>
      <c r="K1538" s="358"/>
      <c r="L1538" s="358"/>
      <c r="M1538" s="358">
        <f>(F1538*5547/3456)</f>
        <v>0</v>
      </c>
      <c r="N1538" s="324"/>
      <c r="O1538" s="324"/>
      <c r="P1538" s="324"/>
      <c r="Q1538" s="324" t="s">
        <v>18</v>
      </c>
      <c r="R1538" s="324"/>
      <c r="S1538" s="324" t="s">
        <v>19</v>
      </c>
      <c r="T1538" s="528">
        <v>4</v>
      </c>
      <c r="U1538" s="324">
        <f t="shared" si="583"/>
        <v>0</v>
      </c>
      <c r="V1538" s="676"/>
      <c r="W1538" s="528"/>
      <c r="X1538" s="529"/>
      <c r="Y1538" s="323"/>
      <c r="Z1538" s="312">
        <f t="shared" si="582"/>
        <v>0</v>
      </c>
      <c r="AA1538" s="316">
        <f>SUM(Z1538/220+0.25)</f>
        <v>0.25</v>
      </c>
    </row>
    <row r="1539" spans="1:27" ht="77.25" thickBot="1" x14ac:dyDescent="0.45">
      <c r="A1539" s="319" t="s">
        <v>730</v>
      </c>
      <c r="B1539" s="414" t="s">
        <v>755</v>
      </c>
      <c r="C1539" s="586">
        <f>C2097</f>
        <v>0</v>
      </c>
      <c r="D1539" s="528"/>
      <c r="E1539" s="456">
        <f>C1539*4</f>
        <v>0</v>
      </c>
      <c r="F1539" s="358">
        <f>E1539*1.01*0.756/147</f>
        <v>0</v>
      </c>
      <c r="G1539" s="548">
        <f>INT(M1539)</f>
        <v>0</v>
      </c>
      <c r="H1539" s="358" t="s">
        <v>18</v>
      </c>
      <c r="I1539" s="548">
        <f>(M1539-G1539)*64</f>
        <v>0</v>
      </c>
      <c r="J1539" s="358" t="s">
        <v>19</v>
      </c>
      <c r="K1539" s="358"/>
      <c r="L1539" s="358"/>
      <c r="M1539" s="358">
        <f>(F1539*6035/3456)</f>
        <v>0</v>
      </c>
      <c r="N1539" s="324"/>
      <c r="O1539" s="324"/>
      <c r="P1539" s="324"/>
      <c r="Q1539" s="324" t="s">
        <v>18</v>
      </c>
      <c r="R1539" s="324"/>
      <c r="S1539" s="324" t="s">
        <v>19</v>
      </c>
      <c r="T1539" s="528">
        <v>4</v>
      </c>
      <c r="U1539" s="324">
        <f t="shared" si="583"/>
        <v>0</v>
      </c>
      <c r="V1539" s="676"/>
      <c r="W1539" s="528"/>
      <c r="X1539" s="529"/>
      <c r="Y1539" s="323"/>
      <c r="Z1539" s="312">
        <f t="shared" si="582"/>
        <v>0</v>
      </c>
      <c r="AA1539" s="316">
        <f>SUM(Z1539/220+0.25)</f>
        <v>0.25</v>
      </c>
    </row>
    <row r="1540" spans="1:27" ht="77.25" thickBot="1" x14ac:dyDescent="0.45">
      <c r="A1540" s="319" t="s">
        <v>730</v>
      </c>
      <c r="B1540" s="362" t="s">
        <v>758</v>
      </c>
      <c r="C1540" s="586">
        <f>C2100</f>
        <v>0</v>
      </c>
      <c r="D1540" s="528"/>
      <c r="E1540" s="456">
        <f>C1540*4</f>
        <v>0</v>
      </c>
      <c r="F1540" s="358">
        <f>E1540*1.03*0.84/147</f>
        <v>0</v>
      </c>
      <c r="G1540" s="548">
        <f t="shared" si="584"/>
        <v>0</v>
      </c>
      <c r="H1540" s="358" t="s">
        <v>18</v>
      </c>
      <c r="I1540" s="548">
        <f t="shared" si="585"/>
        <v>0</v>
      </c>
      <c r="J1540" s="358" t="s">
        <v>19</v>
      </c>
      <c r="K1540" s="358"/>
      <c r="L1540" s="358"/>
      <c r="M1540" s="358">
        <f>(F1540*5068/3456)</f>
        <v>0</v>
      </c>
      <c r="N1540" s="324"/>
      <c r="O1540" s="324"/>
      <c r="P1540" s="324"/>
      <c r="Q1540" s="324" t="s">
        <v>18</v>
      </c>
      <c r="R1540" s="324"/>
      <c r="S1540" s="324" t="s">
        <v>19</v>
      </c>
      <c r="T1540" s="528">
        <v>4</v>
      </c>
      <c r="U1540" s="324">
        <f t="shared" si="583"/>
        <v>0</v>
      </c>
      <c r="V1540" s="676"/>
      <c r="W1540" s="528"/>
      <c r="X1540" s="529"/>
      <c r="Y1540" s="323"/>
      <c r="Z1540" s="312">
        <f t="shared" si="582"/>
        <v>0</v>
      </c>
      <c r="AA1540" s="316">
        <f>SUM(Z1540/220+0.25)</f>
        <v>0.25</v>
      </c>
    </row>
    <row r="1541" spans="1:27" ht="77.25" thickBot="1" x14ac:dyDescent="0.45">
      <c r="A1541" s="319" t="s">
        <v>730</v>
      </c>
      <c r="B1541" s="362" t="s">
        <v>1008</v>
      </c>
      <c r="C1541" s="639">
        <f>C2103</f>
        <v>0</v>
      </c>
      <c r="D1541" s="528"/>
      <c r="E1541" s="460">
        <f>C1541*2</f>
        <v>0</v>
      </c>
      <c r="F1541" s="324">
        <f>E1541*1.03*0.84/147</f>
        <v>0</v>
      </c>
      <c r="G1541" s="537">
        <f t="shared" si="584"/>
        <v>0</v>
      </c>
      <c r="H1541" s="354" t="s">
        <v>18</v>
      </c>
      <c r="I1541" s="537">
        <f t="shared" si="585"/>
        <v>0</v>
      </c>
      <c r="J1541" s="354" t="s">
        <v>19</v>
      </c>
      <c r="K1541" s="324"/>
      <c r="L1541" s="324"/>
      <c r="M1541" s="324">
        <f>(F1541*5068/3456)</f>
        <v>0</v>
      </c>
      <c r="N1541" s="324"/>
      <c r="O1541" s="324"/>
      <c r="P1541" s="324"/>
      <c r="Q1541" s="324" t="s">
        <v>18</v>
      </c>
      <c r="R1541" s="324"/>
      <c r="S1541" s="324" t="s">
        <v>19</v>
      </c>
      <c r="T1541" s="528">
        <v>4</v>
      </c>
      <c r="U1541" s="324">
        <f t="shared" si="583"/>
        <v>0</v>
      </c>
      <c r="V1541" s="676"/>
      <c r="W1541" s="528"/>
      <c r="X1541" s="529"/>
      <c r="Y1541" s="323"/>
      <c r="Z1541" s="312">
        <f t="shared" si="582"/>
        <v>0</v>
      </c>
      <c r="AA1541" s="316">
        <f>SUM(Z1541/220+0.25)</f>
        <v>0.25</v>
      </c>
    </row>
    <row r="1542" spans="1:27" ht="77.25" thickBot="1" x14ac:dyDescent="0.45">
      <c r="A1542" s="319" t="s">
        <v>730</v>
      </c>
      <c r="B1542" s="320" t="s">
        <v>1009</v>
      </c>
      <c r="C1542" s="528">
        <f>C1444/2</f>
        <v>0</v>
      </c>
      <c r="D1542" s="528"/>
      <c r="E1542" s="460">
        <f>C1542*2</f>
        <v>0</v>
      </c>
      <c r="F1542" s="324">
        <f>E1542*1.03*0.82/147</f>
        <v>0</v>
      </c>
      <c r="G1542" s="537">
        <f t="shared" si="584"/>
        <v>0</v>
      </c>
      <c r="H1542" s="354" t="s">
        <v>18</v>
      </c>
      <c r="I1542" s="537">
        <f t="shared" si="585"/>
        <v>0</v>
      </c>
      <c r="J1542" s="354" t="s">
        <v>19</v>
      </c>
      <c r="K1542" s="324"/>
      <c r="L1542" s="324"/>
      <c r="M1542" s="324">
        <f>(F1542*5547/3456)</f>
        <v>0</v>
      </c>
      <c r="N1542" s="324"/>
      <c r="O1542" s="324"/>
      <c r="P1542" s="324"/>
      <c r="Q1542" s="324" t="s">
        <v>18</v>
      </c>
      <c r="R1542" s="324"/>
      <c r="S1542" s="324" t="s">
        <v>19</v>
      </c>
      <c r="T1542" s="528">
        <v>4</v>
      </c>
      <c r="U1542" s="324">
        <f>E1542/324*60</f>
        <v>0</v>
      </c>
      <c r="V1542" s="685"/>
      <c r="W1542" s="528"/>
      <c r="X1542" s="529"/>
      <c r="Y1542" s="323"/>
      <c r="Z1542" s="312">
        <f t="shared" si="582"/>
        <v>0</v>
      </c>
      <c r="AA1542" s="316">
        <f>SUM(Z1542/596.4+0.25)</f>
        <v>0.25</v>
      </c>
    </row>
    <row r="1543" spans="1:27" ht="77.25" thickBot="1" x14ac:dyDescent="0.45">
      <c r="A1543" s="319" t="s">
        <v>730</v>
      </c>
      <c r="B1543" s="320" t="s">
        <v>1043</v>
      </c>
      <c r="C1543" s="528">
        <f>C1445/2</f>
        <v>0</v>
      </c>
      <c r="D1543" s="528"/>
      <c r="E1543" s="460">
        <f>C1543*2</f>
        <v>0</v>
      </c>
      <c r="F1543" s="324">
        <f>E1543*1.03*0.82/147</f>
        <v>0</v>
      </c>
      <c r="G1543" s="537">
        <f>INT(M1543)</f>
        <v>0</v>
      </c>
      <c r="H1543" s="354" t="s">
        <v>18</v>
      </c>
      <c r="I1543" s="537">
        <f>(M1543-G1543)*64</f>
        <v>0</v>
      </c>
      <c r="J1543" s="354" t="s">
        <v>19</v>
      </c>
      <c r="K1543" s="324"/>
      <c r="L1543" s="324"/>
      <c r="M1543" s="324">
        <f>(F1543*5547/3456)</f>
        <v>0</v>
      </c>
      <c r="N1543" s="324"/>
      <c r="O1543" s="324"/>
      <c r="P1543" s="324"/>
      <c r="Q1543" s="324" t="s">
        <v>18</v>
      </c>
      <c r="R1543" s="324"/>
      <c r="S1543" s="324" t="s">
        <v>19</v>
      </c>
      <c r="T1543" s="528">
        <v>4</v>
      </c>
      <c r="U1543" s="324">
        <f>E1543/324*60</f>
        <v>0</v>
      </c>
      <c r="V1543" s="685"/>
      <c r="W1543" s="528"/>
      <c r="X1543" s="529"/>
      <c r="Y1543" s="323"/>
      <c r="Z1543" s="312">
        <f>E1543</f>
        <v>0</v>
      </c>
      <c r="AA1543" s="316">
        <f>SUM(Z1543/596.4+0.25)</f>
        <v>0.25</v>
      </c>
    </row>
    <row r="1544" spans="1:27" ht="77.25" thickBot="1" x14ac:dyDescent="0.45">
      <c r="A1544" s="319" t="s">
        <v>730</v>
      </c>
      <c r="B1544" s="320" t="s">
        <v>1010</v>
      </c>
      <c r="C1544" s="528">
        <f>C1442/2</f>
        <v>0</v>
      </c>
      <c r="D1544" s="528"/>
      <c r="E1544" s="460">
        <f>C1544*2</f>
        <v>0</v>
      </c>
      <c r="F1544" s="324">
        <f>E1544*1.01*0.72/147</f>
        <v>0</v>
      </c>
      <c r="G1544" s="528">
        <f t="shared" si="584"/>
        <v>0</v>
      </c>
      <c r="H1544" s="324" t="s">
        <v>18</v>
      </c>
      <c r="I1544" s="528">
        <f t="shared" si="585"/>
        <v>0</v>
      </c>
      <c r="J1544" s="324" t="s">
        <v>19</v>
      </c>
      <c r="K1544" s="324"/>
      <c r="L1544" s="324"/>
      <c r="M1544" s="324">
        <f>(F1544*6035/3456)</f>
        <v>0</v>
      </c>
      <c r="N1544" s="324"/>
      <c r="O1544" s="324"/>
      <c r="P1544" s="324"/>
      <c r="Q1544" s="324" t="s">
        <v>18</v>
      </c>
      <c r="R1544" s="324"/>
      <c r="S1544" s="324" t="s">
        <v>19</v>
      </c>
      <c r="T1544" s="528">
        <v>4</v>
      </c>
      <c r="U1544" s="324">
        <f>E1544/324*60</f>
        <v>0</v>
      </c>
      <c r="V1544" s="685"/>
      <c r="W1544" s="528"/>
      <c r="X1544" s="529"/>
      <c r="Y1544" s="323"/>
      <c r="Z1544" s="312">
        <f t="shared" si="582"/>
        <v>0</v>
      </c>
      <c r="AA1544" s="316">
        <f>SUM(Z1544/519.5+0.25)</f>
        <v>0.25</v>
      </c>
    </row>
    <row r="1545" spans="1:27" ht="77.25" thickBot="1" x14ac:dyDescent="0.45">
      <c r="A1545" s="319" t="s">
        <v>730</v>
      </c>
      <c r="B1545" s="320" t="s">
        <v>1011</v>
      </c>
      <c r="C1545" s="528">
        <f>C1443/2</f>
        <v>0</v>
      </c>
      <c r="D1545" s="528"/>
      <c r="E1545" s="460">
        <f>C1545*2</f>
        <v>0</v>
      </c>
      <c r="F1545" s="324">
        <f>E1545*1.01*0.72/147</f>
        <v>0</v>
      </c>
      <c r="G1545" s="528">
        <f t="shared" si="584"/>
        <v>0</v>
      </c>
      <c r="H1545" s="324" t="s">
        <v>18</v>
      </c>
      <c r="I1545" s="528">
        <f t="shared" si="585"/>
        <v>0</v>
      </c>
      <c r="J1545" s="324" t="s">
        <v>19</v>
      </c>
      <c r="K1545" s="324"/>
      <c r="L1545" s="324"/>
      <c r="M1545" s="324">
        <f>(F1545*6035/3456)</f>
        <v>0</v>
      </c>
      <c r="N1545" s="324"/>
      <c r="O1545" s="324"/>
      <c r="P1545" s="324"/>
      <c r="Q1545" s="324" t="s">
        <v>18</v>
      </c>
      <c r="R1545" s="324"/>
      <c r="S1545" s="324" t="s">
        <v>19</v>
      </c>
      <c r="T1545" s="528">
        <v>4</v>
      </c>
      <c r="U1545" s="324">
        <f>E1545/324*60</f>
        <v>0</v>
      </c>
      <c r="V1545" s="685"/>
      <c r="W1545" s="528"/>
      <c r="X1545" s="529"/>
      <c r="Y1545" s="323"/>
      <c r="Z1545" s="312">
        <f t="shared" si="582"/>
        <v>0</v>
      </c>
      <c r="AA1545" s="316">
        <f>SUM(Z1545/519.5+0.25)</f>
        <v>0.25</v>
      </c>
    </row>
    <row r="1546" spans="1:27" ht="77.25" outlineLevel="1" thickBot="1" x14ac:dyDescent="0.45">
      <c r="A1546" s="319" t="s">
        <v>730</v>
      </c>
      <c r="B1546" s="320" t="s">
        <v>895</v>
      </c>
      <c r="C1546" s="528">
        <f>C1437/2</f>
        <v>0</v>
      </c>
      <c r="D1546" s="528"/>
      <c r="E1546" s="456">
        <f>C1546*1.7</f>
        <v>0</v>
      </c>
      <c r="F1546" s="358">
        <f>E1546*1.03*0.82/147</f>
        <v>0</v>
      </c>
      <c r="G1546" s="549">
        <f t="shared" si="584"/>
        <v>0</v>
      </c>
      <c r="H1546" s="359" t="s">
        <v>18</v>
      </c>
      <c r="I1546" s="549">
        <f t="shared" si="585"/>
        <v>0</v>
      </c>
      <c r="J1546" s="359" t="s">
        <v>19</v>
      </c>
      <c r="K1546" s="358"/>
      <c r="L1546" s="358"/>
      <c r="M1546" s="358">
        <f>(F1546*5547/3456)</f>
        <v>0</v>
      </c>
      <c r="N1546" s="358"/>
      <c r="O1546" s="358"/>
      <c r="P1546" s="358"/>
      <c r="Q1546" s="358" t="s">
        <v>18</v>
      </c>
      <c r="R1546" s="358"/>
      <c r="S1546" s="358" t="s">
        <v>19</v>
      </c>
      <c r="T1546" s="528">
        <v>3</v>
      </c>
      <c r="U1546" s="324">
        <f t="shared" si="583"/>
        <v>0</v>
      </c>
      <c r="V1546" s="685"/>
      <c r="W1546" s="528"/>
      <c r="X1546" s="529"/>
      <c r="Y1546" s="323"/>
      <c r="Z1546" s="312">
        <f t="shared" si="582"/>
        <v>0</v>
      </c>
      <c r="AA1546" s="316">
        <f>SUM(Z1546/630.2+0.25)</f>
        <v>0.25</v>
      </c>
    </row>
    <row r="1547" spans="1:27" ht="77.25" thickBot="1" x14ac:dyDescent="0.45">
      <c r="A1547" s="319" t="s">
        <v>730</v>
      </c>
      <c r="B1547" s="799" t="s">
        <v>1185</v>
      </c>
      <c r="C1547" s="528">
        <f>C1438/2</f>
        <v>0</v>
      </c>
      <c r="D1547" s="528"/>
      <c r="E1547" s="456">
        <f>C1547*1.7</f>
        <v>0</v>
      </c>
      <c r="F1547" s="358">
        <f>E1547*1.03*0.82/147</f>
        <v>0</v>
      </c>
      <c r="G1547" s="549">
        <f t="shared" si="584"/>
        <v>0</v>
      </c>
      <c r="H1547" s="359" t="s">
        <v>18</v>
      </c>
      <c r="I1547" s="549">
        <f t="shared" si="585"/>
        <v>0</v>
      </c>
      <c r="J1547" s="359" t="s">
        <v>19</v>
      </c>
      <c r="K1547" s="358"/>
      <c r="L1547" s="358"/>
      <c r="M1547" s="358">
        <f>(F1547*5547/3456)</f>
        <v>0</v>
      </c>
      <c r="N1547" s="358"/>
      <c r="O1547" s="358"/>
      <c r="P1547" s="358"/>
      <c r="Q1547" s="358" t="s">
        <v>18</v>
      </c>
      <c r="R1547" s="358"/>
      <c r="S1547" s="358" t="s">
        <v>19</v>
      </c>
      <c r="T1547" s="528">
        <v>3</v>
      </c>
      <c r="U1547" s="324">
        <f t="shared" si="583"/>
        <v>0</v>
      </c>
      <c r="V1547" s="685"/>
      <c r="W1547" s="528"/>
      <c r="X1547" s="529"/>
      <c r="Y1547" s="323"/>
      <c r="Z1547" s="312">
        <f t="shared" si="582"/>
        <v>0</v>
      </c>
      <c r="AA1547" s="316">
        <f>SUM(Z1547/630.2+0.25)</f>
        <v>0.25</v>
      </c>
    </row>
    <row r="1548" spans="1:27" ht="77.25" thickBot="1" x14ac:dyDescent="0.45">
      <c r="A1548" s="319" t="s">
        <v>730</v>
      </c>
      <c r="B1548" s="799" t="s">
        <v>1187</v>
      </c>
      <c r="C1548" s="528">
        <f>C1439/2</f>
        <v>0</v>
      </c>
      <c r="D1548" s="528"/>
      <c r="E1548" s="456">
        <f>C1548*1.7</f>
        <v>0</v>
      </c>
      <c r="F1548" s="358">
        <f>E1548*1.01*0.72/147</f>
        <v>0</v>
      </c>
      <c r="G1548" s="548">
        <f t="shared" si="584"/>
        <v>0</v>
      </c>
      <c r="H1548" s="358" t="s">
        <v>18</v>
      </c>
      <c r="I1548" s="548">
        <f t="shared" si="585"/>
        <v>0</v>
      </c>
      <c r="J1548" s="358" t="s">
        <v>19</v>
      </c>
      <c r="K1548" s="358"/>
      <c r="L1548" s="358"/>
      <c r="M1548" s="358">
        <f>(F1548*6035/3456)</f>
        <v>0</v>
      </c>
      <c r="N1548" s="324"/>
      <c r="O1548" s="324"/>
      <c r="P1548" s="324"/>
      <c r="Q1548" s="324" t="s">
        <v>18</v>
      </c>
      <c r="R1548" s="324"/>
      <c r="S1548" s="324" t="s">
        <v>19</v>
      </c>
      <c r="T1548" s="528"/>
      <c r="U1548" s="324">
        <f t="shared" si="583"/>
        <v>0</v>
      </c>
      <c r="V1548" s="676"/>
      <c r="W1548" s="528"/>
      <c r="X1548" s="529"/>
      <c r="Y1548" s="323"/>
      <c r="Z1548" s="312">
        <f t="shared" si="582"/>
        <v>0</v>
      </c>
      <c r="AA1548" s="316">
        <f>SUM(Z1548/548.9+0.25)</f>
        <v>0.25</v>
      </c>
    </row>
    <row r="1549" spans="1:27" thickBot="1" x14ac:dyDescent="0.45">
      <c r="A1549" s="830"/>
      <c r="B1549" s="332" t="s">
        <v>286</v>
      </c>
      <c r="C1549" s="347"/>
      <c r="D1549" s="347"/>
      <c r="E1549" s="494"/>
      <c r="F1549" s="348"/>
      <c r="G1549" s="347"/>
      <c r="H1549" s="348"/>
      <c r="I1549" s="347"/>
      <c r="J1549" s="348"/>
      <c r="K1549" s="348"/>
      <c r="L1549" s="348"/>
      <c r="M1549" s="348"/>
      <c r="N1549" s="348"/>
      <c r="O1549" s="348"/>
      <c r="P1549" s="348"/>
      <c r="Q1549" s="348"/>
      <c r="R1549" s="348"/>
      <c r="S1549" s="348"/>
      <c r="T1549" s="347"/>
      <c r="U1549" s="348"/>
      <c r="V1549" s="356"/>
      <c r="W1549" s="348"/>
      <c r="X1549" s="495"/>
      <c r="Y1549" s="357"/>
    </row>
    <row r="1550" spans="1:27" ht="77.25" thickBot="1" x14ac:dyDescent="0.45">
      <c r="A1550" s="319" t="s">
        <v>730</v>
      </c>
      <c r="B1550" s="343" t="s">
        <v>971</v>
      </c>
      <c r="C1550" s="528">
        <f>C1449/2</f>
        <v>0</v>
      </c>
      <c r="D1550" s="548"/>
      <c r="E1550" s="456">
        <f>C1550*0.3</f>
        <v>0</v>
      </c>
      <c r="F1550" s="358">
        <f>E1550*1.03*0.82/147</f>
        <v>0</v>
      </c>
      <c r="G1550" s="549">
        <f t="shared" ref="G1550:G1557" si="586">INT(M1550)</f>
        <v>0</v>
      </c>
      <c r="H1550" s="359" t="s">
        <v>18</v>
      </c>
      <c r="I1550" s="549">
        <f t="shared" ref="I1550:I1557" si="587">(M1550-G1550)*64</f>
        <v>0</v>
      </c>
      <c r="J1550" s="359" t="s">
        <v>19</v>
      </c>
      <c r="K1550" s="358"/>
      <c r="L1550" s="358"/>
      <c r="M1550" s="358">
        <f>(F1550*5547/3456)</f>
        <v>0</v>
      </c>
      <c r="N1550" s="461"/>
      <c r="O1550" s="461"/>
      <c r="P1550" s="461"/>
      <c r="Q1550" s="358" t="s">
        <v>18</v>
      </c>
      <c r="R1550" s="358"/>
      <c r="S1550" s="358" t="s">
        <v>19</v>
      </c>
      <c r="T1550" s="528">
        <v>5</v>
      </c>
      <c r="U1550" s="324">
        <f>E1550/324*60</f>
        <v>0</v>
      </c>
      <c r="V1550" s="676"/>
      <c r="W1550" s="528"/>
      <c r="X1550" s="529"/>
      <c r="Y1550" s="323"/>
      <c r="Z1550" s="312">
        <f t="shared" ref="Z1550:Z1557" si="588">E1550</f>
        <v>0</v>
      </c>
      <c r="AA1550" s="316">
        <f>SUM(E1550/619+0.25)</f>
        <v>0.25</v>
      </c>
    </row>
    <row r="1551" spans="1:27" ht="77.25" thickBot="1" x14ac:dyDescent="0.45">
      <c r="A1551" s="319" t="s">
        <v>730</v>
      </c>
      <c r="B1551" s="887" t="s">
        <v>1225</v>
      </c>
      <c r="C1551" s="528">
        <f>C1450/2</f>
        <v>0</v>
      </c>
      <c r="D1551" s="528">
        <f>C1551*10</f>
        <v>0</v>
      </c>
      <c r="E1551" s="460">
        <f>D1551*0.3</f>
        <v>0</v>
      </c>
      <c r="F1551" s="324">
        <f>E1551*1.03*0.82/147</f>
        <v>0</v>
      </c>
      <c r="G1551" s="537">
        <f>INT(M1551)</f>
        <v>0</v>
      </c>
      <c r="H1551" s="354"/>
      <c r="I1551" s="537">
        <f>(M1551-G1551)*64</f>
        <v>0</v>
      </c>
      <c r="J1551" s="354"/>
      <c r="K1551" s="324"/>
      <c r="L1551" s="324"/>
      <c r="M1551" s="324">
        <f>(F1551*4900/2880)</f>
        <v>0</v>
      </c>
      <c r="N1551" s="324"/>
      <c r="O1551" s="324"/>
      <c r="P1551" s="324"/>
      <c r="Q1551" s="324"/>
      <c r="R1551" s="324"/>
      <c r="S1551" s="324"/>
      <c r="T1551" s="528">
        <v>3</v>
      </c>
      <c r="U1551" s="324"/>
      <c r="V1551" s="676"/>
      <c r="W1551" s="528"/>
      <c r="X1551" s="529"/>
      <c r="Y1551" s="323"/>
      <c r="Z1551" s="312">
        <f>E1551</f>
        <v>0</v>
      </c>
      <c r="AA1551" s="316">
        <f>SUM(E1551/619+0.25)</f>
        <v>0.25</v>
      </c>
    </row>
    <row r="1552" spans="1:27" ht="77.25" thickBot="1" x14ac:dyDescent="0.45">
      <c r="A1552" s="319" t="s">
        <v>730</v>
      </c>
      <c r="B1552" s="343" t="s">
        <v>967</v>
      </c>
      <c r="C1552" s="528">
        <f>C1451/2</f>
        <v>0</v>
      </c>
      <c r="D1552" s="548"/>
      <c r="E1552" s="456">
        <f>C1552*0.3</f>
        <v>0</v>
      </c>
      <c r="F1552" s="358">
        <f>E1552*1.03*0.82/147</f>
        <v>0</v>
      </c>
      <c r="G1552" s="549">
        <f t="shared" si="586"/>
        <v>0</v>
      </c>
      <c r="H1552" s="359" t="s">
        <v>18</v>
      </c>
      <c r="I1552" s="549">
        <f t="shared" si="587"/>
        <v>0</v>
      </c>
      <c r="J1552" s="359" t="s">
        <v>19</v>
      </c>
      <c r="K1552" s="358"/>
      <c r="L1552" s="358"/>
      <c r="M1552" s="358">
        <f>(F1552*5547/3456)</f>
        <v>0</v>
      </c>
      <c r="N1552" s="461"/>
      <c r="O1552" s="461"/>
      <c r="P1552" s="461"/>
      <c r="Q1552" s="358" t="s">
        <v>18</v>
      </c>
      <c r="R1552" s="358"/>
      <c r="S1552" s="358" t="s">
        <v>19</v>
      </c>
      <c r="T1552" s="528">
        <v>5</v>
      </c>
      <c r="U1552" s="324">
        <f>E1552/324*60</f>
        <v>0</v>
      </c>
      <c r="V1552" s="676"/>
      <c r="W1552" s="528"/>
      <c r="X1552" s="529"/>
      <c r="Y1552" s="323"/>
      <c r="Z1552" s="312">
        <f t="shared" si="588"/>
        <v>0</v>
      </c>
      <c r="AA1552" s="316">
        <f>SUM(F1552/618.9+0.25)</f>
        <v>0.25</v>
      </c>
    </row>
    <row r="1553" spans="1:27" ht="77.25" thickBot="1" x14ac:dyDescent="0.45">
      <c r="A1553" s="319" t="s">
        <v>730</v>
      </c>
      <c r="B1553" s="343" t="s">
        <v>968</v>
      </c>
      <c r="C1553" s="528">
        <f>C1452/2</f>
        <v>0</v>
      </c>
      <c r="D1553" s="548"/>
      <c r="E1553" s="456">
        <f>C1553*0.3</f>
        <v>0</v>
      </c>
      <c r="F1553" s="358">
        <f>E1553*1.03*0.72/147</f>
        <v>0</v>
      </c>
      <c r="G1553" s="548">
        <f t="shared" si="586"/>
        <v>0</v>
      </c>
      <c r="H1553" s="358" t="s">
        <v>18</v>
      </c>
      <c r="I1553" s="548">
        <f t="shared" si="587"/>
        <v>0</v>
      </c>
      <c r="J1553" s="358" t="s">
        <v>19</v>
      </c>
      <c r="K1553" s="358"/>
      <c r="L1553" s="358"/>
      <c r="M1553" s="358">
        <f>(F1553*6035/3456)</f>
        <v>0</v>
      </c>
      <c r="N1553" s="461"/>
      <c r="O1553" s="461"/>
      <c r="P1553" s="461"/>
      <c r="Q1553" s="358" t="s">
        <v>18</v>
      </c>
      <c r="R1553" s="358"/>
      <c r="S1553" s="358" t="s">
        <v>19</v>
      </c>
      <c r="T1553" s="528">
        <v>5</v>
      </c>
      <c r="U1553" s="324">
        <f>E1553/324*60</f>
        <v>0</v>
      </c>
      <c r="V1553" s="676"/>
      <c r="W1553" s="528"/>
      <c r="X1553" s="529"/>
      <c r="Y1553" s="323"/>
      <c r="Z1553" s="312">
        <f t="shared" si="588"/>
        <v>0</v>
      </c>
      <c r="AA1553" s="316">
        <f>SUM(E1553/539+0.25)</f>
        <v>0.25</v>
      </c>
    </row>
    <row r="1554" spans="1:27" ht="77.25" thickBot="1" x14ac:dyDescent="0.45">
      <c r="A1554" s="319" t="s">
        <v>730</v>
      </c>
      <c r="B1554" s="343" t="s">
        <v>1141</v>
      </c>
      <c r="C1554" s="528">
        <f>C1453/2</f>
        <v>0</v>
      </c>
      <c r="D1554" s="548"/>
      <c r="E1554" s="456">
        <f>C1554*0.3</f>
        <v>0</v>
      </c>
      <c r="F1554" s="358">
        <f>E1554*1.03*0.72/147</f>
        <v>0</v>
      </c>
      <c r="G1554" s="548">
        <f t="shared" si="586"/>
        <v>0</v>
      </c>
      <c r="H1554" s="358" t="s">
        <v>18</v>
      </c>
      <c r="I1554" s="548">
        <f t="shared" si="587"/>
        <v>0</v>
      </c>
      <c r="J1554" s="358" t="s">
        <v>19</v>
      </c>
      <c r="K1554" s="358"/>
      <c r="L1554" s="358"/>
      <c r="M1554" s="358">
        <f>(F1554*6035/3456)</f>
        <v>0</v>
      </c>
      <c r="N1554" s="461"/>
      <c r="O1554" s="461"/>
      <c r="P1554" s="461"/>
      <c r="Q1554" s="358" t="s">
        <v>18</v>
      </c>
      <c r="R1554" s="358"/>
      <c r="S1554" s="358" t="s">
        <v>19</v>
      </c>
      <c r="T1554" s="528">
        <v>5</v>
      </c>
      <c r="U1554" s="324">
        <f>E1554/324*60</f>
        <v>0</v>
      </c>
      <c r="V1554" s="676"/>
      <c r="W1554" s="528"/>
      <c r="X1554" s="529"/>
      <c r="Y1554" s="323"/>
      <c r="Z1554" s="312">
        <f t="shared" si="588"/>
        <v>0</v>
      </c>
      <c r="AA1554" s="316">
        <f>SUM(E1554/269.5+0.25)</f>
        <v>0.25</v>
      </c>
    </row>
    <row r="1555" spans="1:27" ht="102.75" thickBot="1" x14ac:dyDescent="0.45">
      <c r="A1555" s="319" t="s">
        <v>730</v>
      </c>
      <c r="B1555" s="362" t="s">
        <v>969</v>
      </c>
      <c r="C1555" s="528">
        <f>C2105</f>
        <v>0</v>
      </c>
      <c r="D1555" s="548"/>
      <c r="E1555" s="456">
        <f>C1555*0.3</f>
        <v>0</v>
      </c>
      <c r="F1555" s="358">
        <f>E1555*1.03*0.84/147</f>
        <v>0</v>
      </c>
      <c r="G1555" s="549">
        <f t="shared" si="586"/>
        <v>0</v>
      </c>
      <c r="H1555" s="359" t="s">
        <v>18</v>
      </c>
      <c r="I1555" s="549">
        <f t="shared" si="587"/>
        <v>0</v>
      </c>
      <c r="J1555" s="359" t="s">
        <v>19</v>
      </c>
      <c r="K1555" s="358"/>
      <c r="L1555" s="358"/>
      <c r="M1555" s="358">
        <f>(F1555*5547/3456)</f>
        <v>0</v>
      </c>
      <c r="N1555" s="461"/>
      <c r="O1555" s="461"/>
      <c r="P1555" s="461"/>
      <c r="Q1555" s="324" t="s">
        <v>18</v>
      </c>
      <c r="R1555" s="324"/>
      <c r="S1555" s="324" t="s">
        <v>19</v>
      </c>
      <c r="T1555" s="528">
        <v>5</v>
      </c>
      <c r="U1555" s="324">
        <f>E1555/324*60</f>
        <v>0</v>
      </c>
      <c r="V1555" s="676"/>
      <c r="W1555" s="528"/>
      <c r="X1555" s="529"/>
      <c r="Y1555" s="323"/>
      <c r="Z1555" s="312">
        <f t="shared" si="588"/>
        <v>0</v>
      </c>
      <c r="AA1555" s="316">
        <f>SUM(E1555/220+0.25)</f>
        <v>0.25</v>
      </c>
    </row>
    <row r="1556" spans="1:27" ht="77.25" outlineLevel="1" thickBot="1" x14ac:dyDescent="0.45">
      <c r="A1556" s="319" t="s">
        <v>730</v>
      </c>
      <c r="B1556" s="634" t="s">
        <v>764</v>
      </c>
      <c r="C1556" s="586">
        <f>C1467/2</f>
        <v>0</v>
      </c>
      <c r="D1556" s="548">
        <f>C1556*10</f>
        <v>0</v>
      </c>
      <c r="E1556" s="456">
        <f>D1556*0.2</f>
        <v>0</v>
      </c>
      <c r="F1556" s="358">
        <f>E1556*1.015*0.72/147</f>
        <v>0</v>
      </c>
      <c r="G1556" s="548">
        <f t="shared" si="586"/>
        <v>0</v>
      </c>
      <c r="H1556" s="358" t="s">
        <v>18</v>
      </c>
      <c r="I1556" s="548">
        <f t="shared" si="587"/>
        <v>0</v>
      </c>
      <c r="J1556" s="358" t="s">
        <v>19</v>
      </c>
      <c r="K1556" s="358"/>
      <c r="L1556" s="358"/>
      <c r="M1556" s="358">
        <f>(F1556*8070/3456)</f>
        <v>0</v>
      </c>
      <c r="N1556" s="324"/>
      <c r="O1556" s="324"/>
      <c r="P1556" s="324"/>
      <c r="Q1556" s="324" t="s">
        <v>18</v>
      </c>
      <c r="R1556" s="324"/>
      <c r="S1556" s="324" t="s">
        <v>19</v>
      </c>
      <c r="T1556" s="528">
        <v>5</v>
      </c>
      <c r="U1556" s="324">
        <f>E1556/259*60</f>
        <v>0</v>
      </c>
      <c r="V1556" s="676"/>
      <c r="W1556" s="528"/>
      <c r="X1556" s="529"/>
      <c r="Y1556" s="323"/>
      <c r="Z1556" s="312">
        <f t="shared" si="588"/>
        <v>0</v>
      </c>
      <c r="AA1556" s="316">
        <f>SUM(Z1556/411.6+0.25)</f>
        <v>0.25</v>
      </c>
    </row>
    <row r="1557" spans="1:27" ht="77.25" outlineLevel="1" collapsed="1" thickBot="1" x14ac:dyDescent="0.45">
      <c r="A1557" s="319" t="s">
        <v>730</v>
      </c>
      <c r="B1557" s="320" t="s">
        <v>760</v>
      </c>
      <c r="C1557" s="586">
        <f>(C1468)/2</f>
        <v>0</v>
      </c>
      <c r="D1557" s="548">
        <f>C1557*10</f>
        <v>0</v>
      </c>
      <c r="E1557" s="456">
        <f>D1557*0.2</f>
        <v>0</v>
      </c>
      <c r="F1557" s="358">
        <f>E1557*1.015*0.72/147</f>
        <v>0</v>
      </c>
      <c r="G1557" s="548">
        <f t="shared" si="586"/>
        <v>0</v>
      </c>
      <c r="H1557" s="358" t="s">
        <v>18</v>
      </c>
      <c r="I1557" s="548">
        <f t="shared" si="587"/>
        <v>0</v>
      </c>
      <c r="J1557" s="358" t="s">
        <v>19</v>
      </c>
      <c r="K1557" s="358"/>
      <c r="L1557" s="358"/>
      <c r="M1557" s="358">
        <f>(F1557*8070/3456)</f>
        <v>0</v>
      </c>
      <c r="N1557" s="324"/>
      <c r="O1557" s="324"/>
      <c r="P1557" s="324"/>
      <c r="Q1557" s="324" t="s">
        <v>18</v>
      </c>
      <c r="R1557" s="324"/>
      <c r="S1557" s="324" t="s">
        <v>19</v>
      </c>
      <c r="T1557" s="528">
        <v>5</v>
      </c>
      <c r="U1557" s="324">
        <f>E1557/259*60</f>
        <v>0</v>
      </c>
      <c r="V1557" s="676"/>
      <c r="W1557" s="528"/>
      <c r="X1557" s="529"/>
      <c r="Y1557" s="323"/>
      <c r="Z1557" s="312">
        <f t="shared" si="588"/>
        <v>0</v>
      </c>
      <c r="AA1557" s="316">
        <f>SUM(Z1557/411.6+0.25)</f>
        <v>0.25</v>
      </c>
    </row>
    <row r="1558" spans="1:27" thickBot="1" x14ac:dyDescent="0.45">
      <c r="A1558" s="319"/>
      <c r="B1558" s="343"/>
      <c r="C1558" s="599"/>
      <c r="D1558" s="530"/>
      <c r="E1558" s="460"/>
      <c r="F1558" s="324"/>
      <c r="G1558" s="528"/>
      <c r="H1558" s="324"/>
      <c r="I1558" s="528"/>
      <c r="J1558" s="324"/>
      <c r="K1558" s="324"/>
      <c r="L1558" s="324"/>
      <c r="M1558" s="324"/>
      <c r="N1558" s="324"/>
      <c r="O1558" s="324"/>
      <c r="P1558" s="324"/>
      <c r="Q1558" s="324"/>
      <c r="R1558" s="324"/>
      <c r="S1558" s="324"/>
      <c r="T1558" s="528"/>
      <c r="U1558" s="324"/>
      <c r="V1558" s="676"/>
      <c r="W1558" s="528"/>
      <c r="X1558" s="529"/>
      <c r="Y1558" s="323"/>
    </row>
    <row r="1559" spans="1:27" thickBot="1" x14ac:dyDescent="0.45">
      <c r="A1559" s="329"/>
      <c r="B1559" s="344"/>
      <c r="C1559" s="588"/>
      <c r="D1559" s="589"/>
      <c r="E1559" s="460"/>
      <c r="F1559" s="324"/>
      <c r="G1559" s="528"/>
      <c r="H1559" s="324"/>
      <c r="I1559" s="528"/>
      <c r="J1559" s="324"/>
      <c r="K1559" s="324"/>
      <c r="L1559" s="324"/>
      <c r="M1559" s="324"/>
      <c r="N1559" s="324"/>
      <c r="O1559" s="324"/>
      <c r="P1559" s="324"/>
      <c r="Q1559" s="324"/>
      <c r="R1559" s="324"/>
      <c r="S1559" s="324"/>
      <c r="T1559" s="528"/>
      <c r="U1559" s="324"/>
      <c r="V1559" s="676"/>
      <c r="W1559" s="528"/>
      <c r="X1559" s="529"/>
      <c r="Y1559" s="323"/>
    </row>
    <row r="1560" spans="1:27" ht="53.25" thickBot="1" x14ac:dyDescent="0.45">
      <c r="A1560" s="319"/>
      <c r="B1560" s="394" t="s">
        <v>695</v>
      </c>
      <c r="C1560" s="537"/>
      <c r="D1560" s="537"/>
      <c r="E1560" s="496"/>
      <c r="F1560" s="354"/>
      <c r="G1560" s="537"/>
      <c r="H1560" s="354"/>
      <c r="I1560" s="537"/>
      <c r="J1560" s="354"/>
      <c r="K1560" s="354"/>
      <c r="L1560" s="354"/>
      <c r="M1560" s="354"/>
      <c r="N1560" s="354"/>
      <c r="O1560" s="354"/>
      <c r="P1560" s="354"/>
      <c r="Q1560" s="354"/>
      <c r="R1560" s="354"/>
      <c r="S1560" s="354"/>
      <c r="T1560" s="537"/>
      <c r="U1560" s="354"/>
      <c r="V1560" s="682" t="s">
        <v>697</v>
      </c>
      <c r="W1560" s="537"/>
      <c r="X1560" s="540"/>
      <c r="Y1560" s="323"/>
    </row>
    <row r="1561" spans="1:27" thickBot="1" x14ac:dyDescent="0.45">
      <c r="A1561" s="319"/>
      <c r="B1561" s="346"/>
      <c r="C1561" s="528"/>
      <c r="D1561" s="528"/>
      <c r="E1561" s="460"/>
      <c r="F1561" s="324"/>
      <c r="G1561" s="528"/>
      <c r="H1561" s="324"/>
      <c r="I1561" s="528"/>
      <c r="J1561" s="324"/>
      <c r="K1561" s="324"/>
      <c r="L1561" s="324"/>
      <c r="M1561" s="324"/>
      <c r="N1561" s="324"/>
      <c r="O1561" s="324"/>
      <c r="P1561" s="324"/>
      <c r="Q1561" s="324"/>
      <c r="R1561" s="324"/>
      <c r="S1561" s="324"/>
      <c r="T1561" s="528"/>
      <c r="U1561" s="324"/>
      <c r="V1561" s="676"/>
      <c r="W1561" s="528"/>
      <c r="X1561" s="529"/>
      <c r="Y1561" s="323"/>
    </row>
    <row r="1562" spans="1:27" thickBot="1" x14ac:dyDescent="0.45">
      <c r="A1562" s="319"/>
      <c r="B1562" s="346"/>
      <c r="C1562" s="528"/>
      <c r="D1562" s="528"/>
      <c r="E1562" s="460"/>
      <c r="F1562" s="324"/>
      <c r="G1562" s="528"/>
      <c r="H1562" s="324"/>
      <c r="I1562" s="528"/>
      <c r="J1562" s="324"/>
      <c r="K1562" s="324"/>
      <c r="L1562" s="324"/>
      <c r="M1562" s="324"/>
      <c r="N1562" s="324"/>
      <c r="O1562" s="324"/>
      <c r="P1562" s="324"/>
      <c r="Q1562" s="324"/>
      <c r="R1562" s="324"/>
      <c r="S1562" s="324"/>
      <c r="T1562" s="528"/>
      <c r="U1562" s="324"/>
      <c r="V1562" s="676"/>
      <c r="W1562" s="528"/>
      <c r="X1562" s="529"/>
      <c r="Y1562" s="323"/>
    </row>
    <row r="1563" spans="1:27" thickBot="1" x14ac:dyDescent="0.45">
      <c r="A1563" s="319"/>
      <c r="B1563" s="332" t="s">
        <v>147</v>
      </c>
      <c r="C1563" s="537"/>
      <c r="D1563" s="537"/>
      <c r="E1563" s="496">
        <f>SUM(E1522:E1559)+(C1508+C1509+C1510+C1511)</f>
        <v>0</v>
      </c>
      <c r="F1563" s="324"/>
      <c r="G1563" s="528"/>
      <c r="H1563" s="324"/>
      <c r="I1563" s="528"/>
      <c r="J1563" s="324"/>
      <c r="K1563" s="324"/>
      <c r="L1563" s="324"/>
      <c r="M1563" s="324"/>
      <c r="N1563" s="324"/>
      <c r="O1563" s="324"/>
      <c r="P1563" s="324"/>
      <c r="Q1563" s="324"/>
      <c r="R1563" s="324"/>
      <c r="S1563" s="324"/>
      <c r="T1563" s="528"/>
      <c r="U1563" s="324"/>
      <c r="V1563" s="676"/>
      <c r="W1563" s="528"/>
      <c r="X1563" s="529"/>
      <c r="Y1563" s="323"/>
    </row>
    <row r="1564" spans="1:27" thickBot="1" x14ac:dyDescent="0.45">
      <c r="A1564" s="319"/>
      <c r="B1564" s="332" t="s">
        <v>709</v>
      </c>
      <c r="C1564" s="537"/>
      <c r="D1564" s="537"/>
      <c r="E1564" s="496">
        <f>SUM(E1494:E1517)</f>
        <v>0</v>
      </c>
      <c r="F1564" s="324"/>
      <c r="G1564" s="528"/>
      <c r="H1564" s="324"/>
      <c r="I1564" s="528"/>
      <c r="J1564" s="324"/>
      <c r="K1564" s="324"/>
      <c r="L1564" s="324"/>
      <c r="M1564" s="324"/>
      <c r="N1564" s="324"/>
      <c r="O1564" s="324"/>
      <c r="P1564" s="324"/>
      <c r="Q1564" s="324"/>
      <c r="R1564" s="324"/>
      <c r="S1564" s="324"/>
      <c r="T1564" s="528"/>
      <c r="U1564" s="324"/>
      <c r="V1564" s="676"/>
      <c r="W1564" s="528"/>
      <c r="X1564" s="529"/>
      <c r="Y1564" s="323"/>
    </row>
    <row r="1565" spans="1:27" thickBot="1" x14ac:dyDescent="0.45">
      <c r="A1565" s="319"/>
      <c r="B1565" s="332" t="s">
        <v>706</v>
      </c>
      <c r="C1565" s="537"/>
      <c r="D1565" s="537"/>
      <c r="E1565" s="496">
        <f>SUM(E1519:E1520)</f>
        <v>0</v>
      </c>
      <c r="F1565" s="324"/>
      <c r="G1565" s="528"/>
      <c r="H1565" s="324"/>
      <c r="I1565" s="528"/>
      <c r="J1565" s="324"/>
      <c r="K1565" s="324"/>
      <c r="L1565" s="324"/>
      <c r="M1565" s="324"/>
      <c r="N1565" s="324"/>
      <c r="O1565" s="324"/>
      <c r="P1565" s="324"/>
      <c r="Q1565" s="324"/>
      <c r="R1565" s="324"/>
      <c r="S1565" s="324"/>
      <c r="T1565" s="528"/>
      <c r="U1565" s="324"/>
      <c r="V1565" s="676"/>
      <c r="W1565" s="528"/>
      <c r="X1565" s="529"/>
      <c r="Y1565" s="323"/>
    </row>
    <row r="1566" spans="1:27" thickBot="1" x14ac:dyDescent="0.45">
      <c r="A1566" s="319"/>
      <c r="B1566" s="319"/>
      <c r="C1566" s="528"/>
      <c r="D1566" s="528"/>
      <c r="E1566" s="460"/>
      <c r="F1566" s="324"/>
      <c r="G1566" s="528"/>
      <c r="H1566" s="324"/>
      <c r="I1566" s="528"/>
      <c r="J1566" s="324"/>
      <c r="K1566" s="324"/>
      <c r="L1566" s="324"/>
      <c r="M1566" s="324"/>
      <c r="N1566" s="324"/>
      <c r="O1566" s="324"/>
      <c r="P1566" s="324"/>
      <c r="Q1566" s="324"/>
      <c r="R1566" s="324"/>
      <c r="S1566" s="324"/>
      <c r="T1566" s="528"/>
      <c r="U1566" s="324"/>
      <c r="V1566" s="676"/>
      <c r="W1566" s="528"/>
      <c r="X1566" s="529"/>
      <c r="Y1566" s="323"/>
    </row>
    <row r="1567" spans="1:27" thickBot="1" x14ac:dyDescent="0.45">
      <c r="A1567" s="319"/>
      <c r="B1567" s="319"/>
      <c r="C1567" s="528"/>
      <c r="D1567" s="528"/>
      <c r="E1567" s="460"/>
      <c r="F1567" s="324"/>
      <c r="G1567" s="528"/>
      <c r="H1567" s="324"/>
      <c r="I1567" s="528"/>
      <c r="J1567" s="324"/>
      <c r="K1567" s="324"/>
      <c r="L1567" s="324"/>
      <c r="M1567" s="324"/>
      <c r="N1567" s="324"/>
      <c r="O1567" s="324"/>
      <c r="P1567" s="324"/>
      <c r="Q1567" s="324"/>
      <c r="R1567" s="324"/>
      <c r="S1567" s="324"/>
      <c r="T1567" s="528"/>
      <c r="U1567" s="324"/>
      <c r="V1567" s="676"/>
      <c r="W1567" s="528"/>
      <c r="X1567" s="529"/>
      <c r="Y1567" s="323"/>
    </row>
    <row r="1568" spans="1:27" thickBot="1" x14ac:dyDescent="0.45">
      <c r="A1568" s="829"/>
      <c r="B1568" s="303" t="s">
        <v>643</v>
      </c>
      <c r="C1568" s="537"/>
      <c r="D1568" s="537"/>
      <c r="E1568" s="496"/>
      <c r="F1568" s="354"/>
      <c r="G1568" s="537"/>
      <c r="H1568" s="354"/>
      <c r="I1568" s="537"/>
      <c r="J1568" s="354"/>
      <c r="K1568" s="354"/>
      <c r="L1568" s="354"/>
      <c r="M1568" s="354"/>
      <c r="N1568" s="354"/>
      <c r="O1568" s="354"/>
      <c r="P1568" s="354"/>
      <c r="Q1568" s="354"/>
      <c r="R1568" s="354"/>
      <c r="S1568" s="354"/>
      <c r="T1568" s="537"/>
      <c r="U1568" s="354"/>
      <c r="V1568" s="682"/>
      <c r="W1568" s="354"/>
      <c r="X1568" s="540"/>
      <c r="Y1568" s="301"/>
      <c r="AA1568" s="391" t="s">
        <v>679</v>
      </c>
    </row>
    <row r="1569" spans="1:27" thickBot="1" x14ac:dyDescent="0.45">
      <c r="A1569" s="830"/>
      <c r="B1569" s="395" t="s">
        <v>294</v>
      </c>
      <c r="C1569" s="528"/>
      <c r="D1569" s="528"/>
      <c r="E1569" s="460"/>
      <c r="F1569" s="324"/>
      <c r="G1569" s="528"/>
      <c r="H1569" s="324"/>
      <c r="I1569" s="528"/>
      <c r="J1569" s="324"/>
      <c r="K1569" s="324"/>
      <c r="L1569" s="324"/>
      <c r="M1569" s="324"/>
      <c r="N1569" s="324"/>
      <c r="O1569" s="324"/>
      <c r="P1569" s="324"/>
      <c r="Q1569" s="324"/>
      <c r="R1569" s="324"/>
      <c r="S1569" s="324"/>
      <c r="T1569" s="528"/>
      <c r="U1569" s="324"/>
      <c r="V1569" s="676"/>
      <c r="W1569" s="324"/>
      <c r="X1569" s="529"/>
      <c r="Y1569" s="323"/>
    </row>
    <row r="1570" spans="1:27" ht="77.25" outlineLevel="1" thickBot="1" x14ac:dyDescent="0.45">
      <c r="A1570" s="319" t="s">
        <v>731</v>
      </c>
      <c r="B1570" s="479" t="s">
        <v>983</v>
      </c>
      <c r="C1570" s="525">
        <f t="shared" ref="C1570:C1575" si="589">C2187</f>
        <v>0</v>
      </c>
      <c r="D1570" s="526">
        <f t="shared" ref="D1570:D1575" si="590">C1570*5</f>
        <v>0</v>
      </c>
      <c r="E1570" s="527">
        <f t="shared" ref="E1570:E1575" si="591">D1570*0.5</f>
        <v>0</v>
      </c>
      <c r="F1570" s="463">
        <f t="shared" ref="F1570:F1575" si="592">E1570*0.76*1.034/20</f>
        <v>0</v>
      </c>
      <c r="G1570" s="526">
        <f t="shared" ref="G1570:G1577" si="593">INT(M1570)</f>
        <v>0</v>
      </c>
      <c r="H1570" s="463" t="s">
        <v>18</v>
      </c>
      <c r="I1570" s="526">
        <f t="shared" ref="I1570:I1577" si="594">(M1570-G1570)*64</f>
        <v>0</v>
      </c>
      <c r="J1570" s="463" t="s">
        <v>19</v>
      </c>
      <c r="K1570" s="463"/>
      <c r="L1570" s="463"/>
      <c r="M1570" s="463">
        <f t="shared" ref="M1570:M1575" si="595">F1570*1008/8064</f>
        <v>0</v>
      </c>
      <c r="N1570" s="463"/>
      <c r="O1570" s="463"/>
      <c r="P1570" s="463"/>
      <c r="Q1570" s="321" t="s">
        <v>18</v>
      </c>
      <c r="R1570" s="321"/>
      <c r="S1570" s="321" t="s">
        <v>19</v>
      </c>
      <c r="T1570" s="528">
        <v>4</v>
      </c>
      <c r="U1570" s="324">
        <f t="shared" ref="U1570:U1575" si="596">E1570/272*60</f>
        <v>0</v>
      </c>
      <c r="V1570" s="676"/>
      <c r="W1570" s="528"/>
      <c r="X1570" s="529"/>
      <c r="Y1570" s="323"/>
      <c r="Z1570" s="312">
        <f t="shared" ref="Z1570:Z1587" si="597">E1570</f>
        <v>0</v>
      </c>
      <c r="AA1570" s="416">
        <f t="shared" ref="AA1570:AA1577" si="598">SUM(Z1570/80+0.25)</f>
        <v>0.25</v>
      </c>
    </row>
    <row r="1571" spans="1:27" ht="77.25" outlineLevel="1" thickBot="1" x14ac:dyDescent="0.45">
      <c r="A1571" s="319" t="s">
        <v>731</v>
      </c>
      <c r="B1571" s="479" t="s">
        <v>984</v>
      </c>
      <c r="C1571" s="525">
        <f t="shared" si="589"/>
        <v>0</v>
      </c>
      <c r="D1571" s="526">
        <f t="shared" si="590"/>
        <v>0</v>
      </c>
      <c r="E1571" s="527">
        <f t="shared" si="591"/>
        <v>0</v>
      </c>
      <c r="F1571" s="463">
        <f t="shared" si="592"/>
        <v>0</v>
      </c>
      <c r="G1571" s="526">
        <f t="shared" si="593"/>
        <v>0</v>
      </c>
      <c r="H1571" s="463" t="s">
        <v>18</v>
      </c>
      <c r="I1571" s="526">
        <f t="shared" si="594"/>
        <v>0</v>
      </c>
      <c r="J1571" s="463" t="s">
        <v>19</v>
      </c>
      <c r="K1571" s="463"/>
      <c r="L1571" s="463"/>
      <c r="M1571" s="463">
        <f t="shared" si="595"/>
        <v>0</v>
      </c>
      <c r="N1571" s="463"/>
      <c r="O1571" s="463"/>
      <c r="P1571" s="463"/>
      <c r="Q1571" s="321" t="s">
        <v>18</v>
      </c>
      <c r="R1571" s="321"/>
      <c r="S1571" s="321" t="s">
        <v>19</v>
      </c>
      <c r="T1571" s="528">
        <v>4</v>
      </c>
      <c r="U1571" s="324">
        <f t="shared" si="596"/>
        <v>0</v>
      </c>
      <c r="V1571" s="676"/>
      <c r="W1571" s="528"/>
      <c r="X1571" s="529"/>
      <c r="Y1571" s="323"/>
      <c r="Z1571" s="312">
        <f t="shared" si="597"/>
        <v>0</v>
      </c>
      <c r="AA1571" s="416">
        <f t="shared" si="598"/>
        <v>0.25</v>
      </c>
    </row>
    <row r="1572" spans="1:27" ht="77.25" outlineLevel="1" thickBot="1" x14ac:dyDescent="0.45">
      <c r="A1572" s="319" t="s">
        <v>731</v>
      </c>
      <c r="B1572" s="479" t="s">
        <v>985</v>
      </c>
      <c r="C1572" s="525">
        <f t="shared" si="589"/>
        <v>0</v>
      </c>
      <c r="D1572" s="526">
        <f t="shared" si="590"/>
        <v>0</v>
      </c>
      <c r="E1572" s="527">
        <f t="shared" si="591"/>
        <v>0</v>
      </c>
      <c r="F1572" s="463">
        <f t="shared" si="592"/>
        <v>0</v>
      </c>
      <c r="G1572" s="526">
        <f t="shared" si="593"/>
        <v>0</v>
      </c>
      <c r="H1572" s="463" t="s">
        <v>18</v>
      </c>
      <c r="I1572" s="526">
        <f t="shared" si="594"/>
        <v>0</v>
      </c>
      <c r="J1572" s="463" t="s">
        <v>19</v>
      </c>
      <c r="K1572" s="463"/>
      <c r="L1572" s="463"/>
      <c r="M1572" s="463">
        <f t="shared" si="595"/>
        <v>0</v>
      </c>
      <c r="N1572" s="463"/>
      <c r="O1572" s="463"/>
      <c r="P1572" s="463"/>
      <c r="Q1572" s="321" t="s">
        <v>18</v>
      </c>
      <c r="R1572" s="321"/>
      <c r="S1572" s="321" t="s">
        <v>19</v>
      </c>
      <c r="T1572" s="528">
        <v>4</v>
      </c>
      <c r="U1572" s="324">
        <f t="shared" si="596"/>
        <v>0</v>
      </c>
      <c r="V1572" s="676"/>
      <c r="W1572" s="528"/>
      <c r="X1572" s="529"/>
      <c r="Y1572" s="323"/>
      <c r="Z1572" s="312">
        <f t="shared" si="597"/>
        <v>0</v>
      </c>
      <c r="AA1572" s="416">
        <f t="shared" si="598"/>
        <v>0.25</v>
      </c>
    </row>
    <row r="1573" spans="1:27" ht="102.75" thickBot="1" x14ac:dyDescent="0.45">
      <c r="A1573" s="319" t="s">
        <v>731</v>
      </c>
      <c r="B1573" s="479" t="s">
        <v>1018</v>
      </c>
      <c r="C1573" s="525">
        <f t="shared" si="589"/>
        <v>0</v>
      </c>
      <c r="D1573" s="526">
        <f t="shared" si="590"/>
        <v>0</v>
      </c>
      <c r="E1573" s="527">
        <f t="shared" si="591"/>
        <v>0</v>
      </c>
      <c r="F1573" s="463">
        <f t="shared" si="592"/>
        <v>0</v>
      </c>
      <c r="G1573" s="526">
        <f t="shared" si="593"/>
        <v>0</v>
      </c>
      <c r="H1573" s="463" t="s">
        <v>18</v>
      </c>
      <c r="I1573" s="526">
        <f t="shared" si="594"/>
        <v>0</v>
      </c>
      <c r="J1573" s="463" t="s">
        <v>19</v>
      </c>
      <c r="K1573" s="463"/>
      <c r="L1573" s="463"/>
      <c r="M1573" s="463">
        <f t="shared" si="595"/>
        <v>0</v>
      </c>
      <c r="N1573" s="463"/>
      <c r="O1573" s="463"/>
      <c r="P1573" s="463"/>
      <c r="Q1573" s="321" t="s">
        <v>18</v>
      </c>
      <c r="R1573" s="321"/>
      <c r="S1573" s="321" t="s">
        <v>19</v>
      </c>
      <c r="T1573" s="528">
        <v>4</v>
      </c>
      <c r="U1573" s="324">
        <f t="shared" si="596"/>
        <v>0</v>
      </c>
      <c r="V1573" s="676"/>
      <c r="W1573" s="528"/>
      <c r="X1573" s="529"/>
      <c r="Y1573" s="360"/>
      <c r="Z1573" s="312">
        <f t="shared" si="597"/>
        <v>0</v>
      </c>
      <c r="AA1573" s="416">
        <f t="shared" si="598"/>
        <v>0.25</v>
      </c>
    </row>
    <row r="1574" spans="1:27" ht="102.75" thickBot="1" x14ac:dyDescent="0.45">
      <c r="A1574" s="319" t="s">
        <v>731</v>
      </c>
      <c r="B1574" s="479" t="s">
        <v>1019</v>
      </c>
      <c r="C1574" s="525">
        <f t="shared" si="589"/>
        <v>0</v>
      </c>
      <c r="D1574" s="526">
        <f t="shared" si="590"/>
        <v>0</v>
      </c>
      <c r="E1574" s="527">
        <f t="shared" si="591"/>
        <v>0</v>
      </c>
      <c r="F1574" s="463">
        <f t="shared" si="592"/>
        <v>0</v>
      </c>
      <c r="G1574" s="526">
        <f t="shared" si="593"/>
        <v>0</v>
      </c>
      <c r="H1574" s="463" t="s">
        <v>18</v>
      </c>
      <c r="I1574" s="526">
        <f t="shared" si="594"/>
        <v>0</v>
      </c>
      <c r="J1574" s="463" t="s">
        <v>19</v>
      </c>
      <c r="K1574" s="463"/>
      <c r="L1574" s="463"/>
      <c r="M1574" s="463">
        <f t="shared" si="595"/>
        <v>0</v>
      </c>
      <c r="N1574" s="463"/>
      <c r="O1574" s="463"/>
      <c r="P1574" s="463"/>
      <c r="Q1574" s="321" t="s">
        <v>18</v>
      </c>
      <c r="R1574" s="321"/>
      <c r="S1574" s="321" t="s">
        <v>19</v>
      </c>
      <c r="T1574" s="528">
        <v>4</v>
      </c>
      <c r="U1574" s="324">
        <f t="shared" si="596"/>
        <v>0</v>
      </c>
      <c r="V1574" s="676"/>
      <c r="W1574" s="528"/>
      <c r="X1574" s="529"/>
      <c r="Y1574" s="360"/>
      <c r="Z1574" s="312">
        <f t="shared" si="597"/>
        <v>0</v>
      </c>
      <c r="AA1574" s="416">
        <f t="shared" si="598"/>
        <v>0.25</v>
      </c>
    </row>
    <row r="1575" spans="1:27" ht="102.75" thickBot="1" x14ac:dyDescent="0.45">
      <c r="A1575" s="319" t="s">
        <v>731</v>
      </c>
      <c r="B1575" s="479" t="s">
        <v>1020</v>
      </c>
      <c r="C1575" s="525">
        <f t="shared" si="589"/>
        <v>0</v>
      </c>
      <c r="D1575" s="526">
        <f t="shared" si="590"/>
        <v>0</v>
      </c>
      <c r="E1575" s="527">
        <f t="shared" si="591"/>
        <v>0</v>
      </c>
      <c r="F1575" s="463">
        <f t="shared" si="592"/>
        <v>0</v>
      </c>
      <c r="G1575" s="526">
        <f t="shared" si="593"/>
        <v>0</v>
      </c>
      <c r="H1575" s="463" t="s">
        <v>18</v>
      </c>
      <c r="I1575" s="526">
        <f t="shared" si="594"/>
        <v>0</v>
      </c>
      <c r="J1575" s="463" t="s">
        <v>19</v>
      </c>
      <c r="K1575" s="463"/>
      <c r="L1575" s="463"/>
      <c r="M1575" s="463">
        <f t="shared" si="595"/>
        <v>0</v>
      </c>
      <c r="N1575" s="463"/>
      <c r="O1575" s="463"/>
      <c r="P1575" s="463"/>
      <c r="Q1575" s="321" t="s">
        <v>18</v>
      </c>
      <c r="R1575" s="321"/>
      <c r="S1575" s="321" t="s">
        <v>19</v>
      </c>
      <c r="T1575" s="528">
        <v>4</v>
      </c>
      <c r="U1575" s="324">
        <f t="shared" si="596"/>
        <v>0</v>
      </c>
      <c r="V1575" s="676"/>
      <c r="W1575" s="528"/>
      <c r="X1575" s="529"/>
      <c r="Y1575" s="360"/>
      <c r="Z1575" s="312">
        <f t="shared" si="597"/>
        <v>0</v>
      </c>
      <c r="AA1575" s="416">
        <f t="shared" si="598"/>
        <v>0.25</v>
      </c>
    </row>
    <row r="1576" spans="1:27" ht="77.25" thickBot="1" x14ac:dyDescent="0.45">
      <c r="A1576" s="319" t="s">
        <v>731</v>
      </c>
      <c r="B1576" s="362" t="s">
        <v>986</v>
      </c>
      <c r="C1576" s="639">
        <f>C2194</f>
        <v>0</v>
      </c>
      <c r="D1576" s="533">
        <f>C1576*12</f>
        <v>0</v>
      </c>
      <c r="E1576" s="534">
        <f>D1576*0.25</f>
        <v>0</v>
      </c>
      <c r="F1576" s="321">
        <f>E1576*0.8*1/20</f>
        <v>0</v>
      </c>
      <c r="G1576" s="533">
        <f t="shared" si="593"/>
        <v>0</v>
      </c>
      <c r="H1576" s="321" t="s">
        <v>18</v>
      </c>
      <c r="I1576" s="533">
        <f t="shared" si="594"/>
        <v>0</v>
      </c>
      <c r="J1576" s="321" t="s">
        <v>19</v>
      </c>
      <c r="K1576" s="321"/>
      <c r="L1576" s="321"/>
      <c r="M1576" s="321">
        <f>F1576*2016/16128</f>
        <v>0</v>
      </c>
      <c r="N1576" s="321"/>
      <c r="O1576" s="321"/>
      <c r="P1576" s="321"/>
      <c r="Q1576" s="321" t="s">
        <v>18</v>
      </c>
      <c r="R1576" s="321"/>
      <c r="S1576" s="321" t="s">
        <v>19</v>
      </c>
      <c r="T1576" s="528">
        <v>4</v>
      </c>
      <c r="U1576" s="324"/>
      <c r="V1576" s="676"/>
      <c r="W1576" s="528"/>
      <c r="X1576" s="529"/>
      <c r="Y1576" s="323"/>
      <c r="Z1576" s="312">
        <f t="shared" si="597"/>
        <v>0</v>
      </c>
      <c r="AA1576" s="416">
        <f t="shared" si="598"/>
        <v>0.25</v>
      </c>
    </row>
    <row r="1577" spans="1:27" ht="77.25" thickBot="1" x14ac:dyDescent="0.45">
      <c r="A1577" s="319" t="s">
        <v>731</v>
      </c>
      <c r="B1577" s="362" t="s">
        <v>987</v>
      </c>
      <c r="C1577" s="639">
        <f>C2195</f>
        <v>0</v>
      </c>
      <c r="D1577" s="533">
        <f>C1577*12</f>
        <v>0</v>
      </c>
      <c r="E1577" s="534">
        <f>D1577*0.25</f>
        <v>0</v>
      </c>
      <c r="F1577" s="321">
        <f>E1577*0.8*1/20</f>
        <v>0</v>
      </c>
      <c r="G1577" s="533">
        <f t="shared" si="593"/>
        <v>0</v>
      </c>
      <c r="H1577" s="321" t="s">
        <v>18</v>
      </c>
      <c r="I1577" s="533">
        <f t="shared" si="594"/>
        <v>0</v>
      </c>
      <c r="J1577" s="321" t="s">
        <v>19</v>
      </c>
      <c r="K1577" s="321"/>
      <c r="L1577" s="321"/>
      <c r="M1577" s="321">
        <f>F1577*2016/16128</f>
        <v>0</v>
      </c>
      <c r="N1577" s="321"/>
      <c r="O1577" s="321"/>
      <c r="P1577" s="321"/>
      <c r="Q1577" s="321" t="s">
        <v>18</v>
      </c>
      <c r="R1577" s="321"/>
      <c r="S1577" s="321" t="s">
        <v>19</v>
      </c>
      <c r="T1577" s="528">
        <v>4</v>
      </c>
      <c r="U1577" s="324"/>
      <c r="V1577" s="676"/>
      <c r="W1577" s="528"/>
      <c r="X1577" s="529"/>
      <c r="Y1577" s="323"/>
      <c r="Z1577" s="312">
        <f t="shared" si="597"/>
        <v>0</v>
      </c>
      <c r="AA1577" s="416">
        <f t="shared" si="598"/>
        <v>0.25</v>
      </c>
    </row>
    <row r="1578" spans="1:27" ht="77.25" thickBot="1" x14ac:dyDescent="0.45">
      <c r="A1578" s="319" t="s">
        <v>731</v>
      </c>
      <c r="B1578" s="362" t="s">
        <v>609</v>
      </c>
      <c r="C1578" s="586">
        <f>C1919</f>
        <v>0</v>
      </c>
      <c r="D1578" s="533"/>
      <c r="E1578" s="534">
        <f t="shared" ref="E1578:E1583" si="599">C1578*2</f>
        <v>0</v>
      </c>
      <c r="F1578" s="321">
        <f t="shared" ref="F1578:F1583" si="600">E1578*0.76*1.034/20</f>
        <v>0</v>
      </c>
      <c r="G1578" s="533">
        <f t="shared" ref="G1578:G1583" si="601">INT(M1578)</f>
        <v>0</v>
      </c>
      <c r="H1578" s="321" t="s">
        <v>18</v>
      </c>
      <c r="I1578" s="533">
        <f t="shared" ref="I1578:I1583" si="602">(M1578-G1578)*64</f>
        <v>0</v>
      </c>
      <c r="J1578" s="321" t="s">
        <v>19</v>
      </c>
      <c r="K1578" s="324"/>
      <c r="L1578" s="324"/>
      <c r="M1578" s="321">
        <f>F1578*1008/8064</f>
        <v>0</v>
      </c>
      <c r="N1578" s="324"/>
      <c r="O1578" s="324"/>
      <c r="P1578" s="324"/>
      <c r="Q1578" s="324" t="s">
        <v>18</v>
      </c>
      <c r="R1578" s="324"/>
      <c r="S1578" s="324" t="s">
        <v>19</v>
      </c>
      <c r="T1578" s="528">
        <v>4</v>
      </c>
      <c r="U1578" s="324">
        <f t="shared" ref="U1578:U1585" si="603">E1578/272*60</f>
        <v>0</v>
      </c>
      <c r="V1578" s="676"/>
      <c r="W1578" s="528"/>
      <c r="X1578" s="529"/>
      <c r="Y1578" s="323"/>
      <c r="Z1578" s="312">
        <f t="shared" si="597"/>
        <v>0</v>
      </c>
      <c r="AA1578" s="316">
        <f t="shared" ref="AA1578:AA1583" si="604">SUM(Z1578/315+0.25)</f>
        <v>0.25</v>
      </c>
    </row>
    <row r="1579" spans="1:27" ht="77.25" thickBot="1" x14ac:dyDescent="0.45">
      <c r="A1579" s="319" t="s">
        <v>731</v>
      </c>
      <c r="B1579" s="320" t="s">
        <v>842</v>
      </c>
      <c r="C1579" s="586">
        <f>C1920</f>
        <v>0</v>
      </c>
      <c r="D1579" s="533"/>
      <c r="E1579" s="534">
        <f t="shared" si="599"/>
        <v>0</v>
      </c>
      <c r="F1579" s="321">
        <f t="shared" si="600"/>
        <v>0</v>
      </c>
      <c r="G1579" s="533">
        <f t="shared" si="601"/>
        <v>0</v>
      </c>
      <c r="H1579" s="321" t="s">
        <v>18</v>
      </c>
      <c r="I1579" s="533">
        <f t="shared" si="602"/>
        <v>0</v>
      </c>
      <c r="J1579" s="321" t="s">
        <v>19</v>
      </c>
      <c r="K1579" s="324"/>
      <c r="L1579" s="324"/>
      <c r="M1579" s="321">
        <f>F1579*1008/8064</f>
        <v>0</v>
      </c>
      <c r="N1579" s="324"/>
      <c r="O1579" s="324"/>
      <c r="P1579" s="324"/>
      <c r="Q1579" s="324" t="s">
        <v>18</v>
      </c>
      <c r="R1579" s="324"/>
      <c r="S1579" s="324" t="s">
        <v>19</v>
      </c>
      <c r="T1579" s="528">
        <v>4</v>
      </c>
      <c r="U1579" s="324">
        <f t="shared" si="603"/>
        <v>0</v>
      </c>
      <c r="V1579" s="676"/>
      <c r="W1579" s="528"/>
      <c r="X1579" s="529"/>
      <c r="Y1579" s="323"/>
      <c r="Z1579" s="312">
        <f t="shared" si="597"/>
        <v>0</v>
      </c>
      <c r="AA1579" s="316">
        <f t="shared" si="604"/>
        <v>0.25</v>
      </c>
    </row>
    <row r="1580" spans="1:27" thickBot="1" x14ac:dyDescent="0.45">
      <c r="A1580" s="319" t="s">
        <v>731</v>
      </c>
      <c r="B1580" s="362" t="s">
        <v>742</v>
      </c>
      <c r="C1580" s="586">
        <f>C1921</f>
        <v>0</v>
      </c>
      <c r="D1580" s="533"/>
      <c r="E1580" s="534">
        <f t="shared" si="599"/>
        <v>0</v>
      </c>
      <c r="F1580" s="321">
        <f t="shared" si="600"/>
        <v>0</v>
      </c>
      <c r="G1580" s="533">
        <f t="shared" si="601"/>
        <v>0</v>
      </c>
      <c r="H1580" s="321" t="s">
        <v>18</v>
      </c>
      <c r="I1580" s="533">
        <f t="shared" si="602"/>
        <v>0</v>
      </c>
      <c r="J1580" s="321" t="s">
        <v>19</v>
      </c>
      <c r="K1580" s="324"/>
      <c r="L1580" s="324"/>
      <c r="M1580" s="321">
        <f>F1580*1008/8064</f>
        <v>0</v>
      </c>
      <c r="N1580" s="324"/>
      <c r="O1580" s="324"/>
      <c r="P1580" s="324"/>
      <c r="Q1580" s="324" t="s">
        <v>18</v>
      </c>
      <c r="R1580" s="324"/>
      <c r="S1580" s="324" t="s">
        <v>19</v>
      </c>
      <c r="T1580" s="528">
        <v>4</v>
      </c>
      <c r="U1580" s="324">
        <f t="shared" si="603"/>
        <v>0</v>
      </c>
      <c r="V1580" s="676"/>
      <c r="W1580" s="528"/>
      <c r="X1580" s="529"/>
      <c r="Y1580" s="323"/>
      <c r="Z1580" s="312">
        <f t="shared" si="597"/>
        <v>0</v>
      </c>
      <c r="AA1580" s="316">
        <f t="shared" si="604"/>
        <v>0.25</v>
      </c>
    </row>
    <row r="1581" spans="1:27" ht="77.25" thickBot="1" x14ac:dyDescent="0.45">
      <c r="A1581" s="319" t="s">
        <v>731</v>
      </c>
      <c r="B1581" s="362" t="s">
        <v>1080</v>
      </c>
      <c r="C1581" s="638">
        <f>C2193</f>
        <v>0</v>
      </c>
      <c r="D1581" s="533"/>
      <c r="E1581" s="534">
        <f>C1581*2</f>
        <v>0</v>
      </c>
      <c r="F1581" s="321">
        <f>E1581*0.76*1.034/20</f>
        <v>0</v>
      </c>
      <c r="G1581" s="533">
        <f>INT(M1581)</f>
        <v>0</v>
      </c>
      <c r="H1581" s="321" t="s">
        <v>18</v>
      </c>
      <c r="I1581" s="533">
        <f>(M1581-G1581)*64</f>
        <v>0</v>
      </c>
      <c r="J1581" s="321" t="s">
        <v>19</v>
      </c>
      <c r="K1581" s="324"/>
      <c r="L1581" s="324"/>
      <c r="M1581" s="321">
        <f>F1581*1008/8064</f>
        <v>0</v>
      </c>
      <c r="N1581" s="324"/>
      <c r="O1581" s="324"/>
      <c r="P1581" s="324"/>
      <c r="Q1581" s="324" t="s">
        <v>18</v>
      </c>
      <c r="R1581" s="324"/>
      <c r="S1581" s="324" t="s">
        <v>19</v>
      </c>
      <c r="T1581" s="528">
        <v>4</v>
      </c>
      <c r="U1581" s="324">
        <f>E1581/272*60</f>
        <v>0</v>
      </c>
      <c r="V1581" s="676"/>
      <c r="W1581" s="528"/>
      <c r="X1581" s="529"/>
      <c r="Y1581" s="323"/>
      <c r="Z1581" s="312">
        <f>E1581</f>
        <v>0</v>
      </c>
      <c r="AA1581" s="316">
        <f>SUM(Z1581/80+0.25)</f>
        <v>0.25</v>
      </c>
    </row>
    <row r="1582" spans="1:27" ht="51.75" thickBot="1" x14ac:dyDescent="0.45">
      <c r="A1582" s="319" t="s">
        <v>731</v>
      </c>
      <c r="B1582" s="362" t="s">
        <v>611</v>
      </c>
      <c r="C1582" s="586">
        <f>C1923</f>
        <v>0</v>
      </c>
      <c r="D1582" s="533"/>
      <c r="E1582" s="534">
        <f t="shared" si="599"/>
        <v>0</v>
      </c>
      <c r="F1582" s="321">
        <f t="shared" si="600"/>
        <v>0</v>
      </c>
      <c r="G1582" s="533">
        <f t="shared" si="601"/>
        <v>0</v>
      </c>
      <c r="H1582" s="321" t="s">
        <v>18</v>
      </c>
      <c r="I1582" s="533">
        <f t="shared" si="602"/>
        <v>0</v>
      </c>
      <c r="J1582" s="321" t="s">
        <v>19</v>
      </c>
      <c r="K1582" s="324"/>
      <c r="L1582" s="324"/>
      <c r="M1582" s="321">
        <f>F1582*1008/8064</f>
        <v>0</v>
      </c>
      <c r="N1582" s="324"/>
      <c r="O1582" s="324"/>
      <c r="P1582" s="324"/>
      <c r="Q1582" s="324" t="s">
        <v>18</v>
      </c>
      <c r="R1582" s="324"/>
      <c r="S1582" s="324" t="s">
        <v>19</v>
      </c>
      <c r="T1582" s="528">
        <v>4</v>
      </c>
      <c r="U1582" s="324">
        <f t="shared" si="603"/>
        <v>0</v>
      </c>
      <c r="V1582" s="676"/>
      <c r="W1582" s="528"/>
      <c r="X1582" s="529"/>
      <c r="Y1582" s="323"/>
      <c r="Z1582" s="312">
        <f t="shared" si="597"/>
        <v>0</v>
      </c>
      <c r="AA1582" s="316">
        <f t="shared" si="604"/>
        <v>0.25</v>
      </c>
    </row>
    <row r="1583" spans="1:27" ht="51.75" thickBot="1" x14ac:dyDescent="0.45">
      <c r="A1583" s="319" t="s">
        <v>731</v>
      </c>
      <c r="B1583" s="362" t="s">
        <v>612</v>
      </c>
      <c r="C1583" s="586">
        <f>C1924</f>
        <v>0</v>
      </c>
      <c r="D1583" s="528"/>
      <c r="E1583" s="460">
        <f t="shared" si="599"/>
        <v>0</v>
      </c>
      <c r="F1583" s="324">
        <f t="shared" si="600"/>
        <v>0</v>
      </c>
      <c r="G1583" s="528">
        <f t="shared" si="601"/>
        <v>0</v>
      </c>
      <c r="H1583" s="324" t="s">
        <v>18</v>
      </c>
      <c r="I1583" s="528">
        <f t="shared" si="602"/>
        <v>0</v>
      </c>
      <c r="J1583" s="324" t="s">
        <v>19</v>
      </c>
      <c r="K1583" s="324"/>
      <c r="L1583" s="324"/>
      <c r="M1583" s="324">
        <f>F1583*2016/16128</f>
        <v>0</v>
      </c>
      <c r="N1583" s="324"/>
      <c r="O1583" s="324"/>
      <c r="P1583" s="324"/>
      <c r="Q1583" s="324" t="s">
        <v>18</v>
      </c>
      <c r="R1583" s="324"/>
      <c r="S1583" s="324" t="s">
        <v>19</v>
      </c>
      <c r="T1583" s="528">
        <v>4</v>
      </c>
      <c r="U1583" s="324">
        <f t="shared" si="603"/>
        <v>0</v>
      </c>
      <c r="V1583" s="676"/>
      <c r="W1583" s="528"/>
      <c r="X1583" s="529"/>
      <c r="Y1583" s="323"/>
      <c r="Z1583" s="312">
        <f t="shared" si="597"/>
        <v>0</v>
      </c>
      <c r="AA1583" s="316">
        <f t="shared" si="604"/>
        <v>0.25</v>
      </c>
    </row>
    <row r="1584" spans="1:27" s="327" customFormat="1" ht="53.25" thickBot="1" x14ac:dyDescent="0.45">
      <c r="A1584" s="319" t="s">
        <v>731</v>
      </c>
      <c r="B1584" s="368" t="s">
        <v>816</v>
      </c>
      <c r="C1584" s="528">
        <f>C1927</f>
        <v>0</v>
      </c>
      <c r="D1584" s="535">
        <f>C1584*10</f>
        <v>0</v>
      </c>
      <c r="E1584" s="534">
        <f>D1584*0.35</f>
        <v>0</v>
      </c>
      <c r="F1584" s="321">
        <f>E1584*0.8*1/20</f>
        <v>0</v>
      </c>
      <c r="G1584" s="533">
        <f>INT(M1584)</f>
        <v>0</v>
      </c>
      <c r="H1584" s="321" t="s">
        <v>18</v>
      </c>
      <c r="I1584" s="533">
        <f>(M1584-G1584)*64</f>
        <v>0</v>
      </c>
      <c r="J1584" s="321" t="s">
        <v>19</v>
      </c>
      <c r="K1584" s="321"/>
      <c r="L1584" s="321"/>
      <c r="M1584" s="321">
        <f>F1584*2016/16128</f>
        <v>0</v>
      </c>
      <c r="N1584" s="321"/>
      <c r="O1584" s="321"/>
      <c r="P1584" s="321"/>
      <c r="Q1584" s="321" t="s">
        <v>18</v>
      </c>
      <c r="R1584" s="321"/>
      <c r="S1584" s="321" t="s">
        <v>19</v>
      </c>
      <c r="T1584" s="533">
        <v>4</v>
      </c>
      <c r="U1584" s="321">
        <f>E1584/272*60</f>
        <v>0</v>
      </c>
      <c r="V1584" s="683"/>
      <c r="W1584" s="533"/>
      <c r="X1584" s="321"/>
      <c r="Y1584" s="326"/>
      <c r="Z1584" s="312">
        <f t="shared" si="597"/>
        <v>0</v>
      </c>
      <c r="AA1584" s="316">
        <f>SUM(Z1584/302+0.25)</f>
        <v>0.25</v>
      </c>
    </row>
    <row r="1585" spans="1:27" ht="77.25" thickBot="1" x14ac:dyDescent="0.45">
      <c r="A1585" s="319" t="s">
        <v>731</v>
      </c>
      <c r="B1585" s="362" t="s">
        <v>1039</v>
      </c>
      <c r="C1585" s="528">
        <f>C1928</f>
        <v>0</v>
      </c>
      <c r="D1585" s="533">
        <f>C1585*16</f>
        <v>0</v>
      </c>
      <c r="E1585" s="534">
        <f>D1585*0.25</f>
        <v>0</v>
      </c>
      <c r="F1585" s="321">
        <f>E1585*0.8*1/20</f>
        <v>0</v>
      </c>
      <c r="G1585" s="533">
        <f>INT(M1585)</f>
        <v>0</v>
      </c>
      <c r="H1585" s="321" t="s">
        <v>18</v>
      </c>
      <c r="I1585" s="533">
        <f>(M1585-G1585)*64</f>
        <v>0</v>
      </c>
      <c r="J1585" s="321" t="s">
        <v>19</v>
      </c>
      <c r="K1585" s="321"/>
      <c r="L1585" s="321"/>
      <c r="M1585" s="321">
        <f>F1585*2016/16128</f>
        <v>0</v>
      </c>
      <c r="N1585" s="321"/>
      <c r="O1585" s="321"/>
      <c r="P1585" s="321"/>
      <c r="Q1585" s="321" t="s">
        <v>18</v>
      </c>
      <c r="R1585" s="321"/>
      <c r="S1585" s="321" t="s">
        <v>19</v>
      </c>
      <c r="T1585" s="528">
        <v>4</v>
      </c>
      <c r="U1585" s="324">
        <f t="shared" si="603"/>
        <v>0</v>
      </c>
      <c r="V1585" s="676"/>
      <c r="W1585" s="528"/>
      <c r="X1585" s="529"/>
      <c r="Y1585" s="323"/>
      <c r="Z1585" s="312">
        <f t="shared" si="597"/>
        <v>0</v>
      </c>
      <c r="AA1585" s="316">
        <f>SUM(Z1585/302+0.25)</f>
        <v>0.25</v>
      </c>
    </row>
    <row r="1586" spans="1:27" ht="77.25" thickBot="1" x14ac:dyDescent="0.45">
      <c r="A1586" s="319" t="s">
        <v>731</v>
      </c>
      <c r="B1586" s="719" t="s">
        <v>1079</v>
      </c>
      <c r="C1586" s="586">
        <f>C1929</f>
        <v>0</v>
      </c>
      <c r="D1586" s="533">
        <f>C1586*7</f>
        <v>0</v>
      </c>
      <c r="E1586" s="321">
        <f>D1586*0.2</f>
        <v>0</v>
      </c>
      <c r="F1586" s="321">
        <f>E1586*10/225</f>
        <v>0</v>
      </c>
      <c r="G1586" s="533">
        <f>INT(M1586)</f>
        <v>0</v>
      </c>
      <c r="H1586" s="321" t="s">
        <v>18</v>
      </c>
      <c r="I1586" s="533">
        <f>(M1586-G1586)*64</f>
        <v>0</v>
      </c>
      <c r="J1586" s="321" t="s">
        <v>19</v>
      </c>
      <c r="K1586" s="324"/>
      <c r="L1586" s="324"/>
      <c r="M1586" s="321">
        <f>F1586*1008/8064</f>
        <v>0</v>
      </c>
      <c r="N1586" s="324"/>
      <c r="O1586" s="324"/>
      <c r="P1586" s="324"/>
      <c r="Q1586" s="324" t="s">
        <v>18</v>
      </c>
      <c r="R1586" s="324"/>
      <c r="S1586" s="324" t="s">
        <v>19</v>
      </c>
      <c r="T1586" s="528">
        <v>4</v>
      </c>
      <c r="U1586" s="324">
        <f>E1586/166*60</f>
        <v>0</v>
      </c>
      <c r="V1586" s="676"/>
      <c r="W1586" s="528"/>
      <c r="X1586" s="529"/>
      <c r="Y1586" s="323"/>
      <c r="Z1586" s="312">
        <f t="shared" si="597"/>
        <v>0</v>
      </c>
      <c r="AA1586" s="316">
        <f>SUM(Z1586/302+0.25)</f>
        <v>0.25</v>
      </c>
    </row>
    <row r="1587" spans="1:27" ht="77.25" thickBot="1" x14ac:dyDescent="0.45">
      <c r="A1587" s="319" t="s">
        <v>731</v>
      </c>
      <c r="B1587" s="362" t="s">
        <v>613</v>
      </c>
      <c r="C1587" s="528">
        <f>C1930</f>
        <v>0</v>
      </c>
      <c r="D1587" s="528">
        <f>C1587*20</f>
        <v>0</v>
      </c>
      <c r="E1587" s="460">
        <f>D1587*0.2</f>
        <v>0</v>
      </c>
      <c r="F1587" s="324">
        <f>E1587*0.8*1.01/20</f>
        <v>0</v>
      </c>
      <c r="G1587" s="528">
        <f>INT(M1587)</f>
        <v>0</v>
      </c>
      <c r="H1587" s="324" t="s">
        <v>18</v>
      </c>
      <c r="I1587" s="528">
        <f>(M1587-G1587)*64</f>
        <v>0</v>
      </c>
      <c r="J1587" s="324" t="s">
        <v>19</v>
      </c>
      <c r="K1587" s="324"/>
      <c r="L1587" s="324"/>
      <c r="M1587" s="324">
        <f>F1587*1008/8064</f>
        <v>0</v>
      </c>
      <c r="N1587" s="324"/>
      <c r="O1587" s="324"/>
      <c r="P1587" s="324"/>
      <c r="Q1587" s="324" t="s">
        <v>18</v>
      </c>
      <c r="R1587" s="324"/>
      <c r="S1587" s="324" t="s">
        <v>19</v>
      </c>
      <c r="T1587" s="528">
        <v>4</v>
      </c>
      <c r="U1587" s="324">
        <f>E1587/272*60</f>
        <v>0</v>
      </c>
      <c r="V1587" s="676"/>
      <c r="W1587" s="528"/>
      <c r="X1587" s="529"/>
      <c r="Y1587" s="323"/>
      <c r="Z1587" s="312">
        <f t="shared" si="597"/>
        <v>0</v>
      </c>
      <c r="AA1587" s="316">
        <f>SUM(Z1587/302+0.25)</f>
        <v>0.25</v>
      </c>
    </row>
    <row r="1588" spans="1:27" outlineLevel="1" thickBot="1" x14ac:dyDescent="0.45">
      <c r="A1588" s="319"/>
      <c r="B1588" s="305" t="s">
        <v>623</v>
      </c>
      <c r="C1588" s="539"/>
      <c r="D1588" s="539"/>
      <c r="E1588" s="502"/>
      <c r="F1588" s="333"/>
      <c r="G1588" s="539"/>
      <c r="H1588" s="333"/>
      <c r="I1588" s="539"/>
      <c r="J1588" s="333"/>
      <c r="K1588" s="333"/>
      <c r="L1588" s="333"/>
      <c r="M1588" s="333"/>
      <c r="N1588" s="333"/>
      <c r="O1588" s="333"/>
      <c r="P1588" s="333"/>
      <c r="Q1588" s="333"/>
      <c r="R1588" s="333"/>
      <c r="S1588" s="333"/>
      <c r="T1588" s="539"/>
      <c r="U1588" s="333"/>
      <c r="V1588" s="681"/>
      <c r="W1588" s="333"/>
      <c r="X1588" s="333"/>
      <c r="Y1588" s="374"/>
    </row>
    <row r="1589" spans="1:27" ht="77.25" outlineLevel="1" thickBot="1" x14ac:dyDescent="0.45">
      <c r="A1589" s="319" t="s">
        <v>731</v>
      </c>
      <c r="B1589" s="320" t="s">
        <v>624</v>
      </c>
      <c r="C1589" s="586">
        <f>C2085/2</f>
        <v>0</v>
      </c>
      <c r="D1589" s="530">
        <f>C1589*10</f>
        <v>0</v>
      </c>
      <c r="E1589" s="460">
        <f>D1589*0.2</f>
        <v>0</v>
      </c>
      <c r="F1589" s="324">
        <f>E1589*0.97*0.8/19.6</f>
        <v>0</v>
      </c>
      <c r="G1589" s="528">
        <f>INT(M1589)</f>
        <v>0</v>
      </c>
      <c r="H1589" s="324" t="s">
        <v>18</v>
      </c>
      <c r="I1589" s="528">
        <f>(M1589-G1589)*64</f>
        <v>0</v>
      </c>
      <c r="J1589" s="324" t="s">
        <v>19</v>
      </c>
      <c r="K1589" s="324"/>
      <c r="L1589" s="324"/>
      <c r="M1589" s="324">
        <f>(F1589*1087/3456)</f>
        <v>0</v>
      </c>
      <c r="N1589" s="324"/>
      <c r="O1589" s="324"/>
      <c r="P1589" s="324"/>
      <c r="Q1589" s="324" t="s">
        <v>18</v>
      </c>
      <c r="R1589" s="324"/>
      <c r="S1589" s="324" t="s">
        <v>19</v>
      </c>
      <c r="T1589" s="528">
        <v>4</v>
      </c>
      <c r="U1589" s="324">
        <f>E1589/259*60</f>
        <v>0</v>
      </c>
      <c r="V1589" s="676"/>
      <c r="W1589" s="528"/>
      <c r="X1589" s="529"/>
      <c r="Y1589" s="323"/>
      <c r="Z1589" s="312">
        <f>E1589</f>
        <v>0</v>
      </c>
      <c r="AA1589" s="316">
        <f>SUM(Z1589/156+0.25)</f>
        <v>0.25</v>
      </c>
    </row>
    <row r="1590" spans="1:27" ht="77.25" outlineLevel="1" thickBot="1" x14ac:dyDescent="0.45">
      <c r="A1590" s="319" t="s">
        <v>731</v>
      </c>
      <c r="B1590" s="362" t="s">
        <v>625</v>
      </c>
      <c r="C1590" s="586">
        <f>C1939/2</f>
        <v>0</v>
      </c>
      <c r="D1590" s="530">
        <f>C1590*10</f>
        <v>0</v>
      </c>
      <c r="E1590" s="460">
        <f>D1590*0.2</f>
        <v>0</v>
      </c>
      <c r="F1590" s="324">
        <f>E1590*0.97*0.8/19.6</f>
        <v>0</v>
      </c>
      <c r="G1590" s="528">
        <f>INT(M1590)</f>
        <v>0</v>
      </c>
      <c r="H1590" s="324" t="s">
        <v>18</v>
      </c>
      <c r="I1590" s="528">
        <f>(M1590-G1590)*64</f>
        <v>0</v>
      </c>
      <c r="J1590" s="324" t="s">
        <v>19</v>
      </c>
      <c r="K1590" s="324"/>
      <c r="L1590" s="324"/>
      <c r="M1590" s="324">
        <f>(F1590*1087/3456)</f>
        <v>0</v>
      </c>
      <c r="N1590" s="324"/>
      <c r="O1590" s="324"/>
      <c r="P1590" s="324"/>
      <c r="Q1590" s="324" t="s">
        <v>18</v>
      </c>
      <c r="R1590" s="324"/>
      <c r="S1590" s="324" t="s">
        <v>19</v>
      </c>
      <c r="T1590" s="528">
        <v>4</v>
      </c>
      <c r="U1590" s="324">
        <f>E1590/259*60</f>
        <v>0</v>
      </c>
      <c r="V1590" s="676"/>
      <c r="W1590" s="528"/>
      <c r="X1590" s="529"/>
      <c r="Y1590" s="323"/>
      <c r="Z1590" s="312">
        <f>E1590</f>
        <v>0</v>
      </c>
      <c r="AA1590" s="316">
        <f>SUM(Z1590/265+0.25)</f>
        <v>0.25</v>
      </c>
    </row>
    <row r="1591" spans="1:27" ht="77.25" outlineLevel="1" thickBot="1" x14ac:dyDescent="0.45">
      <c r="A1591" s="319" t="s">
        <v>731</v>
      </c>
      <c r="B1591" s="369" t="s">
        <v>626</v>
      </c>
      <c r="C1591" s="586">
        <f>C1940/2</f>
        <v>0</v>
      </c>
      <c r="D1591" s="530">
        <f>C1591*10</f>
        <v>0</v>
      </c>
      <c r="E1591" s="460">
        <f>D1591*0.2</f>
        <v>0</v>
      </c>
      <c r="F1591" s="324">
        <f>E1591*0.97*0.8/19.6</f>
        <v>0</v>
      </c>
      <c r="G1591" s="528">
        <f>INT(M1591)</f>
        <v>0</v>
      </c>
      <c r="H1591" s="324" t="s">
        <v>18</v>
      </c>
      <c r="I1591" s="528">
        <f>(M1591-G1591)*64</f>
        <v>0</v>
      </c>
      <c r="J1591" s="324" t="s">
        <v>19</v>
      </c>
      <c r="K1591" s="324"/>
      <c r="L1591" s="324"/>
      <c r="M1591" s="324">
        <f>(F1591*1087/3456)</f>
        <v>0</v>
      </c>
      <c r="N1591" s="324"/>
      <c r="O1591" s="324"/>
      <c r="P1591" s="324"/>
      <c r="Q1591" s="324" t="s">
        <v>18</v>
      </c>
      <c r="R1591" s="324"/>
      <c r="S1591" s="324" t="s">
        <v>19</v>
      </c>
      <c r="T1591" s="528">
        <v>4</v>
      </c>
      <c r="U1591" s="324">
        <f>E1591/259*60</f>
        <v>0</v>
      </c>
      <c r="V1591" s="676"/>
      <c r="W1591" s="528"/>
      <c r="X1591" s="529"/>
      <c r="Y1591" s="323"/>
      <c r="Z1591" s="312">
        <f>E1591</f>
        <v>0</v>
      </c>
      <c r="AA1591" s="316">
        <f>SUM(Z1591/265+0.25)</f>
        <v>0.25</v>
      </c>
    </row>
    <row r="1592" spans="1:27" thickBot="1" x14ac:dyDescent="0.45">
      <c r="A1592" s="829"/>
      <c r="B1592" s="302" t="s">
        <v>289</v>
      </c>
      <c r="C1592" s="347"/>
      <c r="D1592" s="347"/>
      <c r="E1592" s="494"/>
      <c r="F1592" s="348"/>
      <c r="G1592" s="347"/>
      <c r="H1592" s="348"/>
      <c r="I1592" s="347"/>
      <c r="J1592" s="348"/>
      <c r="K1592" s="348"/>
      <c r="L1592" s="348"/>
      <c r="M1592" s="348"/>
      <c r="N1592" s="348"/>
      <c r="O1592" s="348"/>
      <c r="P1592" s="348"/>
      <c r="Q1592" s="348"/>
      <c r="R1592" s="348"/>
      <c r="S1592" s="348"/>
      <c r="T1592" s="347"/>
      <c r="U1592" s="348"/>
      <c r="V1592" s="356"/>
      <c r="W1592" s="348"/>
      <c r="X1592" s="495"/>
      <c r="Y1592" s="349"/>
    </row>
    <row r="1593" spans="1:27" thickBot="1" x14ac:dyDescent="0.45">
      <c r="A1593" s="830"/>
      <c r="B1593" s="332" t="s">
        <v>285</v>
      </c>
      <c r="C1593" s="347"/>
      <c r="D1593" s="347"/>
      <c r="E1593" s="494"/>
      <c r="F1593" s="348"/>
      <c r="G1593" s="347"/>
      <c r="H1593" s="348"/>
      <c r="I1593" s="347"/>
      <c r="J1593" s="348"/>
      <c r="K1593" s="348"/>
      <c r="L1593" s="348"/>
      <c r="M1593" s="348"/>
      <c r="N1593" s="348"/>
      <c r="O1593" s="348"/>
      <c r="P1593" s="348"/>
      <c r="Q1593" s="348"/>
      <c r="R1593" s="348"/>
      <c r="S1593" s="348"/>
      <c r="T1593" s="347"/>
      <c r="U1593" s="348"/>
      <c r="V1593" s="356"/>
      <c r="W1593" s="348"/>
      <c r="X1593" s="495"/>
      <c r="Y1593" s="357"/>
    </row>
    <row r="1594" spans="1:27" thickBot="1" x14ac:dyDescent="0.45">
      <c r="A1594" s="830"/>
      <c r="B1594" s="332" t="s">
        <v>299</v>
      </c>
      <c r="C1594" s="347"/>
      <c r="D1594" s="347"/>
      <c r="E1594" s="494"/>
      <c r="F1594" s="348"/>
      <c r="G1594" s="347"/>
      <c r="H1594" s="348"/>
      <c r="I1594" s="347"/>
      <c r="J1594" s="348"/>
      <c r="K1594" s="348"/>
      <c r="L1594" s="348"/>
      <c r="M1594" s="348"/>
      <c r="N1594" s="348"/>
      <c r="O1594" s="348"/>
      <c r="P1594" s="348"/>
      <c r="Q1594" s="348"/>
      <c r="R1594" s="348"/>
      <c r="S1594" s="348"/>
      <c r="T1594" s="347"/>
      <c r="U1594" s="348"/>
      <c r="V1594" s="356"/>
      <c r="W1594" s="348"/>
      <c r="X1594" s="495"/>
      <c r="Y1594" s="357"/>
    </row>
    <row r="1595" spans="1:27" ht="102.75" thickBot="1" x14ac:dyDescent="0.45">
      <c r="A1595" s="319" t="s">
        <v>731</v>
      </c>
      <c r="B1595" s="320" t="s">
        <v>783</v>
      </c>
      <c r="C1595" s="586">
        <f>C1424/2</f>
        <v>0</v>
      </c>
      <c r="D1595" s="530"/>
      <c r="E1595" s="456">
        <f>C1595*4</f>
        <v>0</v>
      </c>
      <c r="F1595" s="358">
        <f>E1595*1.01*0.72/147</f>
        <v>0</v>
      </c>
      <c r="G1595" s="548">
        <f>INT(M1595)</f>
        <v>0</v>
      </c>
      <c r="H1595" s="358" t="s">
        <v>18</v>
      </c>
      <c r="I1595" s="548">
        <f>(M1595-G1595)*64</f>
        <v>0</v>
      </c>
      <c r="J1595" s="358" t="s">
        <v>19</v>
      </c>
      <c r="K1595" s="358"/>
      <c r="L1595" s="358"/>
      <c r="M1595" s="358">
        <f>(F1595*6035/3456)</f>
        <v>0</v>
      </c>
      <c r="N1595" s="324"/>
      <c r="O1595" s="324"/>
      <c r="P1595" s="324"/>
      <c r="Q1595" s="324" t="s">
        <v>18</v>
      </c>
      <c r="R1595" s="324"/>
      <c r="S1595" s="324" t="s">
        <v>19</v>
      </c>
      <c r="T1595" s="528">
        <v>4</v>
      </c>
      <c r="U1595" s="324">
        <f>E1595/324*60</f>
        <v>0</v>
      </c>
      <c r="V1595" s="676"/>
      <c r="W1595" s="528"/>
      <c r="X1595" s="529"/>
      <c r="Y1595" s="323"/>
      <c r="Z1595" s="312">
        <f t="shared" ref="Z1595:Z1615" si="605">E1595</f>
        <v>0</v>
      </c>
      <c r="AA1595" s="316">
        <f>SUM(Z1595/548.9+0.25)</f>
        <v>0.25</v>
      </c>
    </row>
    <row r="1596" spans="1:27" ht="77.25" thickBot="1" x14ac:dyDescent="0.45">
      <c r="A1596" s="319" t="s">
        <v>731</v>
      </c>
      <c r="B1596" s="320" t="s">
        <v>784</v>
      </c>
      <c r="C1596" s="586">
        <f>C1425/2</f>
        <v>0</v>
      </c>
      <c r="D1596" s="530"/>
      <c r="E1596" s="456">
        <f>C1596*4</f>
        <v>0</v>
      </c>
      <c r="F1596" s="358">
        <f>E1596*1.01*0.72/147</f>
        <v>0</v>
      </c>
      <c r="G1596" s="548">
        <f>INT(M1596)</f>
        <v>0</v>
      </c>
      <c r="H1596" s="358" t="s">
        <v>18</v>
      </c>
      <c r="I1596" s="548">
        <f>(M1596-G1596)*64</f>
        <v>0</v>
      </c>
      <c r="J1596" s="358" t="s">
        <v>19</v>
      </c>
      <c r="K1596" s="358"/>
      <c r="L1596" s="358"/>
      <c r="M1596" s="358">
        <f>(F1596*6035/3456)</f>
        <v>0</v>
      </c>
      <c r="N1596" s="324"/>
      <c r="O1596" s="324"/>
      <c r="P1596" s="324"/>
      <c r="Q1596" s="324" t="s">
        <v>18</v>
      </c>
      <c r="R1596" s="324"/>
      <c r="S1596" s="324" t="s">
        <v>19</v>
      </c>
      <c r="T1596" s="528">
        <v>4</v>
      </c>
      <c r="U1596" s="324">
        <f>E1596/324*60</f>
        <v>0</v>
      </c>
      <c r="V1596" s="676"/>
      <c r="W1596" s="528"/>
      <c r="X1596" s="529"/>
      <c r="Y1596" s="323"/>
      <c r="Z1596" s="312">
        <f t="shared" si="605"/>
        <v>0</v>
      </c>
      <c r="AA1596" s="316">
        <f>SUM(Z1596/548.9+0.25)</f>
        <v>0.25</v>
      </c>
    </row>
    <row r="1597" spans="1:27" ht="77.25" thickBot="1" x14ac:dyDescent="0.45">
      <c r="A1597" s="319" t="s">
        <v>731</v>
      </c>
      <c r="B1597" s="320" t="s">
        <v>744</v>
      </c>
      <c r="C1597" s="586">
        <f>C1426/2</f>
        <v>0</v>
      </c>
      <c r="D1597" s="528"/>
      <c r="E1597" s="456">
        <f>C1597*4</f>
        <v>0</v>
      </c>
      <c r="F1597" s="358">
        <f>E1597*1.01*0.72/147</f>
        <v>0</v>
      </c>
      <c r="G1597" s="548">
        <f>INT(M1597)</f>
        <v>0</v>
      </c>
      <c r="H1597" s="358" t="s">
        <v>18</v>
      </c>
      <c r="I1597" s="548">
        <f>(M1597-G1597)*64</f>
        <v>0</v>
      </c>
      <c r="J1597" s="358" t="s">
        <v>19</v>
      </c>
      <c r="K1597" s="358"/>
      <c r="L1597" s="358"/>
      <c r="M1597" s="358">
        <f>(F1597*6035/3456)</f>
        <v>0</v>
      </c>
      <c r="N1597" s="324"/>
      <c r="O1597" s="324"/>
      <c r="P1597" s="324"/>
      <c r="Q1597" s="324" t="s">
        <v>18</v>
      </c>
      <c r="R1597" s="324"/>
      <c r="S1597" s="324" t="s">
        <v>19</v>
      </c>
      <c r="T1597" s="528">
        <v>4</v>
      </c>
      <c r="U1597" s="324">
        <f>E1597/324*60</f>
        <v>0</v>
      </c>
      <c r="V1597" s="676"/>
      <c r="W1597" s="528"/>
      <c r="X1597" s="529"/>
      <c r="Y1597" s="323"/>
      <c r="Z1597" s="312">
        <f t="shared" si="605"/>
        <v>0</v>
      </c>
      <c r="AA1597" s="316">
        <f>SUM(Z1597/630.2+0.25)</f>
        <v>0.25</v>
      </c>
    </row>
    <row r="1598" spans="1:27" ht="77.25" thickBot="1" x14ac:dyDescent="0.45">
      <c r="A1598" s="319" t="s">
        <v>731</v>
      </c>
      <c r="B1598" s="320" t="s">
        <v>746</v>
      </c>
      <c r="C1598" s="586">
        <f>C1428/2</f>
        <v>0</v>
      </c>
      <c r="D1598" s="528"/>
      <c r="E1598" s="456">
        <f>C1598*4</f>
        <v>0</v>
      </c>
      <c r="F1598" s="358">
        <f>E1598*1.01*0.72/147</f>
        <v>0</v>
      </c>
      <c r="G1598" s="548">
        <f>INT(M1598)</f>
        <v>0</v>
      </c>
      <c r="H1598" s="358" t="s">
        <v>18</v>
      </c>
      <c r="I1598" s="548">
        <f>(M1598-G1598)*64</f>
        <v>0</v>
      </c>
      <c r="J1598" s="358" t="s">
        <v>19</v>
      </c>
      <c r="K1598" s="358"/>
      <c r="L1598" s="358"/>
      <c r="M1598" s="358">
        <f>(F1598*6035/3456)</f>
        <v>0</v>
      </c>
      <c r="N1598" s="324"/>
      <c r="O1598" s="324"/>
      <c r="P1598" s="324"/>
      <c r="Q1598" s="324" t="s">
        <v>18</v>
      </c>
      <c r="R1598" s="324"/>
      <c r="S1598" s="324" t="s">
        <v>19</v>
      </c>
      <c r="T1598" s="528">
        <v>4</v>
      </c>
      <c r="U1598" s="324">
        <f>E1598/259*60</f>
        <v>0</v>
      </c>
      <c r="V1598" s="676"/>
      <c r="W1598" s="528"/>
      <c r="X1598" s="529"/>
      <c r="Y1598" s="323"/>
      <c r="Z1598" s="312">
        <f t="shared" si="605"/>
        <v>0</v>
      </c>
      <c r="AA1598" s="316">
        <f>SUM(Z1598/548.9+0.25)</f>
        <v>0.25</v>
      </c>
    </row>
    <row r="1599" spans="1:27" ht="77.25" thickBot="1" x14ac:dyDescent="0.45">
      <c r="A1599" s="319" t="s">
        <v>731</v>
      </c>
      <c r="B1599" s="344" t="s">
        <v>879</v>
      </c>
      <c r="C1599" s="586">
        <f>C1436/2</f>
        <v>0</v>
      </c>
      <c r="D1599" s="528"/>
      <c r="E1599" s="457">
        <f>C1599*3</f>
        <v>0</v>
      </c>
      <c r="F1599" s="358">
        <f>E1599*1.03*0.82/147</f>
        <v>0</v>
      </c>
      <c r="G1599" s="549">
        <f>INT(M1599)</f>
        <v>0</v>
      </c>
      <c r="H1599" s="359" t="s">
        <v>18</v>
      </c>
      <c r="I1599" s="549">
        <f>(M1599-G1599)*64</f>
        <v>0</v>
      </c>
      <c r="J1599" s="359" t="s">
        <v>19</v>
      </c>
      <c r="K1599" s="358"/>
      <c r="L1599" s="358"/>
      <c r="M1599" s="358">
        <f>(F1599*5547/3456)</f>
        <v>0</v>
      </c>
      <c r="N1599" s="324"/>
      <c r="O1599" s="324"/>
      <c r="P1599" s="324"/>
      <c r="Q1599" s="324" t="s">
        <v>18</v>
      </c>
      <c r="R1599" s="324"/>
      <c r="S1599" s="324" t="s">
        <v>19</v>
      </c>
      <c r="T1599" s="528">
        <v>4</v>
      </c>
      <c r="U1599" s="324">
        <f t="shared" ref="U1599:U1605" si="606">E1599/324*60</f>
        <v>0</v>
      </c>
      <c r="V1599" s="676"/>
      <c r="W1599" s="528"/>
      <c r="X1599" s="529"/>
      <c r="Y1599" s="323"/>
      <c r="Z1599" s="312">
        <f t="shared" si="605"/>
        <v>0</v>
      </c>
      <c r="AA1599" s="316">
        <f>SUM(Z1599/630.2+0.25)</f>
        <v>0.25</v>
      </c>
    </row>
    <row r="1600" spans="1:27" ht="77.25" thickBot="1" x14ac:dyDescent="0.45">
      <c r="A1600" s="319" t="s">
        <v>731</v>
      </c>
      <c r="B1600" s="320" t="s">
        <v>749</v>
      </c>
      <c r="C1600" s="586">
        <f>C1431/2</f>
        <v>0</v>
      </c>
      <c r="D1600" s="528"/>
      <c r="E1600" s="456">
        <f>C1600*4</f>
        <v>0</v>
      </c>
      <c r="F1600" s="358">
        <f>E1600*1.03*0.82/147</f>
        <v>0</v>
      </c>
      <c r="G1600" s="548">
        <f t="shared" ref="G1600:G1615" si="607">INT(M1600)</f>
        <v>0</v>
      </c>
      <c r="H1600" s="358" t="s">
        <v>18</v>
      </c>
      <c r="I1600" s="548">
        <f t="shared" ref="I1600:I1615" si="608">(M1600-G1600)*64</f>
        <v>0</v>
      </c>
      <c r="J1600" s="358" t="s">
        <v>19</v>
      </c>
      <c r="K1600" s="358"/>
      <c r="L1600" s="358"/>
      <c r="M1600" s="358">
        <f>(F1600*5547/3456)</f>
        <v>0</v>
      </c>
      <c r="N1600" s="324"/>
      <c r="O1600" s="324"/>
      <c r="P1600" s="324"/>
      <c r="Q1600" s="324" t="s">
        <v>18</v>
      </c>
      <c r="R1600" s="324"/>
      <c r="S1600" s="324" t="s">
        <v>19</v>
      </c>
      <c r="T1600" s="528">
        <v>4</v>
      </c>
      <c r="U1600" s="324">
        <f t="shared" si="606"/>
        <v>0</v>
      </c>
      <c r="V1600" s="676"/>
      <c r="W1600" s="528"/>
      <c r="X1600" s="529"/>
      <c r="Y1600" s="323"/>
      <c r="Z1600" s="312">
        <f t="shared" si="605"/>
        <v>0</v>
      </c>
      <c r="AA1600" s="316">
        <f>SUM(Z1600/630.2+0.25)</f>
        <v>0.25</v>
      </c>
    </row>
    <row r="1601" spans="1:27" ht="77.25" outlineLevel="1" thickBot="1" x14ac:dyDescent="0.45">
      <c r="A1601" s="319" t="s">
        <v>731</v>
      </c>
      <c r="B1601" s="635" t="s">
        <v>769</v>
      </c>
      <c r="C1601" s="586">
        <f>C1956</f>
        <v>0</v>
      </c>
      <c r="D1601" s="548">
        <f>C1601*144</f>
        <v>0</v>
      </c>
      <c r="E1601" s="456">
        <f>D1601*0.025</f>
        <v>0</v>
      </c>
      <c r="F1601" s="358">
        <f>E1601*1.008*0.72/147</f>
        <v>0</v>
      </c>
      <c r="G1601" s="548">
        <f t="shared" si="607"/>
        <v>0</v>
      </c>
      <c r="H1601" s="358" t="s">
        <v>18</v>
      </c>
      <c r="I1601" s="548">
        <f t="shared" si="608"/>
        <v>0</v>
      </c>
      <c r="J1601" s="358" t="s">
        <v>19</v>
      </c>
      <c r="K1601" s="358"/>
      <c r="L1601" s="358"/>
      <c r="M1601" s="358">
        <f>(F1601*8166/3456)</f>
        <v>0</v>
      </c>
      <c r="N1601" s="324"/>
      <c r="O1601" s="324"/>
      <c r="P1601" s="324"/>
      <c r="Q1601" s="324" t="s">
        <v>18</v>
      </c>
      <c r="R1601" s="324"/>
      <c r="S1601" s="324" t="s">
        <v>19</v>
      </c>
      <c r="T1601" s="528">
        <v>5</v>
      </c>
      <c r="U1601" s="324">
        <f t="shared" si="606"/>
        <v>0</v>
      </c>
      <c r="V1601" s="676"/>
      <c r="W1601" s="528"/>
      <c r="X1601" s="529"/>
      <c r="Y1601" s="323"/>
      <c r="Z1601" s="312">
        <f t="shared" si="605"/>
        <v>0</v>
      </c>
      <c r="AA1601" s="316">
        <f>SUM(Z1601/136.8+0.25)</f>
        <v>0.25</v>
      </c>
    </row>
    <row r="1602" spans="1:27" ht="77.25" thickBot="1" x14ac:dyDescent="0.45">
      <c r="A1602" s="319" t="s">
        <v>731</v>
      </c>
      <c r="B1602" s="320" t="s">
        <v>1149</v>
      </c>
      <c r="C1602" s="586">
        <f>C1432/2</f>
        <v>0</v>
      </c>
      <c r="D1602" s="528"/>
      <c r="E1602" s="456">
        <f t="shared" ref="E1602:E1607" si="609">C1602*4</f>
        <v>0</v>
      </c>
      <c r="F1602" s="358">
        <f>E1602*1.03*0.82/147</f>
        <v>0</v>
      </c>
      <c r="G1602" s="548">
        <f t="shared" si="607"/>
        <v>0</v>
      </c>
      <c r="H1602" s="358" t="s">
        <v>18</v>
      </c>
      <c r="I1602" s="548">
        <f t="shared" si="608"/>
        <v>0</v>
      </c>
      <c r="J1602" s="358" t="s">
        <v>19</v>
      </c>
      <c r="K1602" s="358"/>
      <c r="L1602" s="358"/>
      <c r="M1602" s="358">
        <f>(F1602*5547/3456)</f>
        <v>0</v>
      </c>
      <c r="N1602" s="324"/>
      <c r="O1602" s="324"/>
      <c r="P1602" s="324"/>
      <c r="Q1602" s="324" t="s">
        <v>18</v>
      </c>
      <c r="R1602" s="324"/>
      <c r="S1602" s="324" t="s">
        <v>19</v>
      </c>
      <c r="T1602" s="528">
        <v>4</v>
      </c>
      <c r="U1602" s="324">
        <f t="shared" si="606"/>
        <v>0</v>
      </c>
      <c r="V1602" s="676"/>
      <c r="W1602" s="528"/>
      <c r="X1602" s="529"/>
      <c r="Y1602" s="323"/>
      <c r="Z1602" s="312">
        <f t="shared" si="605"/>
        <v>0</v>
      </c>
      <c r="AA1602" s="316">
        <f>SUM(Z1602/630.2/2+0.25)</f>
        <v>0.25</v>
      </c>
    </row>
    <row r="1603" spans="1:27" ht="77.25" outlineLevel="1" thickBot="1" x14ac:dyDescent="0.45">
      <c r="A1603" s="319" t="s">
        <v>731</v>
      </c>
      <c r="B1603" s="799" t="s">
        <v>1209</v>
      </c>
      <c r="C1603" s="586">
        <f>C1433/2</f>
        <v>0</v>
      </c>
      <c r="D1603" s="528"/>
      <c r="E1603" s="456">
        <f t="shared" si="609"/>
        <v>0</v>
      </c>
      <c r="F1603" s="358">
        <f>E1603*1.03*0.82/147</f>
        <v>0</v>
      </c>
      <c r="G1603" s="548">
        <f t="shared" si="607"/>
        <v>0</v>
      </c>
      <c r="H1603" s="358" t="s">
        <v>18</v>
      </c>
      <c r="I1603" s="548">
        <f t="shared" si="608"/>
        <v>0</v>
      </c>
      <c r="J1603" s="358" t="s">
        <v>19</v>
      </c>
      <c r="K1603" s="358"/>
      <c r="L1603" s="358"/>
      <c r="M1603" s="358">
        <f>(F1603*5547/3456)</f>
        <v>0</v>
      </c>
      <c r="N1603" s="324"/>
      <c r="O1603" s="324"/>
      <c r="P1603" s="324"/>
      <c r="Q1603" s="324" t="s">
        <v>18</v>
      </c>
      <c r="R1603" s="324"/>
      <c r="S1603" s="324" t="s">
        <v>19</v>
      </c>
      <c r="T1603" s="528">
        <v>4</v>
      </c>
      <c r="U1603" s="324">
        <f>E1603/324*60</f>
        <v>0</v>
      </c>
      <c r="V1603" s="676"/>
      <c r="W1603" s="528"/>
      <c r="X1603" s="529"/>
      <c r="Y1603" s="323"/>
      <c r="Z1603" s="312">
        <f t="shared" si="605"/>
        <v>0</v>
      </c>
      <c r="AA1603" s="316">
        <f>SUM(Z1603/630.2+0.25)</f>
        <v>0.25</v>
      </c>
    </row>
    <row r="1604" spans="1:27" ht="102.75" thickBot="1" x14ac:dyDescent="0.45">
      <c r="A1604" s="319" t="s">
        <v>731</v>
      </c>
      <c r="B1604" s="320" t="s">
        <v>751</v>
      </c>
      <c r="C1604" s="586">
        <f>C1434/2</f>
        <v>0</v>
      </c>
      <c r="D1604" s="528"/>
      <c r="E1604" s="456">
        <f t="shared" si="609"/>
        <v>0</v>
      </c>
      <c r="F1604" s="358">
        <f>E1604*1.01*0.72/147</f>
        <v>0</v>
      </c>
      <c r="G1604" s="548">
        <f>INT(M1604)</f>
        <v>0</v>
      </c>
      <c r="H1604" s="358" t="s">
        <v>18</v>
      </c>
      <c r="I1604" s="548">
        <f>(M1604-G1604)*64</f>
        <v>0</v>
      </c>
      <c r="J1604" s="358" t="s">
        <v>19</v>
      </c>
      <c r="K1604" s="358"/>
      <c r="L1604" s="358"/>
      <c r="M1604" s="358">
        <f>(F1604*6035/3456)</f>
        <v>0</v>
      </c>
      <c r="N1604" s="324"/>
      <c r="O1604" s="324"/>
      <c r="P1604" s="324"/>
      <c r="Q1604" s="324" t="s">
        <v>18</v>
      </c>
      <c r="R1604" s="324"/>
      <c r="S1604" s="324" t="s">
        <v>19</v>
      </c>
      <c r="T1604" s="528">
        <v>4</v>
      </c>
      <c r="U1604" s="324">
        <f>E1604/324*60</f>
        <v>0</v>
      </c>
      <c r="V1604" s="676"/>
      <c r="W1604" s="528"/>
      <c r="X1604" s="529"/>
      <c r="Y1604" s="323"/>
      <c r="Z1604" s="312">
        <f t="shared" si="605"/>
        <v>0</v>
      </c>
      <c r="AA1604" s="316">
        <f>SUM(Z1604/548.9/2+0.25)</f>
        <v>0.25</v>
      </c>
    </row>
    <row r="1605" spans="1:27" ht="77.25" thickBot="1" x14ac:dyDescent="0.45">
      <c r="A1605" s="319" t="s">
        <v>731</v>
      </c>
      <c r="B1605" s="362" t="s">
        <v>761</v>
      </c>
      <c r="C1605" s="638">
        <f>C2096</f>
        <v>0</v>
      </c>
      <c r="D1605" s="528"/>
      <c r="E1605" s="456">
        <f t="shared" si="609"/>
        <v>0</v>
      </c>
      <c r="F1605" s="358">
        <f>E1605*1.03*0.84/147</f>
        <v>0</v>
      </c>
      <c r="G1605" s="548">
        <f>INT(M1605)</f>
        <v>0</v>
      </c>
      <c r="H1605" s="358" t="s">
        <v>18</v>
      </c>
      <c r="I1605" s="548">
        <f>(M1605-G1605)*64</f>
        <v>0</v>
      </c>
      <c r="J1605" s="358" t="s">
        <v>19</v>
      </c>
      <c r="K1605" s="358"/>
      <c r="L1605" s="358"/>
      <c r="M1605" s="358">
        <f>(F1605*5547/3456)</f>
        <v>0</v>
      </c>
      <c r="N1605" s="324"/>
      <c r="O1605" s="324"/>
      <c r="P1605" s="324"/>
      <c r="Q1605" s="324" t="s">
        <v>18</v>
      </c>
      <c r="R1605" s="324"/>
      <c r="S1605" s="324" t="s">
        <v>19</v>
      </c>
      <c r="T1605" s="528">
        <v>4</v>
      </c>
      <c r="U1605" s="324">
        <f t="shared" si="606"/>
        <v>0</v>
      </c>
      <c r="V1605" s="676"/>
      <c r="W1605" s="528"/>
      <c r="X1605" s="529"/>
      <c r="Y1605" s="323"/>
      <c r="Z1605" s="312">
        <f t="shared" si="605"/>
        <v>0</v>
      </c>
      <c r="AA1605" s="316">
        <f>SUM(Z1605/260+0.25)</f>
        <v>0.25</v>
      </c>
    </row>
    <row r="1606" spans="1:27" ht="77.25" thickBot="1" x14ac:dyDescent="0.45">
      <c r="A1606" s="319" t="s">
        <v>731</v>
      </c>
      <c r="B1606" s="414" t="s">
        <v>755</v>
      </c>
      <c r="C1606" s="586">
        <f>C2097</f>
        <v>0</v>
      </c>
      <c r="D1606" s="528"/>
      <c r="E1606" s="456">
        <f t="shared" si="609"/>
        <v>0</v>
      </c>
      <c r="F1606" s="358">
        <f>E1606*1.01*0.756/147</f>
        <v>0</v>
      </c>
      <c r="G1606" s="548">
        <f>INT(M1606)</f>
        <v>0</v>
      </c>
      <c r="H1606" s="358" t="s">
        <v>18</v>
      </c>
      <c r="I1606" s="548">
        <f>(M1606-G1606)*64</f>
        <v>0</v>
      </c>
      <c r="J1606" s="358" t="s">
        <v>19</v>
      </c>
      <c r="K1606" s="358"/>
      <c r="L1606" s="358"/>
      <c r="M1606" s="358">
        <f>(F1606*6035/3456)</f>
        <v>0</v>
      </c>
      <c r="N1606" s="324"/>
      <c r="O1606" s="324"/>
      <c r="P1606" s="324"/>
      <c r="Q1606" s="324" t="s">
        <v>18</v>
      </c>
      <c r="R1606" s="324"/>
      <c r="S1606" s="324" t="s">
        <v>19</v>
      </c>
      <c r="T1606" s="528">
        <v>4</v>
      </c>
      <c r="U1606" s="324">
        <f t="shared" ref="U1606:U1615" si="610">E1606/324*60</f>
        <v>0</v>
      </c>
      <c r="V1606" s="676"/>
      <c r="W1606" s="528"/>
      <c r="X1606" s="529"/>
      <c r="Y1606" s="323"/>
      <c r="Z1606" s="312">
        <f t="shared" si="605"/>
        <v>0</v>
      </c>
      <c r="AA1606" s="316">
        <f>SUM(Z1606/260+0.25)</f>
        <v>0.25</v>
      </c>
    </row>
    <row r="1607" spans="1:27" ht="77.25" thickBot="1" x14ac:dyDescent="0.45">
      <c r="A1607" s="319" t="s">
        <v>731</v>
      </c>
      <c r="B1607" s="362" t="s">
        <v>763</v>
      </c>
      <c r="C1607" s="586">
        <f>C2100</f>
        <v>0</v>
      </c>
      <c r="D1607" s="528"/>
      <c r="E1607" s="456">
        <f t="shared" si="609"/>
        <v>0</v>
      </c>
      <c r="F1607" s="358">
        <f>E1607*1.03*0.84/147</f>
        <v>0</v>
      </c>
      <c r="G1607" s="548">
        <f t="shared" si="607"/>
        <v>0</v>
      </c>
      <c r="H1607" s="358" t="s">
        <v>18</v>
      </c>
      <c r="I1607" s="548">
        <f t="shared" si="608"/>
        <v>0</v>
      </c>
      <c r="J1607" s="358" t="s">
        <v>19</v>
      </c>
      <c r="K1607" s="358"/>
      <c r="L1607" s="358"/>
      <c r="M1607" s="358">
        <f>(F1607*5068/3456)</f>
        <v>0</v>
      </c>
      <c r="N1607" s="324"/>
      <c r="O1607" s="324"/>
      <c r="P1607" s="324"/>
      <c r="Q1607" s="324" t="s">
        <v>18</v>
      </c>
      <c r="R1607" s="324"/>
      <c r="S1607" s="324" t="s">
        <v>19</v>
      </c>
      <c r="T1607" s="528">
        <v>4</v>
      </c>
      <c r="U1607" s="324">
        <f t="shared" si="610"/>
        <v>0</v>
      </c>
      <c r="V1607" s="676"/>
      <c r="W1607" s="528"/>
      <c r="X1607" s="529"/>
      <c r="Y1607" s="323"/>
      <c r="Z1607" s="312">
        <f t="shared" si="605"/>
        <v>0</v>
      </c>
      <c r="AA1607" s="316">
        <f>SUM(Z1607/260+0.25)</f>
        <v>0.25</v>
      </c>
    </row>
    <row r="1608" spans="1:27" ht="77.25" thickBot="1" x14ac:dyDescent="0.45">
      <c r="A1608" s="319" t="s">
        <v>731</v>
      </c>
      <c r="B1608" s="362" t="s">
        <v>1008</v>
      </c>
      <c r="C1608" s="639">
        <f>C2103</f>
        <v>0</v>
      </c>
      <c r="D1608" s="528"/>
      <c r="E1608" s="460">
        <f>C1608*2</f>
        <v>0</v>
      </c>
      <c r="F1608" s="324">
        <f>E1608*1.03*0.84/147</f>
        <v>0</v>
      </c>
      <c r="G1608" s="537">
        <f t="shared" si="607"/>
        <v>0</v>
      </c>
      <c r="H1608" s="354" t="s">
        <v>18</v>
      </c>
      <c r="I1608" s="537">
        <f t="shared" si="608"/>
        <v>0</v>
      </c>
      <c r="J1608" s="354" t="s">
        <v>19</v>
      </c>
      <c r="K1608" s="324"/>
      <c r="L1608" s="324"/>
      <c r="M1608" s="324">
        <f>(F1608*5068/3456)</f>
        <v>0</v>
      </c>
      <c r="N1608" s="324"/>
      <c r="O1608" s="324"/>
      <c r="P1608" s="324"/>
      <c r="Q1608" s="324" t="s">
        <v>18</v>
      </c>
      <c r="R1608" s="324"/>
      <c r="S1608" s="324" t="s">
        <v>19</v>
      </c>
      <c r="T1608" s="528">
        <v>4</v>
      </c>
      <c r="U1608" s="324">
        <f t="shared" si="610"/>
        <v>0</v>
      </c>
      <c r="V1608" s="676"/>
      <c r="W1608" s="528"/>
      <c r="X1608" s="529"/>
      <c r="Y1608" s="323"/>
      <c r="Z1608" s="312">
        <f t="shared" si="605"/>
        <v>0</v>
      </c>
      <c r="AA1608" s="316">
        <f>SUM(Z1608/260+0.25)</f>
        <v>0.25</v>
      </c>
    </row>
    <row r="1609" spans="1:27" ht="77.25" outlineLevel="1" thickBot="1" x14ac:dyDescent="0.45">
      <c r="A1609" s="319" t="s">
        <v>731</v>
      </c>
      <c r="B1609" s="320" t="s">
        <v>895</v>
      </c>
      <c r="C1609" s="528">
        <f>C1437/2</f>
        <v>0</v>
      </c>
      <c r="D1609" s="528"/>
      <c r="E1609" s="456">
        <f>C1609*1.7</f>
        <v>0</v>
      </c>
      <c r="F1609" s="358">
        <f>E1609*1.03*0.82/147</f>
        <v>0</v>
      </c>
      <c r="G1609" s="549">
        <f t="shared" si="607"/>
        <v>0</v>
      </c>
      <c r="H1609" s="359" t="s">
        <v>18</v>
      </c>
      <c r="I1609" s="549">
        <f t="shared" si="608"/>
        <v>0</v>
      </c>
      <c r="J1609" s="359" t="s">
        <v>19</v>
      </c>
      <c r="K1609" s="358"/>
      <c r="L1609" s="358"/>
      <c r="M1609" s="358">
        <f>(F1609*5547/3456)</f>
        <v>0</v>
      </c>
      <c r="N1609" s="358"/>
      <c r="O1609" s="358"/>
      <c r="P1609" s="358"/>
      <c r="Q1609" s="358" t="s">
        <v>18</v>
      </c>
      <c r="R1609" s="358"/>
      <c r="S1609" s="358" t="s">
        <v>19</v>
      </c>
      <c r="T1609" s="528">
        <v>4</v>
      </c>
      <c r="U1609" s="324">
        <f t="shared" si="610"/>
        <v>0</v>
      </c>
      <c r="V1609" s="685"/>
      <c r="W1609" s="528"/>
      <c r="X1609" s="529"/>
      <c r="Y1609" s="323"/>
      <c r="Z1609" s="312">
        <f t="shared" si="605"/>
        <v>0</v>
      </c>
      <c r="AA1609" s="316">
        <f>SUM(Z1609/630.2+0.25)</f>
        <v>0.25</v>
      </c>
    </row>
    <row r="1610" spans="1:27" ht="77.25" thickBot="1" x14ac:dyDescent="0.45">
      <c r="A1610" s="319" t="s">
        <v>731</v>
      </c>
      <c r="B1610" s="320" t="s">
        <v>1009</v>
      </c>
      <c r="C1610" s="528">
        <f>C1444/2</f>
        <v>0</v>
      </c>
      <c r="D1610" s="528"/>
      <c r="E1610" s="460">
        <f>C1610*2</f>
        <v>0</v>
      </c>
      <c r="F1610" s="324">
        <f>E1610*1.03*0.82/147</f>
        <v>0</v>
      </c>
      <c r="G1610" s="537">
        <f t="shared" si="607"/>
        <v>0</v>
      </c>
      <c r="H1610" s="354" t="s">
        <v>18</v>
      </c>
      <c r="I1610" s="537">
        <f t="shared" si="608"/>
        <v>0</v>
      </c>
      <c r="J1610" s="354" t="s">
        <v>19</v>
      </c>
      <c r="K1610" s="324"/>
      <c r="L1610" s="324"/>
      <c r="M1610" s="324">
        <f>(F1610*5547/3456)</f>
        <v>0</v>
      </c>
      <c r="N1610" s="324"/>
      <c r="O1610" s="324"/>
      <c r="P1610" s="324"/>
      <c r="Q1610" s="324" t="s">
        <v>18</v>
      </c>
      <c r="R1610" s="324"/>
      <c r="S1610" s="324" t="s">
        <v>19</v>
      </c>
      <c r="T1610" s="528">
        <v>4</v>
      </c>
      <c r="U1610" s="324">
        <f t="shared" si="610"/>
        <v>0</v>
      </c>
      <c r="V1610" s="685"/>
      <c r="W1610" s="528"/>
      <c r="X1610" s="529"/>
      <c r="Y1610" s="323"/>
      <c r="Z1610" s="312">
        <f t="shared" si="605"/>
        <v>0</v>
      </c>
      <c r="AA1610" s="316">
        <f>SUM(Z1610/596.4+0.25)</f>
        <v>0.25</v>
      </c>
    </row>
    <row r="1611" spans="1:27" ht="77.25" thickBot="1" x14ac:dyDescent="0.45">
      <c r="A1611" s="319" t="s">
        <v>731</v>
      </c>
      <c r="B1611" s="320" t="s">
        <v>1043</v>
      </c>
      <c r="C1611" s="528">
        <f>C1445/2</f>
        <v>0</v>
      </c>
      <c r="D1611" s="528"/>
      <c r="E1611" s="460">
        <f>C1611*2</f>
        <v>0</v>
      </c>
      <c r="F1611" s="324">
        <f>E1611*1.03*0.82/147</f>
        <v>0</v>
      </c>
      <c r="G1611" s="537">
        <f>INT(M1611)</f>
        <v>0</v>
      </c>
      <c r="H1611" s="354" t="s">
        <v>18</v>
      </c>
      <c r="I1611" s="537">
        <f>(M1611-G1611)*64</f>
        <v>0</v>
      </c>
      <c r="J1611" s="354" t="s">
        <v>19</v>
      </c>
      <c r="K1611" s="324"/>
      <c r="L1611" s="324"/>
      <c r="M1611" s="324">
        <f>(F1611*5547/3456)</f>
        <v>0</v>
      </c>
      <c r="N1611" s="324"/>
      <c r="O1611" s="324"/>
      <c r="P1611" s="324"/>
      <c r="Q1611" s="324" t="s">
        <v>18</v>
      </c>
      <c r="R1611" s="324"/>
      <c r="S1611" s="324" t="s">
        <v>19</v>
      </c>
      <c r="T1611" s="528">
        <v>4</v>
      </c>
      <c r="U1611" s="324">
        <f>E1611/324*60</f>
        <v>0</v>
      </c>
      <c r="V1611" s="685"/>
      <c r="W1611" s="528"/>
      <c r="X1611" s="529"/>
      <c r="Y1611" s="323"/>
      <c r="Z1611" s="312">
        <f>E1611</f>
        <v>0</v>
      </c>
      <c r="AA1611" s="316">
        <f>SUM(Z1611/596.4+0.25)</f>
        <v>0.25</v>
      </c>
    </row>
    <row r="1612" spans="1:27" ht="77.25" thickBot="1" x14ac:dyDescent="0.45">
      <c r="A1612" s="319" t="s">
        <v>731</v>
      </c>
      <c r="B1612" s="320" t="s">
        <v>1010</v>
      </c>
      <c r="C1612" s="528">
        <f>C1442/2</f>
        <v>0</v>
      </c>
      <c r="D1612" s="528"/>
      <c r="E1612" s="460">
        <f>C1612*2</f>
        <v>0</v>
      </c>
      <c r="F1612" s="324">
        <f>E1612*1.01*0.72/147</f>
        <v>0</v>
      </c>
      <c r="G1612" s="528">
        <f t="shared" si="607"/>
        <v>0</v>
      </c>
      <c r="H1612" s="324" t="s">
        <v>18</v>
      </c>
      <c r="I1612" s="528">
        <f t="shared" si="608"/>
        <v>0</v>
      </c>
      <c r="J1612" s="324" t="s">
        <v>19</v>
      </c>
      <c r="K1612" s="324"/>
      <c r="L1612" s="324"/>
      <c r="M1612" s="324">
        <f>(F1612*6035/3456)</f>
        <v>0</v>
      </c>
      <c r="N1612" s="324"/>
      <c r="O1612" s="324"/>
      <c r="P1612" s="324"/>
      <c r="Q1612" s="324" t="s">
        <v>18</v>
      </c>
      <c r="R1612" s="324"/>
      <c r="S1612" s="324" t="s">
        <v>19</v>
      </c>
      <c r="T1612" s="528">
        <v>4</v>
      </c>
      <c r="U1612" s="324">
        <f t="shared" si="610"/>
        <v>0</v>
      </c>
      <c r="V1612" s="685"/>
      <c r="W1612" s="528"/>
      <c r="X1612" s="529"/>
      <c r="Y1612" s="323"/>
      <c r="Z1612" s="312">
        <f t="shared" si="605"/>
        <v>0</v>
      </c>
      <c r="AA1612" s="316">
        <f>SUM(Z1612/519.5+0.25)</f>
        <v>0.25</v>
      </c>
    </row>
    <row r="1613" spans="1:27" ht="77.25" thickBot="1" x14ac:dyDescent="0.45">
      <c r="A1613" s="319" t="s">
        <v>731</v>
      </c>
      <c r="B1613" s="320" t="s">
        <v>1011</v>
      </c>
      <c r="C1613" s="528">
        <f>C1443/2</f>
        <v>0</v>
      </c>
      <c r="D1613" s="528"/>
      <c r="E1613" s="460">
        <f>C1613*2</f>
        <v>0</v>
      </c>
      <c r="F1613" s="324">
        <f>E1613*1.01*0.72/147</f>
        <v>0</v>
      </c>
      <c r="G1613" s="528">
        <f t="shared" si="607"/>
        <v>0</v>
      </c>
      <c r="H1613" s="324" t="s">
        <v>18</v>
      </c>
      <c r="I1613" s="528">
        <f t="shared" si="608"/>
        <v>0</v>
      </c>
      <c r="J1613" s="324" t="s">
        <v>19</v>
      </c>
      <c r="K1613" s="324"/>
      <c r="L1613" s="324"/>
      <c r="M1613" s="324">
        <f>(F1613*6035/3456)</f>
        <v>0</v>
      </c>
      <c r="N1613" s="324"/>
      <c r="O1613" s="324"/>
      <c r="P1613" s="324"/>
      <c r="Q1613" s="324" t="s">
        <v>18</v>
      </c>
      <c r="R1613" s="324"/>
      <c r="S1613" s="324" t="s">
        <v>19</v>
      </c>
      <c r="T1613" s="528">
        <v>4</v>
      </c>
      <c r="U1613" s="324">
        <f t="shared" si="610"/>
        <v>0</v>
      </c>
      <c r="V1613" s="685"/>
      <c r="W1613" s="528"/>
      <c r="X1613" s="529"/>
      <c r="Y1613" s="323"/>
      <c r="Z1613" s="312">
        <f t="shared" si="605"/>
        <v>0</v>
      </c>
      <c r="AA1613" s="316">
        <f>SUM(Z1613/519.5+0.25)</f>
        <v>0.25</v>
      </c>
    </row>
    <row r="1614" spans="1:27" ht="77.25" thickBot="1" x14ac:dyDescent="0.45">
      <c r="A1614" s="319" t="s">
        <v>731</v>
      </c>
      <c r="B1614" s="799" t="s">
        <v>1185</v>
      </c>
      <c r="C1614" s="528">
        <f>C1438/2</f>
        <v>0</v>
      </c>
      <c r="D1614" s="528"/>
      <c r="E1614" s="456">
        <f>C1614*1.7</f>
        <v>0</v>
      </c>
      <c r="F1614" s="358">
        <f>E1614*1.03*0.82/147</f>
        <v>0</v>
      </c>
      <c r="G1614" s="549">
        <f t="shared" si="607"/>
        <v>0</v>
      </c>
      <c r="H1614" s="359" t="s">
        <v>18</v>
      </c>
      <c r="I1614" s="549">
        <f t="shared" si="608"/>
        <v>0</v>
      </c>
      <c r="J1614" s="359" t="s">
        <v>19</v>
      </c>
      <c r="K1614" s="358"/>
      <c r="L1614" s="358"/>
      <c r="M1614" s="358">
        <f>(F1614*5547/3456)</f>
        <v>0</v>
      </c>
      <c r="N1614" s="358"/>
      <c r="O1614" s="358"/>
      <c r="P1614" s="358"/>
      <c r="Q1614" s="358" t="s">
        <v>18</v>
      </c>
      <c r="R1614" s="358"/>
      <c r="S1614" s="358" t="s">
        <v>19</v>
      </c>
      <c r="T1614" s="528">
        <v>4</v>
      </c>
      <c r="U1614" s="324">
        <f t="shared" si="610"/>
        <v>0</v>
      </c>
      <c r="V1614" s="685"/>
      <c r="W1614" s="528"/>
      <c r="X1614" s="529"/>
      <c r="Y1614" s="323"/>
      <c r="Z1614" s="312">
        <f t="shared" si="605"/>
        <v>0</v>
      </c>
      <c r="AA1614" s="316">
        <f>SUM(Z1614/630.2+0.25)</f>
        <v>0.25</v>
      </c>
    </row>
    <row r="1615" spans="1:27" ht="77.25" thickBot="1" x14ac:dyDescent="0.45">
      <c r="A1615" s="319" t="s">
        <v>731</v>
      </c>
      <c r="B1615" s="799" t="s">
        <v>1187</v>
      </c>
      <c r="C1615" s="528">
        <f>C1439/2</f>
        <v>0</v>
      </c>
      <c r="D1615" s="528"/>
      <c r="E1615" s="456">
        <f>C1615*1.7</f>
        <v>0</v>
      </c>
      <c r="F1615" s="358">
        <f>E1615*1.01*0.72/147</f>
        <v>0</v>
      </c>
      <c r="G1615" s="548">
        <f t="shared" si="607"/>
        <v>0</v>
      </c>
      <c r="H1615" s="358" t="s">
        <v>18</v>
      </c>
      <c r="I1615" s="548">
        <f t="shared" si="608"/>
        <v>0</v>
      </c>
      <c r="J1615" s="358" t="s">
        <v>19</v>
      </c>
      <c r="K1615" s="358"/>
      <c r="L1615" s="358"/>
      <c r="M1615" s="358">
        <f>(F1615*6035/3456)</f>
        <v>0</v>
      </c>
      <c r="N1615" s="324"/>
      <c r="O1615" s="324"/>
      <c r="P1615" s="324"/>
      <c r="Q1615" s="324" t="s">
        <v>18</v>
      </c>
      <c r="R1615" s="324"/>
      <c r="S1615" s="324" t="s">
        <v>19</v>
      </c>
      <c r="T1615" s="528"/>
      <c r="U1615" s="324">
        <f t="shared" si="610"/>
        <v>0</v>
      </c>
      <c r="V1615" s="676"/>
      <c r="W1615" s="528"/>
      <c r="X1615" s="529"/>
      <c r="Y1615" s="323"/>
      <c r="Z1615" s="312">
        <f t="shared" si="605"/>
        <v>0</v>
      </c>
      <c r="AA1615" s="316">
        <f>SUM(Z1615/548.9+0.25)</f>
        <v>0.25</v>
      </c>
    </row>
    <row r="1616" spans="1:27" thickBot="1" x14ac:dyDescent="0.45">
      <c r="A1616" s="830"/>
      <c r="B1616" s="332" t="s">
        <v>286</v>
      </c>
      <c r="C1616" s="347"/>
      <c r="D1616" s="347"/>
      <c r="E1616" s="494"/>
      <c r="F1616" s="348"/>
      <c r="G1616" s="347"/>
      <c r="H1616" s="348"/>
      <c r="I1616" s="347"/>
      <c r="J1616" s="348"/>
      <c r="K1616" s="348"/>
      <c r="L1616" s="348"/>
      <c r="M1616" s="348"/>
      <c r="N1616" s="348"/>
      <c r="O1616" s="348"/>
      <c r="P1616" s="348"/>
      <c r="Q1616" s="348"/>
      <c r="R1616" s="348"/>
      <c r="S1616" s="348"/>
      <c r="T1616" s="347"/>
      <c r="U1616" s="348"/>
      <c r="V1616" s="356"/>
      <c r="W1616" s="348"/>
      <c r="X1616" s="495"/>
      <c r="Y1616" s="357"/>
    </row>
    <row r="1617" spans="1:27" ht="77.25" thickBot="1" x14ac:dyDescent="0.45">
      <c r="A1617" s="319" t="s">
        <v>731</v>
      </c>
      <c r="B1617" s="343" t="s">
        <v>971</v>
      </c>
      <c r="C1617" s="528">
        <f>C1449/2</f>
        <v>0</v>
      </c>
      <c r="D1617" s="548"/>
      <c r="E1617" s="456">
        <f>C1617*0.3</f>
        <v>0</v>
      </c>
      <c r="F1617" s="358">
        <f>E1617*1.03*0.82/147</f>
        <v>0</v>
      </c>
      <c r="G1617" s="549">
        <f t="shared" ref="G1617:G1624" si="611">INT(M1617)</f>
        <v>0</v>
      </c>
      <c r="H1617" s="359" t="s">
        <v>18</v>
      </c>
      <c r="I1617" s="549">
        <f t="shared" ref="I1617:I1624" si="612">(M1617-G1617)*64</f>
        <v>0</v>
      </c>
      <c r="J1617" s="359" t="s">
        <v>19</v>
      </c>
      <c r="K1617" s="358"/>
      <c r="L1617" s="358"/>
      <c r="M1617" s="358">
        <f>(F1617*5547/3456)</f>
        <v>0</v>
      </c>
      <c r="N1617" s="461"/>
      <c r="O1617" s="461"/>
      <c r="P1617" s="461"/>
      <c r="Q1617" s="358" t="s">
        <v>18</v>
      </c>
      <c r="R1617" s="358"/>
      <c r="S1617" s="358" t="s">
        <v>19</v>
      </c>
      <c r="T1617" s="528">
        <v>7</v>
      </c>
      <c r="U1617" s="324">
        <f>E1617/324*60</f>
        <v>0</v>
      </c>
      <c r="V1617" s="676"/>
      <c r="W1617" s="528"/>
      <c r="X1617" s="529"/>
      <c r="Y1617" s="323"/>
      <c r="Z1617" s="312">
        <f t="shared" ref="Z1617:Z1624" si="613">E1617</f>
        <v>0</v>
      </c>
      <c r="AA1617" s="316">
        <f>SUM(E1617/619+0.25)</f>
        <v>0.25</v>
      </c>
    </row>
    <row r="1618" spans="1:27" ht="77.25" thickBot="1" x14ac:dyDescent="0.45">
      <c r="A1618" s="319" t="s">
        <v>731</v>
      </c>
      <c r="B1618" s="887" t="s">
        <v>1225</v>
      </c>
      <c r="C1618" s="528">
        <f>C1450/2</f>
        <v>0</v>
      </c>
      <c r="D1618" s="528">
        <f>C1618*10</f>
        <v>0</v>
      </c>
      <c r="E1618" s="460">
        <f>D1618*0.3</f>
        <v>0</v>
      </c>
      <c r="F1618" s="324">
        <f>E1618*1.03*0.82/147</f>
        <v>0</v>
      </c>
      <c r="G1618" s="537">
        <f>INT(M1618)</f>
        <v>0</v>
      </c>
      <c r="H1618" s="354"/>
      <c r="I1618" s="537">
        <f>(M1618-G1618)*64</f>
        <v>0</v>
      </c>
      <c r="J1618" s="354"/>
      <c r="K1618" s="324"/>
      <c r="L1618" s="324"/>
      <c r="M1618" s="324">
        <f>(F1618*4900/2880)</f>
        <v>0</v>
      </c>
      <c r="N1618" s="324"/>
      <c r="O1618" s="324"/>
      <c r="P1618" s="324"/>
      <c r="Q1618" s="324"/>
      <c r="R1618" s="324"/>
      <c r="S1618" s="324"/>
      <c r="T1618" s="528">
        <v>4</v>
      </c>
      <c r="U1618" s="324"/>
      <c r="V1618" s="676"/>
      <c r="W1618" s="528"/>
      <c r="X1618" s="529"/>
      <c r="Y1618" s="323"/>
      <c r="Z1618" s="312">
        <f>E1618</f>
        <v>0</v>
      </c>
      <c r="AA1618" s="316">
        <f>SUM(E1618/619+0.25)</f>
        <v>0.25</v>
      </c>
    </row>
    <row r="1619" spans="1:27" ht="77.25" thickBot="1" x14ac:dyDescent="0.45">
      <c r="A1619" s="319" t="s">
        <v>731</v>
      </c>
      <c r="B1619" s="343" t="s">
        <v>967</v>
      </c>
      <c r="C1619" s="528">
        <f>C1451/2</f>
        <v>0</v>
      </c>
      <c r="D1619" s="548"/>
      <c r="E1619" s="456">
        <f>C1619*0.3</f>
        <v>0</v>
      </c>
      <c r="F1619" s="358">
        <f>E1619*1.03*0.82/147</f>
        <v>0</v>
      </c>
      <c r="G1619" s="549">
        <f t="shared" si="611"/>
        <v>0</v>
      </c>
      <c r="H1619" s="359" t="s">
        <v>18</v>
      </c>
      <c r="I1619" s="549">
        <f t="shared" si="612"/>
        <v>0</v>
      </c>
      <c r="J1619" s="359" t="s">
        <v>19</v>
      </c>
      <c r="K1619" s="358"/>
      <c r="L1619" s="358"/>
      <c r="M1619" s="358">
        <f>(F1619*5547/3456)</f>
        <v>0</v>
      </c>
      <c r="N1619" s="461"/>
      <c r="O1619" s="461"/>
      <c r="P1619" s="461"/>
      <c r="Q1619" s="358" t="s">
        <v>18</v>
      </c>
      <c r="R1619" s="358"/>
      <c r="S1619" s="358" t="s">
        <v>19</v>
      </c>
      <c r="T1619" s="528">
        <v>7</v>
      </c>
      <c r="U1619" s="324">
        <f>E1619/324*60</f>
        <v>0</v>
      </c>
      <c r="V1619" s="676"/>
      <c r="W1619" s="528"/>
      <c r="X1619" s="529"/>
      <c r="Y1619" s="323"/>
      <c r="Z1619" s="312">
        <f t="shared" si="613"/>
        <v>0</v>
      </c>
      <c r="AA1619" s="316">
        <f>SUM(F1619/618.9+0.25)</f>
        <v>0.25</v>
      </c>
    </row>
    <row r="1620" spans="1:27" ht="77.25" thickBot="1" x14ac:dyDescent="0.45">
      <c r="A1620" s="319" t="s">
        <v>731</v>
      </c>
      <c r="B1620" s="343" t="s">
        <v>968</v>
      </c>
      <c r="C1620" s="528">
        <f>C1452/2</f>
        <v>0</v>
      </c>
      <c r="D1620" s="548"/>
      <c r="E1620" s="456">
        <f>C1620*0.3</f>
        <v>0</v>
      </c>
      <c r="F1620" s="358">
        <f>E1620*1.03*0.72/147</f>
        <v>0</v>
      </c>
      <c r="G1620" s="548">
        <f t="shared" si="611"/>
        <v>0</v>
      </c>
      <c r="H1620" s="358" t="s">
        <v>18</v>
      </c>
      <c r="I1620" s="548">
        <f t="shared" si="612"/>
        <v>0</v>
      </c>
      <c r="J1620" s="358" t="s">
        <v>19</v>
      </c>
      <c r="K1620" s="358"/>
      <c r="L1620" s="358"/>
      <c r="M1620" s="358">
        <f>(F1620*6035/3456)</f>
        <v>0</v>
      </c>
      <c r="N1620" s="461"/>
      <c r="O1620" s="461"/>
      <c r="P1620" s="461"/>
      <c r="Q1620" s="358" t="s">
        <v>18</v>
      </c>
      <c r="R1620" s="358"/>
      <c r="S1620" s="358" t="s">
        <v>19</v>
      </c>
      <c r="T1620" s="528">
        <v>7</v>
      </c>
      <c r="U1620" s="324">
        <f>E1620/324*60</f>
        <v>0</v>
      </c>
      <c r="V1620" s="676"/>
      <c r="W1620" s="528"/>
      <c r="X1620" s="529"/>
      <c r="Y1620" s="323"/>
      <c r="Z1620" s="312">
        <f t="shared" si="613"/>
        <v>0</v>
      </c>
      <c r="AA1620" s="316">
        <f>SUM(E1620/539+0.25)</f>
        <v>0.25</v>
      </c>
    </row>
    <row r="1621" spans="1:27" ht="77.25" thickBot="1" x14ac:dyDescent="0.45">
      <c r="A1621" s="319" t="s">
        <v>731</v>
      </c>
      <c r="B1621" s="343" t="s">
        <v>1141</v>
      </c>
      <c r="C1621" s="528">
        <f>C1453/2</f>
        <v>0</v>
      </c>
      <c r="D1621" s="548"/>
      <c r="E1621" s="456">
        <f>C1621*0.3</f>
        <v>0</v>
      </c>
      <c r="F1621" s="358">
        <f>E1621*1.03*0.72/147</f>
        <v>0</v>
      </c>
      <c r="G1621" s="548">
        <f t="shared" si="611"/>
        <v>0</v>
      </c>
      <c r="H1621" s="358" t="s">
        <v>18</v>
      </c>
      <c r="I1621" s="548">
        <f t="shared" si="612"/>
        <v>0</v>
      </c>
      <c r="J1621" s="358" t="s">
        <v>19</v>
      </c>
      <c r="K1621" s="358"/>
      <c r="L1621" s="358"/>
      <c r="M1621" s="358">
        <f>(F1621*6035/3456)</f>
        <v>0</v>
      </c>
      <c r="N1621" s="461"/>
      <c r="O1621" s="461"/>
      <c r="P1621" s="461"/>
      <c r="Q1621" s="358" t="s">
        <v>18</v>
      </c>
      <c r="R1621" s="358"/>
      <c r="S1621" s="358" t="s">
        <v>19</v>
      </c>
      <c r="T1621" s="528">
        <v>7</v>
      </c>
      <c r="U1621" s="324">
        <f>E1621/324*60</f>
        <v>0</v>
      </c>
      <c r="V1621" s="676"/>
      <c r="W1621" s="528"/>
      <c r="X1621" s="529"/>
      <c r="Y1621" s="323"/>
      <c r="Z1621" s="312">
        <f t="shared" si="613"/>
        <v>0</v>
      </c>
      <c r="AA1621" s="316">
        <f>SUM(E1621/269.5+0.25)</f>
        <v>0.25</v>
      </c>
    </row>
    <row r="1622" spans="1:27" ht="102.75" thickBot="1" x14ac:dyDescent="0.45">
      <c r="A1622" s="319" t="s">
        <v>731</v>
      </c>
      <c r="B1622" s="362" t="s">
        <v>969</v>
      </c>
      <c r="C1622" s="528">
        <f>C2105</f>
        <v>0</v>
      </c>
      <c r="D1622" s="548"/>
      <c r="E1622" s="456">
        <f>C1622*0.3</f>
        <v>0</v>
      </c>
      <c r="F1622" s="358">
        <f>E1622*1.03*0.84/147</f>
        <v>0</v>
      </c>
      <c r="G1622" s="549">
        <f t="shared" si="611"/>
        <v>0</v>
      </c>
      <c r="H1622" s="359" t="s">
        <v>18</v>
      </c>
      <c r="I1622" s="549">
        <f t="shared" si="612"/>
        <v>0</v>
      </c>
      <c r="J1622" s="359" t="s">
        <v>19</v>
      </c>
      <c r="K1622" s="358"/>
      <c r="L1622" s="358"/>
      <c r="M1622" s="358">
        <f>(F1622*5547/3456)</f>
        <v>0</v>
      </c>
      <c r="N1622" s="461"/>
      <c r="O1622" s="461"/>
      <c r="P1622" s="461"/>
      <c r="Q1622" s="324" t="s">
        <v>18</v>
      </c>
      <c r="R1622" s="324"/>
      <c r="S1622" s="324" t="s">
        <v>19</v>
      </c>
      <c r="T1622" s="528">
        <v>7</v>
      </c>
      <c r="U1622" s="324">
        <f>E1622/324*60</f>
        <v>0</v>
      </c>
      <c r="V1622" s="676"/>
      <c r="W1622" s="528"/>
      <c r="X1622" s="529"/>
      <c r="Y1622" s="323"/>
      <c r="Z1622" s="312">
        <f t="shared" si="613"/>
        <v>0</v>
      </c>
      <c r="AA1622" s="316">
        <f>SUM(E1622/260+0.25)</f>
        <v>0.25</v>
      </c>
    </row>
    <row r="1623" spans="1:27" s="728" customFormat="1" ht="77.25" outlineLevel="1" thickBot="1" x14ac:dyDescent="0.45">
      <c r="A1623" s="636" t="s">
        <v>731</v>
      </c>
      <c r="B1623" s="634" t="s">
        <v>764</v>
      </c>
      <c r="C1623" s="729">
        <f>C1467/2</f>
        <v>0</v>
      </c>
      <c r="D1623" s="720">
        <f>C1623*10</f>
        <v>0</v>
      </c>
      <c r="E1623" s="721">
        <f>D1623*0.2</f>
        <v>0</v>
      </c>
      <c r="F1623" s="722">
        <f>E1623*1.015*0.72/147</f>
        <v>0</v>
      </c>
      <c r="G1623" s="720">
        <f t="shared" si="611"/>
        <v>0</v>
      </c>
      <c r="H1623" s="722" t="s">
        <v>18</v>
      </c>
      <c r="I1623" s="720">
        <f t="shared" si="612"/>
        <v>0</v>
      </c>
      <c r="J1623" s="722" t="s">
        <v>19</v>
      </c>
      <c r="K1623" s="722"/>
      <c r="L1623" s="722"/>
      <c r="M1623" s="722">
        <f>(F1623*8070/3456)</f>
        <v>0</v>
      </c>
      <c r="N1623" s="722"/>
      <c r="O1623" s="722"/>
      <c r="P1623" s="722"/>
      <c r="Q1623" s="722" t="s">
        <v>18</v>
      </c>
      <c r="R1623" s="722"/>
      <c r="S1623" s="722" t="s">
        <v>19</v>
      </c>
      <c r="T1623" s="720">
        <v>6</v>
      </c>
      <c r="U1623" s="722">
        <f>E1623/259*60</f>
        <v>0</v>
      </c>
      <c r="V1623" s="724"/>
      <c r="W1623" s="720"/>
      <c r="X1623" s="725"/>
      <c r="Y1623" s="736"/>
      <c r="Z1623" s="727">
        <f t="shared" si="613"/>
        <v>0</v>
      </c>
      <c r="AA1623" s="815">
        <f>SUM(Z1623/411.6+0.25)</f>
        <v>0.25</v>
      </c>
    </row>
    <row r="1624" spans="1:27" s="728" customFormat="1" ht="77.25" outlineLevel="1" thickBot="1" x14ac:dyDescent="0.45">
      <c r="A1624" s="636" t="s">
        <v>731</v>
      </c>
      <c r="B1624" s="672" t="s">
        <v>760</v>
      </c>
      <c r="C1624" s="827">
        <f>(C1468)/2</f>
        <v>0</v>
      </c>
      <c r="D1624" s="720">
        <f>C1624*10</f>
        <v>0</v>
      </c>
      <c r="E1624" s="721">
        <f>D1624*0.2</f>
        <v>0</v>
      </c>
      <c r="F1624" s="722">
        <f>E1624*1.015*0.72/147</f>
        <v>0</v>
      </c>
      <c r="G1624" s="720">
        <f t="shared" si="611"/>
        <v>0</v>
      </c>
      <c r="H1624" s="722" t="s">
        <v>18</v>
      </c>
      <c r="I1624" s="720">
        <f t="shared" si="612"/>
        <v>0</v>
      </c>
      <c r="J1624" s="722" t="s">
        <v>19</v>
      </c>
      <c r="K1624" s="722"/>
      <c r="L1624" s="722"/>
      <c r="M1624" s="722">
        <f>(F1624*8070/3456)</f>
        <v>0</v>
      </c>
      <c r="N1624" s="722"/>
      <c r="O1624" s="722"/>
      <c r="P1624" s="722"/>
      <c r="Q1624" s="722" t="s">
        <v>18</v>
      </c>
      <c r="R1624" s="722"/>
      <c r="S1624" s="722" t="s">
        <v>19</v>
      </c>
      <c r="T1624" s="720">
        <v>6</v>
      </c>
      <c r="U1624" s="722">
        <f>E1624/259*60</f>
        <v>0</v>
      </c>
      <c r="V1624" s="724"/>
      <c r="W1624" s="720"/>
      <c r="X1624" s="725"/>
      <c r="Y1624" s="736"/>
      <c r="Z1624" s="727">
        <f t="shared" si="613"/>
        <v>0</v>
      </c>
      <c r="AA1624" s="815">
        <f>SUM(Z1624/411.6+0.25)</f>
        <v>0.25</v>
      </c>
    </row>
    <row r="1625" spans="1:27" thickBot="1" x14ac:dyDescent="0.45">
      <c r="A1625" s="329"/>
      <c r="B1625" s="344"/>
      <c r="C1625" s="588"/>
      <c r="D1625" s="589"/>
      <c r="E1625" s="460"/>
      <c r="F1625" s="324"/>
      <c r="G1625" s="528"/>
      <c r="H1625" s="324"/>
      <c r="I1625" s="528"/>
      <c r="J1625" s="324"/>
      <c r="K1625" s="324"/>
      <c r="L1625" s="324"/>
      <c r="M1625" s="324"/>
      <c r="N1625" s="324"/>
      <c r="O1625" s="324"/>
      <c r="P1625" s="324"/>
      <c r="Q1625" s="324"/>
      <c r="R1625" s="324"/>
      <c r="S1625" s="324"/>
      <c r="T1625" s="528"/>
      <c r="U1625" s="324"/>
      <c r="V1625" s="676"/>
      <c r="W1625" s="528"/>
      <c r="X1625" s="529"/>
      <c r="Y1625" s="323"/>
    </row>
    <row r="1626" spans="1:27" thickBot="1" x14ac:dyDescent="0.45">
      <c r="A1626" s="329"/>
      <c r="B1626" s="344"/>
      <c r="C1626" s="583"/>
      <c r="D1626" s="589"/>
      <c r="E1626" s="460"/>
      <c r="F1626" s="324"/>
      <c r="G1626" s="528"/>
      <c r="H1626" s="324"/>
      <c r="I1626" s="528"/>
      <c r="J1626" s="324"/>
      <c r="K1626" s="324"/>
      <c r="L1626" s="324"/>
      <c r="M1626" s="324"/>
      <c r="N1626" s="324"/>
      <c r="O1626" s="324"/>
      <c r="P1626" s="324"/>
      <c r="Q1626" s="324"/>
      <c r="R1626" s="324"/>
      <c r="S1626" s="324"/>
      <c r="T1626" s="528"/>
      <c r="U1626" s="324"/>
      <c r="V1626" s="676"/>
      <c r="W1626" s="528"/>
      <c r="X1626" s="529"/>
      <c r="Y1626" s="323"/>
    </row>
    <row r="1627" spans="1:27" ht="53.25" thickBot="1" x14ac:dyDescent="0.45">
      <c r="A1627" s="319"/>
      <c r="B1627" s="394" t="s">
        <v>695</v>
      </c>
      <c r="C1627" s="537"/>
      <c r="D1627" s="537"/>
      <c r="E1627" s="496"/>
      <c r="F1627" s="354"/>
      <c r="G1627" s="537"/>
      <c r="H1627" s="354"/>
      <c r="I1627" s="537"/>
      <c r="J1627" s="354"/>
      <c r="K1627" s="354"/>
      <c r="L1627" s="354"/>
      <c r="M1627" s="354"/>
      <c r="N1627" s="354"/>
      <c r="O1627" s="354"/>
      <c r="P1627" s="354"/>
      <c r="Q1627" s="354"/>
      <c r="R1627" s="354"/>
      <c r="S1627" s="354"/>
      <c r="T1627" s="537"/>
      <c r="U1627" s="354"/>
      <c r="V1627" s="682" t="s">
        <v>697</v>
      </c>
      <c r="W1627" s="537"/>
      <c r="X1627" s="540"/>
      <c r="Y1627" s="323"/>
    </row>
    <row r="1628" spans="1:27" thickBot="1" x14ac:dyDescent="0.45">
      <c r="A1628" s="319"/>
      <c r="B1628" s="417"/>
      <c r="C1628" s="528"/>
      <c r="D1628" s="528"/>
      <c r="E1628" s="460"/>
      <c r="F1628" s="324"/>
      <c r="G1628" s="528"/>
      <c r="H1628" s="324"/>
      <c r="I1628" s="528"/>
      <c r="J1628" s="324"/>
      <c r="K1628" s="324"/>
      <c r="L1628" s="324"/>
      <c r="M1628" s="324"/>
      <c r="N1628" s="324"/>
      <c r="O1628" s="324"/>
      <c r="P1628" s="324"/>
      <c r="Q1628" s="324"/>
      <c r="R1628" s="324"/>
      <c r="S1628" s="324"/>
      <c r="T1628" s="528"/>
      <c r="U1628" s="324"/>
      <c r="V1628" s="676"/>
      <c r="W1628" s="528"/>
      <c r="X1628" s="529"/>
      <c r="Y1628" s="323"/>
    </row>
    <row r="1629" spans="1:27" thickBot="1" x14ac:dyDescent="0.45">
      <c r="A1629" s="319"/>
      <c r="B1629" s="346"/>
      <c r="C1629" s="528"/>
      <c r="D1629" s="528"/>
      <c r="E1629" s="460"/>
      <c r="F1629" s="324"/>
      <c r="G1629" s="528"/>
      <c r="H1629" s="324"/>
      <c r="I1629" s="528"/>
      <c r="J1629" s="324"/>
      <c r="K1629" s="324"/>
      <c r="L1629" s="324"/>
      <c r="M1629" s="324"/>
      <c r="N1629" s="324"/>
      <c r="O1629" s="324"/>
      <c r="P1629" s="324"/>
      <c r="Q1629" s="324"/>
      <c r="R1629" s="324"/>
      <c r="S1629" s="324"/>
      <c r="T1629" s="528"/>
      <c r="U1629" s="324"/>
      <c r="V1629" s="676"/>
      <c r="W1629" s="528"/>
      <c r="X1629" s="529"/>
      <c r="Y1629" s="323"/>
    </row>
    <row r="1630" spans="1:27" thickBot="1" x14ac:dyDescent="0.45">
      <c r="A1630" s="319"/>
      <c r="B1630" s="332" t="s">
        <v>147</v>
      </c>
      <c r="C1630" s="537"/>
      <c r="D1630" s="537"/>
      <c r="E1630" s="496">
        <f>SUM(E1589:E1626)</f>
        <v>0</v>
      </c>
      <c r="F1630" s="324"/>
      <c r="G1630" s="528"/>
      <c r="H1630" s="324"/>
      <c r="I1630" s="528"/>
      <c r="J1630" s="324"/>
      <c r="K1630" s="324"/>
      <c r="L1630" s="324"/>
      <c r="M1630" s="324"/>
      <c r="N1630" s="324"/>
      <c r="O1630" s="324"/>
      <c r="P1630" s="324"/>
      <c r="Q1630" s="324"/>
      <c r="R1630" s="324"/>
      <c r="S1630" s="324"/>
      <c r="T1630" s="528"/>
      <c r="U1630" s="324"/>
      <c r="V1630" s="676"/>
      <c r="W1630" s="528"/>
      <c r="X1630" s="529"/>
      <c r="Y1630" s="323"/>
    </row>
    <row r="1631" spans="1:27" thickBot="1" x14ac:dyDescent="0.45">
      <c r="A1631" s="319"/>
      <c r="B1631" s="332" t="s">
        <v>709</v>
      </c>
      <c r="C1631" s="537"/>
      <c r="D1631" s="537"/>
      <c r="E1631" s="496">
        <f>SUM(E1570:E1587)</f>
        <v>0</v>
      </c>
      <c r="F1631" s="324"/>
      <c r="G1631" s="528"/>
      <c r="H1631" s="324"/>
      <c r="I1631" s="528"/>
      <c r="J1631" s="324"/>
      <c r="K1631" s="324"/>
      <c r="L1631" s="324"/>
      <c r="M1631" s="324"/>
      <c r="N1631" s="324"/>
      <c r="O1631" s="324"/>
      <c r="P1631" s="324"/>
      <c r="Q1631" s="324"/>
      <c r="R1631" s="324"/>
      <c r="S1631" s="324"/>
      <c r="T1631" s="528"/>
      <c r="U1631" s="324"/>
      <c r="V1631" s="676"/>
      <c r="W1631" s="528"/>
      <c r="X1631" s="529"/>
      <c r="Y1631" s="323"/>
    </row>
    <row r="1632" spans="1:27" thickBot="1" x14ac:dyDescent="0.45">
      <c r="A1632" s="319"/>
      <c r="B1632" s="340"/>
      <c r="C1632" s="559"/>
      <c r="D1632" s="559"/>
      <c r="E1632" s="510"/>
      <c r="F1632" s="333"/>
      <c r="G1632" s="539"/>
      <c r="H1632" s="333"/>
      <c r="I1632" s="539"/>
      <c r="J1632" s="333"/>
      <c r="K1632" s="333"/>
      <c r="L1632" s="333"/>
      <c r="M1632" s="333"/>
      <c r="N1632" s="333"/>
      <c r="O1632" s="333"/>
      <c r="P1632" s="333"/>
      <c r="Q1632" s="333"/>
      <c r="R1632" s="333"/>
      <c r="S1632" s="333"/>
      <c r="T1632" s="539"/>
      <c r="U1632" s="333"/>
      <c r="V1632" s="681"/>
      <c r="W1632" s="539"/>
      <c r="X1632" s="333"/>
      <c r="Y1632" s="323"/>
    </row>
    <row r="1633" spans="1:29" thickBot="1" x14ac:dyDescent="0.45">
      <c r="A1633" s="319"/>
      <c r="B1633" s="329"/>
      <c r="C1633" s="539"/>
      <c r="D1633" s="539"/>
      <c r="E1633" s="502"/>
      <c r="F1633" s="333"/>
      <c r="G1633" s="539"/>
      <c r="H1633" s="333"/>
      <c r="I1633" s="539"/>
      <c r="J1633" s="333"/>
      <c r="K1633" s="333"/>
      <c r="L1633" s="333"/>
      <c r="M1633" s="333"/>
      <c r="N1633" s="333"/>
      <c r="O1633" s="333"/>
      <c r="P1633" s="333"/>
      <c r="Q1633" s="333"/>
      <c r="R1633" s="333"/>
      <c r="S1633" s="333"/>
      <c r="T1633" s="539"/>
      <c r="U1633" s="333"/>
      <c r="V1633" s="681"/>
      <c r="W1633" s="539"/>
      <c r="X1633" s="333"/>
      <c r="Y1633" s="323"/>
    </row>
    <row r="1634" spans="1:29" thickBot="1" x14ac:dyDescent="0.45">
      <c r="A1634" s="829"/>
      <c r="B1634" s="305" t="s">
        <v>1188</v>
      </c>
      <c r="C1634" s="559"/>
      <c r="D1634" s="559"/>
      <c r="E1634" s="510"/>
      <c r="F1634" s="471"/>
      <c r="G1634" s="559"/>
      <c r="H1634" s="471"/>
      <c r="I1634" s="559"/>
      <c r="J1634" s="471"/>
      <c r="K1634" s="471"/>
      <c r="L1634" s="471"/>
      <c r="M1634" s="471"/>
      <c r="N1634" s="471"/>
      <c r="O1634" s="471"/>
      <c r="P1634" s="471"/>
      <c r="Q1634" s="471"/>
      <c r="R1634" s="471"/>
      <c r="S1634" s="471"/>
      <c r="T1634" s="559"/>
      <c r="U1634" s="471"/>
      <c r="V1634" s="687"/>
      <c r="W1634" s="471"/>
      <c r="X1634" s="471"/>
      <c r="Y1634" s="373"/>
      <c r="AA1634" s="391" t="s">
        <v>678</v>
      </c>
    </row>
    <row r="1635" spans="1:29" s="453" customFormat="1" ht="105.75" thickBot="1" x14ac:dyDescent="0.45">
      <c r="A1635" s="319" t="s">
        <v>1098</v>
      </c>
      <c r="B1635" s="487" t="s">
        <v>1044</v>
      </c>
      <c r="C1635" s="525">
        <f>C159+C383+C611</f>
        <v>0</v>
      </c>
      <c r="D1635" s="626"/>
      <c r="E1635" s="358">
        <f>C1635*2</f>
        <v>0</v>
      </c>
      <c r="F1635" s="627">
        <f>E1635*1.03*0.82/147</f>
        <v>0</v>
      </c>
      <c r="G1635" s="628">
        <f>INT(M1635)</f>
        <v>0</v>
      </c>
      <c r="H1635" s="359"/>
      <c r="I1635" s="628">
        <f>(M1635-G1635)*64</f>
        <v>0</v>
      </c>
      <c r="J1635" s="629" t="s">
        <v>19</v>
      </c>
      <c r="K1635" s="630"/>
      <c r="L1635" s="630"/>
      <c r="M1635" s="627">
        <f>F1635*147/0.46/64</f>
        <v>0</v>
      </c>
      <c r="N1635" s="631"/>
      <c r="O1635" s="631"/>
      <c r="P1635" s="631"/>
      <c r="Q1635" s="324" t="s">
        <v>18</v>
      </c>
      <c r="R1635" s="324"/>
      <c r="S1635" s="324" t="s">
        <v>19</v>
      </c>
      <c r="T1635" s="528">
        <v>7</v>
      </c>
      <c r="U1635" s="461"/>
      <c r="V1635" s="688"/>
      <c r="W1635" s="525"/>
      <c r="X1635" s="560"/>
      <c r="Y1635" s="451"/>
      <c r="Z1635" s="312">
        <f>E1635</f>
        <v>0</v>
      </c>
      <c r="AA1635" s="316">
        <f>SUM(M1635/2.8)</f>
        <v>0</v>
      </c>
      <c r="AB1635" s="310"/>
      <c r="AC1635" s="453" t="s">
        <v>1058</v>
      </c>
    </row>
    <row r="1636" spans="1:29" s="453" customFormat="1" ht="105.75" thickBot="1" x14ac:dyDescent="0.45">
      <c r="A1636" s="319" t="s">
        <v>1098</v>
      </c>
      <c r="B1636" s="487" t="s">
        <v>1084</v>
      </c>
      <c r="C1636" s="525">
        <f>C161+C385+C613</f>
        <v>0</v>
      </c>
      <c r="D1636" s="626"/>
      <c r="E1636" s="358">
        <f>C1636*0.4</f>
        <v>0</v>
      </c>
      <c r="F1636" s="627">
        <f>E1636*1.03*0.82/147</f>
        <v>0</v>
      </c>
      <c r="G1636" s="628">
        <f>INT(M1636)</f>
        <v>0</v>
      </c>
      <c r="H1636" s="359"/>
      <c r="I1636" s="628">
        <f>(M1636-G1636)*64</f>
        <v>0</v>
      </c>
      <c r="J1636" s="629" t="s">
        <v>19</v>
      </c>
      <c r="K1636" s="630"/>
      <c r="L1636" s="630"/>
      <c r="M1636" s="627">
        <f>F1636*147/0.46/64</f>
        <v>0</v>
      </c>
      <c r="N1636" s="631"/>
      <c r="O1636" s="631"/>
      <c r="P1636" s="631"/>
      <c r="Q1636" s="324" t="s">
        <v>18</v>
      </c>
      <c r="R1636" s="324"/>
      <c r="S1636" s="324" t="s">
        <v>19</v>
      </c>
      <c r="T1636" s="528">
        <v>7</v>
      </c>
      <c r="U1636" s="461"/>
      <c r="V1636" s="688"/>
      <c r="W1636" s="525"/>
      <c r="X1636" s="560"/>
      <c r="Y1636" s="451"/>
      <c r="Z1636" s="312">
        <f>E1636</f>
        <v>0</v>
      </c>
      <c r="AA1636" s="316">
        <f>SUM(M1636/2.8)</f>
        <v>0</v>
      </c>
      <c r="AB1636" s="310"/>
      <c r="AC1636" s="453" t="s">
        <v>1058</v>
      </c>
    </row>
    <row r="1637" spans="1:29" ht="105.75" thickBot="1" x14ac:dyDescent="0.45">
      <c r="A1637" s="319" t="s">
        <v>1098</v>
      </c>
      <c r="B1637" s="320" t="s">
        <v>783</v>
      </c>
      <c r="C1637" s="528">
        <f t="shared" ref="C1637:C1660" si="614">C812</f>
        <v>0</v>
      </c>
      <c r="D1637" s="530"/>
      <c r="E1637" s="456">
        <f>C1637*4</f>
        <v>0</v>
      </c>
      <c r="F1637" s="358">
        <f t="shared" ref="F1637:F1642" si="615">E1637*1.01*0.72/147</f>
        <v>0</v>
      </c>
      <c r="G1637" s="548">
        <f t="shared" ref="G1637:G1646" si="616">INT(M1637)</f>
        <v>0</v>
      </c>
      <c r="H1637" s="358" t="s">
        <v>18</v>
      </c>
      <c r="I1637" s="548">
        <f t="shared" ref="I1637:I1646" si="617">(M1637-G1637)*64</f>
        <v>0</v>
      </c>
      <c r="J1637" s="358" t="s">
        <v>19</v>
      </c>
      <c r="K1637" s="358"/>
      <c r="L1637" s="358"/>
      <c r="M1637" s="358">
        <f t="shared" ref="M1637:M1642" si="618">(F1637*6035/3456)</f>
        <v>0</v>
      </c>
      <c r="N1637" s="324"/>
      <c r="O1637" s="324"/>
      <c r="P1637" s="324"/>
      <c r="Q1637" s="324" t="s">
        <v>18</v>
      </c>
      <c r="R1637" s="324"/>
      <c r="S1637" s="324" t="s">
        <v>19</v>
      </c>
      <c r="T1637" s="528"/>
      <c r="U1637" s="324">
        <f>E1637/324*60</f>
        <v>0</v>
      </c>
      <c r="V1637" s="676"/>
      <c r="W1637" s="528"/>
      <c r="X1637" s="529"/>
      <c r="Y1637" s="323"/>
      <c r="Z1637" s="312">
        <f t="shared" ref="Z1637:Z1653" si="619">E1637</f>
        <v>0</v>
      </c>
      <c r="AA1637" s="316">
        <f>SUM(Z1637/548.9+0.25)</f>
        <v>0.25</v>
      </c>
    </row>
    <row r="1638" spans="1:29" ht="105.75" thickBot="1" x14ac:dyDescent="0.45">
      <c r="A1638" s="319" t="s">
        <v>1098</v>
      </c>
      <c r="B1638" s="320" t="s">
        <v>784</v>
      </c>
      <c r="C1638" s="528">
        <f t="shared" si="614"/>
        <v>0</v>
      </c>
      <c r="D1638" s="530"/>
      <c r="E1638" s="456">
        <f>C1638*4</f>
        <v>0</v>
      </c>
      <c r="F1638" s="358">
        <f t="shared" si="615"/>
        <v>0</v>
      </c>
      <c r="G1638" s="548">
        <f t="shared" si="616"/>
        <v>0</v>
      </c>
      <c r="H1638" s="358" t="s">
        <v>18</v>
      </c>
      <c r="I1638" s="548">
        <f t="shared" si="617"/>
        <v>0</v>
      </c>
      <c r="J1638" s="358" t="s">
        <v>19</v>
      </c>
      <c r="K1638" s="358"/>
      <c r="L1638" s="358"/>
      <c r="M1638" s="358">
        <f t="shared" si="618"/>
        <v>0</v>
      </c>
      <c r="N1638" s="324"/>
      <c r="O1638" s="324"/>
      <c r="P1638" s="324"/>
      <c r="Q1638" s="324" t="s">
        <v>18</v>
      </c>
      <c r="R1638" s="324"/>
      <c r="S1638" s="324" t="s">
        <v>19</v>
      </c>
      <c r="T1638" s="528"/>
      <c r="U1638" s="324">
        <f>E1638/324*60</f>
        <v>0</v>
      </c>
      <c r="V1638" s="676"/>
      <c r="W1638" s="528"/>
      <c r="X1638" s="529"/>
      <c r="Y1638" s="323"/>
      <c r="Z1638" s="312">
        <f t="shared" si="619"/>
        <v>0</v>
      </c>
      <c r="AA1638" s="316">
        <f>SUM(Z1638/548.9+0.25)</f>
        <v>0.25</v>
      </c>
    </row>
    <row r="1639" spans="1:29" ht="105.75" thickBot="1" x14ac:dyDescent="0.45">
      <c r="A1639" s="319" t="s">
        <v>1098</v>
      </c>
      <c r="B1639" s="320" t="s">
        <v>744</v>
      </c>
      <c r="C1639" s="528">
        <f t="shared" si="614"/>
        <v>0</v>
      </c>
      <c r="D1639" s="528"/>
      <c r="E1639" s="456">
        <f>C1639*4</f>
        <v>0</v>
      </c>
      <c r="F1639" s="358">
        <f t="shared" si="615"/>
        <v>0</v>
      </c>
      <c r="G1639" s="548">
        <f t="shared" si="616"/>
        <v>0</v>
      </c>
      <c r="H1639" s="358" t="s">
        <v>18</v>
      </c>
      <c r="I1639" s="548">
        <f t="shared" si="617"/>
        <v>0</v>
      </c>
      <c r="J1639" s="358" t="s">
        <v>19</v>
      </c>
      <c r="K1639" s="358"/>
      <c r="L1639" s="358"/>
      <c r="M1639" s="358">
        <f t="shared" si="618"/>
        <v>0</v>
      </c>
      <c r="N1639" s="324"/>
      <c r="O1639" s="324"/>
      <c r="P1639" s="324"/>
      <c r="Q1639" s="324" t="s">
        <v>18</v>
      </c>
      <c r="R1639" s="324"/>
      <c r="S1639" s="324" t="s">
        <v>19</v>
      </c>
      <c r="T1639" s="528"/>
      <c r="U1639" s="324">
        <f t="shared" ref="U1639:U1653" si="620">E1639/324*60</f>
        <v>0</v>
      </c>
      <c r="V1639" s="676"/>
      <c r="W1639" s="528"/>
      <c r="X1639" s="529"/>
      <c r="Y1639" s="323"/>
      <c r="Z1639" s="312">
        <f t="shared" si="619"/>
        <v>0</v>
      </c>
      <c r="AA1639" s="316">
        <f>SUM(Z1639/548.9+0.25)</f>
        <v>0.25</v>
      </c>
    </row>
    <row r="1640" spans="1:29" ht="105.75" thickBot="1" x14ac:dyDescent="0.45">
      <c r="A1640" s="319" t="s">
        <v>1098</v>
      </c>
      <c r="B1640" s="320" t="s">
        <v>745</v>
      </c>
      <c r="C1640" s="528">
        <f t="shared" si="614"/>
        <v>0</v>
      </c>
      <c r="D1640" s="528"/>
      <c r="E1640" s="456">
        <f>C1640*2.5</f>
        <v>0</v>
      </c>
      <c r="F1640" s="358">
        <f t="shared" si="615"/>
        <v>0</v>
      </c>
      <c r="G1640" s="548">
        <f t="shared" si="616"/>
        <v>0</v>
      </c>
      <c r="H1640" s="358" t="s">
        <v>18</v>
      </c>
      <c r="I1640" s="548">
        <f t="shared" si="617"/>
        <v>0</v>
      </c>
      <c r="J1640" s="358" t="s">
        <v>19</v>
      </c>
      <c r="K1640" s="358"/>
      <c r="L1640" s="358"/>
      <c r="M1640" s="358">
        <f t="shared" si="618"/>
        <v>0</v>
      </c>
      <c r="N1640" s="324"/>
      <c r="O1640" s="324"/>
      <c r="P1640" s="324"/>
      <c r="Q1640" s="324" t="s">
        <v>18</v>
      </c>
      <c r="R1640" s="324"/>
      <c r="S1640" s="324" t="s">
        <v>19</v>
      </c>
      <c r="T1640" s="528">
        <v>7</v>
      </c>
      <c r="U1640" s="324">
        <f t="shared" si="620"/>
        <v>0</v>
      </c>
      <c r="V1640" s="676"/>
      <c r="W1640" s="528"/>
      <c r="X1640" s="529"/>
      <c r="Y1640" s="323"/>
      <c r="Z1640" s="312">
        <f t="shared" si="619"/>
        <v>0</v>
      </c>
      <c r="AA1640" s="316">
        <f>SUM(Z1640/609.8+0.25)</f>
        <v>0.25</v>
      </c>
    </row>
    <row r="1641" spans="1:29" ht="105.75" thickBot="1" x14ac:dyDescent="0.45">
      <c r="A1641" s="319" t="s">
        <v>1098</v>
      </c>
      <c r="B1641" s="320" t="s">
        <v>746</v>
      </c>
      <c r="C1641" s="528">
        <f t="shared" si="614"/>
        <v>0</v>
      </c>
      <c r="D1641" s="528"/>
      <c r="E1641" s="456">
        <f>C1641*4</f>
        <v>0</v>
      </c>
      <c r="F1641" s="358">
        <f t="shared" si="615"/>
        <v>0</v>
      </c>
      <c r="G1641" s="548">
        <f t="shared" si="616"/>
        <v>0</v>
      </c>
      <c r="H1641" s="358" t="s">
        <v>18</v>
      </c>
      <c r="I1641" s="548">
        <f t="shared" si="617"/>
        <v>0</v>
      </c>
      <c r="J1641" s="358" t="s">
        <v>19</v>
      </c>
      <c r="K1641" s="358"/>
      <c r="L1641" s="358"/>
      <c r="M1641" s="358">
        <f t="shared" si="618"/>
        <v>0</v>
      </c>
      <c r="N1641" s="324"/>
      <c r="O1641" s="324"/>
      <c r="P1641" s="324"/>
      <c r="Q1641" s="324" t="s">
        <v>18</v>
      </c>
      <c r="R1641" s="324"/>
      <c r="S1641" s="324" t="s">
        <v>19</v>
      </c>
      <c r="T1641" s="528"/>
      <c r="U1641" s="324">
        <f t="shared" si="620"/>
        <v>0</v>
      </c>
      <c r="V1641" s="676"/>
      <c r="W1641" s="528"/>
      <c r="X1641" s="529"/>
      <c r="Y1641" s="323"/>
      <c r="Z1641" s="312">
        <f t="shared" si="619"/>
        <v>0</v>
      </c>
      <c r="AA1641" s="316">
        <f>SUM(Z1641/548.9+0.25)</f>
        <v>0.25</v>
      </c>
    </row>
    <row r="1642" spans="1:29" ht="105.75" thickBot="1" x14ac:dyDescent="0.45">
      <c r="A1642" s="319" t="s">
        <v>1098</v>
      </c>
      <c r="B1642" s="320" t="s">
        <v>747</v>
      </c>
      <c r="C1642" s="528">
        <f t="shared" si="614"/>
        <v>0</v>
      </c>
      <c r="D1642" s="528"/>
      <c r="E1642" s="456">
        <f>C1642*2.5</f>
        <v>0</v>
      </c>
      <c r="F1642" s="358">
        <f t="shared" si="615"/>
        <v>0</v>
      </c>
      <c r="G1642" s="548">
        <f t="shared" si="616"/>
        <v>0</v>
      </c>
      <c r="H1642" s="358" t="s">
        <v>18</v>
      </c>
      <c r="I1642" s="548">
        <f t="shared" si="617"/>
        <v>0</v>
      </c>
      <c r="J1642" s="358" t="s">
        <v>19</v>
      </c>
      <c r="K1642" s="358"/>
      <c r="L1642" s="358"/>
      <c r="M1642" s="358">
        <f t="shared" si="618"/>
        <v>0</v>
      </c>
      <c r="N1642" s="324"/>
      <c r="O1642" s="324"/>
      <c r="P1642" s="324"/>
      <c r="Q1642" s="324" t="s">
        <v>18</v>
      </c>
      <c r="R1642" s="324"/>
      <c r="S1642" s="324" t="s">
        <v>19</v>
      </c>
      <c r="T1642" s="528">
        <v>7</v>
      </c>
      <c r="U1642" s="324">
        <f t="shared" si="620"/>
        <v>0</v>
      </c>
      <c r="V1642" s="676"/>
      <c r="W1642" s="528"/>
      <c r="X1642" s="529"/>
      <c r="Y1642" s="323"/>
      <c r="Z1642" s="312">
        <f t="shared" si="619"/>
        <v>0</v>
      </c>
      <c r="AA1642" s="316">
        <f>SUM(Z1642/548.9+0.25)</f>
        <v>0.25</v>
      </c>
    </row>
    <row r="1643" spans="1:29" ht="105.75" thickBot="1" x14ac:dyDescent="0.45">
      <c r="A1643" s="319" t="s">
        <v>1098</v>
      </c>
      <c r="B1643" s="320" t="s">
        <v>748</v>
      </c>
      <c r="C1643" s="528">
        <f t="shared" si="614"/>
        <v>0</v>
      </c>
      <c r="D1643" s="528"/>
      <c r="E1643" s="456">
        <f>C1643*2.5</f>
        <v>0</v>
      </c>
      <c r="F1643" s="358">
        <f>E1643*1.03*0.82/147</f>
        <v>0</v>
      </c>
      <c r="G1643" s="549">
        <f t="shared" si="616"/>
        <v>0</v>
      </c>
      <c r="H1643" s="359" t="s">
        <v>18</v>
      </c>
      <c r="I1643" s="549">
        <f t="shared" si="617"/>
        <v>0</v>
      </c>
      <c r="J1643" s="359" t="s">
        <v>19</v>
      </c>
      <c r="K1643" s="358"/>
      <c r="L1643" s="358"/>
      <c r="M1643" s="358">
        <f>(F1643*5547/3456)</f>
        <v>0</v>
      </c>
      <c r="N1643" s="324"/>
      <c r="O1643" s="324"/>
      <c r="P1643" s="324"/>
      <c r="Q1643" s="324" t="s">
        <v>18</v>
      </c>
      <c r="R1643" s="324"/>
      <c r="S1643" s="324" t="s">
        <v>19</v>
      </c>
      <c r="T1643" s="528">
        <v>7</v>
      </c>
      <c r="U1643" s="324">
        <f t="shared" si="620"/>
        <v>0</v>
      </c>
      <c r="V1643" s="676"/>
      <c r="W1643" s="528"/>
      <c r="X1643" s="529"/>
      <c r="Y1643" s="323"/>
      <c r="Z1643" s="312">
        <f t="shared" si="619"/>
        <v>0</v>
      </c>
      <c r="AA1643" s="316">
        <f>SUM(Z1643/609.8+0.25)</f>
        <v>0.25</v>
      </c>
    </row>
    <row r="1644" spans="1:29" ht="105.75" thickBot="1" x14ac:dyDescent="0.45">
      <c r="A1644" s="319" t="s">
        <v>1098</v>
      </c>
      <c r="B1644" s="320" t="s">
        <v>749</v>
      </c>
      <c r="C1644" s="528">
        <f t="shared" si="614"/>
        <v>0</v>
      </c>
      <c r="D1644" s="528"/>
      <c r="E1644" s="456">
        <f>C1644*4</f>
        <v>0</v>
      </c>
      <c r="F1644" s="358">
        <f>E1644*1.03*0.82/147</f>
        <v>0</v>
      </c>
      <c r="G1644" s="548">
        <f t="shared" si="616"/>
        <v>0</v>
      </c>
      <c r="H1644" s="358" t="s">
        <v>18</v>
      </c>
      <c r="I1644" s="548">
        <f t="shared" si="617"/>
        <v>0</v>
      </c>
      <c r="J1644" s="358" t="s">
        <v>19</v>
      </c>
      <c r="K1644" s="358"/>
      <c r="L1644" s="358"/>
      <c r="M1644" s="358">
        <f>(F1644*5547/3456)</f>
        <v>0</v>
      </c>
      <c r="N1644" s="324"/>
      <c r="O1644" s="324"/>
      <c r="P1644" s="324"/>
      <c r="Q1644" s="324" t="s">
        <v>18</v>
      </c>
      <c r="R1644" s="324"/>
      <c r="S1644" s="324" t="s">
        <v>19</v>
      </c>
      <c r="T1644" s="528"/>
      <c r="U1644" s="324">
        <f t="shared" si="620"/>
        <v>0</v>
      </c>
      <c r="V1644" s="685"/>
      <c r="W1644" s="528"/>
      <c r="X1644" s="529"/>
      <c r="Y1644" s="323"/>
      <c r="Z1644" s="312">
        <f t="shared" si="619"/>
        <v>0</v>
      </c>
      <c r="AA1644" s="316">
        <f>SUM(Z1644/609.8+0.25)</f>
        <v>0.25</v>
      </c>
    </row>
    <row r="1645" spans="1:29" ht="105.75" thickBot="1" x14ac:dyDescent="0.45">
      <c r="A1645" s="319" t="s">
        <v>1098</v>
      </c>
      <c r="B1645" s="320" t="s">
        <v>1149</v>
      </c>
      <c r="C1645" s="528">
        <f t="shared" si="614"/>
        <v>0</v>
      </c>
      <c r="D1645" s="528"/>
      <c r="E1645" s="456">
        <f>C1645*4</f>
        <v>0</v>
      </c>
      <c r="F1645" s="358">
        <f>E1645*1.03*0.82/147</f>
        <v>0</v>
      </c>
      <c r="G1645" s="548">
        <f t="shared" si="616"/>
        <v>0</v>
      </c>
      <c r="H1645" s="358" t="s">
        <v>18</v>
      </c>
      <c r="I1645" s="548">
        <f t="shared" si="617"/>
        <v>0</v>
      </c>
      <c r="J1645" s="358" t="s">
        <v>19</v>
      </c>
      <c r="K1645" s="358"/>
      <c r="L1645" s="358"/>
      <c r="M1645" s="358">
        <f>(F1645*5547/3456)</f>
        <v>0</v>
      </c>
      <c r="N1645" s="324"/>
      <c r="O1645" s="324"/>
      <c r="P1645" s="324"/>
      <c r="Q1645" s="324" t="s">
        <v>18</v>
      </c>
      <c r="R1645" s="324"/>
      <c r="S1645" s="324" t="s">
        <v>19</v>
      </c>
      <c r="T1645" s="528"/>
      <c r="U1645" s="324">
        <f t="shared" si="620"/>
        <v>0</v>
      </c>
      <c r="V1645" s="676"/>
      <c r="W1645" s="528"/>
      <c r="X1645" s="529"/>
      <c r="Y1645" s="323"/>
      <c r="Z1645" s="312">
        <f t="shared" si="619"/>
        <v>0</v>
      </c>
      <c r="AA1645" s="316">
        <f>SUM(Z1645/609.8+0.25)</f>
        <v>0.25</v>
      </c>
    </row>
    <row r="1646" spans="1:29" ht="105.75" outlineLevel="1" thickBot="1" x14ac:dyDescent="0.45">
      <c r="A1646" s="319" t="s">
        <v>1098</v>
      </c>
      <c r="B1646" s="799" t="s">
        <v>1209</v>
      </c>
      <c r="C1646" s="528">
        <f t="shared" si="614"/>
        <v>0</v>
      </c>
      <c r="D1646" s="528"/>
      <c r="E1646" s="456">
        <f>C1646*4</f>
        <v>0</v>
      </c>
      <c r="F1646" s="358">
        <f>E1646*1.03*0.82/147</f>
        <v>0</v>
      </c>
      <c r="G1646" s="548">
        <f t="shared" si="616"/>
        <v>0</v>
      </c>
      <c r="H1646" s="358" t="s">
        <v>18</v>
      </c>
      <c r="I1646" s="548">
        <f t="shared" si="617"/>
        <v>0</v>
      </c>
      <c r="J1646" s="358" t="s">
        <v>19</v>
      </c>
      <c r="K1646" s="358"/>
      <c r="L1646" s="358"/>
      <c r="M1646" s="358">
        <f>(F1646*5547/3456)</f>
        <v>0</v>
      </c>
      <c r="N1646" s="324"/>
      <c r="O1646" s="324"/>
      <c r="P1646" s="324"/>
      <c r="Q1646" s="324" t="s">
        <v>18</v>
      </c>
      <c r="R1646" s="324"/>
      <c r="S1646" s="324" t="s">
        <v>19</v>
      </c>
      <c r="T1646" s="528"/>
      <c r="U1646" s="324">
        <f t="shared" si="620"/>
        <v>0</v>
      </c>
      <c r="V1646" s="676"/>
      <c r="W1646" s="528"/>
      <c r="X1646" s="529"/>
      <c r="Y1646" s="323"/>
      <c r="Z1646" s="312">
        <f t="shared" si="619"/>
        <v>0</v>
      </c>
      <c r="AA1646" s="316">
        <f>SUM(Z1646/609.8+0.25)</f>
        <v>0.25</v>
      </c>
    </row>
    <row r="1647" spans="1:29" ht="105.75" thickBot="1" x14ac:dyDescent="0.45">
      <c r="A1647" s="319" t="s">
        <v>1098</v>
      </c>
      <c r="B1647" s="320" t="s">
        <v>751</v>
      </c>
      <c r="C1647" s="528">
        <f t="shared" si="614"/>
        <v>0</v>
      </c>
      <c r="D1647" s="528"/>
      <c r="E1647" s="456">
        <f>C1647*4</f>
        <v>0</v>
      </c>
      <c r="F1647" s="358">
        <f>E1647*1.01*0.72/147</f>
        <v>0</v>
      </c>
      <c r="G1647" s="548">
        <f t="shared" ref="G1647:G1660" si="621">INT(M1647)</f>
        <v>0</v>
      </c>
      <c r="H1647" s="358" t="s">
        <v>18</v>
      </c>
      <c r="I1647" s="548">
        <f t="shared" ref="I1647:I1660" si="622">(M1647-G1647)*64</f>
        <v>0</v>
      </c>
      <c r="J1647" s="358" t="s">
        <v>19</v>
      </c>
      <c r="K1647" s="358"/>
      <c r="L1647" s="358"/>
      <c r="M1647" s="358">
        <f>(F1647*6035/3456)</f>
        <v>0</v>
      </c>
      <c r="N1647" s="324"/>
      <c r="O1647" s="324"/>
      <c r="P1647" s="324"/>
      <c r="Q1647" s="324" t="s">
        <v>18</v>
      </c>
      <c r="R1647" s="324"/>
      <c r="S1647" s="324" t="s">
        <v>19</v>
      </c>
      <c r="T1647" s="528"/>
      <c r="U1647" s="324">
        <f t="shared" si="620"/>
        <v>0</v>
      </c>
      <c r="V1647" s="676"/>
      <c r="W1647" s="528"/>
      <c r="X1647" s="529"/>
      <c r="Y1647" s="323"/>
      <c r="Z1647" s="312">
        <f t="shared" si="619"/>
        <v>0</v>
      </c>
      <c r="AA1647" s="316">
        <f>SUM(Z1647/548.9+0.25)</f>
        <v>0.25</v>
      </c>
    </row>
    <row r="1648" spans="1:29" ht="105.75" thickBot="1" x14ac:dyDescent="0.45">
      <c r="A1648" s="319" t="s">
        <v>1098</v>
      </c>
      <c r="B1648" s="343" t="s">
        <v>752</v>
      </c>
      <c r="C1648" s="528">
        <f t="shared" si="614"/>
        <v>0</v>
      </c>
      <c r="D1648" s="528"/>
      <c r="E1648" s="457">
        <f>C1648*3</f>
        <v>0</v>
      </c>
      <c r="F1648" s="358">
        <f>E1648*1.03*0.82/147</f>
        <v>0</v>
      </c>
      <c r="G1648" s="549">
        <f t="shared" si="621"/>
        <v>0</v>
      </c>
      <c r="H1648" s="359" t="s">
        <v>18</v>
      </c>
      <c r="I1648" s="549">
        <f t="shared" si="622"/>
        <v>0</v>
      </c>
      <c r="J1648" s="359" t="s">
        <v>19</v>
      </c>
      <c r="K1648" s="358"/>
      <c r="L1648" s="358"/>
      <c r="M1648" s="358">
        <f>(F1648*5547/3456)</f>
        <v>0</v>
      </c>
      <c r="N1648" s="324"/>
      <c r="O1648" s="324"/>
      <c r="P1648" s="324"/>
      <c r="Q1648" s="324" t="s">
        <v>18</v>
      </c>
      <c r="R1648" s="324"/>
      <c r="S1648" s="324" t="s">
        <v>19</v>
      </c>
      <c r="T1648" s="528">
        <v>7</v>
      </c>
      <c r="U1648" s="324">
        <f t="shared" si="620"/>
        <v>0</v>
      </c>
      <c r="V1648" s="676"/>
      <c r="W1648" s="528"/>
      <c r="X1648" s="529"/>
      <c r="Y1648" s="323"/>
      <c r="Z1648" s="312">
        <f t="shared" si="619"/>
        <v>0</v>
      </c>
      <c r="AA1648" s="316">
        <f>SUM(Z1648/609.8+0.25)</f>
        <v>0.25</v>
      </c>
    </row>
    <row r="1649" spans="1:27" ht="105.75" thickBot="1" x14ac:dyDescent="0.45">
      <c r="A1649" s="319" t="s">
        <v>1098</v>
      </c>
      <c r="B1649" s="344" t="s">
        <v>879</v>
      </c>
      <c r="C1649" s="528">
        <f t="shared" si="614"/>
        <v>0</v>
      </c>
      <c r="D1649" s="528"/>
      <c r="E1649" s="457">
        <f>C1649*3</f>
        <v>0</v>
      </c>
      <c r="F1649" s="358">
        <f>E1649*1.03*0.82/147</f>
        <v>0</v>
      </c>
      <c r="G1649" s="549">
        <f t="shared" si="621"/>
        <v>0</v>
      </c>
      <c r="H1649" s="359" t="s">
        <v>18</v>
      </c>
      <c r="I1649" s="549">
        <f t="shared" si="622"/>
        <v>0</v>
      </c>
      <c r="J1649" s="359" t="s">
        <v>19</v>
      </c>
      <c r="K1649" s="358"/>
      <c r="L1649" s="358"/>
      <c r="M1649" s="358">
        <f>(F1649*5547/3456)</f>
        <v>0</v>
      </c>
      <c r="N1649" s="324"/>
      <c r="O1649" s="324"/>
      <c r="P1649" s="324"/>
      <c r="Q1649" s="324" t="s">
        <v>18</v>
      </c>
      <c r="R1649" s="324"/>
      <c r="S1649" s="324" t="s">
        <v>19</v>
      </c>
      <c r="T1649" s="528"/>
      <c r="U1649" s="324">
        <f t="shared" si="620"/>
        <v>0</v>
      </c>
      <c r="V1649" s="676"/>
      <c r="W1649" s="528"/>
      <c r="X1649" s="529"/>
      <c r="Y1649" s="323"/>
      <c r="Z1649" s="312">
        <f t="shared" si="619"/>
        <v>0</v>
      </c>
      <c r="AA1649" s="316">
        <f>SUM(Z1649/609.8+0.25)</f>
        <v>0.25</v>
      </c>
    </row>
    <row r="1650" spans="1:27" ht="105.75" outlineLevel="1" thickBot="1" x14ac:dyDescent="0.45">
      <c r="A1650" s="319" t="s">
        <v>1098</v>
      </c>
      <c r="B1650" s="320" t="s">
        <v>895</v>
      </c>
      <c r="C1650" s="528">
        <f t="shared" si="614"/>
        <v>0</v>
      </c>
      <c r="D1650" s="528"/>
      <c r="E1650" s="456">
        <f>C1650*1.7</f>
        <v>0</v>
      </c>
      <c r="F1650" s="358">
        <f>E1650*1.03*0.82/147</f>
        <v>0</v>
      </c>
      <c r="G1650" s="549">
        <f t="shared" si="621"/>
        <v>0</v>
      </c>
      <c r="H1650" s="359" t="s">
        <v>18</v>
      </c>
      <c r="I1650" s="549">
        <f t="shared" si="622"/>
        <v>0</v>
      </c>
      <c r="J1650" s="359" t="s">
        <v>19</v>
      </c>
      <c r="K1650" s="358"/>
      <c r="L1650" s="358"/>
      <c r="M1650" s="358">
        <f>(F1650*5547/3456)</f>
        <v>0</v>
      </c>
      <c r="N1650" s="358"/>
      <c r="O1650" s="358"/>
      <c r="P1650" s="358"/>
      <c r="Q1650" s="358" t="s">
        <v>18</v>
      </c>
      <c r="R1650" s="358"/>
      <c r="S1650" s="358" t="s">
        <v>19</v>
      </c>
      <c r="T1650" s="528"/>
      <c r="U1650" s="324">
        <f t="shared" si="620"/>
        <v>0</v>
      </c>
      <c r="V1650" s="685"/>
      <c r="W1650" s="528"/>
      <c r="X1650" s="529"/>
      <c r="Y1650" s="323"/>
      <c r="Z1650" s="312">
        <f t="shared" si="619"/>
        <v>0</v>
      </c>
      <c r="AA1650" s="316">
        <f>SUM(Z1650/609.8+0.25)</f>
        <v>0.25</v>
      </c>
    </row>
    <row r="1651" spans="1:27" ht="105.75" thickBot="1" x14ac:dyDescent="0.45">
      <c r="A1651" s="319" t="s">
        <v>1098</v>
      </c>
      <c r="B1651" s="799" t="s">
        <v>1185</v>
      </c>
      <c r="C1651" s="528">
        <f t="shared" si="614"/>
        <v>0</v>
      </c>
      <c r="D1651" s="528"/>
      <c r="E1651" s="456">
        <f>C1651*1.7</f>
        <v>0</v>
      </c>
      <c r="F1651" s="358">
        <f>E1651*1.03*0.82/147</f>
        <v>0</v>
      </c>
      <c r="G1651" s="549">
        <f t="shared" si="621"/>
        <v>0</v>
      </c>
      <c r="H1651" s="359" t="s">
        <v>18</v>
      </c>
      <c r="I1651" s="549">
        <f t="shared" si="622"/>
        <v>0</v>
      </c>
      <c r="J1651" s="359" t="s">
        <v>19</v>
      </c>
      <c r="K1651" s="358"/>
      <c r="L1651" s="358"/>
      <c r="M1651" s="358">
        <f>(F1651*5547/3456)</f>
        <v>0</v>
      </c>
      <c r="N1651" s="358"/>
      <c r="O1651" s="358"/>
      <c r="P1651" s="358"/>
      <c r="Q1651" s="358" t="s">
        <v>18</v>
      </c>
      <c r="R1651" s="358"/>
      <c r="S1651" s="358" t="s">
        <v>19</v>
      </c>
      <c r="T1651" s="528"/>
      <c r="U1651" s="324">
        <f t="shared" si="620"/>
        <v>0</v>
      </c>
      <c r="V1651" s="685"/>
      <c r="W1651" s="528"/>
      <c r="X1651" s="529"/>
      <c r="Y1651" s="323"/>
      <c r="Z1651" s="312">
        <f t="shared" si="619"/>
        <v>0</v>
      </c>
      <c r="AA1651" s="316">
        <f>SUM(Z1651/609.8+0.25)</f>
        <v>0.25</v>
      </c>
    </row>
    <row r="1652" spans="1:27" ht="105.75" thickBot="1" x14ac:dyDescent="0.45">
      <c r="A1652" s="319" t="s">
        <v>1098</v>
      </c>
      <c r="B1652" s="799" t="s">
        <v>1187</v>
      </c>
      <c r="C1652" s="528">
        <f t="shared" si="614"/>
        <v>0</v>
      </c>
      <c r="D1652" s="528"/>
      <c r="E1652" s="456">
        <f>C1652*1.7</f>
        <v>0</v>
      </c>
      <c r="F1652" s="358">
        <f>E1652*1.03*0.82/147</f>
        <v>0</v>
      </c>
      <c r="G1652" s="548">
        <f t="shared" si="621"/>
        <v>0</v>
      </c>
      <c r="H1652" s="358" t="s">
        <v>18</v>
      </c>
      <c r="I1652" s="548">
        <f t="shared" si="622"/>
        <v>0</v>
      </c>
      <c r="J1652" s="358" t="s">
        <v>19</v>
      </c>
      <c r="K1652" s="358"/>
      <c r="L1652" s="358"/>
      <c r="M1652" s="358">
        <f>(F1652*5547/3456)</f>
        <v>0</v>
      </c>
      <c r="N1652" s="324"/>
      <c r="O1652" s="324"/>
      <c r="P1652" s="324"/>
      <c r="Q1652" s="324" t="s">
        <v>18</v>
      </c>
      <c r="R1652" s="324"/>
      <c r="S1652" s="324" t="s">
        <v>19</v>
      </c>
      <c r="T1652" s="528"/>
      <c r="U1652" s="324">
        <f>E1652/324*60</f>
        <v>0</v>
      </c>
      <c r="V1652" s="676"/>
      <c r="W1652" s="528"/>
      <c r="X1652" s="529"/>
      <c r="Y1652" s="323"/>
      <c r="Z1652" s="312">
        <f>E1652</f>
        <v>0</v>
      </c>
      <c r="AA1652" s="316">
        <f>SUM(Z1652/609.8+0.25)</f>
        <v>0.25</v>
      </c>
    </row>
    <row r="1653" spans="1:27" ht="105.75" thickBot="1" x14ac:dyDescent="0.45">
      <c r="A1653" s="319" t="s">
        <v>1098</v>
      </c>
      <c r="B1653" s="320" t="s">
        <v>896</v>
      </c>
      <c r="C1653" s="528">
        <f t="shared" si="614"/>
        <v>0</v>
      </c>
      <c r="D1653" s="528"/>
      <c r="E1653" s="456">
        <f>C1653*1.2</f>
        <v>0</v>
      </c>
      <c r="F1653" s="358">
        <f>E1653*1.01*0.72/147</f>
        <v>0</v>
      </c>
      <c r="G1653" s="548">
        <f t="shared" si="621"/>
        <v>0</v>
      </c>
      <c r="H1653" s="358" t="s">
        <v>18</v>
      </c>
      <c r="I1653" s="548">
        <f t="shared" si="622"/>
        <v>0</v>
      </c>
      <c r="J1653" s="358" t="s">
        <v>19</v>
      </c>
      <c r="K1653" s="358"/>
      <c r="L1653" s="358"/>
      <c r="M1653" s="358">
        <f>(F1653*6035/3456)</f>
        <v>0</v>
      </c>
      <c r="N1653" s="358"/>
      <c r="O1653" s="358"/>
      <c r="P1653" s="358"/>
      <c r="Q1653" s="358" t="s">
        <v>18</v>
      </c>
      <c r="R1653" s="358"/>
      <c r="S1653" s="358" t="s">
        <v>19</v>
      </c>
      <c r="T1653" s="528">
        <v>7</v>
      </c>
      <c r="U1653" s="324">
        <f t="shared" si="620"/>
        <v>0</v>
      </c>
      <c r="V1653" s="685"/>
      <c r="W1653" s="528"/>
      <c r="X1653" s="529"/>
      <c r="Y1653" s="323"/>
      <c r="Z1653" s="312">
        <f t="shared" si="619"/>
        <v>0</v>
      </c>
      <c r="AA1653" s="316">
        <f>SUM(Z1653/519.5+0.25)</f>
        <v>0.25</v>
      </c>
    </row>
    <row r="1654" spans="1:27" ht="105.75" thickBot="1" x14ac:dyDescent="0.45">
      <c r="A1654" s="319" t="s">
        <v>1098</v>
      </c>
      <c r="B1654" s="320" t="s">
        <v>1082</v>
      </c>
      <c r="C1654" s="528">
        <f t="shared" si="614"/>
        <v>0</v>
      </c>
      <c r="D1654" s="528"/>
      <c r="E1654" s="460">
        <f>C1654*1.2</f>
        <v>0</v>
      </c>
      <c r="F1654" s="324">
        <f>E1654*1.01*0.72/147</f>
        <v>0</v>
      </c>
      <c r="G1654" s="528">
        <f t="shared" si="621"/>
        <v>0</v>
      </c>
      <c r="H1654" s="324" t="s">
        <v>18</v>
      </c>
      <c r="I1654" s="528">
        <f t="shared" si="622"/>
        <v>0</v>
      </c>
      <c r="J1654" s="324" t="s">
        <v>19</v>
      </c>
      <c r="K1654" s="324"/>
      <c r="L1654" s="324"/>
      <c r="M1654" s="324">
        <f>(F1654*6035/3456)</f>
        <v>0</v>
      </c>
      <c r="N1654" s="324"/>
      <c r="O1654" s="324"/>
      <c r="P1654" s="324"/>
      <c r="Q1654" s="324" t="s">
        <v>18</v>
      </c>
      <c r="R1654" s="324"/>
      <c r="S1654" s="324" t="s">
        <v>19</v>
      </c>
      <c r="T1654" s="528">
        <v>7</v>
      </c>
      <c r="U1654" s="324">
        <f t="shared" ref="U1654:U1660" si="623">E1654/324*60</f>
        <v>0</v>
      </c>
      <c r="V1654" s="685"/>
      <c r="W1654" s="528"/>
      <c r="X1654" s="529"/>
      <c r="Y1654" s="323"/>
      <c r="Z1654" s="312">
        <f t="shared" ref="Z1654:Z1660" si="624">E1654</f>
        <v>0</v>
      </c>
      <c r="AA1654" s="316">
        <f>SUM(Z1654/519.5+0.25)</f>
        <v>0.25</v>
      </c>
    </row>
    <row r="1655" spans="1:27" ht="105.75" thickBot="1" x14ac:dyDescent="0.45">
      <c r="A1655" s="319" t="s">
        <v>1098</v>
      </c>
      <c r="B1655" s="320" t="s">
        <v>1010</v>
      </c>
      <c r="C1655" s="528">
        <f t="shared" si="614"/>
        <v>0</v>
      </c>
      <c r="D1655" s="528"/>
      <c r="E1655" s="460">
        <f>C1655*2</f>
        <v>0</v>
      </c>
      <c r="F1655" s="324">
        <f>E1655*1.01*0.72/147</f>
        <v>0</v>
      </c>
      <c r="G1655" s="528">
        <f t="shared" si="621"/>
        <v>0</v>
      </c>
      <c r="H1655" s="324" t="s">
        <v>18</v>
      </c>
      <c r="I1655" s="528">
        <f t="shared" si="622"/>
        <v>0</v>
      </c>
      <c r="J1655" s="324" t="s">
        <v>19</v>
      </c>
      <c r="K1655" s="324"/>
      <c r="L1655" s="324"/>
      <c r="M1655" s="324">
        <f>(F1655*6035/3456)</f>
        <v>0</v>
      </c>
      <c r="N1655" s="324"/>
      <c r="O1655" s="324"/>
      <c r="P1655" s="324"/>
      <c r="Q1655" s="324" t="s">
        <v>18</v>
      </c>
      <c r="R1655" s="324"/>
      <c r="S1655" s="324" t="s">
        <v>19</v>
      </c>
      <c r="T1655" s="528"/>
      <c r="U1655" s="324">
        <f t="shared" si="623"/>
        <v>0</v>
      </c>
      <c r="V1655" s="685"/>
      <c r="W1655" s="528"/>
      <c r="X1655" s="529"/>
      <c r="Y1655" s="323"/>
      <c r="Z1655" s="312">
        <f t="shared" si="624"/>
        <v>0</v>
      </c>
      <c r="AA1655" s="316">
        <f>SUM(Z1655/519.5+0.25)</f>
        <v>0.25</v>
      </c>
    </row>
    <row r="1656" spans="1:27" ht="105.75" thickBot="1" x14ac:dyDescent="0.45">
      <c r="A1656" s="319" t="s">
        <v>1098</v>
      </c>
      <c r="B1656" s="320" t="s">
        <v>1011</v>
      </c>
      <c r="C1656" s="528">
        <f t="shared" si="614"/>
        <v>0</v>
      </c>
      <c r="D1656" s="528"/>
      <c r="E1656" s="460">
        <f>C1656*2</f>
        <v>0</v>
      </c>
      <c r="F1656" s="324">
        <f>E1656*1.01*0.72/147</f>
        <v>0</v>
      </c>
      <c r="G1656" s="528">
        <f t="shared" si="621"/>
        <v>0</v>
      </c>
      <c r="H1656" s="324" t="s">
        <v>18</v>
      </c>
      <c r="I1656" s="528">
        <f t="shared" si="622"/>
        <v>0</v>
      </c>
      <c r="J1656" s="324" t="s">
        <v>19</v>
      </c>
      <c r="K1656" s="324"/>
      <c r="L1656" s="324"/>
      <c r="M1656" s="324">
        <f>(F1656*6035/3456)</f>
        <v>0</v>
      </c>
      <c r="N1656" s="324"/>
      <c r="O1656" s="324"/>
      <c r="P1656" s="324"/>
      <c r="Q1656" s="324" t="s">
        <v>18</v>
      </c>
      <c r="R1656" s="324"/>
      <c r="S1656" s="324" t="s">
        <v>19</v>
      </c>
      <c r="T1656" s="528"/>
      <c r="U1656" s="324">
        <f t="shared" si="623"/>
        <v>0</v>
      </c>
      <c r="V1656" s="685"/>
      <c r="W1656" s="528"/>
      <c r="X1656" s="529"/>
      <c r="Y1656" s="323"/>
      <c r="Z1656" s="312">
        <f t="shared" si="624"/>
        <v>0</v>
      </c>
      <c r="AA1656" s="316">
        <f>SUM(Z1656/519.5+0.25)</f>
        <v>0.25</v>
      </c>
    </row>
    <row r="1657" spans="1:27" ht="105.75" thickBot="1" x14ac:dyDescent="0.45">
      <c r="A1657" s="319" t="s">
        <v>1098</v>
      </c>
      <c r="B1657" s="320" t="s">
        <v>1009</v>
      </c>
      <c r="C1657" s="528">
        <f t="shared" si="614"/>
        <v>0</v>
      </c>
      <c r="D1657" s="528"/>
      <c r="E1657" s="460">
        <f>C1657*2</f>
        <v>0</v>
      </c>
      <c r="F1657" s="324">
        <f>E1657*1.03*0.82/147</f>
        <v>0</v>
      </c>
      <c r="G1657" s="537">
        <f t="shared" si="621"/>
        <v>0</v>
      </c>
      <c r="H1657" s="354" t="s">
        <v>18</v>
      </c>
      <c r="I1657" s="537">
        <f t="shared" si="622"/>
        <v>0</v>
      </c>
      <c r="J1657" s="354" t="s">
        <v>19</v>
      </c>
      <c r="K1657" s="324"/>
      <c r="L1657" s="324"/>
      <c r="M1657" s="324">
        <f>(F1657*5547/3456)</f>
        <v>0</v>
      </c>
      <c r="N1657" s="324"/>
      <c r="O1657" s="324"/>
      <c r="P1657" s="324"/>
      <c r="Q1657" s="324" t="s">
        <v>18</v>
      </c>
      <c r="R1657" s="324"/>
      <c r="S1657" s="324" t="s">
        <v>19</v>
      </c>
      <c r="T1657" s="528"/>
      <c r="U1657" s="324">
        <f t="shared" si="623"/>
        <v>0</v>
      </c>
      <c r="V1657" s="685"/>
      <c r="W1657" s="528"/>
      <c r="X1657" s="529"/>
      <c r="Y1657" s="323"/>
      <c r="Z1657" s="312">
        <f t="shared" si="624"/>
        <v>0</v>
      </c>
      <c r="AA1657" s="316">
        <f>SUM(Z1657/577.2+0.25)</f>
        <v>0.25</v>
      </c>
    </row>
    <row r="1658" spans="1:27" ht="105.75" thickBot="1" x14ac:dyDescent="0.45">
      <c r="A1658" s="319" t="s">
        <v>1098</v>
      </c>
      <c r="B1658" s="320" t="s">
        <v>1043</v>
      </c>
      <c r="C1658" s="528">
        <f t="shared" si="614"/>
        <v>0</v>
      </c>
      <c r="D1658" s="528"/>
      <c r="E1658" s="460">
        <f>C1658*2</f>
        <v>0</v>
      </c>
      <c r="F1658" s="324">
        <f>E1658*1.03*0.82/147</f>
        <v>0</v>
      </c>
      <c r="G1658" s="537">
        <f t="shared" si="621"/>
        <v>0</v>
      </c>
      <c r="H1658" s="354" t="s">
        <v>18</v>
      </c>
      <c r="I1658" s="537">
        <f t="shared" si="622"/>
        <v>0</v>
      </c>
      <c r="J1658" s="354" t="s">
        <v>19</v>
      </c>
      <c r="K1658" s="324"/>
      <c r="L1658" s="324"/>
      <c r="M1658" s="324">
        <f>(F1658*5547/3456)</f>
        <v>0</v>
      </c>
      <c r="N1658" s="324"/>
      <c r="O1658" s="324"/>
      <c r="P1658" s="324"/>
      <c r="Q1658" s="324" t="s">
        <v>18</v>
      </c>
      <c r="R1658" s="324"/>
      <c r="S1658" s="324" t="s">
        <v>19</v>
      </c>
      <c r="T1658" s="528"/>
      <c r="U1658" s="324">
        <f t="shared" si="623"/>
        <v>0</v>
      </c>
      <c r="V1658" s="685"/>
      <c r="W1658" s="528"/>
      <c r="X1658" s="529"/>
      <c r="Y1658" s="323"/>
      <c r="Z1658" s="312">
        <f t="shared" si="624"/>
        <v>0</v>
      </c>
      <c r="AA1658" s="316">
        <f>SUM(Z1658/609.8+0.25)</f>
        <v>0.25</v>
      </c>
    </row>
    <row r="1659" spans="1:27" ht="105.75" thickBot="1" x14ac:dyDescent="0.45">
      <c r="A1659" s="319" t="s">
        <v>1098</v>
      </c>
      <c r="B1659" s="320" t="s">
        <v>897</v>
      </c>
      <c r="C1659" s="528">
        <f t="shared" si="614"/>
        <v>0</v>
      </c>
      <c r="D1659" s="528"/>
      <c r="E1659" s="456">
        <f>C1659*1.2</f>
        <v>0</v>
      </c>
      <c r="F1659" s="358">
        <f>E1659*1.03*0.82/147</f>
        <v>0</v>
      </c>
      <c r="G1659" s="549">
        <f>INT(M1659)</f>
        <v>0</v>
      </c>
      <c r="H1659" s="359" t="s">
        <v>18</v>
      </c>
      <c r="I1659" s="549">
        <f>(M1659-G1659)*64</f>
        <v>0</v>
      </c>
      <c r="J1659" s="359" t="s">
        <v>19</v>
      </c>
      <c r="K1659" s="358"/>
      <c r="L1659" s="358"/>
      <c r="M1659" s="358">
        <f>(F1659*5547/3456)</f>
        <v>0</v>
      </c>
      <c r="N1659" s="358"/>
      <c r="O1659" s="358"/>
      <c r="P1659" s="358"/>
      <c r="Q1659" s="358" t="s">
        <v>18</v>
      </c>
      <c r="R1659" s="358"/>
      <c r="S1659" s="358" t="s">
        <v>19</v>
      </c>
      <c r="T1659" s="528">
        <v>7</v>
      </c>
      <c r="U1659" s="324">
        <f>E1659/324*60</f>
        <v>0</v>
      </c>
      <c r="V1659" s="685"/>
      <c r="W1659" s="528"/>
      <c r="X1659" s="529"/>
      <c r="Y1659" s="323"/>
      <c r="Z1659" s="312">
        <f>E1659</f>
        <v>0</v>
      </c>
      <c r="AA1659" s="316">
        <f>SUM(Z1659/577.2+0.25)</f>
        <v>0.25</v>
      </c>
    </row>
    <row r="1660" spans="1:27" ht="105.75" thickBot="1" x14ac:dyDescent="0.45">
      <c r="A1660" s="319" t="s">
        <v>1098</v>
      </c>
      <c r="B1660" s="799" t="s">
        <v>1203</v>
      </c>
      <c r="C1660" s="528">
        <f t="shared" si="614"/>
        <v>0</v>
      </c>
      <c r="D1660" s="528"/>
      <c r="E1660" s="456">
        <f>C1660*1.2</f>
        <v>0</v>
      </c>
      <c r="F1660" s="358">
        <f>E1660*1.03*0.82/147</f>
        <v>0</v>
      </c>
      <c r="G1660" s="549">
        <f t="shared" si="621"/>
        <v>0</v>
      </c>
      <c r="H1660" s="359" t="s">
        <v>18</v>
      </c>
      <c r="I1660" s="549">
        <f t="shared" si="622"/>
        <v>0</v>
      </c>
      <c r="J1660" s="359" t="s">
        <v>19</v>
      </c>
      <c r="K1660" s="358"/>
      <c r="L1660" s="358"/>
      <c r="M1660" s="358">
        <f>(F1660*5547/3456)</f>
        <v>0</v>
      </c>
      <c r="N1660" s="358"/>
      <c r="O1660" s="358"/>
      <c r="P1660" s="358"/>
      <c r="Q1660" s="358" t="s">
        <v>18</v>
      </c>
      <c r="R1660" s="358"/>
      <c r="S1660" s="358" t="s">
        <v>19</v>
      </c>
      <c r="T1660" s="528">
        <v>7</v>
      </c>
      <c r="U1660" s="324">
        <f t="shared" si="623"/>
        <v>0</v>
      </c>
      <c r="V1660" s="685"/>
      <c r="W1660" s="528"/>
      <c r="X1660" s="529"/>
      <c r="Y1660" s="323"/>
      <c r="Z1660" s="312">
        <f t="shared" si="624"/>
        <v>0</v>
      </c>
      <c r="AA1660" s="316">
        <f>SUM(Z1660/577.2+0.25)</f>
        <v>0.25</v>
      </c>
    </row>
    <row r="1661" spans="1:27" thickBot="1" x14ac:dyDescent="0.45">
      <c r="A1661" s="830"/>
      <c r="B1661" s="332" t="s">
        <v>286</v>
      </c>
      <c r="C1661" s="347"/>
      <c r="D1661" s="347"/>
      <c r="E1661" s="494"/>
      <c r="F1661" s="348"/>
      <c r="G1661" s="347"/>
      <c r="H1661" s="348"/>
      <c r="I1661" s="347"/>
      <c r="J1661" s="348"/>
      <c r="K1661" s="348"/>
      <c r="L1661" s="348"/>
      <c r="M1661" s="348"/>
      <c r="N1661" s="348"/>
      <c r="O1661" s="348"/>
      <c r="P1661" s="348"/>
      <c r="Q1661" s="348"/>
      <c r="R1661" s="348"/>
      <c r="S1661" s="348"/>
      <c r="T1661" s="347"/>
      <c r="U1661" s="348"/>
      <c r="V1661" s="356"/>
      <c r="W1661" s="348"/>
      <c r="X1661" s="501"/>
      <c r="Y1661" s="392"/>
    </row>
    <row r="1662" spans="1:27" ht="105.75" thickBot="1" x14ac:dyDescent="0.45">
      <c r="A1662" s="319" t="s">
        <v>1098</v>
      </c>
      <c r="B1662" s="343" t="s">
        <v>970</v>
      </c>
      <c r="C1662" s="528">
        <f>C865</f>
        <v>0</v>
      </c>
      <c r="D1662" s="548"/>
      <c r="E1662" s="456">
        <f>C1662*0.3</f>
        <v>0</v>
      </c>
      <c r="F1662" s="358">
        <f>E1662*1.03*0.82/147</f>
        <v>0</v>
      </c>
      <c r="G1662" s="549">
        <f t="shared" ref="G1662:G1667" si="625">INT(M1662)</f>
        <v>0</v>
      </c>
      <c r="H1662" s="359" t="s">
        <v>18</v>
      </c>
      <c r="I1662" s="549">
        <f t="shared" ref="I1662:I1667" si="626">(M1662-G1662)*64</f>
        <v>0</v>
      </c>
      <c r="J1662" s="359" t="s">
        <v>19</v>
      </c>
      <c r="K1662" s="358"/>
      <c r="L1662" s="358"/>
      <c r="M1662" s="358">
        <f>(F1662*5547/3456)</f>
        <v>0</v>
      </c>
      <c r="N1662" s="461"/>
      <c r="O1662" s="461"/>
      <c r="P1662" s="461"/>
      <c r="Q1662" s="358" t="s">
        <v>18</v>
      </c>
      <c r="R1662" s="358"/>
      <c r="S1662" s="358" t="s">
        <v>19</v>
      </c>
      <c r="T1662" s="528">
        <v>10</v>
      </c>
      <c r="U1662" s="324">
        <f>E1662/324*60</f>
        <v>0</v>
      </c>
      <c r="V1662" s="676"/>
      <c r="W1662" s="528"/>
      <c r="X1662" s="529"/>
      <c r="Y1662" s="323"/>
      <c r="Z1662" s="312">
        <f t="shared" ref="Z1662:Z1673" si="627">E1662</f>
        <v>0</v>
      </c>
      <c r="AA1662" s="316">
        <f>SUM(E1662/599+0.25)</f>
        <v>0.25</v>
      </c>
    </row>
    <row r="1663" spans="1:27" ht="105.75" thickBot="1" x14ac:dyDescent="0.45">
      <c r="A1663" s="319" t="s">
        <v>1098</v>
      </c>
      <c r="B1663" s="887" t="s">
        <v>1225</v>
      </c>
      <c r="C1663" s="528">
        <f>C866</f>
        <v>0</v>
      </c>
      <c r="D1663" s="528">
        <f>C1663*10</f>
        <v>0</v>
      </c>
      <c r="E1663" s="460">
        <f>D1663*0.3</f>
        <v>0</v>
      </c>
      <c r="F1663" s="324">
        <f>E1663*1.03*0.82/147</f>
        <v>0</v>
      </c>
      <c r="G1663" s="537">
        <f t="shared" si="625"/>
        <v>0</v>
      </c>
      <c r="H1663" s="354"/>
      <c r="I1663" s="537">
        <f t="shared" si="626"/>
        <v>0</v>
      </c>
      <c r="J1663" s="354"/>
      <c r="K1663" s="324"/>
      <c r="L1663" s="324"/>
      <c r="M1663" s="324">
        <f>(F1663*4900/2880)</f>
        <v>0</v>
      </c>
      <c r="N1663" s="324"/>
      <c r="O1663" s="324"/>
      <c r="P1663" s="324"/>
      <c r="Q1663" s="324"/>
      <c r="R1663" s="324"/>
      <c r="S1663" s="324"/>
      <c r="T1663" s="528"/>
      <c r="U1663" s="324"/>
      <c r="V1663" s="676"/>
      <c r="W1663" s="528"/>
      <c r="X1663" s="529"/>
      <c r="Y1663" s="323"/>
      <c r="Z1663" s="312">
        <f>E1663</f>
        <v>0</v>
      </c>
      <c r="AA1663" s="316">
        <f>SUM(E1663/226+0.25)</f>
        <v>0.25</v>
      </c>
    </row>
    <row r="1664" spans="1:27" ht="105.75" thickBot="1" x14ac:dyDescent="0.45">
      <c r="A1664" s="319" t="s">
        <v>1098</v>
      </c>
      <c r="B1664" s="343" t="s">
        <v>967</v>
      </c>
      <c r="C1664" s="528">
        <f>C867</f>
        <v>0</v>
      </c>
      <c r="D1664" s="548"/>
      <c r="E1664" s="456">
        <f>C1664*0.3</f>
        <v>0</v>
      </c>
      <c r="F1664" s="358">
        <f>E1664*1.03*0.82/147</f>
        <v>0</v>
      </c>
      <c r="G1664" s="549">
        <f t="shared" si="625"/>
        <v>0</v>
      </c>
      <c r="H1664" s="359" t="s">
        <v>18</v>
      </c>
      <c r="I1664" s="549">
        <f t="shared" si="626"/>
        <v>0</v>
      </c>
      <c r="J1664" s="359" t="s">
        <v>19</v>
      </c>
      <c r="K1664" s="358"/>
      <c r="L1664" s="358"/>
      <c r="M1664" s="358">
        <f>(F1664*5547/3456)</f>
        <v>0</v>
      </c>
      <c r="N1664" s="461"/>
      <c r="O1664" s="461"/>
      <c r="P1664" s="461"/>
      <c r="Q1664" s="358" t="s">
        <v>18</v>
      </c>
      <c r="R1664" s="358"/>
      <c r="S1664" s="358" t="s">
        <v>19</v>
      </c>
      <c r="T1664" s="528">
        <v>10</v>
      </c>
      <c r="U1664" s="324">
        <f>E1664/324*60</f>
        <v>0</v>
      </c>
      <c r="V1664" s="676"/>
      <c r="W1664" s="528"/>
      <c r="X1664" s="529"/>
      <c r="Y1664" s="323"/>
      <c r="Z1664" s="312">
        <f t="shared" si="627"/>
        <v>0</v>
      </c>
      <c r="AA1664" s="316">
        <f>SUM(F1664/599+0.25)</f>
        <v>0.25</v>
      </c>
    </row>
    <row r="1665" spans="1:27" ht="105.75" thickBot="1" x14ac:dyDescent="0.45">
      <c r="A1665" s="319" t="s">
        <v>1098</v>
      </c>
      <c r="B1665" s="343" t="s">
        <v>968</v>
      </c>
      <c r="C1665" s="528">
        <f>C868</f>
        <v>0</v>
      </c>
      <c r="D1665" s="548"/>
      <c r="E1665" s="456">
        <f>C1665*0.3</f>
        <v>0</v>
      </c>
      <c r="F1665" s="358">
        <f>E1665*1.03*0.72/147</f>
        <v>0</v>
      </c>
      <c r="G1665" s="548">
        <f t="shared" si="625"/>
        <v>0</v>
      </c>
      <c r="H1665" s="358" t="s">
        <v>18</v>
      </c>
      <c r="I1665" s="548">
        <f t="shared" si="626"/>
        <v>0</v>
      </c>
      <c r="J1665" s="358" t="s">
        <v>19</v>
      </c>
      <c r="K1665" s="358"/>
      <c r="L1665" s="358"/>
      <c r="M1665" s="358">
        <f>(F1665*6035/3456)</f>
        <v>0</v>
      </c>
      <c r="N1665" s="461"/>
      <c r="O1665" s="461"/>
      <c r="P1665" s="461"/>
      <c r="Q1665" s="358" t="s">
        <v>18</v>
      </c>
      <c r="R1665" s="358"/>
      <c r="S1665" s="358" t="s">
        <v>19</v>
      </c>
      <c r="T1665" s="528">
        <v>10</v>
      </c>
      <c r="U1665" s="324">
        <f>E1665/324*60</f>
        <v>0</v>
      </c>
      <c r="V1665" s="676"/>
      <c r="W1665" s="528"/>
      <c r="X1665" s="529"/>
      <c r="Y1665" s="323"/>
      <c r="Z1665" s="312">
        <f t="shared" si="627"/>
        <v>0</v>
      </c>
      <c r="AA1665" s="316">
        <f>SUM(E1665/539+0.25)</f>
        <v>0.25</v>
      </c>
    </row>
    <row r="1666" spans="1:27" ht="105.75" thickBot="1" x14ac:dyDescent="0.45">
      <c r="A1666" s="319" t="s">
        <v>1098</v>
      </c>
      <c r="B1666" s="343" t="s">
        <v>1141</v>
      </c>
      <c r="C1666" s="528">
        <f>C869</f>
        <v>0</v>
      </c>
      <c r="D1666" s="548"/>
      <c r="E1666" s="456">
        <f>C1666*0.3</f>
        <v>0</v>
      </c>
      <c r="F1666" s="358">
        <f>E1666*1.03*0.72/147</f>
        <v>0</v>
      </c>
      <c r="G1666" s="548">
        <f t="shared" si="625"/>
        <v>0</v>
      </c>
      <c r="H1666" s="358" t="s">
        <v>18</v>
      </c>
      <c r="I1666" s="548">
        <f t="shared" si="626"/>
        <v>0</v>
      </c>
      <c r="J1666" s="358" t="s">
        <v>19</v>
      </c>
      <c r="K1666" s="358"/>
      <c r="L1666" s="358"/>
      <c r="M1666" s="358">
        <f>(F1666*6035/3456)</f>
        <v>0</v>
      </c>
      <c r="N1666" s="461"/>
      <c r="O1666" s="461"/>
      <c r="P1666" s="461"/>
      <c r="Q1666" s="358" t="s">
        <v>18</v>
      </c>
      <c r="R1666" s="358"/>
      <c r="S1666" s="358" t="s">
        <v>19</v>
      </c>
      <c r="T1666" s="528">
        <v>10</v>
      </c>
      <c r="U1666" s="324">
        <f>E1666/324*60</f>
        <v>0</v>
      </c>
      <c r="V1666" s="676"/>
      <c r="W1666" s="528"/>
      <c r="X1666" s="529"/>
      <c r="Y1666" s="323"/>
      <c r="Z1666" s="312">
        <f t="shared" si="627"/>
        <v>0</v>
      </c>
      <c r="AA1666" s="316">
        <f>SUM(E1666/539+0.25)</f>
        <v>0.25</v>
      </c>
    </row>
    <row r="1667" spans="1:27" ht="105.75" thickBot="1" x14ac:dyDescent="0.45">
      <c r="A1667" s="319" t="s">
        <v>1098</v>
      </c>
      <c r="B1667" s="364" t="s">
        <v>992</v>
      </c>
      <c r="C1667" s="528">
        <f>C864</f>
        <v>0</v>
      </c>
      <c r="D1667" s="528">
        <f>C1667*12</f>
        <v>0</v>
      </c>
      <c r="E1667" s="324">
        <f>D1667*0.25</f>
        <v>0</v>
      </c>
      <c r="F1667" s="324">
        <f>E1667*1.03*0.81/170</f>
        <v>0</v>
      </c>
      <c r="G1667" s="528">
        <f t="shared" si="625"/>
        <v>0</v>
      </c>
      <c r="H1667" s="324" t="s">
        <v>18</v>
      </c>
      <c r="I1667" s="528">
        <f t="shared" si="626"/>
        <v>0</v>
      </c>
      <c r="J1667" s="324" t="s">
        <v>19</v>
      </c>
      <c r="K1667" s="324"/>
      <c r="L1667" s="324"/>
      <c r="M1667" s="324">
        <f>(F1667*8820/3456)</f>
        <v>0</v>
      </c>
      <c r="N1667" s="324"/>
      <c r="O1667" s="324"/>
      <c r="P1667" s="324"/>
      <c r="Q1667" s="324" t="s">
        <v>18</v>
      </c>
      <c r="R1667" s="324"/>
      <c r="S1667" s="324" t="s">
        <v>19</v>
      </c>
      <c r="T1667" s="528">
        <v>10</v>
      </c>
      <c r="U1667" s="324">
        <f>E1667/220*60</f>
        <v>0</v>
      </c>
      <c r="V1667" s="676"/>
      <c r="W1667" s="528"/>
      <c r="X1667" s="529"/>
      <c r="Y1667" s="323"/>
      <c r="Z1667" s="312">
        <f t="shared" si="627"/>
        <v>0</v>
      </c>
      <c r="AA1667" s="316">
        <f>SUM(Z1667/448.3+0.25)</f>
        <v>0.25</v>
      </c>
    </row>
    <row r="1668" spans="1:27" ht="105.75" thickBot="1" x14ac:dyDescent="0.45">
      <c r="A1668" s="319" t="s">
        <v>1098</v>
      </c>
      <c r="B1668" s="343" t="s">
        <v>827</v>
      </c>
      <c r="C1668" s="528">
        <f>C837</f>
        <v>0</v>
      </c>
      <c r="D1668" s="548">
        <f>C1668*12</f>
        <v>0</v>
      </c>
      <c r="E1668" s="456">
        <f>D1668*0.6</f>
        <v>0</v>
      </c>
      <c r="F1668" s="358">
        <f>E1668*1.03*0.82/147</f>
        <v>0</v>
      </c>
      <c r="G1668" s="549">
        <f t="shared" ref="G1668:G1683" si="628">INT(M1668)</f>
        <v>0</v>
      </c>
      <c r="H1668" s="359" t="s">
        <v>18</v>
      </c>
      <c r="I1668" s="549">
        <f t="shared" ref="I1668:I1683" si="629">(M1668-G1668)*64</f>
        <v>0</v>
      </c>
      <c r="J1668" s="359" t="s">
        <v>19</v>
      </c>
      <c r="K1668" s="358"/>
      <c r="L1668" s="358"/>
      <c r="M1668" s="358">
        <f>(F1668*5250/3456)</f>
        <v>0</v>
      </c>
      <c r="N1668" s="358"/>
      <c r="O1668" s="358"/>
      <c r="P1668" s="358"/>
      <c r="Q1668" s="358" t="s">
        <v>18</v>
      </c>
      <c r="R1668" s="358"/>
      <c r="S1668" s="358" t="s">
        <v>19</v>
      </c>
      <c r="T1668" s="528">
        <v>10</v>
      </c>
      <c r="U1668" s="324">
        <f>E1668/324*60</f>
        <v>0</v>
      </c>
      <c r="V1668" s="676"/>
      <c r="W1668" s="528"/>
      <c r="X1668" s="529"/>
      <c r="Y1668" s="323"/>
      <c r="Z1668" s="312">
        <f t="shared" si="627"/>
        <v>0</v>
      </c>
      <c r="AA1668" s="316">
        <f>SUM(Z1668/599+0.25)</f>
        <v>0.25</v>
      </c>
    </row>
    <row r="1669" spans="1:27" ht="105.75" thickBot="1" x14ac:dyDescent="0.45">
      <c r="A1669" s="319" t="s">
        <v>1098</v>
      </c>
      <c r="B1669" s="343" t="s">
        <v>1015</v>
      </c>
      <c r="C1669" s="528">
        <f>C838</f>
        <v>0</v>
      </c>
      <c r="D1669" s="528">
        <f>C1669*12</f>
        <v>0</v>
      </c>
      <c r="E1669" s="460">
        <f>D1669*0.5</f>
        <v>0</v>
      </c>
      <c r="F1669" s="324">
        <f>E1669*1.03*0.82/147</f>
        <v>0</v>
      </c>
      <c r="G1669" s="537">
        <f t="shared" si="628"/>
        <v>0</v>
      </c>
      <c r="H1669" s="354" t="s">
        <v>18</v>
      </c>
      <c r="I1669" s="537">
        <f t="shared" si="629"/>
        <v>0</v>
      </c>
      <c r="J1669" s="354" t="s">
        <v>19</v>
      </c>
      <c r="K1669" s="324"/>
      <c r="L1669" s="324"/>
      <c r="M1669" s="324">
        <f>(F1669*5250/3456)</f>
        <v>0</v>
      </c>
      <c r="N1669" s="324"/>
      <c r="O1669" s="324"/>
      <c r="P1669" s="324"/>
      <c r="Q1669" s="324" t="s">
        <v>18</v>
      </c>
      <c r="R1669" s="324"/>
      <c r="S1669" s="324" t="s">
        <v>19</v>
      </c>
      <c r="T1669" s="528">
        <v>10</v>
      </c>
      <c r="U1669" s="324">
        <f>E1669/324*60</f>
        <v>0</v>
      </c>
      <c r="V1669" s="676"/>
      <c r="W1669" s="528"/>
      <c r="X1669" s="529"/>
      <c r="Y1669" s="323"/>
      <c r="Z1669" s="312">
        <f t="shared" si="627"/>
        <v>0</v>
      </c>
      <c r="AA1669" s="316">
        <f>SUM(Z1669/500.9+0.25)</f>
        <v>0.25</v>
      </c>
    </row>
    <row r="1670" spans="1:27" ht="105.75" thickBot="1" x14ac:dyDescent="0.45">
      <c r="A1670" s="319" t="s">
        <v>1098</v>
      </c>
      <c r="B1670" s="343" t="s">
        <v>857</v>
      </c>
      <c r="C1670" s="528">
        <f>C839</f>
        <v>0</v>
      </c>
      <c r="D1670" s="551">
        <f>C1670*12</f>
        <v>0</v>
      </c>
      <c r="E1670" s="456">
        <f>D1670*0.6</f>
        <v>0</v>
      </c>
      <c r="F1670" s="358">
        <f>E1670*1.01*0.72/147</f>
        <v>0</v>
      </c>
      <c r="G1670" s="548">
        <f t="shared" si="628"/>
        <v>0</v>
      </c>
      <c r="H1670" s="358" t="s">
        <v>18</v>
      </c>
      <c r="I1670" s="548">
        <f t="shared" si="629"/>
        <v>0</v>
      </c>
      <c r="J1670" s="358" t="s">
        <v>19</v>
      </c>
      <c r="K1670" s="358"/>
      <c r="L1670" s="358"/>
      <c r="M1670" s="358">
        <f>(F1670*6100/3456)</f>
        <v>0</v>
      </c>
      <c r="N1670" s="358"/>
      <c r="O1670" s="358"/>
      <c r="P1670" s="358"/>
      <c r="Q1670" s="358" t="s">
        <v>18</v>
      </c>
      <c r="R1670" s="358"/>
      <c r="S1670" s="358" t="s">
        <v>19</v>
      </c>
      <c r="T1670" s="528">
        <v>10</v>
      </c>
      <c r="U1670" s="324">
        <f>E1670/324*60</f>
        <v>0</v>
      </c>
      <c r="V1670" s="676"/>
      <c r="W1670" s="528"/>
      <c r="X1670" s="529"/>
      <c r="Y1670" s="323"/>
      <c r="Z1670" s="312">
        <f t="shared" si="627"/>
        <v>0</v>
      </c>
      <c r="AA1670" s="316">
        <f>SUM(E1670/539.1+0.25)</f>
        <v>0.25</v>
      </c>
    </row>
    <row r="1671" spans="1:27" ht="105.75" thickBot="1" x14ac:dyDescent="0.45">
      <c r="A1671" s="319" t="s">
        <v>1098</v>
      </c>
      <c r="B1671" s="343" t="s">
        <v>908</v>
      </c>
      <c r="C1671" s="528">
        <f>C840</f>
        <v>0</v>
      </c>
      <c r="D1671" s="551">
        <f>C1671*12</f>
        <v>0</v>
      </c>
      <c r="E1671" s="456">
        <f>D1671*0.6</f>
        <v>0</v>
      </c>
      <c r="F1671" s="358">
        <f>E1671*1.01*0.72/147</f>
        <v>0</v>
      </c>
      <c r="G1671" s="548">
        <f t="shared" si="628"/>
        <v>0</v>
      </c>
      <c r="H1671" s="358" t="s">
        <v>18</v>
      </c>
      <c r="I1671" s="548">
        <f t="shared" si="629"/>
        <v>0</v>
      </c>
      <c r="J1671" s="358" t="s">
        <v>19</v>
      </c>
      <c r="K1671" s="358"/>
      <c r="L1671" s="358"/>
      <c r="M1671" s="358">
        <f>(F1671*6100/3456)</f>
        <v>0</v>
      </c>
      <c r="N1671" s="358"/>
      <c r="O1671" s="358"/>
      <c r="P1671" s="358"/>
      <c r="Q1671" s="358" t="s">
        <v>18</v>
      </c>
      <c r="R1671" s="358"/>
      <c r="S1671" s="358" t="s">
        <v>19</v>
      </c>
      <c r="T1671" s="528">
        <v>10</v>
      </c>
      <c r="U1671" s="324">
        <f>E1671/324*60</f>
        <v>0</v>
      </c>
      <c r="V1671" s="676"/>
      <c r="W1671" s="528"/>
      <c r="X1671" s="529"/>
      <c r="Y1671" s="323"/>
      <c r="Z1671" s="312">
        <f t="shared" si="627"/>
        <v>0</v>
      </c>
      <c r="AA1671" s="316">
        <f>SUM(E1671/539.1+0.25)</f>
        <v>0.25</v>
      </c>
    </row>
    <row r="1672" spans="1:27" ht="105.75" thickBot="1" x14ac:dyDescent="0.45">
      <c r="A1672" s="319" t="s">
        <v>1098</v>
      </c>
      <c r="B1672" s="320" t="s">
        <v>858</v>
      </c>
      <c r="C1672" s="528">
        <f>C859</f>
        <v>0</v>
      </c>
      <c r="D1672" s="551">
        <f>C1672*18</f>
        <v>0</v>
      </c>
      <c r="E1672" s="456">
        <f>D1672*0.18</f>
        <v>0</v>
      </c>
      <c r="F1672" s="358">
        <f>E1672*1.03*0.8/147</f>
        <v>0</v>
      </c>
      <c r="G1672" s="548">
        <f t="shared" si="628"/>
        <v>0</v>
      </c>
      <c r="H1672" s="358" t="s">
        <v>18</v>
      </c>
      <c r="I1672" s="548">
        <f t="shared" si="629"/>
        <v>0</v>
      </c>
      <c r="J1672" s="358" t="s">
        <v>19</v>
      </c>
      <c r="K1672" s="358"/>
      <c r="L1672" s="358"/>
      <c r="M1672" s="358">
        <f>F1672*5960/3456</f>
        <v>0</v>
      </c>
      <c r="N1672" s="324"/>
      <c r="O1672" s="324"/>
      <c r="P1672" s="324"/>
      <c r="Q1672" s="324" t="s">
        <v>18</v>
      </c>
      <c r="R1672" s="324"/>
      <c r="S1672" s="324" t="s">
        <v>19</v>
      </c>
      <c r="T1672" s="528">
        <v>6</v>
      </c>
      <c r="U1672" s="324">
        <f>E1672/220*60</f>
        <v>0</v>
      </c>
      <c r="V1672" s="676"/>
      <c r="W1672" s="528"/>
      <c r="X1672" s="529"/>
      <c r="Y1672" s="323"/>
      <c r="Z1672" s="312">
        <f t="shared" si="627"/>
        <v>0</v>
      </c>
      <c r="AA1672" s="316">
        <f>SUM(Z1672/505.3+0.25)</f>
        <v>0.25</v>
      </c>
    </row>
    <row r="1673" spans="1:27" ht="105.75" thickBot="1" x14ac:dyDescent="0.45">
      <c r="A1673" s="319" t="s">
        <v>1098</v>
      </c>
      <c r="B1673" s="320" t="s">
        <v>1031</v>
      </c>
      <c r="C1673" s="528">
        <f>C860</f>
        <v>0</v>
      </c>
      <c r="D1673" s="530">
        <f>C1673*22</f>
        <v>0</v>
      </c>
      <c r="E1673" s="460">
        <f>D1673*0.18</f>
        <v>0</v>
      </c>
      <c r="F1673" s="324">
        <f>E1673*1.03*0.8/147</f>
        <v>0</v>
      </c>
      <c r="G1673" s="528">
        <f t="shared" si="628"/>
        <v>0</v>
      </c>
      <c r="H1673" s="324" t="s">
        <v>18</v>
      </c>
      <c r="I1673" s="528">
        <f t="shared" si="629"/>
        <v>0</v>
      </c>
      <c r="J1673" s="324" t="s">
        <v>19</v>
      </c>
      <c r="K1673" s="324"/>
      <c r="L1673" s="324"/>
      <c r="M1673" s="324">
        <f>F1673*5960/3456</f>
        <v>0</v>
      </c>
      <c r="N1673" s="324"/>
      <c r="O1673" s="324"/>
      <c r="P1673" s="324"/>
      <c r="Q1673" s="324" t="s">
        <v>18</v>
      </c>
      <c r="R1673" s="324"/>
      <c r="S1673" s="324" t="s">
        <v>19</v>
      </c>
      <c r="T1673" s="528">
        <v>6</v>
      </c>
      <c r="U1673" s="324">
        <f>E1673/220*60</f>
        <v>0</v>
      </c>
      <c r="V1673" s="676"/>
      <c r="W1673" s="528"/>
      <c r="X1673" s="529"/>
      <c r="Y1673" s="300"/>
      <c r="Z1673" s="312">
        <f t="shared" si="627"/>
        <v>0</v>
      </c>
      <c r="AA1673" s="316">
        <f>SUM(Z1673/505.3+0.25)</f>
        <v>0.25</v>
      </c>
    </row>
    <row r="1674" spans="1:27" ht="105.75" thickBot="1" x14ac:dyDescent="0.45">
      <c r="A1674" s="319" t="s">
        <v>1098</v>
      </c>
      <c r="B1674" s="320" t="s">
        <v>893</v>
      </c>
      <c r="C1674" s="528">
        <f>C858</f>
        <v>0</v>
      </c>
      <c r="D1674" s="551">
        <f>C1674*18</f>
        <v>0</v>
      </c>
      <c r="E1674" s="456">
        <f>D1674*0.18</f>
        <v>0</v>
      </c>
      <c r="F1674" s="358">
        <f>E1674*1.03*0.8/147</f>
        <v>0</v>
      </c>
      <c r="G1674" s="548">
        <f t="shared" si="628"/>
        <v>0</v>
      </c>
      <c r="H1674" s="358" t="s">
        <v>18</v>
      </c>
      <c r="I1674" s="548">
        <f t="shared" si="629"/>
        <v>0</v>
      </c>
      <c r="J1674" s="358" t="s">
        <v>19</v>
      </c>
      <c r="K1674" s="358"/>
      <c r="L1674" s="358"/>
      <c r="M1674" s="358">
        <f>F1674*5960/3456</f>
        <v>0</v>
      </c>
      <c r="N1674" s="324"/>
      <c r="O1674" s="324"/>
      <c r="P1674" s="324"/>
      <c r="Q1674" s="324" t="s">
        <v>18</v>
      </c>
      <c r="R1674" s="324"/>
      <c r="S1674" s="324" t="s">
        <v>19</v>
      </c>
      <c r="T1674" s="528">
        <v>6</v>
      </c>
      <c r="U1674" s="324">
        <f>E1674/220*60</f>
        <v>0</v>
      </c>
      <c r="V1674" s="676"/>
      <c r="W1674" s="528"/>
      <c r="X1674" s="529"/>
      <c r="Y1674" s="323"/>
      <c r="Z1674" s="312">
        <f t="shared" ref="Z1674:Z1683" si="630">E1674</f>
        <v>0</v>
      </c>
      <c r="AA1674" s="316">
        <f>SUM(Z1674/505.3+0.25)</f>
        <v>0.25</v>
      </c>
    </row>
    <row r="1675" spans="1:27" ht="105.75" thickBot="1" x14ac:dyDescent="0.45">
      <c r="A1675" s="319" t="s">
        <v>1098</v>
      </c>
      <c r="B1675" s="320" t="s">
        <v>1036</v>
      </c>
      <c r="C1675" s="528">
        <f t="shared" ref="C1675:C1688" si="631">C841</f>
        <v>0</v>
      </c>
      <c r="D1675" s="550">
        <f>C1675*22</f>
        <v>0</v>
      </c>
      <c r="E1675" s="456">
        <f>D1675*0.2</f>
        <v>0</v>
      </c>
      <c r="F1675" s="358">
        <f>E1675*1.03*0.82/147</f>
        <v>0</v>
      </c>
      <c r="G1675" s="548">
        <f t="shared" si="628"/>
        <v>0</v>
      </c>
      <c r="H1675" s="358" t="s">
        <v>18</v>
      </c>
      <c r="I1675" s="548">
        <f t="shared" si="629"/>
        <v>0</v>
      </c>
      <c r="J1675" s="358" t="s">
        <v>19</v>
      </c>
      <c r="K1675" s="358"/>
      <c r="L1675" s="358"/>
      <c r="M1675" s="358">
        <f>F1675*5250/3456</f>
        <v>0</v>
      </c>
      <c r="N1675" s="358"/>
      <c r="O1675" s="358"/>
      <c r="P1675" s="358"/>
      <c r="Q1675" s="358" t="s">
        <v>18</v>
      </c>
      <c r="R1675" s="358"/>
      <c r="S1675" s="358" t="s">
        <v>19</v>
      </c>
      <c r="T1675" s="528">
        <v>6</v>
      </c>
      <c r="U1675" s="324">
        <f>E1675/220*60</f>
        <v>0</v>
      </c>
      <c r="V1675" s="676"/>
      <c r="W1675" s="528"/>
      <c r="X1675" s="529"/>
      <c r="Y1675" s="323"/>
      <c r="Z1675" s="312">
        <f t="shared" si="630"/>
        <v>0</v>
      </c>
      <c r="AA1675" s="316">
        <f>SUM(Z1675/548.9+0.25)</f>
        <v>0.25</v>
      </c>
    </row>
    <row r="1676" spans="1:27" ht="105.75" thickBot="1" x14ac:dyDescent="0.45">
      <c r="A1676" s="319" t="s">
        <v>1098</v>
      </c>
      <c r="B1676" s="320" t="s">
        <v>1001</v>
      </c>
      <c r="C1676" s="528">
        <f t="shared" si="631"/>
        <v>0</v>
      </c>
      <c r="D1676" s="551">
        <f>C1676*22</f>
        <v>0</v>
      </c>
      <c r="E1676" s="456">
        <f>D1676*0.2</f>
        <v>0</v>
      </c>
      <c r="F1676" s="358">
        <f>E1676*1.03*0.82/147</f>
        <v>0</v>
      </c>
      <c r="G1676" s="548">
        <f t="shared" si="628"/>
        <v>0</v>
      </c>
      <c r="H1676" s="358" t="s">
        <v>18</v>
      </c>
      <c r="I1676" s="548">
        <f t="shared" si="629"/>
        <v>0</v>
      </c>
      <c r="J1676" s="358" t="s">
        <v>19</v>
      </c>
      <c r="K1676" s="358"/>
      <c r="L1676" s="358"/>
      <c r="M1676" s="358">
        <f>F1676*5250/3456</f>
        <v>0</v>
      </c>
      <c r="N1676" s="358"/>
      <c r="O1676" s="358"/>
      <c r="P1676" s="358"/>
      <c r="Q1676" s="358" t="s">
        <v>18</v>
      </c>
      <c r="R1676" s="358"/>
      <c r="S1676" s="358" t="s">
        <v>19</v>
      </c>
      <c r="T1676" s="528">
        <v>6</v>
      </c>
      <c r="U1676" s="324">
        <f>E1676/220*60</f>
        <v>0</v>
      </c>
      <c r="V1676" s="676"/>
      <c r="W1676" s="528"/>
      <c r="X1676" s="529"/>
      <c r="Y1676" s="323"/>
      <c r="Z1676" s="312">
        <f t="shared" si="630"/>
        <v>0</v>
      </c>
      <c r="AA1676" s="316">
        <f>SUM(Z1676/548.9+0.25)</f>
        <v>0.25</v>
      </c>
    </row>
    <row r="1677" spans="1:27" ht="105.75" thickBot="1" x14ac:dyDescent="0.45">
      <c r="A1677" s="319" t="s">
        <v>1098</v>
      </c>
      <c r="B1677" s="320" t="s">
        <v>796</v>
      </c>
      <c r="C1677" s="528">
        <f t="shared" si="631"/>
        <v>0</v>
      </c>
      <c r="D1677" s="551">
        <f>C1677*8</f>
        <v>0</v>
      </c>
      <c r="E1677" s="456">
        <f>D1677*0.25</f>
        <v>0</v>
      </c>
      <c r="F1677" s="358">
        <f>E1677*1.015*0.72/147</f>
        <v>0</v>
      </c>
      <c r="G1677" s="548">
        <f t="shared" si="628"/>
        <v>0</v>
      </c>
      <c r="H1677" s="358" t="s">
        <v>18</v>
      </c>
      <c r="I1677" s="548">
        <f t="shared" si="629"/>
        <v>0</v>
      </c>
      <c r="J1677" s="358" t="s">
        <v>19</v>
      </c>
      <c r="K1677" s="358"/>
      <c r="L1677" s="358"/>
      <c r="M1677" s="552">
        <f>(F1677*6447/3456)</f>
        <v>0</v>
      </c>
      <c r="N1677" s="324"/>
      <c r="O1677" s="324"/>
      <c r="P1677" s="324"/>
      <c r="Q1677" s="324" t="s">
        <v>18</v>
      </c>
      <c r="R1677" s="324"/>
      <c r="S1677" s="324" t="s">
        <v>19</v>
      </c>
      <c r="T1677" s="528">
        <v>6</v>
      </c>
      <c r="U1677" s="324">
        <f>E1677/259*60</f>
        <v>0</v>
      </c>
      <c r="V1677" s="676"/>
      <c r="W1677" s="528"/>
      <c r="X1677" s="529"/>
      <c r="Y1677" s="323"/>
      <c r="Z1677" s="312">
        <f t="shared" si="630"/>
        <v>0</v>
      </c>
      <c r="AA1677" s="316">
        <f>SUM(Z1677/509.7+0.25)</f>
        <v>0.25</v>
      </c>
    </row>
    <row r="1678" spans="1:27" s="728" customFormat="1" ht="105.75" outlineLevel="1" thickBot="1" x14ac:dyDescent="0.45">
      <c r="A1678" s="636" t="s">
        <v>1098</v>
      </c>
      <c r="B1678" s="634" t="s">
        <v>797</v>
      </c>
      <c r="C1678" s="720">
        <f t="shared" si="631"/>
        <v>0</v>
      </c>
      <c r="D1678" s="741">
        <f>C1678*8</f>
        <v>0</v>
      </c>
      <c r="E1678" s="721">
        <f>D1678*0.25</f>
        <v>0</v>
      </c>
      <c r="F1678" s="722">
        <f>E1678*1.015*0.72/147</f>
        <v>0</v>
      </c>
      <c r="G1678" s="720">
        <f t="shared" si="628"/>
        <v>0</v>
      </c>
      <c r="H1678" s="722" t="s">
        <v>18</v>
      </c>
      <c r="I1678" s="720">
        <f t="shared" si="629"/>
        <v>0</v>
      </c>
      <c r="J1678" s="722" t="s">
        <v>19</v>
      </c>
      <c r="K1678" s="722"/>
      <c r="L1678" s="722"/>
      <c r="M1678" s="816">
        <f>(F1678*6447/3456)</f>
        <v>0</v>
      </c>
      <c r="N1678" s="722"/>
      <c r="O1678" s="722"/>
      <c r="P1678" s="722"/>
      <c r="Q1678" s="722" t="s">
        <v>18</v>
      </c>
      <c r="R1678" s="722"/>
      <c r="S1678" s="722" t="s">
        <v>19</v>
      </c>
      <c r="T1678" s="720">
        <v>6</v>
      </c>
      <c r="U1678" s="722">
        <f>E1678/259*60</f>
        <v>0</v>
      </c>
      <c r="V1678" s="724"/>
      <c r="W1678" s="720"/>
      <c r="X1678" s="725"/>
      <c r="Y1678" s="736"/>
      <c r="Z1678" s="727">
        <f t="shared" si="630"/>
        <v>0</v>
      </c>
      <c r="AA1678" s="815">
        <f>SUM(Z1678/509.7+0.25)</f>
        <v>0.25</v>
      </c>
    </row>
    <row r="1679" spans="1:27" s="728" customFormat="1" ht="105.75" outlineLevel="1" thickBot="1" x14ac:dyDescent="0.45">
      <c r="A1679" s="636" t="s">
        <v>1098</v>
      </c>
      <c r="B1679" s="814" t="s">
        <v>683</v>
      </c>
      <c r="C1679" s="720">
        <f t="shared" si="631"/>
        <v>0</v>
      </c>
      <c r="D1679" s="720">
        <f>C1679*10</f>
        <v>0</v>
      </c>
      <c r="E1679" s="721">
        <f>D1679*0.2</f>
        <v>0</v>
      </c>
      <c r="F1679" s="722">
        <f>E1679*1.03*0.82/147</f>
        <v>0</v>
      </c>
      <c r="G1679" s="720">
        <f t="shared" si="628"/>
        <v>0</v>
      </c>
      <c r="H1679" s="722" t="s">
        <v>18</v>
      </c>
      <c r="I1679" s="720">
        <f t="shared" si="629"/>
        <v>0</v>
      </c>
      <c r="J1679" s="722" t="s">
        <v>19</v>
      </c>
      <c r="K1679" s="722"/>
      <c r="L1679" s="722"/>
      <c r="M1679" s="722">
        <f>(F1679*8750/3456)</f>
        <v>0</v>
      </c>
      <c r="N1679" s="722"/>
      <c r="O1679" s="722"/>
      <c r="P1679" s="722"/>
      <c r="Q1679" s="722" t="s">
        <v>18</v>
      </c>
      <c r="R1679" s="722"/>
      <c r="S1679" s="722" t="s">
        <v>19</v>
      </c>
      <c r="T1679" s="720">
        <v>7</v>
      </c>
      <c r="U1679" s="722">
        <f>E1679/220*60</f>
        <v>0</v>
      </c>
      <c r="V1679" s="724"/>
      <c r="W1679" s="720"/>
      <c r="X1679" s="725"/>
      <c r="Y1679" s="736"/>
      <c r="Z1679" s="727">
        <f t="shared" si="630"/>
        <v>0</v>
      </c>
      <c r="AA1679" s="815">
        <f>SUM(Z1679/379.4+0.25)</f>
        <v>0.25</v>
      </c>
    </row>
    <row r="1680" spans="1:27" s="728" customFormat="1" ht="105.75" outlineLevel="1" thickBot="1" x14ac:dyDescent="0.45">
      <c r="A1680" s="636" t="s">
        <v>1098</v>
      </c>
      <c r="B1680" s="634" t="s">
        <v>764</v>
      </c>
      <c r="C1680" s="720">
        <f t="shared" si="631"/>
        <v>0</v>
      </c>
      <c r="D1680" s="720">
        <f>C1680*10</f>
        <v>0</v>
      </c>
      <c r="E1680" s="721">
        <f>D1680*0.2</f>
        <v>0</v>
      </c>
      <c r="F1680" s="722">
        <f>E1680*1.015*0.72/147</f>
        <v>0</v>
      </c>
      <c r="G1680" s="720">
        <f t="shared" si="628"/>
        <v>0</v>
      </c>
      <c r="H1680" s="722" t="s">
        <v>18</v>
      </c>
      <c r="I1680" s="720">
        <f t="shared" si="629"/>
        <v>0</v>
      </c>
      <c r="J1680" s="722" t="s">
        <v>19</v>
      </c>
      <c r="K1680" s="722"/>
      <c r="L1680" s="722"/>
      <c r="M1680" s="722">
        <f>(F1680*8070/3456)</f>
        <v>0</v>
      </c>
      <c r="N1680" s="722"/>
      <c r="O1680" s="722"/>
      <c r="P1680" s="722"/>
      <c r="Q1680" s="722" t="s">
        <v>18</v>
      </c>
      <c r="R1680" s="722"/>
      <c r="S1680" s="722" t="s">
        <v>19</v>
      </c>
      <c r="T1680" s="720">
        <v>6</v>
      </c>
      <c r="U1680" s="722">
        <f>E1680/259*60</f>
        <v>0</v>
      </c>
      <c r="V1680" s="724"/>
      <c r="W1680" s="720"/>
      <c r="X1680" s="725"/>
      <c r="Y1680" s="736"/>
      <c r="Z1680" s="727">
        <f t="shared" si="630"/>
        <v>0</v>
      </c>
      <c r="AA1680" s="815">
        <f>SUM(Z1680/411.6+0.25)</f>
        <v>0.25</v>
      </c>
    </row>
    <row r="1681" spans="1:27" s="728" customFormat="1" ht="105.75" outlineLevel="1" thickBot="1" x14ac:dyDescent="0.45">
      <c r="A1681" s="636" t="s">
        <v>1098</v>
      </c>
      <c r="B1681" s="634" t="s">
        <v>760</v>
      </c>
      <c r="C1681" s="720">
        <f t="shared" si="631"/>
        <v>0</v>
      </c>
      <c r="D1681" s="720">
        <f>C1681*10</f>
        <v>0</v>
      </c>
      <c r="E1681" s="721">
        <f>D1681*0.2</f>
        <v>0</v>
      </c>
      <c r="F1681" s="722">
        <f>E1681*1.015*0.72/147</f>
        <v>0</v>
      </c>
      <c r="G1681" s="720">
        <f t="shared" si="628"/>
        <v>0</v>
      </c>
      <c r="H1681" s="722" t="s">
        <v>18</v>
      </c>
      <c r="I1681" s="720">
        <f t="shared" si="629"/>
        <v>0</v>
      </c>
      <c r="J1681" s="722" t="s">
        <v>19</v>
      </c>
      <c r="K1681" s="722"/>
      <c r="L1681" s="722"/>
      <c r="M1681" s="722">
        <f>(F1681*8070/3456)</f>
        <v>0</v>
      </c>
      <c r="N1681" s="722"/>
      <c r="O1681" s="722"/>
      <c r="P1681" s="722"/>
      <c r="Q1681" s="722" t="s">
        <v>18</v>
      </c>
      <c r="R1681" s="722"/>
      <c r="S1681" s="722" t="s">
        <v>19</v>
      </c>
      <c r="T1681" s="720">
        <v>6</v>
      </c>
      <c r="U1681" s="722">
        <f>E1681/220*60</f>
        <v>0</v>
      </c>
      <c r="V1681" s="724"/>
      <c r="W1681" s="720"/>
      <c r="X1681" s="725"/>
      <c r="Y1681" s="736"/>
      <c r="Z1681" s="727">
        <f t="shared" si="630"/>
        <v>0</v>
      </c>
      <c r="AA1681" s="815">
        <f>SUM(Z1681/411.6+0.25)</f>
        <v>0.25</v>
      </c>
    </row>
    <row r="1682" spans="1:27" ht="105.75" thickBot="1" x14ac:dyDescent="0.45">
      <c r="A1682" s="319" t="s">
        <v>1098</v>
      </c>
      <c r="B1682" s="320" t="s">
        <v>627</v>
      </c>
      <c r="C1682" s="528">
        <f t="shared" si="631"/>
        <v>0</v>
      </c>
      <c r="D1682" s="548">
        <f>C1682*18</f>
        <v>0</v>
      </c>
      <c r="E1682" s="456">
        <f>D1682*0.2</f>
        <v>0</v>
      </c>
      <c r="F1682" s="358">
        <f>E1682*1.05*0.8/140</f>
        <v>0</v>
      </c>
      <c r="G1682" s="548">
        <f t="shared" si="628"/>
        <v>0</v>
      </c>
      <c r="H1682" s="358" t="s">
        <v>18</v>
      </c>
      <c r="I1682" s="548">
        <f t="shared" si="629"/>
        <v>0</v>
      </c>
      <c r="J1682" s="358" t="s">
        <v>19</v>
      </c>
      <c r="K1682" s="358"/>
      <c r="L1682" s="358"/>
      <c r="M1682" s="358">
        <f>F1682*5111/3456</f>
        <v>0</v>
      </c>
      <c r="N1682" s="324"/>
      <c r="O1682" s="324"/>
      <c r="P1682" s="324"/>
      <c r="Q1682" s="324" t="s">
        <v>18</v>
      </c>
      <c r="R1682" s="324"/>
      <c r="S1682" s="324" t="s">
        <v>19</v>
      </c>
      <c r="T1682" s="528">
        <v>6</v>
      </c>
      <c r="U1682" s="324">
        <f>E1682/207*60</f>
        <v>0</v>
      </c>
      <c r="V1682" s="676"/>
      <c r="W1682" s="528"/>
      <c r="X1682" s="529"/>
      <c r="Y1682" s="360" t="s">
        <v>1029</v>
      </c>
      <c r="Z1682" s="312">
        <f t="shared" si="630"/>
        <v>0</v>
      </c>
      <c r="AA1682" s="316">
        <f>SUM(Z1682/548.9+0.25)</f>
        <v>0.25</v>
      </c>
    </row>
    <row r="1683" spans="1:27" ht="105.75" thickBot="1" x14ac:dyDescent="0.45">
      <c r="A1683" s="319" t="s">
        <v>1098</v>
      </c>
      <c r="B1683" s="364" t="s">
        <v>694</v>
      </c>
      <c r="C1683" s="528">
        <f t="shared" si="631"/>
        <v>0</v>
      </c>
      <c r="D1683" s="548">
        <f>C1683*10</f>
        <v>0</v>
      </c>
      <c r="E1683" s="456">
        <f>D1683*0.25</f>
        <v>0</v>
      </c>
      <c r="F1683" s="358">
        <f>E1683*1.03*0.81/147</f>
        <v>0</v>
      </c>
      <c r="G1683" s="548">
        <f t="shared" si="628"/>
        <v>0</v>
      </c>
      <c r="H1683" s="358" t="s">
        <v>18</v>
      </c>
      <c r="I1683" s="548">
        <f t="shared" si="629"/>
        <v>0</v>
      </c>
      <c r="J1683" s="358" t="s">
        <v>19</v>
      </c>
      <c r="K1683" s="358"/>
      <c r="L1683" s="358"/>
      <c r="M1683" s="358">
        <f>(F1683*8820/3456)</f>
        <v>0</v>
      </c>
      <c r="N1683" s="324"/>
      <c r="O1683" s="324"/>
      <c r="P1683" s="324"/>
      <c r="Q1683" s="324" t="s">
        <v>18</v>
      </c>
      <c r="R1683" s="324"/>
      <c r="S1683" s="324" t="s">
        <v>19</v>
      </c>
      <c r="T1683" s="528">
        <v>7</v>
      </c>
      <c r="U1683" s="324">
        <f>E1683/220*60</f>
        <v>0</v>
      </c>
      <c r="V1683" s="676"/>
      <c r="W1683" s="528"/>
      <c r="X1683" s="529"/>
      <c r="Y1683" s="323"/>
      <c r="Z1683" s="312">
        <f t="shared" si="630"/>
        <v>0</v>
      </c>
      <c r="AA1683" s="316">
        <f>SUM(Z1683/457.4+0.25)</f>
        <v>0.25</v>
      </c>
    </row>
    <row r="1684" spans="1:27" ht="105.75" thickBot="1" x14ac:dyDescent="0.45">
      <c r="A1684" s="319" t="s">
        <v>1098</v>
      </c>
      <c r="B1684" s="364" t="s">
        <v>1068</v>
      </c>
      <c r="C1684" s="528">
        <f t="shared" si="631"/>
        <v>0</v>
      </c>
      <c r="D1684" s="528">
        <f>C1684*10</f>
        <v>0</v>
      </c>
      <c r="E1684" s="460">
        <f>D1684*0.25</f>
        <v>0</v>
      </c>
      <c r="F1684" s="324">
        <f>E1684*1.03*0.81/147</f>
        <v>0</v>
      </c>
      <c r="G1684" s="528">
        <f>INT(M1684)</f>
        <v>0</v>
      </c>
      <c r="H1684" s="324" t="s">
        <v>18</v>
      </c>
      <c r="I1684" s="528">
        <f>(M1684-G1684)*64</f>
        <v>0</v>
      </c>
      <c r="J1684" s="324" t="s">
        <v>19</v>
      </c>
      <c r="K1684" s="324"/>
      <c r="L1684" s="324"/>
      <c r="M1684" s="324">
        <f>(F1684*8820/3456)</f>
        <v>0</v>
      </c>
      <c r="N1684" s="324"/>
      <c r="O1684" s="324"/>
      <c r="P1684" s="324"/>
      <c r="Q1684" s="324" t="s">
        <v>18</v>
      </c>
      <c r="R1684" s="324"/>
      <c r="S1684" s="324" t="s">
        <v>19</v>
      </c>
      <c r="T1684" s="528">
        <v>7</v>
      </c>
      <c r="U1684" s="324">
        <f>E1684/220*60</f>
        <v>0</v>
      </c>
      <c r="V1684" s="676"/>
      <c r="W1684" s="528"/>
      <c r="X1684" s="529"/>
      <c r="Y1684" s="323"/>
      <c r="Z1684" s="312">
        <f>E1684</f>
        <v>0</v>
      </c>
      <c r="AA1684" s="316">
        <f>SUM(Z1684/457.4+0.25)</f>
        <v>0.25</v>
      </c>
    </row>
    <row r="1685" spans="1:27" ht="105.75" thickBot="1" x14ac:dyDescent="0.45">
      <c r="A1685" s="319" t="s">
        <v>1098</v>
      </c>
      <c r="B1685" s="364" t="s">
        <v>1072</v>
      </c>
      <c r="C1685" s="528">
        <f t="shared" si="631"/>
        <v>0</v>
      </c>
      <c r="D1685" s="528">
        <f>C1685*10</f>
        <v>0</v>
      </c>
      <c r="E1685" s="460">
        <f>D1685*0.25</f>
        <v>0</v>
      </c>
      <c r="F1685" s="324">
        <f>E1685*1.03*0.81/147</f>
        <v>0</v>
      </c>
      <c r="G1685" s="528">
        <f>INT(M1685)</f>
        <v>0</v>
      </c>
      <c r="H1685" s="324" t="s">
        <v>18</v>
      </c>
      <c r="I1685" s="528">
        <f>(M1685-G1685)*64</f>
        <v>0</v>
      </c>
      <c r="J1685" s="324" t="s">
        <v>19</v>
      </c>
      <c r="K1685" s="324"/>
      <c r="L1685" s="324"/>
      <c r="M1685" s="324">
        <f>(F1685*8820/3456)</f>
        <v>0</v>
      </c>
      <c r="N1685" s="324"/>
      <c r="O1685" s="324"/>
      <c r="P1685" s="324"/>
      <c r="Q1685" s="324" t="s">
        <v>18</v>
      </c>
      <c r="R1685" s="324"/>
      <c r="S1685" s="324" t="s">
        <v>19</v>
      </c>
      <c r="T1685" s="528">
        <v>7</v>
      </c>
      <c r="U1685" s="324">
        <f>E1685/220*60</f>
        <v>0</v>
      </c>
      <c r="V1685" s="676"/>
      <c r="W1685" s="528"/>
      <c r="X1685" s="529"/>
      <c r="Y1685" s="323"/>
      <c r="Z1685" s="312">
        <f>E1685</f>
        <v>0</v>
      </c>
      <c r="AA1685" s="316">
        <f>SUM(Z1685/392+0.25)</f>
        <v>0.25</v>
      </c>
    </row>
    <row r="1686" spans="1:27" ht="105.75" thickBot="1" x14ac:dyDescent="0.45">
      <c r="A1686" s="319" t="s">
        <v>1098</v>
      </c>
      <c r="B1686" s="320" t="s">
        <v>951</v>
      </c>
      <c r="C1686" s="528">
        <f t="shared" si="631"/>
        <v>0</v>
      </c>
      <c r="D1686" s="551">
        <f>C1686*18</f>
        <v>0</v>
      </c>
      <c r="E1686" s="456">
        <f>D1686*0.2</f>
        <v>0</v>
      </c>
      <c r="F1686" s="358">
        <f>E1686*1.03*0.82/147</f>
        <v>0</v>
      </c>
      <c r="G1686" s="548">
        <f t="shared" ref="G1686:G1694" si="632">INT(M1686)</f>
        <v>0</v>
      </c>
      <c r="H1686" s="358" t="s">
        <v>18</v>
      </c>
      <c r="I1686" s="548">
        <f t="shared" ref="I1686:I1694" si="633">(M1686-G1686)*64</f>
        <v>0</v>
      </c>
      <c r="J1686" s="358" t="s">
        <v>19</v>
      </c>
      <c r="K1686" s="358"/>
      <c r="L1686" s="358"/>
      <c r="M1686" s="358">
        <f>F1686*5250/3456</f>
        <v>0</v>
      </c>
      <c r="N1686" s="324"/>
      <c r="O1686" s="324"/>
      <c r="P1686" s="324"/>
      <c r="Q1686" s="324" t="s">
        <v>18</v>
      </c>
      <c r="R1686" s="324"/>
      <c r="S1686" s="324" t="s">
        <v>19</v>
      </c>
      <c r="T1686" s="528">
        <v>6</v>
      </c>
      <c r="U1686" s="324">
        <f>E1686/220*60</f>
        <v>0</v>
      </c>
      <c r="V1686" s="676"/>
      <c r="W1686" s="528"/>
      <c r="X1686" s="529"/>
      <c r="Y1686" s="323"/>
      <c r="Z1686" s="312">
        <f t="shared" ref="Z1686:Z1694" si="634">E1686</f>
        <v>0</v>
      </c>
      <c r="AA1686" s="316">
        <f>SUM(Z1686/548.9+0.25)</f>
        <v>0.25</v>
      </c>
    </row>
    <row r="1687" spans="1:27" ht="105.75" thickBot="1" x14ac:dyDescent="0.45">
      <c r="A1687" s="319" t="s">
        <v>1098</v>
      </c>
      <c r="B1687" s="320" t="s">
        <v>952</v>
      </c>
      <c r="C1687" s="528">
        <f t="shared" si="631"/>
        <v>0</v>
      </c>
      <c r="D1687" s="551">
        <f>C1687*18</f>
        <v>0</v>
      </c>
      <c r="E1687" s="456">
        <f>D1687*0.2</f>
        <v>0</v>
      </c>
      <c r="F1687" s="358">
        <f>E1687*1.03*0.729/147</f>
        <v>0</v>
      </c>
      <c r="G1687" s="548">
        <f t="shared" si="632"/>
        <v>0</v>
      </c>
      <c r="H1687" s="358" t="s">
        <v>18</v>
      </c>
      <c r="I1687" s="548">
        <f t="shared" si="633"/>
        <v>0</v>
      </c>
      <c r="J1687" s="358" t="s">
        <v>19</v>
      </c>
      <c r="K1687" s="358"/>
      <c r="L1687" s="358"/>
      <c r="M1687" s="358">
        <f>F1687*5880/3456</f>
        <v>0</v>
      </c>
      <c r="N1687" s="324"/>
      <c r="O1687" s="324"/>
      <c r="P1687" s="324"/>
      <c r="Q1687" s="324" t="s">
        <v>18</v>
      </c>
      <c r="R1687" s="324"/>
      <c r="S1687" s="324" t="s">
        <v>19</v>
      </c>
      <c r="T1687" s="528">
        <v>6</v>
      </c>
      <c r="U1687" s="324">
        <f>E1687/220*60</f>
        <v>0</v>
      </c>
      <c r="V1687" s="676"/>
      <c r="W1687" s="528"/>
      <c r="X1687" s="529"/>
      <c r="Y1687" s="323"/>
      <c r="Z1687" s="312">
        <f t="shared" si="634"/>
        <v>0</v>
      </c>
      <c r="AA1687" s="316">
        <f>SUM(Z1687/529.3+0.25)</f>
        <v>0.25</v>
      </c>
    </row>
    <row r="1688" spans="1:27" s="728" customFormat="1" ht="105.75" outlineLevel="1" thickBot="1" x14ac:dyDescent="0.45">
      <c r="A1688" s="636" t="s">
        <v>1098</v>
      </c>
      <c r="B1688" s="634" t="s">
        <v>1040</v>
      </c>
      <c r="C1688" s="720">
        <f t="shared" si="631"/>
        <v>0</v>
      </c>
      <c r="D1688" s="720">
        <f>C1688*12</f>
        <v>0</v>
      </c>
      <c r="E1688" s="721">
        <f>D1688*0.25</f>
        <v>0</v>
      </c>
      <c r="F1688" s="722">
        <f>E1688*1.03*0.729/147</f>
        <v>0</v>
      </c>
      <c r="G1688" s="720">
        <f t="shared" si="632"/>
        <v>0</v>
      </c>
      <c r="H1688" s="722" t="s">
        <v>18</v>
      </c>
      <c r="I1688" s="720">
        <f t="shared" si="633"/>
        <v>0</v>
      </c>
      <c r="J1688" s="722" t="s">
        <v>19</v>
      </c>
      <c r="K1688" s="722"/>
      <c r="L1688" s="722"/>
      <c r="M1688" s="722">
        <f>(F1688*7840/3456)</f>
        <v>0</v>
      </c>
      <c r="N1688" s="722"/>
      <c r="O1688" s="722"/>
      <c r="P1688" s="722"/>
      <c r="Q1688" s="722" t="s">
        <v>18</v>
      </c>
      <c r="R1688" s="722"/>
      <c r="S1688" s="722" t="s">
        <v>19</v>
      </c>
      <c r="T1688" s="720">
        <v>7</v>
      </c>
      <c r="U1688" s="324">
        <f>E1688/390*60</f>
        <v>0</v>
      </c>
      <c r="V1688" s="724"/>
      <c r="W1688" s="720"/>
      <c r="X1688" s="725"/>
      <c r="Y1688" s="736"/>
      <c r="Z1688" s="727">
        <f t="shared" si="634"/>
        <v>0</v>
      </c>
      <c r="AA1688" s="815">
        <f>SUM(Z1688/392+0.25)</f>
        <v>0.25</v>
      </c>
    </row>
    <row r="1689" spans="1:27" ht="105.75" thickBot="1" x14ac:dyDescent="0.45">
      <c r="A1689" s="319" t="s">
        <v>1098</v>
      </c>
      <c r="B1689" s="343" t="s">
        <v>880</v>
      </c>
      <c r="C1689" s="528">
        <f>C856</f>
        <v>0</v>
      </c>
      <c r="D1689" s="550">
        <f>C1689*18</f>
        <v>0</v>
      </c>
      <c r="E1689" s="358">
        <f>D1689*0.24</f>
        <v>0</v>
      </c>
      <c r="F1689" s="358">
        <f>E1689*0.81/147</f>
        <v>0</v>
      </c>
      <c r="G1689" s="548">
        <f t="shared" si="632"/>
        <v>0</v>
      </c>
      <c r="H1689" s="358" t="s">
        <v>18</v>
      </c>
      <c r="I1689" s="548">
        <f t="shared" si="633"/>
        <v>0</v>
      </c>
      <c r="J1689" s="358" t="s">
        <v>19</v>
      </c>
      <c r="K1689" s="358"/>
      <c r="L1689" s="358"/>
      <c r="M1689" s="358">
        <f>F1689*6125/3456</f>
        <v>0</v>
      </c>
      <c r="N1689" s="358"/>
      <c r="O1689" s="358"/>
      <c r="P1689" s="358"/>
      <c r="Q1689" s="358" t="s">
        <v>18</v>
      </c>
      <c r="R1689" s="358"/>
      <c r="S1689" s="358" t="s">
        <v>19</v>
      </c>
      <c r="T1689" s="528">
        <v>6</v>
      </c>
      <c r="U1689" s="324">
        <f t="shared" ref="U1689:U1694" si="635">E1689/220*60</f>
        <v>0</v>
      </c>
      <c r="V1689" s="676"/>
      <c r="W1689" s="528"/>
      <c r="X1689" s="529"/>
      <c r="Y1689" s="323"/>
      <c r="Z1689" s="312">
        <f t="shared" si="634"/>
        <v>0</v>
      </c>
      <c r="AA1689" s="316">
        <f>SUM(E1689/522.7+0.25)</f>
        <v>0.25</v>
      </c>
    </row>
    <row r="1690" spans="1:27" ht="105.75" thickBot="1" x14ac:dyDescent="0.45">
      <c r="A1690" s="329" t="s">
        <v>1098</v>
      </c>
      <c r="B1690" s="878" t="s">
        <v>1208</v>
      </c>
      <c r="C1690" s="872">
        <f>C857</f>
        <v>0</v>
      </c>
      <c r="D1690" s="548">
        <f>C1690*12</f>
        <v>0</v>
      </c>
      <c r="E1690" s="456">
        <f>D1690*0.3</f>
        <v>0</v>
      </c>
      <c r="F1690" s="358">
        <f>E1690*1.01*0.79/152</f>
        <v>0</v>
      </c>
      <c r="G1690" s="549">
        <f>INT(M1690)</f>
        <v>0</v>
      </c>
      <c r="H1690" s="359" t="s">
        <v>18</v>
      </c>
      <c r="I1690" s="549">
        <f>(M1690-G1690)*64</f>
        <v>0</v>
      </c>
      <c r="J1690" s="359" t="s">
        <v>19</v>
      </c>
      <c r="K1690" s="358"/>
      <c r="L1690" s="358"/>
      <c r="M1690" s="358">
        <f>F1690*7696/3456</f>
        <v>0</v>
      </c>
      <c r="N1690" s="461"/>
      <c r="O1690" s="461"/>
      <c r="P1690" s="358"/>
      <c r="Q1690" s="358" t="s">
        <v>18</v>
      </c>
      <c r="R1690" s="358"/>
      <c r="S1690" s="358" t="s">
        <v>19</v>
      </c>
      <c r="T1690" s="528">
        <v>10</v>
      </c>
      <c r="U1690" s="324">
        <f t="shared" si="635"/>
        <v>0</v>
      </c>
      <c r="V1690" s="676"/>
      <c r="W1690" s="528"/>
      <c r="X1690" s="529"/>
      <c r="Y1690" s="323"/>
      <c r="Z1690" s="312">
        <f>E1690</f>
        <v>0</v>
      </c>
      <c r="AA1690" s="316">
        <f>SUM(Z1690/435.6+0.25)</f>
        <v>0.25</v>
      </c>
    </row>
    <row r="1691" spans="1:27" ht="105.75" thickBot="1" x14ac:dyDescent="0.45">
      <c r="A1691" s="319" t="s">
        <v>1098</v>
      </c>
      <c r="B1691" s="876" t="s">
        <v>909</v>
      </c>
      <c r="C1691" s="528">
        <f>C861</f>
        <v>0</v>
      </c>
      <c r="D1691" s="550">
        <f>C1691*12</f>
        <v>0</v>
      </c>
      <c r="E1691" s="358">
        <f>D1691*0.36</f>
        <v>0</v>
      </c>
      <c r="F1691" s="358">
        <f>E1691*1.03*0.8/147</f>
        <v>0</v>
      </c>
      <c r="G1691" s="548">
        <f t="shared" si="632"/>
        <v>0</v>
      </c>
      <c r="H1691" s="358" t="s">
        <v>18</v>
      </c>
      <c r="I1691" s="548">
        <f t="shared" si="633"/>
        <v>0</v>
      </c>
      <c r="J1691" s="358" t="s">
        <v>19</v>
      </c>
      <c r="K1691" s="358"/>
      <c r="L1691" s="358"/>
      <c r="M1691" s="358">
        <f>F1691*6000/3456</f>
        <v>0</v>
      </c>
      <c r="N1691" s="358"/>
      <c r="O1691" s="358"/>
      <c r="P1691" s="358"/>
      <c r="Q1691" s="358" t="s">
        <v>18</v>
      </c>
      <c r="R1691" s="358"/>
      <c r="S1691" s="358" t="s">
        <v>19</v>
      </c>
      <c r="T1691" s="528">
        <v>6</v>
      </c>
      <c r="U1691" s="324">
        <f t="shared" si="635"/>
        <v>0</v>
      </c>
      <c r="V1691" s="676"/>
      <c r="W1691" s="528"/>
      <c r="X1691" s="529"/>
      <c r="Y1691" s="323"/>
      <c r="Z1691" s="312">
        <f t="shared" si="634"/>
        <v>0</v>
      </c>
      <c r="AA1691" s="316">
        <f>SUM(E1691/522.7+0.25)</f>
        <v>0.25</v>
      </c>
    </row>
    <row r="1692" spans="1:27" ht="105.75" thickBot="1" x14ac:dyDescent="0.45">
      <c r="A1692" s="319" t="s">
        <v>1098</v>
      </c>
      <c r="B1692" s="320" t="s">
        <v>1004</v>
      </c>
      <c r="C1692" s="528">
        <f>C862</f>
        <v>0</v>
      </c>
      <c r="D1692" s="567">
        <f>C1692*14</f>
        <v>0</v>
      </c>
      <c r="E1692" s="324">
        <f>D1692*0.36</f>
        <v>0</v>
      </c>
      <c r="F1692" s="324">
        <f>E1692*1.03*0.8/147</f>
        <v>0</v>
      </c>
      <c r="G1692" s="528">
        <f t="shared" si="632"/>
        <v>0</v>
      </c>
      <c r="H1692" s="324" t="s">
        <v>18</v>
      </c>
      <c r="I1692" s="528">
        <f t="shared" si="633"/>
        <v>0</v>
      </c>
      <c r="J1692" s="324" t="s">
        <v>19</v>
      </c>
      <c r="K1692" s="324"/>
      <c r="L1692" s="324"/>
      <c r="M1692" s="324">
        <f>F1692*6000/3456</f>
        <v>0</v>
      </c>
      <c r="N1692" s="324"/>
      <c r="O1692" s="324"/>
      <c r="P1692" s="324"/>
      <c r="Q1692" s="324" t="s">
        <v>18</v>
      </c>
      <c r="R1692" s="324"/>
      <c r="S1692" s="324" t="s">
        <v>19</v>
      </c>
      <c r="T1692" s="528">
        <v>6</v>
      </c>
      <c r="U1692" s="324">
        <f t="shared" si="635"/>
        <v>0</v>
      </c>
      <c r="V1692" s="676"/>
      <c r="W1692" s="528"/>
      <c r="X1692" s="529"/>
      <c r="Y1692" s="323"/>
      <c r="Z1692" s="312">
        <f t="shared" si="634"/>
        <v>0</v>
      </c>
      <c r="AA1692" s="316">
        <f>SUM(Z1692/522.7+0.25)</f>
        <v>0.25</v>
      </c>
    </row>
    <row r="1693" spans="1:27" ht="105.75" thickBot="1" x14ac:dyDescent="0.45">
      <c r="A1693" s="319" t="s">
        <v>1098</v>
      </c>
      <c r="B1693" s="320" t="s">
        <v>1027</v>
      </c>
      <c r="C1693" s="528">
        <f>C863</f>
        <v>0</v>
      </c>
      <c r="D1693" s="567">
        <f>C1693*7</f>
        <v>0</v>
      </c>
      <c r="E1693" s="460">
        <f>D1693*0.36</f>
        <v>0</v>
      </c>
      <c r="F1693" s="324">
        <f>E1693*1.03*0.8/147</f>
        <v>0</v>
      </c>
      <c r="G1693" s="528">
        <f t="shared" si="632"/>
        <v>0</v>
      </c>
      <c r="H1693" s="324" t="s">
        <v>18</v>
      </c>
      <c r="I1693" s="528">
        <f t="shared" si="633"/>
        <v>0</v>
      </c>
      <c r="J1693" s="324" t="s">
        <v>19</v>
      </c>
      <c r="K1693" s="324"/>
      <c r="L1693" s="324"/>
      <c r="M1693" s="324">
        <f>F1693*6000/3456</f>
        <v>0</v>
      </c>
      <c r="N1693" s="324"/>
      <c r="O1693" s="324"/>
      <c r="P1693" s="324"/>
      <c r="Q1693" s="324" t="s">
        <v>18</v>
      </c>
      <c r="R1693" s="324"/>
      <c r="S1693" s="324" t="s">
        <v>19</v>
      </c>
      <c r="T1693" s="528">
        <v>6</v>
      </c>
      <c r="U1693" s="324">
        <f t="shared" si="635"/>
        <v>0</v>
      </c>
      <c r="V1693" s="676"/>
      <c r="W1693" s="528"/>
      <c r="X1693" s="529"/>
      <c r="Y1693" s="323"/>
      <c r="Z1693" s="312">
        <f t="shared" si="634"/>
        <v>0</v>
      </c>
      <c r="AA1693" s="316">
        <f>SUM(Z1693/352.8+0.25)</f>
        <v>0.25</v>
      </c>
    </row>
    <row r="1694" spans="1:27" ht="105.75" thickBot="1" x14ac:dyDescent="0.45">
      <c r="A1694" s="319" t="s">
        <v>1098</v>
      </c>
      <c r="B1694" s="343" t="s">
        <v>953</v>
      </c>
      <c r="C1694" s="561">
        <f>C855</f>
        <v>0</v>
      </c>
      <c r="D1694" s="551">
        <f>C1694*18</f>
        <v>0</v>
      </c>
      <c r="E1694" s="456">
        <f>D1694*0.2</f>
        <v>0</v>
      </c>
      <c r="F1694" s="358">
        <f>E1694*1.03*0.729/147</f>
        <v>0</v>
      </c>
      <c r="G1694" s="548">
        <f t="shared" si="632"/>
        <v>0</v>
      </c>
      <c r="H1694" s="358" t="s">
        <v>18</v>
      </c>
      <c r="I1694" s="548">
        <f t="shared" si="633"/>
        <v>0</v>
      </c>
      <c r="J1694" s="358" t="s">
        <v>19</v>
      </c>
      <c r="K1694" s="358"/>
      <c r="L1694" s="358"/>
      <c r="M1694" s="358">
        <f>F1694*5880/3456</f>
        <v>0</v>
      </c>
      <c r="N1694" s="324"/>
      <c r="O1694" s="324"/>
      <c r="P1694" s="324"/>
      <c r="Q1694" s="324" t="s">
        <v>18</v>
      </c>
      <c r="R1694" s="324"/>
      <c r="S1694" s="324" t="s">
        <v>19</v>
      </c>
      <c r="T1694" s="528">
        <v>6</v>
      </c>
      <c r="U1694" s="324">
        <f t="shared" si="635"/>
        <v>0</v>
      </c>
      <c r="V1694" s="676"/>
      <c r="W1694" s="528"/>
      <c r="X1694" s="529"/>
      <c r="Y1694" s="323"/>
      <c r="Z1694" s="312">
        <f t="shared" si="634"/>
        <v>0</v>
      </c>
      <c r="AA1694" s="316">
        <f>SUM(Z1694/529.3+0.25)</f>
        <v>0.25</v>
      </c>
    </row>
    <row r="1695" spans="1:27" thickBot="1" x14ac:dyDescent="0.45">
      <c r="A1695" s="829"/>
      <c r="B1695" s="800" t="s">
        <v>1189</v>
      </c>
      <c r="C1695" s="801"/>
      <c r="D1695" s="559"/>
      <c r="E1695" s="510"/>
      <c r="F1695" s="471"/>
      <c r="G1695" s="559"/>
      <c r="H1695" s="471"/>
      <c r="I1695" s="559"/>
      <c r="J1695" s="471"/>
      <c r="K1695" s="471"/>
      <c r="L1695" s="471"/>
      <c r="M1695" s="471"/>
      <c r="N1695" s="471"/>
      <c r="O1695" s="471"/>
      <c r="P1695" s="471"/>
      <c r="Q1695" s="471"/>
      <c r="R1695" s="471"/>
      <c r="S1695" s="471"/>
      <c r="T1695" s="559"/>
      <c r="U1695" s="471"/>
      <c r="V1695" s="687"/>
      <c r="W1695" s="471"/>
      <c r="X1695" s="471"/>
      <c r="Y1695" s="373"/>
      <c r="AA1695" s="391" t="s">
        <v>678</v>
      </c>
    </row>
    <row r="1696" spans="1:27" thickBot="1" x14ac:dyDescent="0.45">
      <c r="A1696" s="830"/>
      <c r="B1696" s="332" t="s">
        <v>287</v>
      </c>
      <c r="C1696" s="347"/>
      <c r="D1696" s="347"/>
      <c r="E1696" s="494"/>
      <c r="F1696" s="348"/>
      <c r="G1696" s="347"/>
      <c r="H1696" s="348"/>
      <c r="I1696" s="347"/>
      <c r="J1696" s="348"/>
      <c r="K1696" s="348"/>
      <c r="L1696" s="348"/>
      <c r="M1696" s="348"/>
      <c r="N1696" s="348"/>
      <c r="O1696" s="348"/>
      <c r="P1696" s="348"/>
      <c r="Q1696" s="348"/>
      <c r="R1696" s="348"/>
      <c r="S1696" s="348"/>
      <c r="T1696" s="347"/>
      <c r="U1696" s="348"/>
      <c r="V1696" s="356"/>
      <c r="W1696" s="348"/>
      <c r="X1696" s="495"/>
      <c r="Y1696" s="357"/>
    </row>
    <row r="1697" spans="1:27" ht="51.75" thickBot="1" x14ac:dyDescent="0.45">
      <c r="A1697" s="319" t="s">
        <v>728</v>
      </c>
      <c r="B1697" s="320" t="s">
        <v>868</v>
      </c>
      <c r="C1697" s="586">
        <f t="shared" ref="C1697:C1707" si="636">C872</f>
        <v>1000</v>
      </c>
      <c r="D1697" s="528"/>
      <c r="E1697" s="456">
        <f>C1697*2.4</f>
        <v>2400</v>
      </c>
      <c r="F1697" s="358">
        <f t="shared" ref="F1697:F1709" si="637">E1697*1.02*0.99/147</f>
        <v>16.486530612244898</v>
      </c>
      <c r="G1697" s="548">
        <f>INT(M1697)</f>
        <v>28</v>
      </c>
      <c r="H1697" s="358" t="s">
        <v>18</v>
      </c>
      <c r="I1697" s="548">
        <f>(M1697-G1697)*64</f>
        <v>33.608489795918558</v>
      </c>
      <c r="J1697" s="358" t="s">
        <v>19</v>
      </c>
      <c r="K1697" s="358"/>
      <c r="L1697" s="358"/>
      <c r="M1697" s="358">
        <f t="shared" ref="M1697:M1708" si="638">F1697*4983/2880</f>
        <v>28.525132653061227</v>
      </c>
      <c r="N1697" s="324"/>
      <c r="O1697" s="324"/>
      <c r="P1697" s="324"/>
      <c r="Q1697" s="324" t="s">
        <v>18</v>
      </c>
      <c r="R1697" s="324"/>
      <c r="S1697" s="324" t="s">
        <v>19</v>
      </c>
      <c r="T1697" s="583">
        <v>7</v>
      </c>
      <c r="U1697" s="585">
        <f>E1697/420*60</f>
        <v>342.85714285714289</v>
      </c>
      <c r="V1697" s="676"/>
      <c r="W1697" s="528"/>
      <c r="X1697" s="529"/>
      <c r="Y1697" s="323"/>
      <c r="Z1697" s="312">
        <f t="shared" ref="Z1697:Z1737" si="639">E1697</f>
        <v>2400</v>
      </c>
      <c r="AA1697" s="316">
        <f t="shared" ref="AA1697:AA1704" si="640">SUM(Z1697/523.3+0.25)</f>
        <v>4.8362793808522841</v>
      </c>
    </row>
    <row r="1698" spans="1:27" ht="77.25" thickBot="1" x14ac:dyDescent="0.45">
      <c r="A1698" s="319" t="s">
        <v>728</v>
      </c>
      <c r="B1698" s="320" t="s">
        <v>628</v>
      </c>
      <c r="C1698" s="586">
        <f t="shared" si="636"/>
        <v>0</v>
      </c>
      <c r="D1698" s="528"/>
      <c r="E1698" s="456">
        <f>C1698*3.2</f>
        <v>0</v>
      </c>
      <c r="F1698" s="358">
        <f t="shared" si="637"/>
        <v>0</v>
      </c>
      <c r="G1698" s="548">
        <f>INT(M1698)</f>
        <v>0</v>
      </c>
      <c r="H1698" s="358" t="s">
        <v>18</v>
      </c>
      <c r="I1698" s="548">
        <f>(M1698-G1698)*64</f>
        <v>0</v>
      </c>
      <c r="J1698" s="358" t="s">
        <v>19</v>
      </c>
      <c r="K1698" s="358"/>
      <c r="L1698" s="358"/>
      <c r="M1698" s="358">
        <f t="shared" si="638"/>
        <v>0</v>
      </c>
      <c r="N1698" s="324"/>
      <c r="O1698" s="324"/>
      <c r="P1698" s="324"/>
      <c r="Q1698" s="324" t="s">
        <v>18</v>
      </c>
      <c r="R1698" s="324"/>
      <c r="S1698" s="324" t="s">
        <v>19</v>
      </c>
      <c r="T1698" s="583">
        <v>7</v>
      </c>
      <c r="U1698" s="585">
        <f>E1698/259*60</f>
        <v>0</v>
      </c>
      <c r="V1698" s="676"/>
      <c r="W1698" s="528"/>
      <c r="X1698" s="529"/>
      <c r="Y1698" s="323"/>
      <c r="Z1698" s="312">
        <f t="shared" si="639"/>
        <v>0</v>
      </c>
      <c r="AA1698" s="316">
        <f t="shared" si="640"/>
        <v>0.25</v>
      </c>
    </row>
    <row r="1699" spans="1:27" ht="51.75" thickBot="1" x14ac:dyDescent="0.45">
      <c r="A1699" s="319" t="s">
        <v>728</v>
      </c>
      <c r="B1699" s="320" t="s">
        <v>629</v>
      </c>
      <c r="C1699" s="586">
        <f t="shared" si="636"/>
        <v>0</v>
      </c>
      <c r="D1699" s="528"/>
      <c r="E1699" s="456">
        <f>C1699*4</f>
        <v>0</v>
      </c>
      <c r="F1699" s="358">
        <f t="shared" si="637"/>
        <v>0</v>
      </c>
      <c r="G1699" s="548">
        <f>INT(M1699)</f>
        <v>0</v>
      </c>
      <c r="H1699" s="358" t="s">
        <v>18</v>
      </c>
      <c r="I1699" s="548">
        <f>(M1699-G1699)*64</f>
        <v>0</v>
      </c>
      <c r="J1699" s="358" t="s">
        <v>19</v>
      </c>
      <c r="K1699" s="358"/>
      <c r="L1699" s="358"/>
      <c r="M1699" s="358">
        <f t="shared" si="638"/>
        <v>0</v>
      </c>
      <c r="N1699" s="324"/>
      <c r="O1699" s="324"/>
      <c r="P1699" s="324"/>
      <c r="Q1699" s="324" t="s">
        <v>18</v>
      </c>
      <c r="R1699" s="324"/>
      <c r="S1699" s="324" t="s">
        <v>19</v>
      </c>
      <c r="T1699" s="583">
        <v>7</v>
      </c>
      <c r="U1699" s="585">
        <f>E1699/259*60</f>
        <v>0</v>
      </c>
      <c r="V1699" s="676"/>
      <c r="W1699" s="528"/>
      <c r="X1699" s="529"/>
      <c r="Y1699" s="323"/>
      <c r="Z1699" s="312">
        <f t="shared" si="639"/>
        <v>0</v>
      </c>
      <c r="AA1699" s="316">
        <f t="shared" si="640"/>
        <v>0.25</v>
      </c>
    </row>
    <row r="1700" spans="1:27" ht="51.75" thickBot="1" x14ac:dyDescent="0.45">
      <c r="A1700" s="319" t="s">
        <v>728</v>
      </c>
      <c r="B1700" s="320" t="s">
        <v>869</v>
      </c>
      <c r="C1700" s="528">
        <f t="shared" si="636"/>
        <v>0</v>
      </c>
      <c r="D1700" s="528"/>
      <c r="E1700" s="456">
        <f>C1700*2.4</f>
        <v>0</v>
      </c>
      <c r="F1700" s="358">
        <f t="shared" si="637"/>
        <v>0</v>
      </c>
      <c r="G1700" s="548">
        <f>INT(M1700)</f>
        <v>0</v>
      </c>
      <c r="H1700" s="358" t="s">
        <v>18</v>
      </c>
      <c r="I1700" s="548">
        <f>(M1700-G1700)*64</f>
        <v>0</v>
      </c>
      <c r="J1700" s="358" t="s">
        <v>19</v>
      </c>
      <c r="K1700" s="358"/>
      <c r="L1700" s="358"/>
      <c r="M1700" s="358">
        <f t="shared" si="638"/>
        <v>0</v>
      </c>
      <c r="N1700" s="324"/>
      <c r="O1700" s="324"/>
      <c r="P1700" s="324"/>
      <c r="Q1700" s="324" t="s">
        <v>18</v>
      </c>
      <c r="R1700" s="324"/>
      <c r="S1700" s="324" t="s">
        <v>19</v>
      </c>
      <c r="T1700" s="528">
        <v>7</v>
      </c>
      <c r="U1700" s="324">
        <f>E1700/420*60</f>
        <v>0</v>
      </c>
      <c r="V1700" s="676"/>
      <c r="W1700" s="528"/>
      <c r="X1700" s="529"/>
      <c r="Y1700" s="323"/>
      <c r="Z1700" s="312">
        <f t="shared" si="639"/>
        <v>0</v>
      </c>
      <c r="AA1700" s="316">
        <f t="shared" si="640"/>
        <v>0.25</v>
      </c>
    </row>
    <row r="1701" spans="1:27" ht="51.75" thickBot="1" x14ac:dyDescent="0.45">
      <c r="A1701" s="319" t="s">
        <v>728</v>
      </c>
      <c r="B1701" s="320" t="s">
        <v>870</v>
      </c>
      <c r="C1701" s="528">
        <f t="shared" si="636"/>
        <v>0</v>
      </c>
      <c r="D1701" s="528"/>
      <c r="E1701" s="456">
        <f>C1701*2.4</f>
        <v>0</v>
      </c>
      <c r="F1701" s="358">
        <f t="shared" si="637"/>
        <v>0</v>
      </c>
      <c r="G1701" s="548">
        <f>INT(M1701)</f>
        <v>0</v>
      </c>
      <c r="H1701" s="358" t="s">
        <v>18</v>
      </c>
      <c r="I1701" s="548">
        <f>(M1701-G1701)*64</f>
        <v>0</v>
      </c>
      <c r="J1701" s="358" t="s">
        <v>19</v>
      </c>
      <c r="K1701" s="358"/>
      <c r="L1701" s="358"/>
      <c r="M1701" s="358">
        <f t="shared" si="638"/>
        <v>0</v>
      </c>
      <c r="N1701" s="324"/>
      <c r="O1701" s="324"/>
      <c r="P1701" s="324"/>
      <c r="Q1701" s="324" t="s">
        <v>18</v>
      </c>
      <c r="R1701" s="324"/>
      <c r="S1701" s="324" t="s">
        <v>19</v>
      </c>
      <c r="T1701" s="528">
        <v>7</v>
      </c>
      <c r="U1701" s="324">
        <f>E1701/420*60</f>
        <v>0</v>
      </c>
      <c r="V1701" s="676"/>
      <c r="W1701" s="528"/>
      <c r="X1701" s="529"/>
      <c r="Y1701" s="323"/>
      <c r="Z1701" s="312">
        <f t="shared" si="639"/>
        <v>0</v>
      </c>
      <c r="AA1701" s="316">
        <f t="shared" si="640"/>
        <v>0.25</v>
      </c>
    </row>
    <row r="1702" spans="1:27" ht="51.75" thickBot="1" x14ac:dyDescent="0.45">
      <c r="A1702" s="319" t="s">
        <v>728</v>
      </c>
      <c r="B1702" s="320" t="s">
        <v>871</v>
      </c>
      <c r="C1702" s="586">
        <f t="shared" si="636"/>
        <v>0</v>
      </c>
      <c r="D1702" s="528"/>
      <c r="E1702" s="456">
        <f>C1702*2.4</f>
        <v>0</v>
      </c>
      <c r="F1702" s="358">
        <f t="shared" si="637"/>
        <v>0</v>
      </c>
      <c r="G1702" s="548">
        <f t="shared" ref="G1702:G1728" si="641">INT(M1702)</f>
        <v>0</v>
      </c>
      <c r="H1702" s="358" t="s">
        <v>18</v>
      </c>
      <c r="I1702" s="548">
        <f t="shared" ref="I1702:I1728" si="642">(M1702-G1702)*64</f>
        <v>0</v>
      </c>
      <c r="J1702" s="358" t="s">
        <v>19</v>
      </c>
      <c r="K1702" s="358"/>
      <c r="L1702" s="358"/>
      <c r="M1702" s="358">
        <f t="shared" si="638"/>
        <v>0</v>
      </c>
      <c r="N1702" s="324"/>
      <c r="O1702" s="324"/>
      <c r="P1702" s="324"/>
      <c r="Q1702" s="324" t="s">
        <v>18</v>
      </c>
      <c r="R1702" s="324"/>
      <c r="S1702" s="324" t="s">
        <v>19</v>
      </c>
      <c r="T1702" s="583">
        <v>7</v>
      </c>
      <c r="U1702" s="585">
        <f>E1702/420*60</f>
        <v>0</v>
      </c>
      <c r="V1702" s="676"/>
      <c r="W1702" s="528"/>
      <c r="X1702" s="529"/>
      <c r="Y1702" s="323"/>
      <c r="Z1702" s="312">
        <f t="shared" si="639"/>
        <v>0</v>
      </c>
      <c r="AA1702" s="316">
        <f t="shared" si="640"/>
        <v>0.25</v>
      </c>
    </row>
    <row r="1703" spans="1:27" ht="51.75" thickBot="1" x14ac:dyDescent="0.45">
      <c r="A1703" s="319" t="s">
        <v>728</v>
      </c>
      <c r="B1703" s="320" t="s">
        <v>786</v>
      </c>
      <c r="C1703" s="528">
        <f t="shared" si="636"/>
        <v>0</v>
      </c>
      <c r="D1703" s="528"/>
      <c r="E1703" s="456">
        <f t="shared" ref="E1703:E1711" si="643">C1703*4</f>
        <v>0</v>
      </c>
      <c r="F1703" s="358">
        <f t="shared" si="637"/>
        <v>0</v>
      </c>
      <c r="G1703" s="548">
        <f t="shared" si="641"/>
        <v>0</v>
      </c>
      <c r="H1703" s="358" t="s">
        <v>18</v>
      </c>
      <c r="I1703" s="548">
        <f t="shared" si="642"/>
        <v>0</v>
      </c>
      <c r="J1703" s="358" t="s">
        <v>19</v>
      </c>
      <c r="K1703" s="358"/>
      <c r="L1703" s="358"/>
      <c r="M1703" s="358">
        <f t="shared" si="638"/>
        <v>0</v>
      </c>
      <c r="N1703" s="324"/>
      <c r="O1703" s="324"/>
      <c r="P1703" s="324"/>
      <c r="Q1703" s="324" t="s">
        <v>18</v>
      </c>
      <c r="R1703" s="324"/>
      <c r="S1703" s="324" t="s">
        <v>19</v>
      </c>
      <c r="T1703" s="528">
        <v>7</v>
      </c>
      <c r="U1703" s="324">
        <f t="shared" ref="U1703:U1708" si="644">E1703/259*60</f>
        <v>0</v>
      </c>
      <c r="V1703" s="676"/>
      <c r="W1703" s="528"/>
      <c r="X1703" s="529"/>
      <c r="Y1703" s="323"/>
      <c r="Z1703" s="312">
        <f t="shared" si="639"/>
        <v>0</v>
      </c>
      <c r="AA1703" s="316">
        <f t="shared" si="640"/>
        <v>0.25</v>
      </c>
    </row>
    <row r="1704" spans="1:27" ht="51.75" thickBot="1" x14ac:dyDescent="0.45">
      <c r="A1704" s="319" t="s">
        <v>728</v>
      </c>
      <c r="B1704" s="320" t="s">
        <v>630</v>
      </c>
      <c r="C1704" s="586">
        <f t="shared" si="636"/>
        <v>0</v>
      </c>
      <c r="D1704" s="528"/>
      <c r="E1704" s="456">
        <f t="shared" si="643"/>
        <v>0</v>
      </c>
      <c r="F1704" s="358">
        <f t="shared" si="637"/>
        <v>0</v>
      </c>
      <c r="G1704" s="548">
        <f t="shared" si="641"/>
        <v>0</v>
      </c>
      <c r="H1704" s="358" t="s">
        <v>18</v>
      </c>
      <c r="I1704" s="548">
        <f t="shared" si="642"/>
        <v>0</v>
      </c>
      <c r="J1704" s="358" t="s">
        <v>19</v>
      </c>
      <c r="K1704" s="358"/>
      <c r="L1704" s="358"/>
      <c r="M1704" s="358">
        <f t="shared" si="638"/>
        <v>0</v>
      </c>
      <c r="N1704" s="324"/>
      <c r="O1704" s="324"/>
      <c r="P1704" s="324"/>
      <c r="Q1704" s="324" t="s">
        <v>18</v>
      </c>
      <c r="R1704" s="324"/>
      <c r="S1704" s="324" t="s">
        <v>19</v>
      </c>
      <c r="T1704" s="583">
        <v>7</v>
      </c>
      <c r="U1704" s="585">
        <f t="shared" si="644"/>
        <v>0</v>
      </c>
      <c r="V1704" s="676"/>
      <c r="W1704" s="528"/>
      <c r="X1704" s="529"/>
      <c r="Y1704" s="323"/>
      <c r="Z1704" s="312">
        <f t="shared" si="639"/>
        <v>0</v>
      </c>
      <c r="AA1704" s="316">
        <f t="shared" si="640"/>
        <v>0.25</v>
      </c>
    </row>
    <row r="1705" spans="1:27" thickBot="1" x14ac:dyDescent="0.45">
      <c r="A1705" s="319" t="s">
        <v>728</v>
      </c>
      <c r="B1705" s="320" t="s">
        <v>1065</v>
      </c>
      <c r="C1705" s="586">
        <f t="shared" si="636"/>
        <v>0</v>
      </c>
      <c r="D1705" s="528"/>
      <c r="E1705" s="460">
        <f>C1705*4</f>
        <v>0</v>
      </c>
      <c r="F1705" s="324">
        <f>E1705*1.02*0.99/147</f>
        <v>0</v>
      </c>
      <c r="G1705" s="528">
        <f>INT(M1705)</f>
        <v>0</v>
      </c>
      <c r="H1705" s="324" t="s">
        <v>18</v>
      </c>
      <c r="I1705" s="528">
        <f>(M1705-G1705)*64</f>
        <v>0</v>
      </c>
      <c r="J1705" s="324" t="s">
        <v>19</v>
      </c>
      <c r="K1705" s="324"/>
      <c r="L1705" s="324"/>
      <c r="M1705" s="324">
        <f>F1705*4983/2880</f>
        <v>0</v>
      </c>
      <c r="N1705" s="324"/>
      <c r="O1705" s="324"/>
      <c r="P1705" s="324"/>
      <c r="Q1705" s="324" t="s">
        <v>18</v>
      </c>
      <c r="R1705" s="324"/>
      <c r="S1705" s="324" t="s">
        <v>19</v>
      </c>
      <c r="T1705" s="583">
        <v>7</v>
      </c>
      <c r="U1705" s="585">
        <f t="shared" si="644"/>
        <v>0</v>
      </c>
      <c r="V1705" s="676"/>
      <c r="W1705" s="528"/>
      <c r="X1705" s="529"/>
      <c r="Y1705" s="323"/>
      <c r="Z1705" s="312">
        <f>E1705</f>
        <v>0</v>
      </c>
      <c r="AA1705" s="316">
        <f>SUM(Z1705/523.3+0.25)</f>
        <v>0.25</v>
      </c>
    </row>
    <row r="1706" spans="1:27" ht="53.25" thickBot="1" x14ac:dyDescent="0.45">
      <c r="A1706" s="319" t="s">
        <v>1035</v>
      </c>
      <c r="B1706" s="320" t="s">
        <v>1034</v>
      </c>
      <c r="C1706" s="528">
        <f t="shared" si="636"/>
        <v>0</v>
      </c>
      <c r="D1706" s="528"/>
      <c r="E1706" s="456">
        <f t="shared" si="643"/>
        <v>0</v>
      </c>
      <c r="F1706" s="358">
        <f t="shared" si="637"/>
        <v>0</v>
      </c>
      <c r="G1706" s="548">
        <f t="shared" si="641"/>
        <v>0</v>
      </c>
      <c r="H1706" s="358" t="s">
        <v>18</v>
      </c>
      <c r="I1706" s="548">
        <f t="shared" si="642"/>
        <v>0</v>
      </c>
      <c r="J1706" s="358" t="s">
        <v>19</v>
      </c>
      <c r="K1706" s="358"/>
      <c r="L1706" s="358"/>
      <c r="M1706" s="358">
        <f t="shared" si="638"/>
        <v>0</v>
      </c>
      <c r="N1706" s="324"/>
      <c r="O1706" s="324"/>
      <c r="P1706" s="324"/>
      <c r="Q1706" s="324" t="s">
        <v>18</v>
      </c>
      <c r="R1706" s="324"/>
      <c r="S1706" s="324" t="s">
        <v>19</v>
      </c>
      <c r="T1706" s="528">
        <v>7</v>
      </c>
      <c r="U1706" s="324">
        <f t="shared" si="644"/>
        <v>0</v>
      </c>
      <c r="V1706" s="676"/>
      <c r="W1706" s="528"/>
      <c r="X1706" s="529"/>
      <c r="Y1706" s="323"/>
      <c r="Z1706" s="312">
        <f>E1706</f>
        <v>0</v>
      </c>
      <c r="AA1706" s="316">
        <f>SUM(Z1706/463.6+0.25)</f>
        <v>0.25</v>
      </c>
    </row>
    <row r="1707" spans="1:27" thickBot="1" x14ac:dyDescent="0.45">
      <c r="A1707" s="319" t="s">
        <v>728</v>
      </c>
      <c r="B1707" s="320" t="s">
        <v>817</v>
      </c>
      <c r="C1707" s="586">
        <f t="shared" si="636"/>
        <v>0</v>
      </c>
      <c r="D1707" s="528"/>
      <c r="E1707" s="456">
        <f t="shared" si="643"/>
        <v>0</v>
      </c>
      <c r="F1707" s="358">
        <f t="shared" si="637"/>
        <v>0</v>
      </c>
      <c r="G1707" s="548">
        <f t="shared" si="641"/>
        <v>0</v>
      </c>
      <c r="H1707" s="358" t="s">
        <v>18</v>
      </c>
      <c r="I1707" s="548">
        <f t="shared" si="642"/>
        <v>0</v>
      </c>
      <c r="J1707" s="358" t="s">
        <v>19</v>
      </c>
      <c r="K1707" s="358"/>
      <c r="L1707" s="358"/>
      <c r="M1707" s="358">
        <f t="shared" si="638"/>
        <v>0</v>
      </c>
      <c r="N1707" s="324"/>
      <c r="O1707" s="324"/>
      <c r="P1707" s="324"/>
      <c r="Q1707" s="324" t="s">
        <v>18</v>
      </c>
      <c r="R1707" s="324"/>
      <c r="S1707" s="324" t="s">
        <v>19</v>
      </c>
      <c r="T1707" s="583">
        <v>7</v>
      </c>
      <c r="U1707" s="585">
        <f t="shared" si="644"/>
        <v>0</v>
      </c>
      <c r="V1707" s="676"/>
      <c r="W1707" s="528"/>
      <c r="X1707" s="529"/>
      <c r="Y1707" s="323"/>
      <c r="Z1707" s="312">
        <f t="shared" si="639"/>
        <v>0</v>
      </c>
      <c r="AA1707" s="316">
        <f>SUM(Z1707/523.3+0.25)</f>
        <v>0.25</v>
      </c>
    </row>
    <row r="1708" spans="1:27" ht="51.75" thickBot="1" x14ac:dyDescent="0.45">
      <c r="A1708" s="319" t="s">
        <v>728</v>
      </c>
      <c r="B1708" s="320" t="s">
        <v>631</v>
      </c>
      <c r="C1708" s="586">
        <f>C886</f>
        <v>0</v>
      </c>
      <c r="D1708" s="528"/>
      <c r="E1708" s="456">
        <f t="shared" si="643"/>
        <v>0</v>
      </c>
      <c r="F1708" s="358">
        <f t="shared" si="637"/>
        <v>0</v>
      </c>
      <c r="G1708" s="548">
        <f>INT(M1708)</f>
        <v>0</v>
      </c>
      <c r="H1708" s="358" t="s">
        <v>18</v>
      </c>
      <c r="I1708" s="548">
        <f>(M1708-G1708)*64</f>
        <v>0</v>
      </c>
      <c r="J1708" s="358" t="s">
        <v>19</v>
      </c>
      <c r="K1708" s="358"/>
      <c r="L1708" s="358"/>
      <c r="M1708" s="358">
        <f t="shared" si="638"/>
        <v>0</v>
      </c>
      <c r="N1708" s="324"/>
      <c r="O1708" s="324"/>
      <c r="P1708" s="324"/>
      <c r="Q1708" s="324" t="s">
        <v>18</v>
      </c>
      <c r="R1708" s="324"/>
      <c r="S1708" s="324" t="s">
        <v>19</v>
      </c>
      <c r="T1708" s="583">
        <v>7</v>
      </c>
      <c r="U1708" s="585">
        <f t="shared" si="644"/>
        <v>0</v>
      </c>
      <c r="V1708" s="676"/>
      <c r="W1708" s="528"/>
      <c r="X1708" s="529"/>
      <c r="Y1708" s="323"/>
      <c r="Z1708" s="312">
        <f t="shared" si="639"/>
        <v>0</v>
      </c>
      <c r="AA1708" s="316">
        <f>SUM(Z1708/523.3+0.25)</f>
        <v>0.25</v>
      </c>
    </row>
    <row r="1709" spans="1:27" ht="102.75" outlineLevel="1" thickBot="1" x14ac:dyDescent="0.45">
      <c r="A1709" s="319" t="s">
        <v>728</v>
      </c>
      <c r="B1709" s="320" t="s">
        <v>1219</v>
      </c>
      <c r="C1709" s="528">
        <f>C883</f>
        <v>0</v>
      </c>
      <c r="D1709" s="528"/>
      <c r="E1709" s="460">
        <f t="shared" si="643"/>
        <v>0</v>
      </c>
      <c r="F1709" s="324">
        <f t="shared" si="637"/>
        <v>0</v>
      </c>
      <c r="G1709" s="528">
        <f t="shared" si="641"/>
        <v>0</v>
      </c>
      <c r="H1709" s="324" t="s">
        <v>18</v>
      </c>
      <c r="I1709" s="528">
        <f t="shared" si="642"/>
        <v>0</v>
      </c>
      <c r="J1709" s="324" t="s">
        <v>19</v>
      </c>
      <c r="K1709" s="324"/>
      <c r="L1709" s="324"/>
      <c r="M1709" s="324">
        <f>F1709*5764/2880</f>
        <v>0</v>
      </c>
      <c r="N1709" s="324"/>
      <c r="O1709" s="324"/>
      <c r="P1709" s="324"/>
      <c r="Q1709" s="324" t="s">
        <v>18</v>
      </c>
      <c r="R1709" s="324"/>
      <c r="S1709" s="324" t="s">
        <v>19</v>
      </c>
      <c r="T1709" s="528">
        <v>8</v>
      </c>
      <c r="U1709" s="324">
        <f>E1709/324*60</f>
        <v>0</v>
      </c>
      <c r="V1709" s="676"/>
      <c r="W1709" s="528"/>
      <c r="X1709" s="529"/>
      <c r="Y1709" s="323"/>
      <c r="Z1709" s="312">
        <f t="shared" si="639"/>
        <v>0</v>
      </c>
      <c r="AA1709" s="316">
        <f>SUM(Z1709/468.2+0.25)</f>
        <v>0.25</v>
      </c>
    </row>
    <row r="1710" spans="1:27" ht="102.75" outlineLevel="1" thickBot="1" x14ac:dyDescent="0.45">
      <c r="A1710" s="319" t="s">
        <v>728</v>
      </c>
      <c r="B1710" s="320" t="s">
        <v>1220</v>
      </c>
      <c r="C1710" s="528">
        <f>C884</f>
        <v>0</v>
      </c>
      <c r="D1710" s="528"/>
      <c r="E1710" s="460">
        <f>C1710*4</f>
        <v>0</v>
      </c>
      <c r="F1710" s="324">
        <f>E1710*1.02*0.99/147</f>
        <v>0</v>
      </c>
      <c r="G1710" s="528">
        <f t="shared" si="641"/>
        <v>0</v>
      </c>
      <c r="H1710" s="324" t="s">
        <v>18</v>
      </c>
      <c r="I1710" s="528">
        <f t="shared" si="642"/>
        <v>0</v>
      </c>
      <c r="J1710" s="324" t="s">
        <v>19</v>
      </c>
      <c r="K1710" s="324"/>
      <c r="L1710" s="324"/>
      <c r="M1710" s="324">
        <f>F1710*5764/2880</f>
        <v>0</v>
      </c>
      <c r="N1710" s="324"/>
      <c r="O1710" s="324"/>
      <c r="P1710" s="324"/>
      <c r="Q1710" s="324" t="s">
        <v>18</v>
      </c>
      <c r="R1710" s="324"/>
      <c r="S1710" s="324" t="s">
        <v>19</v>
      </c>
      <c r="T1710" s="528">
        <v>8</v>
      </c>
      <c r="U1710" s="722">
        <f>E1710/324*60</f>
        <v>0</v>
      </c>
      <c r="V1710" s="676"/>
      <c r="W1710" s="528"/>
      <c r="X1710" s="529"/>
      <c r="Y1710" s="360"/>
      <c r="Z1710" s="312">
        <f>E1710</f>
        <v>0</v>
      </c>
      <c r="AA1710" s="316">
        <f>SUM(Z1710/468.2+0.25)</f>
        <v>0.25</v>
      </c>
    </row>
    <row r="1711" spans="1:27" ht="77.25" thickBot="1" x14ac:dyDescent="0.45">
      <c r="A1711" s="319" t="s">
        <v>728</v>
      </c>
      <c r="B1711" s="320" t="s">
        <v>840</v>
      </c>
      <c r="C1711" s="528">
        <f>C885</f>
        <v>0</v>
      </c>
      <c r="D1711" s="528"/>
      <c r="E1711" s="456">
        <f t="shared" si="643"/>
        <v>0</v>
      </c>
      <c r="F1711" s="358">
        <f>E1711*0.9*1.01/147</f>
        <v>0</v>
      </c>
      <c r="G1711" s="548">
        <f t="shared" si="641"/>
        <v>0</v>
      </c>
      <c r="H1711" s="358" t="s">
        <v>18</v>
      </c>
      <c r="I1711" s="548">
        <f t="shared" si="642"/>
        <v>0</v>
      </c>
      <c r="J1711" s="358" t="s">
        <v>19</v>
      </c>
      <c r="K1711" s="358"/>
      <c r="L1711" s="358"/>
      <c r="M1711" s="358">
        <f>(F1711*6533/3456)</f>
        <v>0</v>
      </c>
      <c r="N1711" s="358"/>
      <c r="O1711" s="358"/>
      <c r="P1711" s="358"/>
      <c r="Q1711" s="358" t="s">
        <v>18</v>
      </c>
      <c r="R1711" s="358"/>
      <c r="S1711" s="358" t="s">
        <v>19</v>
      </c>
      <c r="T1711" s="528">
        <v>8</v>
      </c>
      <c r="U1711" s="324">
        <f>E1711/324*60</f>
        <v>0</v>
      </c>
      <c r="V1711" s="676"/>
      <c r="W1711" s="528"/>
      <c r="X1711" s="529"/>
      <c r="Y1711" s="323"/>
      <c r="Z1711" s="312">
        <f t="shared" si="639"/>
        <v>0</v>
      </c>
      <c r="AA1711" s="316">
        <f>SUM(AB1711/462.7)</f>
        <v>0</v>
      </c>
    </row>
    <row r="1712" spans="1:27" ht="51.75" thickBot="1" x14ac:dyDescent="0.45">
      <c r="A1712" s="319" t="s">
        <v>728</v>
      </c>
      <c r="B1712" s="320" t="s">
        <v>632</v>
      </c>
      <c r="C1712" s="586">
        <f t="shared" ref="C1712:C1741" si="645">C887</f>
        <v>0</v>
      </c>
      <c r="D1712" s="528"/>
      <c r="E1712" s="456">
        <f>C1712*3.2</f>
        <v>0</v>
      </c>
      <c r="F1712" s="358">
        <f>E1712*1.02*0.99/147</f>
        <v>0</v>
      </c>
      <c r="G1712" s="548">
        <f t="shared" si="641"/>
        <v>0</v>
      </c>
      <c r="H1712" s="358" t="s">
        <v>18</v>
      </c>
      <c r="I1712" s="548">
        <f t="shared" si="642"/>
        <v>0</v>
      </c>
      <c r="J1712" s="358" t="s">
        <v>19</v>
      </c>
      <c r="K1712" s="358"/>
      <c r="L1712" s="358"/>
      <c r="M1712" s="358">
        <f>F1712*4983/2880</f>
        <v>0</v>
      </c>
      <c r="N1712" s="324"/>
      <c r="O1712" s="324"/>
      <c r="P1712" s="324"/>
      <c r="Q1712" s="324" t="s">
        <v>18</v>
      </c>
      <c r="R1712" s="324"/>
      <c r="S1712" s="324" t="s">
        <v>19</v>
      </c>
      <c r="T1712" s="583">
        <v>7</v>
      </c>
      <c r="U1712" s="585">
        <f>E1712/259*60</f>
        <v>0</v>
      </c>
      <c r="V1712" s="676"/>
      <c r="W1712" s="528"/>
      <c r="X1712" s="529"/>
      <c r="Y1712" s="323"/>
      <c r="Z1712" s="312">
        <f t="shared" si="639"/>
        <v>0</v>
      </c>
      <c r="AA1712" s="316">
        <f>SUM(Z1712/523.3+0.25)</f>
        <v>0.25</v>
      </c>
    </row>
    <row r="1713" spans="1:27" ht="77.25" thickBot="1" x14ac:dyDescent="0.45">
      <c r="A1713" s="319" t="s">
        <v>728</v>
      </c>
      <c r="B1713" s="320" t="s">
        <v>633</v>
      </c>
      <c r="C1713" s="586">
        <f t="shared" si="645"/>
        <v>0</v>
      </c>
      <c r="D1713" s="528"/>
      <c r="E1713" s="456">
        <f>C1713*3.2</f>
        <v>0</v>
      </c>
      <c r="F1713" s="358">
        <f>E1713*1.02*0.99/147</f>
        <v>0</v>
      </c>
      <c r="G1713" s="548">
        <f t="shared" si="641"/>
        <v>0</v>
      </c>
      <c r="H1713" s="358" t="s">
        <v>18</v>
      </c>
      <c r="I1713" s="548">
        <f t="shared" si="642"/>
        <v>0</v>
      </c>
      <c r="J1713" s="358" t="s">
        <v>19</v>
      </c>
      <c r="K1713" s="358"/>
      <c r="L1713" s="358"/>
      <c r="M1713" s="358">
        <f>F1713*4983/2880</f>
        <v>0</v>
      </c>
      <c r="N1713" s="358"/>
      <c r="O1713" s="358"/>
      <c r="P1713" s="358"/>
      <c r="Q1713" s="358" t="s">
        <v>18</v>
      </c>
      <c r="R1713" s="358"/>
      <c r="S1713" s="358" t="s">
        <v>19</v>
      </c>
      <c r="T1713" s="583">
        <v>7</v>
      </c>
      <c r="U1713" s="585">
        <f>E1713/259*60</f>
        <v>0</v>
      </c>
      <c r="V1713" s="676"/>
      <c r="W1713" s="528"/>
      <c r="X1713" s="529"/>
      <c r="Y1713" s="323"/>
      <c r="Z1713" s="312">
        <f t="shared" si="639"/>
        <v>0</v>
      </c>
      <c r="AA1713" s="316">
        <f>SUM(Z1713/523.3+0.25)</f>
        <v>0.25</v>
      </c>
    </row>
    <row r="1714" spans="1:27" ht="51.75" thickBot="1" x14ac:dyDescent="0.45">
      <c r="A1714" s="319" t="s">
        <v>728</v>
      </c>
      <c r="B1714" s="320" t="s">
        <v>1066</v>
      </c>
      <c r="C1714" s="586">
        <f t="shared" si="645"/>
        <v>0</v>
      </c>
      <c r="D1714" s="528"/>
      <c r="E1714" s="460">
        <f>C1714*3.2</f>
        <v>0</v>
      </c>
      <c r="F1714" s="324">
        <f>E1714*1.02*0.99/147</f>
        <v>0</v>
      </c>
      <c r="G1714" s="528">
        <f>INT(M1714)</f>
        <v>0</v>
      </c>
      <c r="H1714" s="324" t="s">
        <v>18</v>
      </c>
      <c r="I1714" s="528">
        <f>(M1714-G1714)*64</f>
        <v>0</v>
      </c>
      <c r="J1714" s="324" t="s">
        <v>19</v>
      </c>
      <c r="K1714" s="324"/>
      <c r="L1714" s="324"/>
      <c r="M1714" s="324">
        <f>F1714*4983/2880</f>
        <v>0</v>
      </c>
      <c r="N1714" s="324"/>
      <c r="O1714" s="324"/>
      <c r="P1714" s="324"/>
      <c r="Q1714" s="324" t="s">
        <v>18</v>
      </c>
      <c r="R1714" s="324"/>
      <c r="S1714" s="324" t="s">
        <v>19</v>
      </c>
      <c r="T1714" s="583">
        <v>7</v>
      </c>
      <c r="U1714" s="585">
        <f>E1714/259*60</f>
        <v>0</v>
      </c>
      <c r="V1714" s="676"/>
      <c r="W1714" s="528"/>
      <c r="X1714" s="529"/>
      <c r="Y1714" s="323"/>
      <c r="Z1714" s="312">
        <f>E1714</f>
        <v>0</v>
      </c>
      <c r="AA1714" s="316">
        <f>SUM(Z1714/523.3+0.25)</f>
        <v>0.25</v>
      </c>
    </row>
    <row r="1715" spans="1:27" ht="51.75" thickBot="1" x14ac:dyDescent="0.45">
      <c r="A1715" s="319" t="s">
        <v>728</v>
      </c>
      <c r="B1715" s="320" t="s">
        <v>1067</v>
      </c>
      <c r="C1715" s="586">
        <f t="shared" si="645"/>
        <v>0</v>
      </c>
      <c r="D1715" s="528"/>
      <c r="E1715" s="460">
        <f>C1715*3.2</f>
        <v>0</v>
      </c>
      <c r="F1715" s="324">
        <f>E1715*1.02*0.99/147</f>
        <v>0</v>
      </c>
      <c r="G1715" s="528">
        <f>INT(M1715)</f>
        <v>0</v>
      </c>
      <c r="H1715" s="324" t="s">
        <v>18</v>
      </c>
      <c r="I1715" s="528">
        <f>(M1715-G1715)*64</f>
        <v>0</v>
      </c>
      <c r="J1715" s="324" t="s">
        <v>19</v>
      </c>
      <c r="K1715" s="324"/>
      <c r="L1715" s="324"/>
      <c r="M1715" s="324">
        <f>F1715*4983/2880</f>
        <v>0</v>
      </c>
      <c r="N1715" s="324"/>
      <c r="O1715" s="324"/>
      <c r="P1715" s="324"/>
      <c r="Q1715" s="324" t="s">
        <v>18</v>
      </c>
      <c r="R1715" s="324"/>
      <c r="S1715" s="324" t="s">
        <v>19</v>
      </c>
      <c r="T1715" s="583">
        <v>7</v>
      </c>
      <c r="U1715" s="585">
        <f>E1715/259*60</f>
        <v>0</v>
      </c>
      <c r="V1715" s="676"/>
      <c r="W1715" s="528"/>
      <c r="X1715" s="529"/>
      <c r="Y1715" s="323"/>
      <c r="Z1715" s="312">
        <f>E1715</f>
        <v>0</v>
      </c>
      <c r="AA1715" s="316">
        <f>SUM(Z1715/523.3+0.25)</f>
        <v>0.25</v>
      </c>
    </row>
    <row r="1716" spans="1:27" ht="51.75" thickBot="1" x14ac:dyDescent="0.45">
      <c r="A1716" s="319" t="s">
        <v>728</v>
      </c>
      <c r="B1716" s="320" t="s">
        <v>1081</v>
      </c>
      <c r="C1716" s="586">
        <f t="shared" si="645"/>
        <v>0</v>
      </c>
      <c r="D1716" s="528"/>
      <c r="E1716" s="460">
        <f>C1716*3.2</f>
        <v>0</v>
      </c>
      <c r="F1716" s="324">
        <f>E1716*1.02*0.99/147</f>
        <v>0</v>
      </c>
      <c r="G1716" s="528">
        <f>INT(M1716)</f>
        <v>0</v>
      </c>
      <c r="H1716" s="324" t="s">
        <v>18</v>
      </c>
      <c r="I1716" s="528">
        <f>(M1716-G1716)*64</f>
        <v>0</v>
      </c>
      <c r="J1716" s="324" t="s">
        <v>19</v>
      </c>
      <c r="K1716" s="324"/>
      <c r="L1716" s="324"/>
      <c r="M1716" s="324">
        <f>F1716*4983/2880</f>
        <v>0</v>
      </c>
      <c r="N1716" s="324"/>
      <c r="O1716" s="324"/>
      <c r="P1716" s="324"/>
      <c r="Q1716" s="324" t="s">
        <v>18</v>
      </c>
      <c r="R1716" s="324"/>
      <c r="S1716" s="324" t="s">
        <v>19</v>
      </c>
      <c r="T1716" s="583">
        <v>7</v>
      </c>
      <c r="U1716" s="585">
        <f>E1716/259*60</f>
        <v>0</v>
      </c>
      <c r="V1716" s="676"/>
      <c r="W1716" s="528"/>
      <c r="X1716" s="529"/>
      <c r="Y1716" s="323"/>
      <c r="Z1716" s="312">
        <f>E1716</f>
        <v>0</v>
      </c>
      <c r="AA1716" s="316">
        <f>SUM(Z1716/523.3+0.25)</f>
        <v>0.25</v>
      </c>
    </row>
    <row r="1717" spans="1:27" ht="77.25" thickBot="1" x14ac:dyDescent="0.45">
      <c r="A1717" s="319" t="s">
        <v>728</v>
      </c>
      <c r="B1717" s="799" t="s">
        <v>1192</v>
      </c>
      <c r="C1717" s="586">
        <f t="shared" si="645"/>
        <v>0</v>
      </c>
      <c r="D1717" s="528"/>
      <c r="E1717" s="460">
        <f>C1717*1.3</f>
        <v>0</v>
      </c>
      <c r="F1717" s="324">
        <f>E1717*1.02*1/135</f>
        <v>0</v>
      </c>
      <c r="G1717" s="528">
        <f t="shared" si="641"/>
        <v>0</v>
      </c>
      <c r="H1717" s="324" t="s">
        <v>18</v>
      </c>
      <c r="I1717" s="528">
        <f t="shared" si="642"/>
        <v>0</v>
      </c>
      <c r="J1717" s="324" t="s">
        <v>19</v>
      </c>
      <c r="K1717" s="324"/>
      <c r="L1717" s="324"/>
      <c r="M1717" s="324">
        <f>F1717*5252/2880</f>
        <v>0</v>
      </c>
      <c r="N1717" s="324"/>
      <c r="O1717" s="324"/>
      <c r="P1717" s="324"/>
      <c r="Q1717" s="324" t="s">
        <v>18</v>
      </c>
      <c r="R1717" s="324"/>
      <c r="S1717" s="324" t="s">
        <v>19</v>
      </c>
      <c r="T1717" s="528">
        <v>8</v>
      </c>
      <c r="U1717" s="324">
        <f>E1717/237*60</f>
        <v>0</v>
      </c>
      <c r="V1717" s="676"/>
      <c r="W1717" s="528"/>
      <c r="X1717" s="529"/>
      <c r="Y1717" s="360"/>
      <c r="Z1717" s="312">
        <f>E1717</f>
        <v>0</v>
      </c>
      <c r="AA1717" s="316">
        <f>SUM(AB1717/462.7)</f>
        <v>0</v>
      </c>
    </row>
    <row r="1718" spans="1:27" ht="51.75" thickBot="1" x14ac:dyDescent="0.45">
      <c r="A1718" s="319" t="s">
        <v>728</v>
      </c>
      <c r="B1718" s="320" t="s">
        <v>815</v>
      </c>
      <c r="C1718" s="586">
        <f t="shared" si="645"/>
        <v>1000</v>
      </c>
      <c r="D1718" s="551">
        <f>C1718*12</f>
        <v>12000</v>
      </c>
      <c r="E1718" s="456">
        <f>D1718*0.5</f>
        <v>6000</v>
      </c>
      <c r="F1718" s="358">
        <f t="shared" ref="F1718:F1733" si="646">E1718*1.02*0.99/147</f>
        <v>41.216326530612243</v>
      </c>
      <c r="G1718" s="548">
        <f>INT(M1718)</f>
        <v>75</v>
      </c>
      <c r="H1718" s="358" t="s">
        <v>18</v>
      </c>
      <c r="I1718" s="548">
        <f>(M1718-G1718)*64</f>
        <v>14.982857142857029</v>
      </c>
      <c r="J1718" s="358" t="s">
        <v>19</v>
      </c>
      <c r="K1718" s="358"/>
      <c r="L1718" s="358"/>
      <c r="M1718" s="358">
        <f>(F1718*5257)/2880</f>
        <v>75.234107142857141</v>
      </c>
      <c r="N1718" s="358"/>
      <c r="O1718" s="358"/>
      <c r="P1718" s="358"/>
      <c r="Q1718" s="358" t="s">
        <v>18</v>
      </c>
      <c r="R1718" s="358"/>
      <c r="S1718" s="358" t="s">
        <v>19</v>
      </c>
      <c r="T1718" s="528">
        <v>10</v>
      </c>
      <c r="U1718" s="324"/>
      <c r="V1718" s="676"/>
      <c r="W1718" s="528"/>
      <c r="X1718" s="529"/>
      <c r="Y1718" s="323"/>
      <c r="Z1718" s="312">
        <f t="shared" si="639"/>
        <v>6000</v>
      </c>
      <c r="AA1718" s="316">
        <f>SUM(Z1718/520.5+0.25)</f>
        <v>11.777377521613833</v>
      </c>
    </row>
    <row r="1719" spans="1:27" ht="77.25" thickBot="1" x14ac:dyDescent="0.45">
      <c r="A1719" s="319" t="s">
        <v>728</v>
      </c>
      <c r="B1719" s="320" t="s">
        <v>825</v>
      </c>
      <c r="C1719" s="586">
        <f t="shared" si="645"/>
        <v>1000</v>
      </c>
      <c r="D1719" s="551">
        <f>C1719*12</f>
        <v>12000</v>
      </c>
      <c r="E1719" s="456">
        <f>D1719*0.5</f>
        <v>6000</v>
      </c>
      <c r="F1719" s="358">
        <f t="shared" si="646"/>
        <v>41.216326530612243</v>
      </c>
      <c r="G1719" s="548">
        <f>INT(M1719)</f>
        <v>75</v>
      </c>
      <c r="H1719" s="358" t="s">
        <v>18</v>
      </c>
      <c r="I1719" s="548">
        <f>(M1719-G1719)*64</f>
        <v>14.982857142857029</v>
      </c>
      <c r="J1719" s="358" t="s">
        <v>19</v>
      </c>
      <c r="K1719" s="358"/>
      <c r="L1719" s="358"/>
      <c r="M1719" s="358">
        <f>(F1719*5257)/2880</f>
        <v>75.234107142857141</v>
      </c>
      <c r="N1719" s="358"/>
      <c r="O1719" s="358"/>
      <c r="P1719" s="358"/>
      <c r="Q1719" s="358" t="s">
        <v>18</v>
      </c>
      <c r="R1719" s="358"/>
      <c r="S1719" s="358" t="s">
        <v>19</v>
      </c>
      <c r="T1719" s="528">
        <v>10</v>
      </c>
      <c r="U1719" s="324"/>
      <c r="V1719" s="676"/>
      <c r="W1719" s="528"/>
      <c r="X1719" s="529"/>
      <c r="Y1719" s="323"/>
      <c r="Z1719" s="312">
        <f t="shared" si="639"/>
        <v>6000</v>
      </c>
      <c r="AA1719" s="316">
        <f t="shared" ref="AA1719:AA1724" si="647">SUM(Z1719/523.3+0.25)</f>
        <v>11.715698452130709</v>
      </c>
    </row>
    <row r="1720" spans="1:27" ht="51.75" thickBot="1" x14ac:dyDescent="0.45">
      <c r="A1720" s="319" t="s">
        <v>728</v>
      </c>
      <c r="B1720" s="320" t="s">
        <v>826</v>
      </c>
      <c r="C1720" s="586">
        <f t="shared" si="645"/>
        <v>1000</v>
      </c>
      <c r="D1720" s="551">
        <f>C1720*12</f>
        <v>12000</v>
      </c>
      <c r="E1720" s="456">
        <f>D1720*0.5</f>
        <v>6000</v>
      </c>
      <c r="F1720" s="358">
        <f t="shared" si="646"/>
        <v>41.216326530612243</v>
      </c>
      <c r="G1720" s="548">
        <f t="shared" si="641"/>
        <v>75</v>
      </c>
      <c r="H1720" s="358" t="s">
        <v>18</v>
      </c>
      <c r="I1720" s="548">
        <f t="shared" si="642"/>
        <v>14.982857142857029</v>
      </c>
      <c r="J1720" s="358" t="s">
        <v>19</v>
      </c>
      <c r="K1720" s="358"/>
      <c r="L1720" s="358"/>
      <c r="M1720" s="358">
        <f>(F1720*5257)/2880</f>
        <v>75.234107142857141</v>
      </c>
      <c r="N1720" s="358"/>
      <c r="O1720" s="358"/>
      <c r="P1720" s="358"/>
      <c r="Q1720" s="358" t="s">
        <v>18</v>
      </c>
      <c r="R1720" s="358"/>
      <c r="S1720" s="358" t="s">
        <v>19</v>
      </c>
      <c r="T1720" s="528">
        <v>10</v>
      </c>
      <c r="U1720" s="324"/>
      <c r="V1720" s="676"/>
      <c r="W1720" s="528"/>
      <c r="X1720" s="529"/>
      <c r="Y1720" s="323"/>
      <c r="Z1720" s="312">
        <f t="shared" si="639"/>
        <v>6000</v>
      </c>
      <c r="AA1720" s="316">
        <f t="shared" si="647"/>
        <v>11.715698452130709</v>
      </c>
    </row>
    <row r="1721" spans="1:27" ht="51.75" thickBot="1" x14ac:dyDescent="0.45">
      <c r="A1721" s="319" t="s">
        <v>728</v>
      </c>
      <c r="B1721" s="320" t="s">
        <v>872</v>
      </c>
      <c r="C1721" s="586">
        <f t="shared" si="645"/>
        <v>0</v>
      </c>
      <c r="D1721" s="528"/>
      <c r="E1721" s="456">
        <f>C1721*2.4</f>
        <v>0</v>
      </c>
      <c r="F1721" s="358">
        <f t="shared" si="646"/>
        <v>0</v>
      </c>
      <c r="G1721" s="548">
        <f t="shared" si="641"/>
        <v>0</v>
      </c>
      <c r="H1721" s="358" t="s">
        <v>18</v>
      </c>
      <c r="I1721" s="548">
        <f t="shared" si="642"/>
        <v>0</v>
      </c>
      <c r="J1721" s="358" t="s">
        <v>19</v>
      </c>
      <c r="K1721" s="358"/>
      <c r="L1721" s="358"/>
      <c r="M1721" s="358">
        <f t="shared" ref="M1721:M1733" si="648">F1721*4983/2880</f>
        <v>0</v>
      </c>
      <c r="N1721" s="324"/>
      <c r="O1721" s="324"/>
      <c r="P1721" s="324"/>
      <c r="Q1721" s="324" t="s">
        <v>18</v>
      </c>
      <c r="R1721" s="324"/>
      <c r="S1721" s="324" t="s">
        <v>19</v>
      </c>
      <c r="T1721" s="583">
        <v>7</v>
      </c>
      <c r="U1721" s="585">
        <f t="shared" ref="U1721:U1731" si="649">E1721/420*60</f>
        <v>0</v>
      </c>
      <c r="V1721" s="676"/>
      <c r="W1721" s="528"/>
      <c r="X1721" s="529"/>
      <c r="Y1721" s="323"/>
      <c r="Z1721" s="312">
        <f t="shared" si="639"/>
        <v>0</v>
      </c>
      <c r="AA1721" s="316">
        <f t="shared" si="647"/>
        <v>0.25</v>
      </c>
    </row>
    <row r="1722" spans="1:27" ht="51.75" thickBot="1" x14ac:dyDescent="0.45">
      <c r="A1722" s="319" t="s">
        <v>728</v>
      </c>
      <c r="B1722" s="320" t="s">
        <v>854</v>
      </c>
      <c r="C1722" s="528">
        <f t="shared" si="645"/>
        <v>0</v>
      </c>
      <c r="D1722" s="528"/>
      <c r="E1722" s="456">
        <f t="shared" ref="E1722:E1728" si="650">C1722*1</f>
        <v>0</v>
      </c>
      <c r="F1722" s="358">
        <f t="shared" si="646"/>
        <v>0</v>
      </c>
      <c r="G1722" s="548">
        <f t="shared" si="641"/>
        <v>0</v>
      </c>
      <c r="H1722" s="358" t="s">
        <v>18</v>
      </c>
      <c r="I1722" s="548">
        <f t="shared" si="642"/>
        <v>0</v>
      </c>
      <c r="J1722" s="358" t="s">
        <v>19</v>
      </c>
      <c r="K1722" s="358"/>
      <c r="L1722" s="358"/>
      <c r="M1722" s="358">
        <f t="shared" si="648"/>
        <v>0</v>
      </c>
      <c r="N1722" s="358"/>
      <c r="O1722" s="358"/>
      <c r="P1722" s="358"/>
      <c r="Q1722" s="358" t="s">
        <v>18</v>
      </c>
      <c r="R1722" s="358"/>
      <c r="S1722" s="358" t="s">
        <v>19</v>
      </c>
      <c r="T1722" s="528">
        <v>8</v>
      </c>
      <c r="U1722" s="324">
        <f t="shared" si="649"/>
        <v>0</v>
      </c>
      <c r="V1722" s="676"/>
      <c r="W1722" s="528"/>
      <c r="X1722" s="529"/>
      <c r="Y1722" s="323"/>
      <c r="Z1722" s="312">
        <f t="shared" si="639"/>
        <v>0</v>
      </c>
      <c r="AA1722" s="316">
        <f t="shared" si="647"/>
        <v>0.25</v>
      </c>
    </row>
    <row r="1723" spans="1:27" ht="51.75" thickBot="1" x14ac:dyDescent="0.45">
      <c r="A1723" s="319" t="s">
        <v>728</v>
      </c>
      <c r="B1723" s="799" t="s">
        <v>1204</v>
      </c>
      <c r="C1723" s="528">
        <f t="shared" si="645"/>
        <v>0</v>
      </c>
      <c r="D1723" s="528"/>
      <c r="E1723" s="456">
        <f>C1723*1</f>
        <v>0</v>
      </c>
      <c r="F1723" s="358">
        <f>E1723*1.02*0.99/147</f>
        <v>0</v>
      </c>
      <c r="G1723" s="548">
        <f>INT(M1723)</f>
        <v>0</v>
      </c>
      <c r="H1723" s="358" t="s">
        <v>18</v>
      </c>
      <c r="I1723" s="548">
        <f>(M1723-G1723)*64</f>
        <v>0</v>
      </c>
      <c r="J1723" s="358" t="s">
        <v>19</v>
      </c>
      <c r="K1723" s="358"/>
      <c r="L1723" s="358"/>
      <c r="M1723" s="358">
        <f>F1723*4983/2880</f>
        <v>0</v>
      </c>
      <c r="N1723" s="358"/>
      <c r="O1723" s="358"/>
      <c r="P1723" s="358"/>
      <c r="Q1723" s="358" t="s">
        <v>18</v>
      </c>
      <c r="R1723" s="358"/>
      <c r="S1723" s="358" t="s">
        <v>19</v>
      </c>
      <c r="T1723" s="528">
        <v>8</v>
      </c>
      <c r="U1723" s="324">
        <f>E1723/420*60</f>
        <v>0</v>
      </c>
      <c r="V1723" s="676"/>
      <c r="W1723" s="528"/>
      <c r="X1723" s="529"/>
      <c r="Y1723" s="323"/>
      <c r="Z1723" s="312">
        <f>E1723</f>
        <v>0</v>
      </c>
      <c r="AA1723" s="316">
        <f t="shared" si="647"/>
        <v>0.25</v>
      </c>
    </row>
    <row r="1724" spans="1:27" ht="51.75" thickBot="1" x14ac:dyDescent="0.45">
      <c r="A1724" s="319" t="s">
        <v>728</v>
      </c>
      <c r="B1724" s="320" t="s">
        <v>902</v>
      </c>
      <c r="C1724" s="528">
        <f t="shared" si="645"/>
        <v>0</v>
      </c>
      <c r="D1724" s="528"/>
      <c r="E1724" s="456">
        <f t="shared" si="650"/>
        <v>0</v>
      </c>
      <c r="F1724" s="358">
        <f t="shared" si="646"/>
        <v>0</v>
      </c>
      <c r="G1724" s="548">
        <f t="shared" si="641"/>
        <v>0</v>
      </c>
      <c r="H1724" s="358" t="s">
        <v>18</v>
      </c>
      <c r="I1724" s="548">
        <f t="shared" si="642"/>
        <v>0</v>
      </c>
      <c r="J1724" s="358" t="s">
        <v>19</v>
      </c>
      <c r="K1724" s="358"/>
      <c r="L1724" s="358"/>
      <c r="M1724" s="358">
        <f t="shared" si="648"/>
        <v>0</v>
      </c>
      <c r="N1724" s="358"/>
      <c r="O1724" s="358"/>
      <c r="P1724" s="358"/>
      <c r="Q1724" s="358" t="s">
        <v>18</v>
      </c>
      <c r="R1724" s="358"/>
      <c r="S1724" s="358" t="s">
        <v>19</v>
      </c>
      <c r="T1724" s="528">
        <v>8</v>
      </c>
      <c r="U1724" s="324">
        <f t="shared" si="649"/>
        <v>0</v>
      </c>
      <c r="V1724" s="676"/>
      <c r="W1724" s="528"/>
      <c r="X1724" s="529"/>
      <c r="Y1724" s="323"/>
      <c r="Z1724" s="312">
        <f t="shared" si="639"/>
        <v>0</v>
      </c>
      <c r="AA1724" s="316">
        <f t="shared" si="647"/>
        <v>0.25</v>
      </c>
    </row>
    <row r="1725" spans="1:27" ht="51.75" thickBot="1" x14ac:dyDescent="0.45">
      <c r="A1725" s="319" t="s">
        <v>728</v>
      </c>
      <c r="B1725" s="799" t="s">
        <v>1206</v>
      </c>
      <c r="C1725" s="528">
        <f t="shared" si="645"/>
        <v>0</v>
      </c>
      <c r="D1725" s="528"/>
      <c r="E1725" s="456">
        <f>C1725*1</f>
        <v>0</v>
      </c>
      <c r="F1725" s="358">
        <f>E1725*1.02*0.99/147</f>
        <v>0</v>
      </c>
      <c r="G1725" s="548">
        <f>INT(M1725)</f>
        <v>0</v>
      </c>
      <c r="H1725" s="358" t="s">
        <v>18</v>
      </c>
      <c r="I1725" s="548">
        <f>(M1725-G1725)*64</f>
        <v>0</v>
      </c>
      <c r="J1725" s="358" t="s">
        <v>19</v>
      </c>
      <c r="K1725" s="358"/>
      <c r="L1725" s="358"/>
      <c r="M1725" s="358">
        <f>F1725*4983/2880</f>
        <v>0</v>
      </c>
      <c r="N1725" s="358"/>
      <c r="O1725" s="358"/>
      <c r="P1725" s="358"/>
      <c r="Q1725" s="358" t="s">
        <v>18</v>
      </c>
      <c r="R1725" s="358"/>
      <c r="S1725" s="358" t="s">
        <v>19</v>
      </c>
      <c r="T1725" s="528">
        <v>8</v>
      </c>
      <c r="U1725" s="324">
        <f>E1725/420*60</f>
        <v>0</v>
      </c>
      <c r="V1725" s="676"/>
      <c r="W1725" s="528"/>
      <c r="X1725" s="529"/>
      <c r="Y1725" s="323"/>
      <c r="Z1725" s="312">
        <f>E1725</f>
        <v>0</v>
      </c>
      <c r="AA1725" s="316">
        <f>SUM(Z1725/523.3+0.25)</f>
        <v>0.25</v>
      </c>
    </row>
    <row r="1726" spans="1:27" ht="77.25" thickBot="1" x14ac:dyDescent="0.45">
      <c r="A1726" s="319" t="s">
        <v>728</v>
      </c>
      <c r="B1726" s="320" t="s">
        <v>900</v>
      </c>
      <c r="C1726" s="528">
        <f t="shared" si="645"/>
        <v>0</v>
      </c>
      <c r="D1726" s="554"/>
      <c r="E1726" s="458">
        <f t="shared" si="650"/>
        <v>0</v>
      </c>
      <c r="F1726" s="358">
        <f>E1726*0.9*1.01/147</f>
        <v>0</v>
      </c>
      <c r="G1726" s="556">
        <f t="shared" si="641"/>
        <v>0</v>
      </c>
      <c r="H1726" s="366" t="s">
        <v>18</v>
      </c>
      <c r="I1726" s="556">
        <f t="shared" si="642"/>
        <v>0</v>
      </c>
      <c r="J1726" s="366" t="s">
        <v>19</v>
      </c>
      <c r="K1726" s="366"/>
      <c r="L1726" s="366"/>
      <c r="M1726" s="358">
        <f>(F1726*6533/3456)</f>
        <v>0</v>
      </c>
      <c r="N1726" s="366"/>
      <c r="O1726" s="366"/>
      <c r="P1726" s="366"/>
      <c r="Q1726" s="366" t="s">
        <v>18</v>
      </c>
      <c r="R1726" s="366"/>
      <c r="S1726" s="366" t="s">
        <v>19</v>
      </c>
      <c r="T1726" s="528">
        <v>8</v>
      </c>
      <c r="U1726" s="324">
        <f t="shared" si="649"/>
        <v>0</v>
      </c>
      <c r="V1726" s="676"/>
      <c r="W1726" s="528"/>
      <c r="X1726" s="529"/>
      <c r="Y1726" s="367"/>
      <c r="Z1726" s="312">
        <f t="shared" si="639"/>
        <v>0</v>
      </c>
      <c r="AA1726" s="316">
        <f>SUM(E1726/479.1+0.25)</f>
        <v>0.25</v>
      </c>
    </row>
    <row r="1727" spans="1:27" ht="77.25" thickBot="1" x14ac:dyDescent="0.45">
      <c r="A1727" s="319" t="s">
        <v>728</v>
      </c>
      <c r="B1727" s="320" t="s">
        <v>901</v>
      </c>
      <c r="C1727" s="528">
        <f t="shared" si="645"/>
        <v>0</v>
      </c>
      <c r="D1727" s="554"/>
      <c r="E1727" s="458">
        <f t="shared" si="650"/>
        <v>0</v>
      </c>
      <c r="F1727" s="358">
        <f>E1727*0.9*1.01/147</f>
        <v>0</v>
      </c>
      <c r="G1727" s="556">
        <f t="shared" si="641"/>
        <v>0</v>
      </c>
      <c r="H1727" s="366" t="s">
        <v>18</v>
      </c>
      <c r="I1727" s="556">
        <f t="shared" si="642"/>
        <v>0</v>
      </c>
      <c r="J1727" s="366" t="s">
        <v>19</v>
      </c>
      <c r="K1727" s="366"/>
      <c r="L1727" s="366"/>
      <c r="M1727" s="358">
        <f>(F1727*6533/3456)</f>
        <v>0</v>
      </c>
      <c r="N1727" s="366"/>
      <c r="O1727" s="366"/>
      <c r="P1727" s="366"/>
      <c r="Q1727" s="366" t="s">
        <v>18</v>
      </c>
      <c r="R1727" s="366"/>
      <c r="S1727" s="366" t="s">
        <v>19</v>
      </c>
      <c r="T1727" s="528">
        <v>8</v>
      </c>
      <c r="U1727" s="324">
        <f t="shared" si="649"/>
        <v>0</v>
      </c>
      <c r="V1727" s="676"/>
      <c r="W1727" s="528"/>
      <c r="X1727" s="529"/>
      <c r="Y1727" s="367"/>
      <c r="Z1727" s="312">
        <f>E1727</f>
        <v>0</v>
      </c>
      <c r="AA1727" s="316">
        <f>SUM(E1727/470.9+0.25)</f>
        <v>0.25</v>
      </c>
    </row>
    <row r="1728" spans="1:27" ht="51.75" thickBot="1" x14ac:dyDescent="0.45">
      <c r="A1728" s="319" t="s">
        <v>728</v>
      </c>
      <c r="B1728" s="320" t="s">
        <v>915</v>
      </c>
      <c r="C1728" s="528">
        <f t="shared" si="645"/>
        <v>0</v>
      </c>
      <c r="D1728" s="528"/>
      <c r="E1728" s="456">
        <f t="shared" si="650"/>
        <v>0</v>
      </c>
      <c r="F1728" s="358">
        <f t="shared" si="646"/>
        <v>0</v>
      </c>
      <c r="G1728" s="548">
        <f t="shared" si="641"/>
        <v>0</v>
      </c>
      <c r="H1728" s="358" t="s">
        <v>18</v>
      </c>
      <c r="I1728" s="548">
        <f t="shared" si="642"/>
        <v>0</v>
      </c>
      <c r="J1728" s="358" t="s">
        <v>19</v>
      </c>
      <c r="K1728" s="358"/>
      <c r="L1728" s="358"/>
      <c r="M1728" s="358">
        <f t="shared" si="648"/>
        <v>0</v>
      </c>
      <c r="N1728" s="358"/>
      <c r="O1728" s="358"/>
      <c r="P1728" s="358"/>
      <c r="Q1728" s="358" t="s">
        <v>18</v>
      </c>
      <c r="R1728" s="358"/>
      <c r="S1728" s="358" t="s">
        <v>19</v>
      </c>
      <c r="T1728" s="548">
        <v>8</v>
      </c>
      <c r="U1728" s="324">
        <f t="shared" si="649"/>
        <v>0</v>
      </c>
      <c r="V1728" s="676"/>
      <c r="W1728" s="528"/>
      <c r="X1728" s="529"/>
      <c r="Y1728" s="323"/>
      <c r="Z1728" s="312">
        <f t="shared" si="639"/>
        <v>0</v>
      </c>
      <c r="AA1728" s="316">
        <f>SUM(Z1728/523.3+0.25)</f>
        <v>0.25</v>
      </c>
    </row>
    <row r="1729" spans="1:28" ht="51.75" thickBot="1" x14ac:dyDescent="0.45">
      <c r="A1729" s="319" t="s">
        <v>728</v>
      </c>
      <c r="B1729" s="799" t="s">
        <v>1205</v>
      </c>
      <c r="C1729" s="528">
        <f t="shared" si="645"/>
        <v>0</v>
      </c>
      <c r="D1729" s="528"/>
      <c r="E1729" s="456">
        <f>C1729*1</f>
        <v>0</v>
      </c>
      <c r="F1729" s="358">
        <f>E1729*1.02*0.99/147</f>
        <v>0</v>
      </c>
      <c r="G1729" s="548">
        <f>INT(M1729)</f>
        <v>0</v>
      </c>
      <c r="H1729" s="358" t="s">
        <v>18</v>
      </c>
      <c r="I1729" s="548">
        <f>(M1729-G1729)*64</f>
        <v>0</v>
      </c>
      <c r="J1729" s="358" t="s">
        <v>19</v>
      </c>
      <c r="K1729" s="358"/>
      <c r="L1729" s="358"/>
      <c r="M1729" s="358">
        <f>F1729*4983/2880</f>
        <v>0</v>
      </c>
      <c r="N1729" s="358"/>
      <c r="O1729" s="358"/>
      <c r="P1729" s="358"/>
      <c r="Q1729" s="358" t="s">
        <v>18</v>
      </c>
      <c r="R1729" s="358"/>
      <c r="S1729" s="358" t="s">
        <v>19</v>
      </c>
      <c r="T1729" s="548">
        <v>8</v>
      </c>
      <c r="U1729" s="324">
        <f>E1729/420*60</f>
        <v>0</v>
      </c>
      <c r="V1729" s="676"/>
      <c r="W1729" s="528"/>
      <c r="X1729" s="529"/>
      <c r="Y1729" s="323"/>
      <c r="Z1729" s="312">
        <f>E1729</f>
        <v>0</v>
      </c>
      <c r="AA1729" s="316">
        <f>SUM(Z1729/523.3+0.25)</f>
        <v>0.25</v>
      </c>
    </row>
    <row r="1730" spans="1:28" ht="51.75" thickBot="1" x14ac:dyDescent="0.45">
      <c r="A1730" s="319" t="s">
        <v>728</v>
      </c>
      <c r="B1730" s="320" t="s">
        <v>916</v>
      </c>
      <c r="C1730" s="528">
        <f t="shared" si="645"/>
        <v>0</v>
      </c>
      <c r="D1730" s="525"/>
      <c r="E1730" s="456">
        <f>C1730*1</f>
        <v>0</v>
      </c>
      <c r="F1730" s="358">
        <f>E1730*1.02*0.99/147</f>
        <v>0</v>
      </c>
      <c r="G1730" s="548">
        <f>INT(M1730)</f>
        <v>0</v>
      </c>
      <c r="H1730" s="358" t="s">
        <v>18</v>
      </c>
      <c r="I1730" s="548">
        <f>(M1730-G1730)*64</f>
        <v>0</v>
      </c>
      <c r="J1730" s="358" t="s">
        <v>19</v>
      </c>
      <c r="K1730" s="358"/>
      <c r="L1730" s="358"/>
      <c r="M1730" s="358">
        <f>F1730*6391/2880</f>
        <v>0</v>
      </c>
      <c r="N1730" s="358"/>
      <c r="O1730" s="358"/>
      <c r="P1730" s="358"/>
      <c r="Q1730" s="358" t="s">
        <v>18</v>
      </c>
      <c r="R1730" s="358"/>
      <c r="S1730" s="358" t="s">
        <v>19</v>
      </c>
      <c r="T1730" s="528">
        <v>8</v>
      </c>
      <c r="U1730" s="324">
        <f t="shared" si="649"/>
        <v>0</v>
      </c>
      <c r="V1730" s="676"/>
      <c r="W1730" s="528"/>
      <c r="X1730" s="529"/>
      <c r="Y1730" s="323"/>
      <c r="Z1730" s="312">
        <f t="shared" si="639"/>
        <v>0</v>
      </c>
      <c r="AA1730" s="316">
        <f>SUM(Z1730/523.3+0.25)</f>
        <v>0.25</v>
      </c>
    </row>
    <row r="1731" spans="1:28" ht="51.75" thickBot="1" x14ac:dyDescent="0.45">
      <c r="A1731" s="319" t="s">
        <v>728</v>
      </c>
      <c r="B1731" s="320" t="s">
        <v>1064</v>
      </c>
      <c r="C1731" s="528">
        <f t="shared" si="645"/>
        <v>0</v>
      </c>
      <c r="D1731" s="525"/>
      <c r="E1731" s="545">
        <f>C1731*1</f>
        <v>0</v>
      </c>
      <c r="F1731" s="461">
        <f>E1731*1.02*0.99/147</f>
        <v>0</v>
      </c>
      <c r="G1731" s="525">
        <f>INT(M1731)</f>
        <v>0</v>
      </c>
      <c r="H1731" s="461" t="s">
        <v>18</v>
      </c>
      <c r="I1731" s="525">
        <f>(M1731-G1731)*64</f>
        <v>0</v>
      </c>
      <c r="J1731" s="461" t="s">
        <v>19</v>
      </c>
      <c r="K1731" s="461"/>
      <c r="L1731" s="461"/>
      <c r="M1731" s="461">
        <f>F1731*6391/2880</f>
        <v>0</v>
      </c>
      <c r="N1731" s="461"/>
      <c r="O1731" s="461"/>
      <c r="P1731" s="324"/>
      <c r="Q1731" s="324" t="s">
        <v>18</v>
      </c>
      <c r="R1731" s="324"/>
      <c r="S1731" s="324" t="s">
        <v>19</v>
      </c>
      <c r="T1731" s="528">
        <v>8</v>
      </c>
      <c r="U1731" s="324">
        <f t="shared" si="649"/>
        <v>0</v>
      </c>
      <c r="V1731" s="676"/>
      <c r="W1731" s="528"/>
      <c r="X1731" s="529"/>
      <c r="Y1731" s="323"/>
      <c r="Z1731" s="312">
        <f>E1731</f>
        <v>0</v>
      </c>
      <c r="AA1731" s="316">
        <f>SUM(Z1731/523.3+0.25)</f>
        <v>0.25</v>
      </c>
    </row>
    <row r="1732" spans="1:28" ht="77.25" thickBot="1" x14ac:dyDescent="0.45">
      <c r="A1732" s="319" t="s">
        <v>728</v>
      </c>
      <c r="B1732" s="320" t="s">
        <v>1063</v>
      </c>
      <c r="C1732" s="528">
        <f t="shared" si="645"/>
        <v>0</v>
      </c>
      <c r="D1732" s="528"/>
      <c r="E1732" s="460">
        <f>C1732*2</f>
        <v>0</v>
      </c>
      <c r="F1732" s="324">
        <f t="shared" si="646"/>
        <v>0</v>
      </c>
      <c r="G1732" s="528">
        <f t="shared" ref="G1732:G1741" si="651">INT(M1732)</f>
        <v>0</v>
      </c>
      <c r="H1732" s="324" t="s">
        <v>18</v>
      </c>
      <c r="I1732" s="528">
        <f t="shared" ref="I1732:I1741" si="652">(M1732-G1732)*64</f>
        <v>0</v>
      </c>
      <c r="J1732" s="324" t="s">
        <v>19</v>
      </c>
      <c r="K1732" s="324"/>
      <c r="L1732" s="324"/>
      <c r="M1732" s="324">
        <f t="shared" si="648"/>
        <v>0</v>
      </c>
      <c r="N1732" s="324"/>
      <c r="O1732" s="324"/>
      <c r="P1732" s="324"/>
      <c r="Q1732" s="324" t="s">
        <v>18</v>
      </c>
      <c r="R1732" s="324"/>
      <c r="S1732" s="324" t="s">
        <v>19</v>
      </c>
      <c r="T1732" s="528">
        <v>8</v>
      </c>
      <c r="U1732" s="324">
        <f t="shared" ref="U1732:U1739" si="653">E1732/324*60</f>
        <v>0</v>
      </c>
      <c r="V1732" s="676"/>
      <c r="W1732" s="528"/>
      <c r="X1732" s="529"/>
      <c r="Y1732" s="360"/>
      <c r="Z1732" s="312">
        <f>E1732</f>
        <v>0</v>
      </c>
      <c r="AA1732" s="316">
        <f>SUM(Z1732/468.2+0.25)</f>
        <v>0.25</v>
      </c>
    </row>
    <row r="1733" spans="1:28" ht="77.25" thickBot="1" x14ac:dyDescent="0.45">
      <c r="A1733" s="319" t="s">
        <v>728</v>
      </c>
      <c r="B1733" s="320" t="s">
        <v>917</v>
      </c>
      <c r="C1733" s="528">
        <f t="shared" si="645"/>
        <v>0</v>
      </c>
      <c r="D1733" s="528"/>
      <c r="E1733" s="456">
        <f>C1733*4</f>
        <v>0</v>
      </c>
      <c r="F1733" s="358">
        <f t="shared" si="646"/>
        <v>0</v>
      </c>
      <c r="G1733" s="548">
        <f t="shared" si="651"/>
        <v>0</v>
      </c>
      <c r="H1733" s="358" t="s">
        <v>18</v>
      </c>
      <c r="I1733" s="548">
        <f t="shared" si="652"/>
        <v>0</v>
      </c>
      <c r="J1733" s="358" t="s">
        <v>19</v>
      </c>
      <c r="K1733" s="358"/>
      <c r="L1733" s="358"/>
      <c r="M1733" s="358">
        <f t="shared" si="648"/>
        <v>0</v>
      </c>
      <c r="N1733" s="358"/>
      <c r="O1733" s="358"/>
      <c r="P1733" s="358"/>
      <c r="Q1733" s="358" t="s">
        <v>18</v>
      </c>
      <c r="R1733" s="358"/>
      <c r="S1733" s="358" t="s">
        <v>19</v>
      </c>
      <c r="T1733" s="528">
        <v>8</v>
      </c>
      <c r="U1733" s="324">
        <f t="shared" si="653"/>
        <v>0</v>
      </c>
      <c r="V1733" s="676"/>
      <c r="W1733" s="528"/>
      <c r="X1733" s="529"/>
      <c r="Y1733" s="323"/>
      <c r="Z1733" s="312">
        <f t="shared" si="639"/>
        <v>0</v>
      </c>
      <c r="AA1733" s="316">
        <f>SUM(Z1733/468.2+0.25)</f>
        <v>0.25</v>
      </c>
    </row>
    <row r="1734" spans="1:28" s="327" customFormat="1" ht="53.25" thickBot="1" x14ac:dyDescent="0.45">
      <c r="A1734" s="319" t="s">
        <v>728</v>
      </c>
      <c r="B1734" s="365" t="s">
        <v>864</v>
      </c>
      <c r="C1734" s="553">
        <f t="shared" si="645"/>
        <v>0</v>
      </c>
      <c r="D1734" s="554"/>
      <c r="E1734" s="458">
        <f>C1734*2.5</f>
        <v>0</v>
      </c>
      <c r="F1734" s="358">
        <f t="shared" ref="F1734:F1741" si="654">E1734*0.9*1.01/147</f>
        <v>0</v>
      </c>
      <c r="G1734" s="556">
        <f t="shared" si="651"/>
        <v>0</v>
      </c>
      <c r="H1734" s="366" t="s">
        <v>18</v>
      </c>
      <c r="I1734" s="556">
        <f t="shared" si="652"/>
        <v>0</v>
      </c>
      <c r="J1734" s="366" t="s">
        <v>19</v>
      </c>
      <c r="K1734" s="366"/>
      <c r="L1734" s="366"/>
      <c r="M1734" s="358">
        <f t="shared" ref="M1734:M1741" si="655">(F1734*6533/3456)</f>
        <v>0</v>
      </c>
      <c r="N1734" s="555"/>
      <c r="O1734" s="555"/>
      <c r="P1734" s="555"/>
      <c r="Q1734" s="555" t="s">
        <v>18</v>
      </c>
      <c r="R1734" s="555"/>
      <c r="S1734" s="555" t="s">
        <v>19</v>
      </c>
      <c r="T1734" s="528">
        <v>7</v>
      </c>
      <c r="U1734" s="555">
        <f t="shared" si="653"/>
        <v>0</v>
      </c>
      <c r="V1734" s="686"/>
      <c r="W1734" s="553"/>
      <c r="X1734" s="555"/>
      <c r="Y1734" s="367"/>
      <c r="Z1734" s="312">
        <f t="shared" si="639"/>
        <v>0</v>
      </c>
      <c r="AA1734" s="316">
        <f>SUM(Z1734/470.9+0.25)</f>
        <v>0.25</v>
      </c>
      <c r="AB1734" s="310"/>
    </row>
    <row r="1735" spans="1:28" s="327" customFormat="1" ht="53.25" thickBot="1" x14ac:dyDescent="0.45">
      <c r="A1735" s="319" t="s">
        <v>728</v>
      </c>
      <c r="B1735" s="365" t="s">
        <v>867</v>
      </c>
      <c r="C1735" s="553">
        <f t="shared" si="645"/>
        <v>0</v>
      </c>
      <c r="D1735" s="554"/>
      <c r="E1735" s="458">
        <f>C1735*3.5</f>
        <v>0</v>
      </c>
      <c r="F1735" s="358">
        <f t="shared" si="654"/>
        <v>0</v>
      </c>
      <c r="G1735" s="556">
        <f t="shared" si="651"/>
        <v>0</v>
      </c>
      <c r="H1735" s="366" t="s">
        <v>18</v>
      </c>
      <c r="I1735" s="556">
        <f t="shared" si="652"/>
        <v>0</v>
      </c>
      <c r="J1735" s="366" t="s">
        <v>19</v>
      </c>
      <c r="K1735" s="366"/>
      <c r="L1735" s="366"/>
      <c r="M1735" s="358">
        <f t="shared" si="655"/>
        <v>0</v>
      </c>
      <c r="N1735" s="555"/>
      <c r="O1735" s="555"/>
      <c r="P1735" s="555"/>
      <c r="Q1735" s="555" t="s">
        <v>18</v>
      </c>
      <c r="R1735" s="555"/>
      <c r="S1735" s="555" t="s">
        <v>19</v>
      </c>
      <c r="T1735" s="528">
        <v>7</v>
      </c>
      <c r="U1735" s="555">
        <f t="shared" si="653"/>
        <v>0</v>
      </c>
      <c r="V1735" s="686"/>
      <c r="W1735" s="553"/>
      <c r="X1735" s="555"/>
      <c r="Y1735" s="367"/>
      <c r="Z1735" s="312">
        <f t="shared" si="639"/>
        <v>0</v>
      </c>
      <c r="AA1735" s="316">
        <f>SUM(Z1735/470.9+0.25)</f>
        <v>0.25</v>
      </c>
      <c r="AB1735" s="310"/>
    </row>
    <row r="1736" spans="1:28" s="327" customFormat="1" ht="53.25" thickBot="1" x14ac:dyDescent="0.45">
      <c r="A1736" s="319" t="s">
        <v>728</v>
      </c>
      <c r="B1736" s="365" t="s">
        <v>839</v>
      </c>
      <c r="C1736" s="553">
        <f t="shared" si="645"/>
        <v>0</v>
      </c>
      <c r="D1736" s="554"/>
      <c r="E1736" s="458">
        <f>C1736*4.5</f>
        <v>0</v>
      </c>
      <c r="F1736" s="358">
        <f t="shared" si="654"/>
        <v>0</v>
      </c>
      <c r="G1736" s="548">
        <f t="shared" si="651"/>
        <v>0</v>
      </c>
      <c r="H1736" s="358" t="s">
        <v>18</v>
      </c>
      <c r="I1736" s="548">
        <f t="shared" si="652"/>
        <v>0</v>
      </c>
      <c r="J1736" s="358" t="s">
        <v>19</v>
      </c>
      <c r="K1736" s="358"/>
      <c r="L1736" s="358"/>
      <c r="M1736" s="358">
        <f t="shared" si="655"/>
        <v>0</v>
      </c>
      <c r="N1736" s="555"/>
      <c r="O1736" s="555"/>
      <c r="P1736" s="555"/>
      <c r="Q1736" s="555" t="s">
        <v>18</v>
      </c>
      <c r="R1736" s="555"/>
      <c r="S1736" s="555" t="s">
        <v>19</v>
      </c>
      <c r="T1736" s="528">
        <v>7</v>
      </c>
      <c r="U1736" s="555">
        <f t="shared" si="653"/>
        <v>0</v>
      </c>
      <c r="V1736" s="686"/>
      <c r="W1736" s="553"/>
      <c r="X1736" s="555"/>
      <c r="Y1736" s="367"/>
      <c r="Z1736" s="312">
        <f t="shared" si="639"/>
        <v>0</v>
      </c>
      <c r="AA1736" s="316">
        <f>SUM(Z1736/470.9+0.25)</f>
        <v>0.25</v>
      </c>
      <c r="AB1736" s="310"/>
    </row>
    <row r="1737" spans="1:28" ht="51.75" thickBot="1" x14ac:dyDescent="0.45">
      <c r="A1737" s="319" t="s">
        <v>728</v>
      </c>
      <c r="B1737" s="320" t="s">
        <v>1033</v>
      </c>
      <c r="C1737" s="528">
        <f t="shared" si="645"/>
        <v>0</v>
      </c>
      <c r="D1737" s="528"/>
      <c r="E1737" s="324">
        <f>C1737*3.2</f>
        <v>0</v>
      </c>
      <c r="F1737" s="324">
        <f>E1737*1.02*0.99/147</f>
        <v>0</v>
      </c>
      <c r="G1737" s="528">
        <f>INT(M1737)</f>
        <v>0</v>
      </c>
      <c r="H1737" s="324" t="s">
        <v>18</v>
      </c>
      <c r="I1737" s="528">
        <f>(M1737-G1737)*64</f>
        <v>0</v>
      </c>
      <c r="J1737" s="324"/>
      <c r="K1737" s="324"/>
      <c r="L1737" s="324"/>
      <c r="M1737" s="324">
        <f>E1737/0.0233/2880</f>
        <v>0</v>
      </c>
      <c r="N1737" s="324"/>
      <c r="O1737" s="324"/>
      <c r="P1737" s="324"/>
      <c r="Q1737" s="324" t="s">
        <v>18</v>
      </c>
      <c r="R1737" s="324"/>
      <c r="S1737" s="324" t="s">
        <v>19</v>
      </c>
      <c r="T1737" s="528">
        <v>8</v>
      </c>
      <c r="U1737" s="324">
        <f>E1737/259*60</f>
        <v>0</v>
      </c>
      <c r="V1737" s="676"/>
      <c r="W1737" s="528"/>
      <c r="X1737" s="529"/>
      <c r="Y1737" s="711"/>
      <c r="Z1737" s="312">
        <f t="shared" si="639"/>
        <v>0</v>
      </c>
      <c r="AA1737" s="316">
        <f>SUM(Z1737/444.3)</f>
        <v>0</v>
      </c>
    </row>
    <row r="1738" spans="1:28" s="327" customFormat="1" ht="53.25" thickBot="1" x14ac:dyDescent="0.45">
      <c r="A1738" s="319" t="s">
        <v>728</v>
      </c>
      <c r="B1738" s="365" t="s">
        <v>853</v>
      </c>
      <c r="C1738" s="553">
        <f t="shared" si="645"/>
        <v>0</v>
      </c>
      <c r="D1738" s="554"/>
      <c r="E1738" s="458">
        <f>C1738*3.5</f>
        <v>0</v>
      </c>
      <c r="F1738" s="358">
        <f t="shared" si="654"/>
        <v>0</v>
      </c>
      <c r="G1738" s="548">
        <f t="shared" si="651"/>
        <v>0</v>
      </c>
      <c r="H1738" s="358" t="s">
        <v>18</v>
      </c>
      <c r="I1738" s="548">
        <f t="shared" si="652"/>
        <v>0</v>
      </c>
      <c r="J1738" s="358" t="s">
        <v>19</v>
      </c>
      <c r="K1738" s="358"/>
      <c r="L1738" s="358"/>
      <c r="M1738" s="358">
        <f t="shared" si="655"/>
        <v>0</v>
      </c>
      <c r="N1738" s="366"/>
      <c r="O1738" s="366"/>
      <c r="P1738" s="366"/>
      <c r="Q1738" s="366" t="s">
        <v>18</v>
      </c>
      <c r="R1738" s="366"/>
      <c r="S1738" s="366" t="s">
        <v>19</v>
      </c>
      <c r="T1738" s="528">
        <v>7</v>
      </c>
      <c r="U1738" s="555">
        <f t="shared" si="653"/>
        <v>0</v>
      </c>
      <c r="V1738" s="686"/>
      <c r="W1738" s="553"/>
      <c r="X1738" s="555"/>
      <c r="Y1738" s="367"/>
      <c r="Z1738" s="312">
        <f>E1738</f>
        <v>0</v>
      </c>
      <c r="AA1738" s="316">
        <f>SUM(Z1738/470.9+0.25)</f>
        <v>0.25</v>
      </c>
      <c r="AB1738" s="310"/>
    </row>
    <row r="1739" spans="1:28" s="327" customFormat="1" ht="53.25" thickBot="1" x14ac:dyDescent="0.45">
      <c r="A1739" s="319" t="s">
        <v>728</v>
      </c>
      <c r="B1739" s="365" t="s">
        <v>841</v>
      </c>
      <c r="C1739" s="553">
        <f t="shared" si="645"/>
        <v>0</v>
      </c>
      <c r="D1739" s="554"/>
      <c r="E1739" s="458">
        <f>C1739*4.5</f>
        <v>0</v>
      </c>
      <c r="F1739" s="358">
        <f t="shared" si="654"/>
        <v>0</v>
      </c>
      <c r="G1739" s="548">
        <f t="shared" si="651"/>
        <v>0</v>
      </c>
      <c r="H1739" s="358" t="s">
        <v>18</v>
      </c>
      <c r="I1739" s="548">
        <f t="shared" si="652"/>
        <v>0</v>
      </c>
      <c r="J1739" s="358" t="s">
        <v>19</v>
      </c>
      <c r="K1739" s="358"/>
      <c r="L1739" s="358"/>
      <c r="M1739" s="358">
        <f t="shared" si="655"/>
        <v>0</v>
      </c>
      <c r="N1739" s="555"/>
      <c r="O1739" s="555"/>
      <c r="P1739" s="555"/>
      <c r="Q1739" s="555" t="s">
        <v>18</v>
      </c>
      <c r="R1739" s="555"/>
      <c r="S1739" s="555" t="s">
        <v>19</v>
      </c>
      <c r="T1739" s="528">
        <v>7</v>
      </c>
      <c r="U1739" s="555">
        <f t="shared" si="653"/>
        <v>0</v>
      </c>
      <c r="V1739" s="686"/>
      <c r="W1739" s="553"/>
      <c r="X1739" s="555"/>
      <c r="Y1739" s="367"/>
      <c r="Z1739" s="312">
        <f>E1739</f>
        <v>0</v>
      </c>
      <c r="AA1739" s="316">
        <f>SUM(Z1739/470.9+0.25)</f>
        <v>0.25</v>
      </c>
    </row>
    <row r="1740" spans="1:28" s="327" customFormat="1" ht="53.25" thickBot="1" x14ac:dyDescent="0.45">
      <c r="A1740" s="319" t="s">
        <v>728</v>
      </c>
      <c r="B1740" s="365" t="s">
        <v>903</v>
      </c>
      <c r="C1740" s="553">
        <f t="shared" si="645"/>
        <v>0</v>
      </c>
      <c r="D1740" s="554"/>
      <c r="E1740" s="458">
        <f>C1740*4.5</f>
        <v>0</v>
      </c>
      <c r="F1740" s="358">
        <f t="shared" si="654"/>
        <v>0</v>
      </c>
      <c r="G1740" s="548">
        <f t="shared" si="651"/>
        <v>0</v>
      </c>
      <c r="H1740" s="358" t="s">
        <v>18</v>
      </c>
      <c r="I1740" s="548">
        <f t="shared" si="652"/>
        <v>0</v>
      </c>
      <c r="J1740" s="358" t="s">
        <v>19</v>
      </c>
      <c r="K1740" s="358"/>
      <c r="L1740" s="358"/>
      <c r="M1740" s="358">
        <f t="shared" si="655"/>
        <v>0</v>
      </c>
      <c r="N1740" s="555"/>
      <c r="O1740" s="555"/>
      <c r="P1740" s="555"/>
      <c r="Q1740" s="555" t="s">
        <v>18</v>
      </c>
      <c r="R1740" s="555"/>
      <c r="S1740" s="555" t="s">
        <v>19</v>
      </c>
      <c r="T1740" s="528">
        <v>7</v>
      </c>
      <c r="U1740" s="555">
        <f>E1740/324*60</f>
        <v>0</v>
      </c>
      <c r="V1740" s="686"/>
      <c r="W1740" s="553"/>
      <c r="X1740" s="555"/>
      <c r="Y1740" s="323"/>
      <c r="Z1740" s="312">
        <f>E1740</f>
        <v>0</v>
      </c>
      <c r="AA1740" s="316">
        <f>SUM(Z1740/417.2+0.25)</f>
        <v>0.25</v>
      </c>
    </row>
    <row r="1741" spans="1:28" s="327" customFormat="1" ht="53.25" thickBot="1" x14ac:dyDescent="0.45">
      <c r="A1741" s="319" t="s">
        <v>728</v>
      </c>
      <c r="B1741" s="365" t="s">
        <v>914</v>
      </c>
      <c r="C1741" s="553">
        <f t="shared" si="645"/>
        <v>0</v>
      </c>
      <c r="D1741" s="554"/>
      <c r="E1741" s="458">
        <f>C1741*4.5</f>
        <v>0</v>
      </c>
      <c r="F1741" s="358">
        <f t="shared" si="654"/>
        <v>0</v>
      </c>
      <c r="G1741" s="548">
        <f t="shared" si="651"/>
        <v>0</v>
      </c>
      <c r="H1741" s="358" t="s">
        <v>18</v>
      </c>
      <c r="I1741" s="548">
        <f t="shared" si="652"/>
        <v>0</v>
      </c>
      <c r="J1741" s="358" t="s">
        <v>19</v>
      </c>
      <c r="K1741" s="358"/>
      <c r="L1741" s="358"/>
      <c r="M1741" s="358">
        <f t="shared" si="655"/>
        <v>0</v>
      </c>
      <c r="N1741" s="555"/>
      <c r="O1741" s="555"/>
      <c r="P1741" s="555"/>
      <c r="Q1741" s="555" t="s">
        <v>18</v>
      </c>
      <c r="R1741" s="555"/>
      <c r="S1741" s="555" t="s">
        <v>19</v>
      </c>
      <c r="T1741" s="528">
        <v>7</v>
      </c>
      <c r="U1741" s="555">
        <f>E1741/324*60</f>
        <v>0</v>
      </c>
      <c r="V1741" s="686"/>
      <c r="W1741" s="553"/>
      <c r="X1741" s="555"/>
      <c r="Y1741" s="323"/>
      <c r="Z1741" s="312">
        <f>E1741</f>
        <v>0</v>
      </c>
      <c r="AA1741" s="316">
        <f>SUM(Z1741/417.2+0.25)</f>
        <v>0.25</v>
      </c>
    </row>
    <row r="1742" spans="1:28" thickBot="1" x14ac:dyDescent="0.45">
      <c r="A1742" s="830"/>
      <c r="B1742" s="332" t="s">
        <v>286</v>
      </c>
      <c r="C1742" s="347"/>
      <c r="D1742" s="347"/>
      <c r="E1742" s="494"/>
      <c r="F1742" s="348"/>
      <c r="G1742" s="347"/>
      <c r="H1742" s="348"/>
      <c r="I1742" s="347"/>
      <c r="J1742" s="348"/>
      <c r="K1742" s="348"/>
      <c r="L1742" s="348"/>
      <c r="M1742" s="348"/>
      <c r="N1742" s="348"/>
      <c r="O1742" s="348"/>
      <c r="P1742" s="348"/>
      <c r="Q1742" s="348"/>
      <c r="R1742" s="348"/>
      <c r="S1742" s="348"/>
      <c r="T1742" s="413"/>
      <c r="U1742" s="348"/>
      <c r="V1742" s="356"/>
      <c r="W1742" s="348"/>
      <c r="X1742" s="495"/>
      <c r="Y1742" s="357"/>
    </row>
    <row r="1743" spans="1:28" ht="53.25" thickBot="1" x14ac:dyDescent="0.45">
      <c r="A1743" s="319" t="s">
        <v>728</v>
      </c>
      <c r="B1743" s="319" t="s">
        <v>999</v>
      </c>
      <c r="C1743" s="586">
        <f>C918</f>
        <v>0</v>
      </c>
      <c r="D1743" s="551">
        <f>C1743*16</f>
        <v>0</v>
      </c>
      <c r="E1743" s="456">
        <f>D1743*0.25</f>
        <v>0</v>
      </c>
      <c r="F1743" s="358">
        <f>E1743*0.99*1.03/147</f>
        <v>0</v>
      </c>
      <c r="G1743" s="548">
        <f t="shared" ref="G1743:G1755" si="656">INT(M1743)</f>
        <v>0</v>
      </c>
      <c r="H1743" s="358" t="s">
        <v>18</v>
      </c>
      <c r="I1743" s="548">
        <f t="shared" ref="I1743:I1755" si="657">(M1743-G1743)*64</f>
        <v>0</v>
      </c>
      <c r="J1743" s="358" t="s">
        <v>19</v>
      </c>
      <c r="K1743" s="358"/>
      <c r="L1743" s="358"/>
      <c r="M1743" s="358">
        <f>(F1743*6989)/2880</f>
        <v>0</v>
      </c>
      <c r="N1743" s="358"/>
      <c r="O1743" s="358"/>
      <c r="P1743" s="358"/>
      <c r="Q1743" s="358" t="s">
        <v>18</v>
      </c>
      <c r="R1743" s="358"/>
      <c r="S1743" s="358" t="s">
        <v>19</v>
      </c>
      <c r="T1743" s="583">
        <v>5</v>
      </c>
      <c r="V1743" s="676"/>
      <c r="W1743" s="528"/>
      <c r="X1743" s="529"/>
      <c r="Y1743" s="323"/>
      <c r="Z1743" s="312">
        <f t="shared" ref="Z1743:Z1801" si="658">E1743</f>
        <v>0</v>
      </c>
      <c r="AA1743" s="316">
        <f>SUM(Z1743/385.6+0.25)</f>
        <v>0.25</v>
      </c>
    </row>
    <row r="1744" spans="1:28" ht="53.25" thickBot="1" x14ac:dyDescent="0.45">
      <c r="A1744" s="319" t="s">
        <v>728</v>
      </c>
      <c r="B1744" s="319" t="s">
        <v>1002</v>
      </c>
      <c r="C1744" s="586">
        <f>C919</f>
        <v>0</v>
      </c>
      <c r="D1744" s="551">
        <f>C1744*16</f>
        <v>0</v>
      </c>
      <c r="E1744" s="456">
        <f>D1744*0.25</f>
        <v>0</v>
      </c>
      <c r="F1744" s="358">
        <f>E1744*0.99*1.03/147</f>
        <v>0</v>
      </c>
      <c r="G1744" s="548">
        <f t="shared" si="656"/>
        <v>0</v>
      </c>
      <c r="H1744" s="358" t="s">
        <v>18</v>
      </c>
      <c r="I1744" s="548">
        <f t="shared" si="657"/>
        <v>0</v>
      </c>
      <c r="J1744" s="358" t="s">
        <v>19</v>
      </c>
      <c r="K1744" s="358"/>
      <c r="L1744" s="358"/>
      <c r="M1744" s="358">
        <f>(F1744*6989)/2880</f>
        <v>0</v>
      </c>
      <c r="N1744" s="358"/>
      <c r="O1744" s="358"/>
      <c r="P1744" s="358"/>
      <c r="Q1744" s="358" t="s">
        <v>18</v>
      </c>
      <c r="R1744" s="358"/>
      <c r="S1744" s="358" t="s">
        <v>19</v>
      </c>
      <c r="T1744" s="583">
        <v>5</v>
      </c>
      <c r="V1744" s="676"/>
      <c r="W1744" s="528"/>
      <c r="X1744" s="529"/>
      <c r="Y1744" s="323"/>
      <c r="Z1744" s="312">
        <f t="shared" si="658"/>
        <v>0</v>
      </c>
      <c r="AA1744" s="316">
        <f>SUM(Z1744/385.6+0.25)</f>
        <v>0.25</v>
      </c>
    </row>
    <row r="1745" spans="1:28" ht="51.75" thickBot="1" x14ac:dyDescent="0.45">
      <c r="A1745" s="319" t="s">
        <v>728</v>
      </c>
      <c r="B1745" s="320" t="s">
        <v>1000</v>
      </c>
      <c r="C1745" s="586">
        <f>C920</f>
        <v>0</v>
      </c>
      <c r="D1745" s="551">
        <f>C1745*16</f>
        <v>0</v>
      </c>
      <c r="E1745" s="456">
        <f>D1745*0.25</f>
        <v>0</v>
      </c>
      <c r="F1745" s="358">
        <f>E1745*0.99*1.03/147</f>
        <v>0</v>
      </c>
      <c r="G1745" s="548">
        <f t="shared" si="656"/>
        <v>0</v>
      </c>
      <c r="H1745" s="358" t="s">
        <v>18</v>
      </c>
      <c r="I1745" s="548">
        <f t="shared" si="657"/>
        <v>0</v>
      </c>
      <c r="J1745" s="358" t="s">
        <v>19</v>
      </c>
      <c r="K1745" s="358"/>
      <c r="L1745" s="358"/>
      <c r="M1745" s="358">
        <f>(F1745*6989)/2880</f>
        <v>0</v>
      </c>
      <c r="N1745" s="358"/>
      <c r="O1745" s="358"/>
      <c r="P1745" s="358"/>
      <c r="Q1745" s="358" t="s">
        <v>18</v>
      </c>
      <c r="R1745" s="358"/>
      <c r="S1745" s="358" t="s">
        <v>19</v>
      </c>
      <c r="T1745" s="583">
        <v>5</v>
      </c>
      <c r="U1745" s="585"/>
      <c r="V1745" s="676"/>
      <c r="W1745" s="528"/>
      <c r="X1745" s="529"/>
      <c r="Y1745" s="323"/>
      <c r="Z1745" s="312">
        <f t="shared" si="658"/>
        <v>0</v>
      </c>
      <c r="AA1745" s="316">
        <f>SUM(Z1745/385.6+0.25)</f>
        <v>0.25</v>
      </c>
    </row>
    <row r="1746" spans="1:28" ht="77.25" thickBot="1" x14ac:dyDescent="0.45">
      <c r="A1746" s="319" t="s">
        <v>728</v>
      </c>
      <c r="B1746" s="320" t="s">
        <v>634</v>
      </c>
      <c r="C1746" s="586">
        <f>C922</f>
        <v>0</v>
      </c>
      <c r="D1746" s="551">
        <f>C1746*14</f>
        <v>0</v>
      </c>
      <c r="E1746" s="456">
        <f>D1746*0.25</f>
        <v>0</v>
      </c>
      <c r="F1746" s="358">
        <f t="shared" ref="F1746:F1755" si="659">E1746*0.99*1.03/147</f>
        <v>0</v>
      </c>
      <c r="G1746" s="548">
        <f t="shared" si="656"/>
        <v>0</v>
      </c>
      <c r="H1746" s="358" t="s">
        <v>18</v>
      </c>
      <c r="I1746" s="548">
        <f t="shared" si="657"/>
        <v>0</v>
      </c>
      <c r="J1746" s="358" t="s">
        <v>19</v>
      </c>
      <c r="K1746" s="358"/>
      <c r="L1746" s="358"/>
      <c r="M1746" s="358">
        <f>(F1746*6989)/2880</f>
        <v>0</v>
      </c>
      <c r="N1746" s="324"/>
      <c r="O1746" s="324"/>
      <c r="P1746" s="324"/>
      <c r="Q1746" s="324" t="s">
        <v>18</v>
      </c>
      <c r="R1746" s="324"/>
      <c r="S1746" s="324" t="s">
        <v>19</v>
      </c>
      <c r="T1746" s="583">
        <v>5</v>
      </c>
      <c r="U1746" s="585">
        <f>E1746/390*60</f>
        <v>0</v>
      </c>
      <c r="V1746" s="676"/>
      <c r="W1746" s="528"/>
      <c r="X1746" s="529"/>
      <c r="Y1746" s="323"/>
      <c r="Z1746" s="312">
        <f t="shared" si="658"/>
        <v>0</v>
      </c>
      <c r="AA1746" s="316">
        <f>SUM(Z1746/385.6+0.25)</f>
        <v>0.25</v>
      </c>
    </row>
    <row r="1747" spans="1:28" ht="51.75" thickBot="1" x14ac:dyDescent="0.45">
      <c r="A1747" s="319" t="s">
        <v>728</v>
      </c>
      <c r="B1747" s="320" t="s">
        <v>636</v>
      </c>
      <c r="C1747" s="586">
        <f>C921</f>
        <v>0</v>
      </c>
      <c r="D1747" s="551">
        <f>C1747*14</f>
        <v>0</v>
      </c>
      <c r="E1747" s="456">
        <f>D1747*0.25</f>
        <v>0</v>
      </c>
      <c r="F1747" s="358">
        <f t="shared" si="659"/>
        <v>0</v>
      </c>
      <c r="G1747" s="548">
        <f t="shared" si="656"/>
        <v>0</v>
      </c>
      <c r="H1747" s="358" t="s">
        <v>18</v>
      </c>
      <c r="I1747" s="548">
        <f t="shared" si="657"/>
        <v>0</v>
      </c>
      <c r="J1747" s="358" t="s">
        <v>19</v>
      </c>
      <c r="K1747" s="358"/>
      <c r="L1747" s="358"/>
      <c r="M1747" s="358">
        <f>(F1747*6989)/2880</f>
        <v>0</v>
      </c>
      <c r="N1747" s="324"/>
      <c r="O1747" s="324"/>
      <c r="P1747" s="324"/>
      <c r="Q1747" s="324" t="s">
        <v>18</v>
      </c>
      <c r="R1747" s="324"/>
      <c r="S1747" s="324" t="s">
        <v>19</v>
      </c>
      <c r="T1747" s="583">
        <v>5</v>
      </c>
      <c r="U1747" s="585">
        <f>E1747/403*60</f>
        <v>0</v>
      </c>
      <c r="V1747" s="676"/>
      <c r="W1747" s="528"/>
      <c r="X1747" s="529"/>
      <c r="Y1747" s="323"/>
      <c r="Z1747" s="312">
        <f t="shared" si="658"/>
        <v>0</v>
      </c>
      <c r="AA1747" s="316">
        <f>SUM(Z1747/385.6+0.25)</f>
        <v>0.25</v>
      </c>
    </row>
    <row r="1748" spans="1:28" ht="51.75" thickBot="1" x14ac:dyDescent="0.45">
      <c r="A1748" s="319" t="s">
        <v>728</v>
      </c>
      <c r="B1748" s="320" t="s">
        <v>1037</v>
      </c>
      <c r="C1748" s="586">
        <f t="shared" ref="C1748:C1784" si="660">C923</f>
        <v>0</v>
      </c>
      <c r="D1748" s="548">
        <f>C1748*16</f>
        <v>0</v>
      </c>
      <c r="E1748" s="456">
        <f>D1748*0.27</f>
        <v>0</v>
      </c>
      <c r="F1748" s="358">
        <f t="shared" si="659"/>
        <v>0</v>
      </c>
      <c r="G1748" s="548">
        <f t="shared" si="656"/>
        <v>0</v>
      </c>
      <c r="H1748" s="358" t="s">
        <v>18</v>
      </c>
      <c r="I1748" s="548">
        <f t="shared" si="657"/>
        <v>0</v>
      </c>
      <c r="J1748" s="358" t="s">
        <v>19</v>
      </c>
      <c r="K1748" s="358"/>
      <c r="L1748" s="358"/>
      <c r="M1748" s="358">
        <f>(F1748*6391)/2880</f>
        <v>0</v>
      </c>
      <c r="N1748" s="358"/>
      <c r="O1748" s="358"/>
      <c r="P1748" s="358"/>
      <c r="Q1748" s="358" t="s">
        <v>18</v>
      </c>
      <c r="R1748" s="358"/>
      <c r="S1748" s="358" t="s">
        <v>19</v>
      </c>
      <c r="T1748" s="583">
        <v>5</v>
      </c>
      <c r="U1748" s="585">
        <f>E1748/403*60</f>
        <v>0</v>
      </c>
      <c r="V1748" s="676"/>
      <c r="W1748" s="528"/>
      <c r="X1748" s="529"/>
      <c r="Y1748" s="323"/>
      <c r="Z1748" s="312">
        <f t="shared" si="658"/>
        <v>0</v>
      </c>
      <c r="AA1748" s="316">
        <f>SUM(Z1748/422.3+0.25)</f>
        <v>0.25</v>
      </c>
    </row>
    <row r="1749" spans="1:28" ht="51.75" thickBot="1" x14ac:dyDescent="0.45">
      <c r="A1749" s="319" t="s">
        <v>728</v>
      </c>
      <c r="B1749" s="343" t="s">
        <v>1038</v>
      </c>
      <c r="C1749" s="586">
        <f t="shared" si="660"/>
        <v>0</v>
      </c>
      <c r="D1749" s="548">
        <f>C1749*16</f>
        <v>0</v>
      </c>
      <c r="E1749" s="456">
        <f>D1749*0.27</f>
        <v>0</v>
      </c>
      <c r="F1749" s="358">
        <f t="shared" si="659"/>
        <v>0</v>
      </c>
      <c r="G1749" s="548">
        <f t="shared" si="656"/>
        <v>0</v>
      </c>
      <c r="H1749" s="358" t="s">
        <v>18</v>
      </c>
      <c r="I1749" s="548">
        <f t="shared" si="657"/>
        <v>0</v>
      </c>
      <c r="J1749" s="358" t="s">
        <v>19</v>
      </c>
      <c r="K1749" s="358"/>
      <c r="L1749" s="358"/>
      <c r="M1749" s="358">
        <f>(F1749*6391)/2880</f>
        <v>0</v>
      </c>
      <c r="N1749" s="358"/>
      <c r="O1749" s="358"/>
      <c r="P1749" s="358"/>
      <c r="Q1749" s="358" t="s">
        <v>18</v>
      </c>
      <c r="R1749" s="358"/>
      <c r="S1749" s="358" t="s">
        <v>19</v>
      </c>
      <c r="T1749" s="583">
        <v>5</v>
      </c>
      <c r="V1749" s="676"/>
      <c r="W1749" s="528"/>
      <c r="X1749" s="529"/>
      <c r="Y1749" s="323"/>
      <c r="Z1749" s="312">
        <f t="shared" si="658"/>
        <v>0</v>
      </c>
      <c r="AA1749" s="316">
        <f>SUM(Z1749/422.3+0.25)</f>
        <v>0.25</v>
      </c>
    </row>
    <row r="1750" spans="1:28" ht="53.25" thickBot="1" x14ac:dyDescent="0.45">
      <c r="A1750" s="319" t="s">
        <v>728</v>
      </c>
      <c r="B1750" s="319" t="s">
        <v>684</v>
      </c>
      <c r="C1750" s="586">
        <f t="shared" si="660"/>
        <v>0</v>
      </c>
      <c r="D1750" s="548">
        <f>C1750*12</f>
        <v>0</v>
      </c>
      <c r="E1750" s="456">
        <f>D1750*0.3</f>
        <v>0</v>
      </c>
      <c r="F1750" s="358">
        <f t="shared" si="659"/>
        <v>0</v>
      </c>
      <c r="G1750" s="548">
        <f t="shared" si="656"/>
        <v>0</v>
      </c>
      <c r="H1750" s="358" t="s">
        <v>18</v>
      </c>
      <c r="I1750" s="548">
        <f t="shared" si="657"/>
        <v>0</v>
      </c>
      <c r="J1750" s="358" t="s">
        <v>19</v>
      </c>
      <c r="K1750" s="358"/>
      <c r="L1750" s="358"/>
      <c r="M1750" s="358">
        <f>(F1750*5880)/2880</f>
        <v>0</v>
      </c>
      <c r="N1750" s="324"/>
      <c r="O1750" s="324"/>
      <c r="P1750" s="324"/>
      <c r="Q1750" s="324" t="s">
        <v>18</v>
      </c>
      <c r="R1750" s="324"/>
      <c r="S1750" s="324" t="s">
        <v>19</v>
      </c>
      <c r="T1750" s="583">
        <v>5</v>
      </c>
      <c r="V1750" s="676"/>
      <c r="W1750" s="528"/>
      <c r="X1750" s="529"/>
      <c r="Y1750" s="323"/>
      <c r="Z1750" s="312">
        <f t="shared" si="658"/>
        <v>0</v>
      </c>
      <c r="AA1750" s="316">
        <f>SUM(Z1750/459+0.25)</f>
        <v>0.25</v>
      </c>
    </row>
    <row r="1751" spans="1:28" ht="53.25" thickBot="1" x14ac:dyDescent="0.45">
      <c r="A1751" s="319" t="s">
        <v>728</v>
      </c>
      <c r="B1751" s="319" t="s">
        <v>685</v>
      </c>
      <c r="C1751" s="586">
        <f t="shared" si="660"/>
        <v>0</v>
      </c>
      <c r="D1751" s="548">
        <f>C1751*12</f>
        <v>0</v>
      </c>
      <c r="E1751" s="456">
        <f>D1751*0.3</f>
        <v>0</v>
      </c>
      <c r="F1751" s="358">
        <f t="shared" si="659"/>
        <v>0</v>
      </c>
      <c r="G1751" s="548">
        <f t="shared" si="656"/>
        <v>0</v>
      </c>
      <c r="H1751" s="358" t="s">
        <v>18</v>
      </c>
      <c r="I1751" s="548">
        <f t="shared" si="657"/>
        <v>0</v>
      </c>
      <c r="J1751" s="358" t="s">
        <v>19</v>
      </c>
      <c r="K1751" s="358"/>
      <c r="L1751" s="358"/>
      <c r="M1751" s="358">
        <f>(F1751*5880)/2880</f>
        <v>0</v>
      </c>
      <c r="N1751" s="324"/>
      <c r="O1751" s="324"/>
      <c r="P1751" s="324"/>
      <c r="Q1751" s="324" t="s">
        <v>18</v>
      </c>
      <c r="R1751" s="324"/>
      <c r="S1751" s="324" t="s">
        <v>19</v>
      </c>
      <c r="T1751" s="583">
        <v>5</v>
      </c>
      <c r="V1751" s="676"/>
      <c r="W1751" s="528"/>
      <c r="X1751" s="529"/>
      <c r="Y1751" s="323"/>
      <c r="Z1751" s="312">
        <f t="shared" si="658"/>
        <v>0</v>
      </c>
      <c r="AA1751" s="316">
        <f>SUM(Z1751/459+0.25)</f>
        <v>0.25</v>
      </c>
    </row>
    <row r="1752" spans="1:28" ht="53.25" thickBot="1" x14ac:dyDescent="0.45">
      <c r="A1752" s="319" t="s">
        <v>728</v>
      </c>
      <c r="B1752" s="854" t="s">
        <v>1196</v>
      </c>
      <c r="C1752" s="528">
        <f t="shared" si="660"/>
        <v>0</v>
      </c>
      <c r="D1752" s="548">
        <f>C1752*14</f>
        <v>0</v>
      </c>
      <c r="E1752" s="456">
        <f>D1752*0.3</f>
        <v>0</v>
      </c>
      <c r="F1752" s="358">
        <f t="shared" si="659"/>
        <v>0</v>
      </c>
      <c r="G1752" s="548">
        <f t="shared" si="656"/>
        <v>0</v>
      </c>
      <c r="H1752" s="358" t="s">
        <v>18</v>
      </c>
      <c r="I1752" s="548">
        <f t="shared" si="657"/>
        <v>0</v>
      </c>
      <c r="J1752" s="358" t="s">
        <v>19</v>
      </c>
      <c r="K1752" s="358"/>
      <c r="L1752" s="358"/>
      <c r="M1752" s="358">
        <f>(F1752*5880)/2880</f>
        <v>0</v>
      </c>
      <c r="N1752" s="324"/>
      <c r="O1752" s="324"/>
      <c r="P1752" s="324"/>
      <c r="Q1752" s="324" t="s">
        <v>18</v>
      </c>
      <c r="R1752" s="324"/>
      <c r="S1752" s="324" t="s">
        <v>19</v>
      </c>
      <c r="T1752" s="528">
        <v>5</v>
      </c>
      <c r="U1752" s="324">
        <f>E1752/403*60</f>
        <v>0</v>
      </c>
      <c r="V1752" s="676"/>
      <c r="W1752" s="528"/>
      <c r="X1752" s="529"/>
      <c r="Y1752" s="360"/>
      <c r="Z1752" s="312">
        <f>E1752</f>
        <v>0</v>
      </c>
      <c r="AA1752" s="316">
        <f>SUM(Z1752/459+0.25)</f>
        <v>0.25</v>
      </c>
    </row>
    <row r="1753" spans="1:28" ht="77.25" thickBot="1" x14ac:dyDescent="0.45">
      <c r="A1753" s="319" t="s">
        <v>728</v>
      </c>
      <c r="B1753" s="855" t="s">
        <v>1197</v>
      </c>
      <c r="C1753" s="853">
        <f t="shared" si="660"/>
        <v>0</v>
      </c>
      <c r="D1753" s="856">
        <f>C1753*16</f>
        <v>0</v>
      </c>
      <c r="E1753" s="629">
        <f>D1753*0.3</f>
        <v>0</v>
      </c>
      <c r="F1753" s="857">
        <f>E1753*0.9*1.01/147</f>
        <v>0</v>
      </c>
      <c r="G1753" s="858">
        <f>INT(M1753)</f>
        <v>0</v>
      </c>
      <c r="H1753" s="366"/>
      <c r="I1753" s="859">
        <f t="shared" si="657"/>
        <v>0</v>
      </c>
      <c r="J1753" s="860" t="s">
        <v>19</v>
      </c>
      <c r="K1753" s="860"/>
      <c r="L1753" s="860"/>
      <c r="M1753" s="861">
        <f>F1753*6533/3456</f>
        <v>0</v>
      </c>
      <c r="N1753" s="860"/>
      <c r="O1753" s="860"/>
      <c r="P1753" s="860"/>
      <c r="Q1753" s="324" t="s">
        <v>18</v>
      </c>
      <c r="R1753" s="324"/>
      <c r="S1753" s="324" t="s">
        <v>19</v>
      </c>
      <c r="T1753" s="528">
        <v>5</v>
      </c>
      <c r="U1753" s="324">
        <f>E1753/403*60</f>
        <v>0</v>
      </c>
      <c r="V1753" s="676"/>
      <c r="W1753" s="528"/>
      <c r="X1753" s="529"/>
      <c r="Y1753" s="711"/>
      <c r="Z1753" s="312">
        <f>E1753/1.02/1.143</f>
        <v>0</v>
      </c>
      <c r="AA1753" s="316">
        <f>SUM(AB1753/459+0.25)</f>
        <v>0.25</v>
      </c>
      <c r="AB1753" s="310">
        <f>E1753/1.02</f>
        <v>0</v>
      </c>
    </row>
    <row r="1754" spans="1:28" ht="53.25" thickBot="1" x14ac:dyDescent="0.45">
      <c r="A1754" s="319" t="s">
        <v>728</v>
      </c>
      <c r="B1754" s="319" t="s">
        <v>692</v>
      </c>
      <c r="C1754" s="586">
        <f t="shared" si="660"/>
        <v>0</v>
      </c>
      <c r="D1754" s="548">
        <f>C1754*12</f>
        <v>0</v>
      </c>
      <c r="E1754" s="456">
        <f>D1754*0.3</f>
        <v>0</v>
      </c>
      <c r="F1754" s="358">
        <f t="shared" si="659"/>
        <v>0</v>
      </c>
      <c r="G1754" s="548">
        <f t="shared" si="656"/>
        <v>0</v>
      </c>
      <c r="H1754" s="358" t="s">
        <v>18</v>
      </c>
      <c r="I1754" s="548">
        <f t="shared" si="657"/>
        <v>0</v>
      </c>
      <c r="J1754" s="358" t="s">
        <v>19</v>
      </c>
      <c r="K1754" s="358"/>
      <c r="L1754" s="358"/>
      <c r="M1754" s="358">
        <f>(F1754*5880)/2880</f>
        <v>0</v>
      </c>
      <c r="N1754" s="324"/>
      <c r="O1754" s="324"/>
      <c r="P1754" s="324"/>
      <c r="Q1754" s="324" t="s">
        <v>18</v>
      </c>
      <c r="R1754" s="324"/>
      <c r="S1754" s="324" t="s">
        <v>19</v>
      </c>
      <c r="T1754" s="583">
        <v>5</v>
      </c>
      <c r="U1754" s="585">
        <f>E1754/403*60</f>
        <v>0</v>
      </c>
      <c r="V1754" s="676"/>
      <c r="W1754" s="528"/>
      <c r="X1754" s="529"/>
      <c r="Y1754" s="323"/>
      <c r="Z1754" s="312">
        <f t="shared" si="658"/>
        <v>0</v>
      </c>
      <c r="AA1754" s="316">
        <f>SUM(Z1754/459+0.25)</f>
        <v>0.25</v>
      </c>
    </row>
    <row r="1755" spans="1:28" ht="51.75" thickBot="1" x14ac:dyDescent="0.45">
      <c r="A1755" s="319" t="s">
        <v>728</v>
      </c>
      <c r="B1755" s="320" t="s">
        <v>635</v>
      </c>
      <c r="C1755" s="586">
        <f t="shared" si="660"/>
        <v>0</v>
      </c>
      <c r="D1755" s="551">
        <f>C1755*14</f>
        <v>0</v>
      </c>
      <c r="E1755" s="456">
        <f>D1755*0.25</f>
        <v>0</v>
      </c>
      <c r="F1755" s="358">
        <f t="shared" si="659"/>
        <v>0</v>
      </c>
      <c r="G1755" s="548">
        <f t="shared" si="656"/>
        <v>0</v>
      </c>
      <c r="H1755" s="358" t="s">
        <v>18</v>
      </c>
      <c r="I1755" s="548">
        <f t="shared" si="657"/>
        <v>0</v>
      </c>
      <c r="J1755" s="358" t="s">
        <v>19</v>
      </c>
      <c r="K1755" s="358"/>
      <c r="L1755" s="358"/>
      <c r="M1755" s="358">
        <f>(F1755*6989)/2880</f>
        <v>0</v>
      </c>
      <c r="N1755" s="324"/>
      <c r="O1755" s="324"/>
      <c r="P1755" s="324"/>
      <c r="Q1755" s="324" t="s">
        <v>18</v>
      </c>
      <c r="R1755" s="324"/>
      <c r="S1755" s="324" t="s">
        <v>19</v>
      </c>
      <c r="T1755" s="583">
        <v>5</v>
      </c>
      <c r="U1755" s="585">
        <f t="shared" ref="U1755:U1768" si="661">E1755/403*60</f>
        <v>0</v>
      </c>
      <c r="V1755" s="676"/>
      <c r="W1755" s="528"/>
      <c r="X1755" s="529"/>
      <c r="Y1755" s="323"/>
      <c r="Z1755" s="312">
        <f t="shared" si="658"/>
        <v>0</v>
      </c>
      <c r="AA1755" s="316">
        <f t="shared" ref="AA1755:AA1766" si="662">SUM(Z1755/385.6+0.25)</f>
        <v>0.25</v>
      </c>
    </row>
    <row r="1756" spans="1:28" ht="77.25" thickBot="1" x14ac:dyDescent="0.45">
      <c r="A1756" s="319" t="s">
        <v>728</v>
      </c>
      <c r="B1756" s="344" t="s">
        <v>1170</v>
      </c>
      <c r="C1756" s="586">
        <f t="shared" si="660"/>
        <v>0</v>
      </c>
      <c r="D1756" s="551">
        <f>C1756*16</f>
        <v>0</v>
      </c>
      <c r="E1756" s="456">
        <f t="shared" ref="E1756:E1765" si="663">D1756*0.25</f>
        <v>0</v>
      </c>
      <c r="F1756" s="358">
        <f t="shared" ref="F1756:F1766" si="664">E1756*0.99*1.03/147</f>
        <v>0</v>
      </c>
      <c r="G1756" s="548">
        <f t="shared" ref="G1756:G1765" si="665">INT(M1756)</f>
        <v>0</v>
      </c>
      <c r="H1756" s="358" t="s">
        <v>18</v>
      </c>
      <c r="I1756" s="548">
        <f t="shared" ref="I1756:I1765" si="666">(M1756-G1756)*64</f>
        <v>0</v>
      </c>
      <c r="J1756" s="358" t="s">
        <v>19</v>
      </c>
      <c r="K1756" s="358"/>
      <c r="L1756" s="358"/>
      <c r="M1756" s="358">
        <f t="shared" ref="M1756:M1765" si="667">(F1756*6989)/2880</f>
        <v>0</v>
      </c>
      <c r="N1756" s="324"/>
      <c r="O1756" s="324"/>
      <c r="P1756" s="324"/>
      <c r="Q1756" s="324" t="s">
        <v>18</v>
      </c>
      <c r="R1756" s="324"/>
      <c r="S1756" s="324" t="s">
        <v>19</v>
      </c>
      <c r="T1756" s="583">
        <v>5</v>
      </c>
      <c r="U1756" s="585">
        <f t="shared" si="661"/>
        <v>0</v>
      </c>
      <c r="V1756" s="676"/>
      <c r="W1756" s="528"/>
      <c r="X1756" s="529"/>
      <c r="Y1756" s="323"/>
      <c r="Z1756" s="312">
        <f t="shared" si="658"/>
        <v>0</v>
      </c>
      <c r="AA1756" s="316">
        <f t="shared" si="662"/>
        <v>0.25</v>
      </c>
    </row>
    <row r="1757" spans="1:28" ht="77.25" thickBot="1" x14ac:dyDescent="0.45">
      <c r="A1757" s="319" t="s">
        <v>728</v>
      </c>
      <c r="B1757" s="344" t="s">
        <v>1169</v>
      </c>
      <c r="C1757" s="586">
        <f t="shared" si="660"/>
        <v>0</v>
      </c>
      <c r="D1757" s="551">
        <f>C1757*16</f>
        <v>0</v>
      </c>
      <c r="E1757" s="456">
        <f t="shared" si="663"/>
        <v>0</v>
      </c>
      <c r="F1757" s="358">
        <f t="shared" si="664"/>
        <v>0</v>
      </c>
      <c r="G1757" s="548">
        <f t="shared" si="665"/>
        <v>0</v>
      </c>
      <c r="H1757" s="358" t="s">
        <v>18</v>
      </c>
      <c r="I1757" s="548">
        <f t="shared" si="666"/>
        <v>0</v>
      </c>
      <c r="J1757" s="358" t="s">
        <v>19</v>
      </c>
      <c r="K1757" s="358"/>
      <c r="L1757" s="358"/>
      <c r="M1757" s="358">
        <f t="shared" si="667"/>
        <v>0</v>
      </c>
      <c r="N1757" s="324"/>
      <c r="O1757" s="324"/>
      <c r="P1757" s="324"/>
      <c r="Q1757" s="324" t="s">
        <v>18</v>
      </c>
      <c r="R1757" s="324"/>
      <c r="S1757" s="324" t="s">
        <v>19</v>
      </c>
      <c r="T1757" s="583">
        <v>5</v>
      </c>
      <c r="U1757" s="585">
        <f t="shared" si="661"/>
        <v>0</v>
      </c>
      <c r="V1757" s="676"/>
      <c r="W1757" s="528"/>
      <c r="X1757" s="529"/>
      <c r="Y1757" s="323"/>
      <c r="Z1757" s="312">
        <f t="shared" si="658"/>
        <v>0</v>
      </c>
      <c r="AA1757" s="316">
        <f t="shared" si="662"/>
        <v>0.25</v>
      </c>
    </row>
    <row r="1758" spans="1:28" ht="51.75" thickBot="1" x14ac:dyDescent="0.45">
      <c r="A1758" s="319" t="s">
        <v>728</v>
      </c>
      <c r="B1758" s="344" t="s">
        <v>701</v>
      </c>
      <c r="C1758" s="586">
        <f t="shared" si="660"/>
        <v>0</v>
      </c>
      <c r="D1758" s="551">
        <f t="shared" ref="D1758:D1766" si="668">C1758*12</f>
        <v>0</v>
      </c>
      <c r="E1758" s="456">
        <f t="shared" si="663"/>
        <v>0</v>
      </c>
      <c r="F1758" s="358">
        <f t="shared" si="664"/>
        <v>0</v>
      </c>
      <c r="G1758" s="548">
        <f t="shared" si="665"/>
        <v>0</v>
      </c>
      <c r="H1758" s="358" t="s">
        <v>18</v>
      </c>
      <c r="I1758" s="548">
        <f t="shared" si="666"/>
        <v>0</v>
      </c>
      <c r="J1758" s="358" t="s">
        <v>19</v>
      </c>
      <c r="K1758" s="358"/>
      <c r="L1758" s="358"/>
      <c r="M1758" s="358">
        <f t="shared" si="667"/>
        <v>0</v>
      </c>
      <c r="N1758" s="324"/>
      <c r="O1758" s="324"/>
      <c r="P1758" s="324"/>
      <c r="Q1758" s="324" t="s">
        <v>18</v>
      </c>
      <c r="R1758" s="324"/>
      <c r="S1758" s="324" t="s">
        <v>19</v>
      </c>
      <c r="T1758" s="583">
        <v>5</v>
      </c>
      <c r="U1758" s="585">
        <f t="shared" si="661"/>
        <v>0</v>
      </c>
      <c r="V1758" s="676"/>
      <c r="W1758" s="528"/>
      <c r="X1758" s="529"/>
      <c r="Y1758" s="323"/>
      <c r="Z1758" s="312">
        <f t="shared" si="658"/>
        <v>0</v>
      </c>
      <c r="AA1758" s="316">
        <f t="shared" si="662"/>
        <v>0.25</v>
      </c>
    </row>
    <row r="1759" spans="1:28" ht="51.75" thickBot="1" x14ac:dyDescent="0.45">
      <c r="A1759" s="319" t="s">
        <v>728</v>
      </c>
      <c r="B1759" s="344" t="s">
        <v>702</v>
      </c>
      <c r="C1759" s="586">
        <f t="shared" si="660"/>
        <v>0</v>
      </c>
      <c r="D1759" s="551">
        <f t="shared" si="668"/>
        <v>0</v>
      </c>
      <c r="E1759" s="456">
        <f t="shared" si="663"/>
        <v>0</v>
      </c>
      <c r="F1759" s="358">
        <f t="shared" si="664"/>
        <v>0</v>
      </c>
      <c r="G1759" s="548">
        <f t="shared" si="665"/>
        <v>0</v>
      </c>
      <c r="H1759" s="358" t="s">
        <v>18</v>
      </c>
      <c r="I1759" s="548">
        <f t="shared" si="666"/>
        <v>0</v>
      </c>
      <c r="J1759" s="358" t="s">
        <v>19</v>
      </c>
      <c r="K1759" s="358"/>
      <c r="L1759" s="358"/>
      <c r="M1759" s="358">
        <f t="shared" si="667"/>
        <v>0</v>
      </c>
      <c r="N1759" s="324"/>
      <c r="O1759" s="324"/>
      <c r="P1759" s="324"/>
      <c r="Q1759" s="324" t="s">
        <v>18</v>
      </c>
      <c r="R1759" s="324"/>
      <c r="S1759" s="324" t="s">
        <v>19</v>
      </c>
      <c r="T1759" s="583">
        <v>5</v>
      </c>
      <c r="U1759" s="585">
        <f t="shared" si="661"/>
        <v>0</v>
      </c>
      <c r="V1759" s="676"/>
      <c r="W1759" s="528"/>
      <c r="X1759" s="529"/>
      <c r="Y1759" s="323"/>
      <c r="Z1759" s="312">
        <f t="shared" si="658"/>
        <v>0</v>
      </c>
      <c r="AA1759" s="316">
        <f t="shared" si="662"/>
        <v>0.25</v>
      </c>
    </row>
    <row r="1760" spans="1:28" ht="77.25" thickBot="1" x14ac:dyDescent="0.45">
      <c r="A1760" s="319" t="s">
        <v>728</v>
      </c>
      <c r="B1760" s="344" t="s">
        <v>1078</v>
      </c>
      <c r="C1760" s="586">
        <f t="shared" si="660"/>
        <v>0</v>
      </c>
      <c r="D1760" s="530">
        <f>C1760*16</f>
        <v>0</v>
      </c>
      <c r="E1760" s="460">
        <f>D1760*0.25</f>
        <v>0</v>
      </c>
      <c r="F1760" s="324">
        <f>E1760*0.99*1.03/147</f>
        <v>0</v>
      </c>
      <c r="G1760" s="528">
        <f t="shared" si="665"/>
        <v>0</v>
      </c>
      <c r="H1760" s="324" t="s">
        <v>18</v>
      </c>
      <c r="I1760" s="528">
        <f t="shared" si="666"/>
        <v>0</v>
      </c>
      <c r="J1760" s="324" t="s">
        <v>19</v>
      </c>
      <c r="K1760" s="324"/>
      <c r="L1760" s="324"/>
      <c r="M1760" s="324">
        <f>(F1760*6989)/2880</f>
        <v>0</v>
      </c>
      <c r="N1760" s="324"/>
      <c r="O1760" s="324"/>
      <c r="P1760" s="324"/>
      <c r="Q1760" s="324" t="s">
        <v>18</v>
      </c>
      <c r="R1760" s="324"/>
      <c r="S1760" s="324" t="s">
        <v>19</v>
      </c>
      <c r="T1760" s="583">
        <v>5</v>
      </c>
      <c r="U1760" s="585">
        <f>E1760/403*60</f>
        <v>0</v>
      </c>
      <c r="V1760" s="676"/>
      <c r="W1760" s="528"/>
      <c r="X1760" s="529"/>
      <c r="Y1760" s="323"/>
      <c r="Z1760" s="312">
        <f>E1760</f>
        <v>0</v>
      </c>
      <c r="AA1760" s="316">
        <f t="shared" si="662"/>
        <v>0.25</v>
      </c>
    </row>
    <row r="1761" spans="1:27" ht="51.75" thickBot="1" x14ac:dyDescent="0.45">
      <c r="A1761" s="319" t="s">
        <v>728</v>
      </c>
      <c r="B1761" s="344" t="s">
        <v>1077</v>
      </c>
      <c r="C1761" s="586">
        <f t="shared" si="660"/>
        <v>0</v>
      </c>
      <c r="D1761" s="530">
        <f>C1761*16</f>
        <v>0</v>
      </c>
      <c r="E1761" s="460">
        <f>D1761*0.25</f>
        <v>0</v>
      </c>
      <c r="F1761" s="324">
        <f>E1761*0.99*1.03/147</f>
        <v>0</v>
      </c>
      <c r="G1761" s="528">
        <f t="shared" si="665"/>
        <v>0</v>
      </c>
      <c r="H1761" s="324" t="s">
        <v>18</v>
      </c>
      <c r="I1761" s="528">
        <f t="shared" si="666"/>
        <v>0</v>
      </c>
      <c r="J1761" s="324" t="s">
        <v>19</v>
      </c>
      <c r="K1761" s="324"/>
      <c r="L1761" s="324"/>
      <c r="M1761" s="324">
        <f>(F1761*6989)/2880</f>
        <v>0</v>
      </c>
      <c r="N1761" s="324"/>
      <c r="O1761" s="324"/>
      <c r="P1761" s="324"/>
      <c r="Q1761" s="324" t="s">
        <v>18</v>
      </c>
      <c r="R1761" s="324"/>
      <c r="S1761" s="324" t="s">
        <v>19</v>
      </c>
      <c r="T1761" s="583">
        <v>5</v>
      </c>
      <c r="U1761" s="585">
        <f>E1761/403*60</f>
        <v>0</v>
      </c>
      <c r="V1761" s="676"/>
      <c r="W1761" s="528"/>
      <c r="X1761" s="529"/>
      <c r="Y1761" s="323"/>
      <c r="Z1761" s="312">
        <f>E1761</f>
        <v>0</v>
      </c>
      <c r="AA1761" s="316">
        <f t="shared" si="662"/>
        <v>0.25</v>
      </c>
    </row>
    <row r="1762" spans="1:27" ht="51.75" thickBot="1" x14ac:dyDescent="0.45">
      <c r="A1762" s="319" t="s">
        <v>728</v>
      </c>
      <c r="B1762" s="371" t="s">
        <v>823</v>
      </c>
      <c r="C1762" s="586">
        <f t="shared" si="660"/>
        <v>0</v>
      </c>
      <c r="D1762" s="551">
        <f t="shared" si="668"/>
        <v>0</v>
      </c>
      <c r="E1762" s="456">
        <f t="shared" si="663"/>
        <v>0</v>
      </c>
      <c r="F1762" s="358">
        <f t="shared" si="664"/>
        <v>0</v>
      </c>
      <c r="G1762" s="548">
        <f t="shared" si="665"/>
        <v>0</v>
      </c>
      <c r="H1762" s="358" t="s">
        <v>18</v>
      </c>
      <c r="I1762" s="548">
        <f t="shared" si="666"/>
        <v>0</v>
      </c>
      <c r="J1762" s="358" t="s">
        <v>19</v>
      </c>
      <c r="K1762" s="358"/>
      <c r="L1762" s="358"/>
      <c r="M1762" s="358">
        <f t="shared" si="667"/>
        <v>0</v>
      </c>
      <c r="N1762" s="324"/>
      <c r="O1762" s="324"/>
      <c r="P1762" s="324"/>
      <c r="Q1762" s="324" t="s">
        <v>18</v>
      </c>
      <c r="R1762" s="324"/>
      <c r="S1762" s="324" t="s">
        <v>19</v>
      </c>
      <c r="T1762" s="583">
        <v>5</v>
      </c>
      <c r="U1762" s="585">
        <f t="shared" si="661"/>
        <v>0</v>
      </c>
      <c r="V1762" s="676"/>
      <c r="W1762" s="528"/>
      <c r="X1762" s="529"/>
      <c r="Y1762" s="323"/>
      <c r="Z1762" s="312">
        <f t="shared" si="658"/>
        <v>0</v>
      </c>
      <c r="AA1762" s="316">
        <f t="shared" si="662"/>
        <v>0.25</v>
      </c>
    </row>
    <row r="1763" spans="1:27" ht="51.75" thickBot="1" x14ac:dyDescent="0.45">
      <c r="A1763" s="319" t="s">
        <v>728</v>
      </c>
      <c r="B1763" s="371" t="s">
        <v>824</v>
      </c>
      <c r="C1763" s="586">
        <f t="shared" si="660"/>
        <v>0</v>
      </c>
      <c r="D1763" s="551">
        <f t="shared" si="668"/>
        <v>0</v>
      </c>
      <c r="E1763" s="456">
        <f t="shared" si="663"/>
        <v>0</v>
      </c>
      <c r="F1763" s="358">
        <f t="shared" si="664"/>
        <v>0</v>
      </c>
      <c r="G1763" s="548">
        <f t="shared" si="665"/>
        <v>0</v>
      </c>
      <c r="H1763" s="358" t="s">
        <v>18</v>
      </c>
      <c r="I1763" s="548">
        <f t="shared" si="666"/>
        <v>0</v>
      </c>
      <c r="J1763" s="358" t="s">
        <v>19</v>
      </c>
      <c r="K1763" s="358"/>
      <c r="L1763" s="358"/>
      <c r="M1763" s="358">
        <f t="shared" si="667"/>
        <v>0</v>
      </c>
      <c r="N1763" s="324"/>
      <c r="O1763" s="324"/>
      <c r="P1763" s="324"/>
      <c r="Q1763" s="324" t="s">
        <v>18</v>
      </c>
      <c r="R1763" s="324"/>
      <c r="S1763" s="324" t="s">
        <v>19</v>
      </c>
      <c r="T1763" s="583">
        <v>5</v>
      </c>
      <c r="U1763" s="585">
        <f>E1763/403*60</f>
        <v>0</v>
      </c>
      <c r="V1763" s="676"/>
      <c r="W1763" s="528"/>
      <c r="X1763" s="529"/>
      <c r="Y1763" s="323"/>
      <c r="Z1763" s="312">
        <f t="shared" si="658"/>
        <v>0</v>
      </c>
      <c r="AA1763" s="316">
        <f t="shared" si="662"/>
        <v>0.25</v>
      </c>
    </row>
    <row r="1764" spans="1:27" ht="51.75" thickBot="1" x14ac:dyDescent="0.45">
      <c r="A1764" s="319" t="s">
        <v>728</v>
      </c>
      <c r="B1764" s="344" t="s">
        <v>1006</v>
      </c>
      <c r="C1764" s="528">
        <f t="shared" si="660"/>
        <v>0</v>
      </c>
      <c r="D1764" s="530">
        <f>C1764*16</f>
        <v>0</v>
      </c>
      <c r="E1764" s="460">
        <f t="shared" si="663"/>
        <v>0</v>
      </c>
      <c r="F1764" s="324">
        <f t="shared" si="664"/>
        <v>0</v>
      </c>
      <c r="G1764" s="528">
        <f t="shared" si="665"/>
        <v>0</v>
      </c>
      <c r="H1764" s="324" t="s">
        <v>18</v>
      </c>
      <c r="I1764" s="528">
        <f t="shared" si="666"/>
        <v>0</v>
      </c>
      <c r="J1764" s="324" t="s">
        <v>19</v>
      </c>
      <c r="K1764" s="324"/>
      <c r="L1764" s="324"/>
      <c r="M1764" s="324">
        <f t="shared" si="667"/>
        <v>0</v>
      </c>
      <c r="N1764" s="324"/>
      <c r="O1764" s="324"/>
      <c r="P1764" s="324"/>
      <c r="Q1764" s="324" t="s">
        <v>18</v>
      </c>
      <c r="R1764" s="324"/>
      <c r="S1764" s="324" t="s">
        <v>19</v>
      </c>
      <c r="T1764" s="528">
        <v>5</v>
      </c>
      <c r="U1764" s="324">
        <f>E1764/403*60</f>
        <v>0</v>
      </c>
      <c r="V1764" s="676"/>
      <c r="W1764" s="528"/>
      <c r="X1764" s="529"/>
      <c r="Y1764" s="360"/>
      <c r="Z1764" s="312">
        <f t="shared" si="658"/>
        <v>0</v>
      </c>
      <c r="AA1764" s="316">
        <f t="shared" si="662"/>
        <v>0.25</v>
      </c>
    </row>
    <row r="1765" spans="1:27" ht="51.75" thickBot="1" x14ac:dyDescent="0.45">
      <c r="A1765" s="319" t="s">
        <v>728</v>
      </c>
      <c r="B1765" s="344" t="s">
        <v>1007</v>
      </c>
      <c r="C1765" s="528">
        <f t="shared" si="660"/>
        <v>0</v>
      </c>
      <c r="D1765" s="530">
        <f>C1765*16</f>
        <v>0</v>
      </c>
      <c r="E1765" s="460">
        <f t="shared" si="663"/>
        <v>0</v>
      </c>
      <c r="F1765" s="324">
        <f t="shared" si="664"/>
        <v>0</v>
      </c>
      <c r="G1765" s="528">
        <f t="shared" si="665"/>
        <v>0</v>
      </c>
      <c r="H1765" s="324" t="s">
        <v>18</v>
      </c>
      <c r="I1765" s="528">
        <f t="shared" si="666"/>
        <v>0</v>
      </c>
      <c r="J1765" s="324" t="s">
        <v>19</v>
      </c>
      <c r="K1765" s="324"/>
      <c r="L1765" s="324"/>
      <c r="M1765" s="324">
        <f t="shared" si="667"/>
        <v>0</v>
      </c>
      <c r="N1765" s="324"/>
      <c r="O1765" s="324"/>
      <c r="P1765" s="324"/>
      <c r="Q1765" s="324" t="s">
        <v>18</v>
      </c>
      <c r="R1765" s="324"/>
      <c r="S1765" s="324" t="s">
        <v>19</v>
      </c>
      <c r="T1765" s="528">
        <v>5</v>
      </c>
      <c r="U1765" s="324">
        <f>E1765/403*60</f>
        <v>0</v>
      </c>
      <c r="V1765" s="676"/>
      <c r="W1765" s="528"/>
      <c r="X1765" s="529"/>
      <c r="Y1765" s="360"/>
      <c r="Z1765" s="312">
        <f t="shared" si="658"/>
        <v>0</v>
      </c>
      <c r="AA1765" s="316">
        <f t="shared" si="662"/>
        <v>0.25</v>
      </c>
    </row>
    <row r="1766" spans="1:27" ht="51.75" thickBot="1" x14ac:dyDescent="0.45">
      <c r="A1766" s="319" t="s">
        <v>728</v>
      </c>
      <c r="B1766" s="344" t="s">
        <v>703</v>
      </c>
      <c r="C1766" s="586">
        <f t="shared" si="660"/>
        <v>0</v>
      </c>
      <c r="D1766" s="551">
        <f t="shared" si="668"/>
        <v>0</v>
      </c>
      <c r="E1766" s="456">
        <f>D1766*0.25</f>
        <v>0</v>
      </c>
      <c r="F1766" s="358">
        <f t="shared" si="664"/>
        <v>0</v>
      </c>
      <c r="G1766" s="548">
        <f t="shared" ref="G1766:G1784" si="669">INT(M1766)</f>
        <v>0</v>
      </c>
      <c r="H1766" s="358" t="s">
        <v>18</v>
      </c>
      <c r="I1766" s="548">
        <f t="shared" ref="I1766:I1784" si="670">(M1766-G1766)*64</f>
        <v>0</v>
      </c>
      <c r="J1766" s="358" t="s">
        <v>19</v>
      </c>
      <c r="K1766" s="358"/>
      <c r="L1766" s="358"/>
      <c r="M1766" s="358">
        <f>(F1766*6989)/2880</f>
        <v>0</v>
      </c>
      <c r="N1766" s="324"/>
      <c r="O1766" s="324"/>
      <c r="P1766" s="324"/>
      <c r="Q1766" s="324" t="s">
        <v>18</v>
      </c>
      <c r="R1766" s="324"/>
      <c r="S1766" s="324" t="s">
        <v>19</v>
      </c>
      <c r="T1766" s="583">
        <v>5</v>
      </c>
      <c r="U1766" s="585">
        <f t="shared" si="661"/>
        <v>0</v>
      </c>
      <c r="V1766" s="676"/>
      <c r="W1766" s="528"/>
      <c r="X1766" s="529"/>
      <c r="Y1766" s="323"/>
      <c r="Z1766" s="312">
        <f t="shared" si="658"/>
        <v>0</v>
      </c>
      <c r="AA1766" s="316">
        <f t="shared" si="662"/>
        <v>0.25</v>
      </c>
    </row>
    <row r="1767" spans="1:27" ht="51.75" thickBot="1" x14ac:dyDescent="0.45">
      <c r="A1767" s="319" t="s">
        <v>728</v>
      </c>
      <c r="B1767" s="344" t="s">
        <v>798</v>
      </c>
      <c r="C1767" s="586">
        <f t="shared" si="660"/>
        <v>0</v>
      </c>
      <c r="D1767" s="548">
        <f>C1767*28</f>
        <v>0</v>
      </c>
      <c r="E1767" s="456">
        <f>D1767*0.125</f>
        <v>0</v>
      </c>
      <c r="F1767" s="358">
        <f>E1767*0.99*1.03/147</f>
        <v>0</v>
      </c>
      <c r="G1767" s="548">
        <f t="shared" si="669"/>
        <v>0</v>
      </c>
      <c r="H1767" s="358" t="s">
        <v>18</v>
      </c>
      <c r="I1767" s="548">
        <f t="shared" si="670"/>
        <v>0</v>
      </c>
      <c r="J1767" s="358" t="s">
        <v>19</v>
      </c>
      <c r="K1767" s="358"/>
      <c r="L1767" s="358"/>
      <c r="M1767" s="358">
        <f>(F1767*6989)/2880</f>
        <v>0</v>
      </c>
      <c r="N1767" s="324"/>
      <c r="O1767" s="324"/>
      <c r="P1767" s="324"/>
      <c r="Q1767" s="324" t="s">
        <v>18</v>
      </c>
      <c r="R1767" s="324"/>
      <c r="S1767" s="324" t="s">
        <v>19</v>
      </c>
      <c r="T1767" s="583">
        <v>6</v>
      </c>
      <c r="U1767" s="324">
        <f t="shared" si="661"/>
        <v>0</v>
      </c>
      <c r="V1767" s="676"/>
      <c r="W1767" s="528"/>
      <c r="X1767" s="529"/>
      <c r="Y1767" s="323"/>
      <c r="Z1767" s="312">
        <f t="shared" si="658"/>
        <v>0</v>
      </c>
      <c r="AA1767" s="316">
        <f>SUM(Z1767/360+0.25)</f>
        <v>0.25</v>
      </c>
    </row>
    <row r="1768" spans="1:27" ht="51.75" thickBot="1" x14ac:dyDescent="0.45">
      <c r="A1768" s="319" t="s">
        <v>728</v>
      </c>
      <c r="B1768" s="344" t="s">
        <v>791</v>
      </c>
      <c r="C1768" s="586">
        <f t="shared" si="660"/>
        <v>0</v>
      </c>
      <c r="D1768" s="551">
        <f>C1768*28</f>
        <v>0</v>
      </c>
      <c r="E1768" s="456">
        <f>D1768*0.125</f>
        <v>0</v>
      </c>
      <c r="F1768" s="358">
        <f>E1768*0.99*1.03/147</f>
        <v>0</v>
      </c>
      <c r="G1768" s="548">
        <f t="shared" si="669"/>
        <v>0</v>
      </c>
      <c r="H1768" s="358" t="s">
        <v>18</v>
      </c>
      <c r="I1768" s="548">
        <f t="shared" si="670"/>
        <v>0</v>
      </c>
      <c r="J1768" s="358" t="s">
        <v>19</v>
      </c>
      <c r="K1768" s="358"/>
      <c r="L1768" s="358"/>
      <c r="M1768" s="358">
        <f>(F1768*6989)/2880</f>
        <v>0</v>
      </c>
      <c r="N1768" s="324"/>
      <c r="O1768" s="324"/>
      <c r="P1768" s="324"/>
      <c r="Q1768" s="324" t="s">
        <v>18</v>
      </c>
      <c r="R1768" s="324"/>
      <c r="S1768" s="324" t="s">
        <v>19</v>
      </c>
      <c r="T1768" s="583">
        <v>6</v>
      </c>
      <c r="U1768" s="324">
        <f t="shared" si="661"/>
        <v>0</v>
      </c>
      <c r="V1768" s="676"/>
      <c r="W1768" s="528"/>
      <c r="X1768" s="529"/>
      <c r="Y1768" s="323"/>
      <c r="Z1768" s="312">
        <f t="shared" si="658"/>
        <v>0</v>
      </c>
      <c r="AA1768" s="316">
        <f>SUM(Z1768/360+0.25)</f>
        <v>0.25</v>
      </c>
    </row>
    <row r="1769" spans="1:27" ht="51.75" thickBot="1" x14ac:dyDescent="0.45">
      <c r="A1769" s="319" t="s">
        <v>728</v>
      </c>
      <c r="B1769" s="320" t="s">
        <v>781</v>
      </c>
      <c r="C1769" s="528">
        <f t="shared" si="660"/>
        <v>0</v>
      </c>
      <c r="D1769" s="548">
        <f>C1769*10</f>
        <v>0</v>
      </c>
      <c r="E1769" s="456">
        <f>D1769*0.18</f>
        <v>0</v>
      </c>
      <c r="F1769" s="358">
        <f>E1769*0.99*1.03/147</f>
        <v>0</v>
      </c>
      <c r="G1769" s="548">
        <f t="shared" si="669"/>
        <v>0</v>
      </c>
      <c r="H1769" s="358" t="s">
        <v>18</v>
      </c>
      <c r="I1769" s="548">
        <f t="shared" si="670"/>
        <v>0</v>
      </c>
      <c r="J1769" s="358" t="s">
        <v>19</v>
      </c>
      <c r="K1769" s="358"/>
      <c r="L1769" s="358"/>
      <c r="M1769" s="358">
        <f>(F1769*6400)/2880</f>
        <v>0</v>
      </c>
      <c r="N1769" s="324"/>
      <c r="O1769" s="324"/>
      <c r="P1769" s="324"/>
      <c r="Q1769" s="324" t="s">
        <v>18</v>
      </c>
      <c r="R1769" s="324"/>
      <c r="S1769" s="324" t="s">
        <v>19</v>
      </c>
      <c r="T1769" s="528">
        <v>6</v>
      </c>
      <c r="U1769" s="324">
        <f>E1769/237*60</f>
        <v>0</v>
      </c>
      <c r="V1769" s="676"/>
      <c r="W1769" s="528"/>
      <c r="X1769" s="529"/>
      <c r="Y1769" s="323"/>
      <c r="Z1769" s="312">
        <f t="shared" si="658"/>
        <v>0</v>
      </c>
      <c r="AA1769" s="316">
        <f>SUM(Z1769/422.3+0.25)</f>
        <v>0.25</v>
      </c>
    </row>
    <row r="1770" spans="1:27" s="728" customFormat="1" ht="51.75" outlineLevel="1" thickBot="1" x14ac:dyDescent="0.45">
      <c r="A1770" s="636" t="s">
        <v>728</v>
      </c>
      <c r="B1770" s="634" t="s">
        <v>1041</v>
      </c>
      <c r="C1770" s="720">
        <f t="shared" si="660"/>
        <v>0</v>
      </c>
      <c r="D1770" s="720">
        <f>C1770*12</f>
        <v>0</v>
      </c>
      <c r="E1770" s="721">
        <f t="shared" ref="E1770:E1776" si="671">D1770*0.25</f>
        <v>0</v>
      </c>
      <c r="F1770" s="722">
        <f t="shared" ref="F1770:F1776" si="672">E1770*0.9*1.01/147</f>
        <v>0</v>
      </c>
      <c r="G1770" s="720">
        <f t="shared" ref="G1770:G1779" si="673">INT(M1770)</f>
        <v>0</v>
      </c>
      <c r="H1770" s="722" t="s">
        <v>18</v>
      </c>
      <c r="I1770" s="720">
        <f t="shared" ref="I1770:I1779" si="674">(M1770-G1770)*64</f>
        <v>0</v>
      </c>
      <c r="J1770" s="722" t="s">
        <v>19</v>
      </c>
      <c r="K1770" s="722"/>
      <c r="L1770" s="722"/>
      <c r="M1770" s="722">
        <f>(F1770*6533/3456)</f>
        <v>0</v>
      </c>
      <c r="N1770" s="722"/>
      <c r="O1770" s="722"/>
      <c r="P1770" s="722"/>
      <c r="Q1770" s="722" t="s">
        <v>18</v>
      </c>
      <c r="R1770" s="722"/>
      <c r="S1770" s="722" t="s">
        <v>19</v>
      </c>
      <c r="T1770" s="720">
        <v>10</v>
      </c>
      <c r="U1770" s="546">
        <f t="shared" ref="U1770:U1777" si="675">E1770/390*60</f>
        <v>0</v>
      </c>
      <c r="V1770" s="724"/>
      <c r="W1770" s="720"/>
      <c r="X1770" s="725"/>
      <c r="Y1770" s="749"/>
      <c r="Z1770" s="727">
        <f t="shared" si="658"/>
        <v>0</v>
      </c>
      <c r="AA1770" s="815">
        <f>SUM(Z1770/413.1+0.25)</f>
        <v>0.25</v>
      </c>
    </row>
    <row r="1771" spans="1:27" ht="77.25" thickBot="1" x14ac:dyDescent="0.45">
      <c r="A1771" s="319" t="s">
        <v>728</v>
      </c>
      <c r="B1771" s="320" t="s">
        <v>828</v>
      </c>
      <c r="C1771" s="528">
        <f t="shared" si="660"/>
        <v>0</v>
      </c>
      <c r="D1771" s="557">
        <f>C1771*12</f>
        <v>0</v>
      </c>
      <c r="E1771" s="457">
        <f t="shared" si="671"/>
        <v>0</v>
      </c>
      <c r="F1771" s="359">
        <f t="shared" si="672"/>
        <v>0</v>
      </c>
      <c r="G1771" s="558">
        <f t="shared" si="673"/>
        <v>0</v>
      </c>
      <c r="H1771" s="366" t="s">
        <v>18</v>
      </c>
      <c r="I1771" s="556">
        <f t="shared" si="674"/>
        <v>0</v>
      </c>
      <c r="J1771" s="366" t="s">
        <v>19</v>
      </c>
      <c r="K1771" s="366"/>
      <c r="L1771" s="366"/>
      <c r="M1771" s="366">
        <f t="shared" ref="M1771:M1776" si="676">(F1771*7777/3456)</f>
        <v>0</v>
      </c>
      <c r="N1771" s="366"/>
      <c r="O1771" s="366"/>
      <c r="P1771" s="366"/>
      <c r="Q1771" s="358" t="s">
        <v>18</v>
      </c>
      <c r="R1771" s="358"/>
      <c r="S1771" s="358" t="s">
        <v>19</v>
      </c>
      <c r="T1771" s="528">
        <v>5</v>
      </c>
      <c r="U1771" s="546">
        <f t="shared" si="675"/>
        <v>0</v>
      </c>
      <c r="V1771" s="676"/>
      <c r="W1771" s="528"/>
      <c r="X1771" s="529"/>
      <c r="Y1771" s="663"/>
      <c r="Z1771" s="312">
        <f t="shared" ref="Z1771:Z1779" si="677">E1771</f>
        <v>0</v>
      </c>
      <c r="AA1771" s="316">
        <f>SUM(Z1771/347+0.25)</f>
        <v>0.25</v>
      </c>
    </row>
    <row r="1772" spans="1:27" ht="77.25" thickBot="1" x14ac:dyDescent="0.45">
      <c r="A1772" s="319" t="s">
        <v>728</v>
      </c>
      <c r="B1772" s="320" t="s">
        <v>1017</v>
      </c>
      <c r="C1772" s="528">
        <f t="shared" si="660"/>
        <v>0</v>
      </c>
      <c r="D1772" s="557">
        <f>C1772*12</f>
        <v>0</v>
      </c>
      <c r="E1772" s="457">
        <f t="shared" si="671"/>
        <v>0</v>
      </c>
      <c r="F1772" s="359">
        <f t="shared" si="672"/>
        <v>0</v>
      </c>
      <c r="G1772" s="558">
        <f t="shared" si="673"/>
        <v>0</v>
      </c>
      <c r="H1772" s="366" t="s">
        <v>18</v>
      </c>
      <c r="I1772" s="556">
        <f t="shared" si="674"/>
        <v>0</v>
      </c>
      <c r="J1772" s="366" t="s">
        <v>19</v>
      </c>
      <c r="K1772" s="366"/>
      <c r="L1772" s="366"/>
      <c r="M1772" s="366">
        <f t="shared" si="676"/>
        <v>0</v>
      </c>
      <c r="N1772" s="366"/>
      <c r="O1772" s="366"/>
      <c r="P1772" s="366"/>
      <c r="Q1772" s="358" t="s">
        <v>18</v>
      </c>
      <c r="R1772" s="358"/>
      <c r="S1772" s="358" t="s">
        <v>19</v>
      </c>
      <c r="T1772" s="528">
        <v>5</v>
      </c>
      <c r="U1772" s="324">
        <f t="shared" si="675"/>
        <v>0</v>
      </c>
      <c r="V1772" s="676"/>
      <c r="W1772" s="528"/>
      <c r="X1772" s="529"/>
      <c r="Y1772" s="667"/>
      <c r="Z1772" s="312">
        <f t="shared" si="677"/>
        <v>0</v>
      </c>
      <c r="AA1772" s="316">
        <f>SUM(Z1772/347+0.25)</f>
        <v>0.25</v>
      </c>
    </row>
    <row r="1773" spans="1:27" ht="77.25" thickBot="1" x14ac:dyDescent="0.45">
      <c r="A1773" s="319" t="s">
        <v>728</v>
      </c>
      <c r="B1773" s="320" t="s">
        <v>1073</v>
      </c>
      <c r="C1773" s="528">
        <f t="shared" si="660"/>
        <v>0</v>
      </c>
      <c r="D1773" s="709">
        <f>C1773*16</f>
        <v>0</v>
      </c>
      <c r="E1773" s="496">
        <f t="shared" si="671"/>
        <v>0</v>
      </c>
      <c r="F1773" s="354">
        <f t="shared" si="672"/>
        <v>0</v>
      </c>
      <c r="G1773" s="710">
        <f t="shared" si="673"/>
        <v>0</v>
      </c>
      <c r="H1773" s="555" t="s">
        <v>18</v>
      </c>
      <c r="I1773" s="553">
        <f t="shared" si="674"/>
        <v>0</v>
      </c>
      <c r="J1773" s="555" t="s">
        <v>19</v>
      </c>
      <c r="K1773" s="555"/>
      <c r="L1773" s="555"/>
      <c r="M1773" s="555">
        <f t="shared" si="676"/>
        <v>0</v>
      </c>
      <c r="N1773" s="555"/>
      <c r="O1773" s="555"/>
      <c r="P1773" s="555"/>
      <c r="Q1773" s="324" t="s">
        <v>18</v>
      </c>
      <c r="R1773" s="324"/>
      <c r="S1773" s="324" t="s">
        <v>19</v>
      </c>
      <c r="T1773" s="528">
        <v>5</v>
      </c>
      <c r="U1773" s="324">
        <f t="shared" si="675"/>
        <v>0</v>
      </c>
      <c r="V1773" s="676"/>
      <c r="W1773" s="528"/>
      <c r="X1773" s="529"/>
      <c r="Y1773" s="669"/>
      <c r="Z1773" s="312">
        <f t="shared" si="677"/>
        <v>0</v>
      </c>
      <c r="AA1773" s="316">
        <f>SUM(Z1773/347+0.25)</f>
        <v>0.25</v>
      </c>
    </row>
    <row r="1774" spans="1:27" ht="77.25" thickBot="1" x14ac:dyDescent="0.45">
      <c r="A1774" s="319" t="s">
        <v>728</v>
      </c>
      <c r="B1774" s="320" t="s">
        <v>1074</v>
      </c>
      <c r="C1774" s="528">
        <f t="shared" si="660"/>
        <v>0</v>
      </c>
      <c r="D1774" s="709">
        <f>C1774*16</f>
        <v>0</v>
      </c>
      <c r="E1774" s="496">
        <f t="shared" si="671"/>
        <v>0</v>
      </c>
      <c r="F1774" s="354">
        <f t="shared" si="672"/>
        <v>0</v>
      </c>
      <c r="G1774" s="710">
        <f t="shared" si="673"/>
        <v>0</v>
      </c>
      <c r="H1774" s="555" t="s">
        <v>18</v>
      </c>
      <c r="I1774" s="553">
        <f t="shared" si="674"/>
        <v>0</v>
      </c>
      <c r="J1774" s="555" t="s">
        <v>19</v>
      </c>
      <c r="K1774" s="555"/>
      <c r="L1774" s="555"/>
      <c r="M1774" s="555">
        <f t="shared" si="676"/>
        <v>0</v>
      </c>
      <c r="N1774" s="555"/>
      <c r="O1774" s="555"/>
      <c r="P1774" s="555"/>
      <c r="Q1774" s="324" t="s">
        <v>18</v>
      </c>
      <c r="R1774" s="324"/>
      <c r="S1774" s="324" t="s">
        <v>19</v>
      </c>
      <c r="T1774" s="528">
        <v>5</v>
      </c>
      <c r="U1774" s="324">
        <f t="shared" si="675"/>
        <v>0</v>
      </c>
      <c r="V1774" s="676"/>
      <c r="W1774" s="528"/>
      <c r="X1774" s="529"/>
      <c r="Y1774" s="663"/>
      <c r="Z1774" s="312">
        <f t="shared" si="677"/>
        <v>0</v>
      </c>
      <c r="AA1774" s="316">
        <f>SUM(Z1774/347+0.25)</f>
        <v>0.25</v>
      </c>
    </row>
    <row r="1775" spans="1:27" ht="77.25" thickBot="1" x14ac:dyDescent="0.45">
      <c r="A1775" s="319" t="s">
        <v>728</v>
      </c>
      <c r="B1775" s="320" t="s">
        <v>1184</v>
      </c>
      <c r="C1775" s="528">
        <f t="shared" si="660"/>
        <v>0</v>
      </c>
      <c r="D1775" s="557">
        <f>C1775*16</f>
        <v>0</v>
      </c>
      <c r="E1775" s="457">
        <f t="shared" si="671"/>
        <v>0</v>
      </c>
      <c r="F1775" s="359">
        <f t="shared" si="672"/>
        <v>0</v>
      </c>
      <c r="G1775" s="558">
        <f t="shared" si="673"/>
        <v>0</v>
      </c>
      <c r="H1775" s="366" t="s">
        <v>18</v>
      </c>
      <c r="I1775" s="556">
        <f t="shared" si="674"/>
        <v>0</v>
      </c>
      <c r="J1775" s="366" t="s">
        <v>19</v>
      </c>
      <c r="K1775" s="366"/>
      <c r="L1775" s="366"/>
      <c r="M1775" s="366">
        <f t="shared" si="676"/>
        <v>0</v>
      </c>
      <c r="N1775" s="366"/>
      <c r="O1775" s="366"/>
      <c r="P1775" s="366"/>
      <c r="Q1775" s="358" t="s">
        <v>18</v>
      </c>
      <c r="R1775" s="358"/>
      <c r="S1775" s="358" t="s">
        <v>19</v>
      </c>
      <c r="T1775" s="528">
        <v>5</v>
      </c>
      <c r="U1775" s="324">
        <f t="shared" si="675"/>
        <v>0</v>
      </c>
      <c r="V1775" s="676"/>
      <c r="W1775" s="528"/>
      <c r="X1775" s="529"/>
      <c r="Y1775" s="662"/>
      <c r="Z1775" s="312">
        <f t="shared" si="677"/>
        <v>0</v>
      </c>
      <c r="AA1775" s="316">
        <f>SUM(E1775/347+0.25)</f>
        <v>0.25</v>
      </c>
    </row>
    <row r="1776" spans="1:27" ht="51.75" thickBot="1" x14ac:dyDescent="0.45">
      <c r="A1776" s="319" t="s">
        <v>728</v>
      </c>
      <c r="B1776" s="320" t="s">
        <v>856</v>
      </c>
      <c r="C1776" s="528">
        <f t="shared" si="660"/>
        <v>0</v>
      </c>
      <c r="D1776" s="557">
        <f>C1776*16</f>
        <v>0</v>
      </c>
      <c r="E1776" s="457">
        <f t="shared" si="671"/>
        <v>0</v>
      </c>
      <c r="F1776" s="359">
        <f t="shared" si="672"/>
        <v>0</v>
      </c>
      <c r="G1776" s="558">
        <f t="shared" si="673"/>
        <v>0</v>
      </c>
      <c r="H1776" s="366" t="s">
        <v>18</v>
      </c>
      <c r="I1776" s="556">
        <f t="shared" si="674"/>
        <v>0</v>
      </c>
      <c r="J1776" s="366" t="s">
        <v>19</v>
      </c>
      <c r="K1776" s="366"/>
      <c r="L1776" s="366"/>
      <c r="M1776" s="366">
        <f t="shared" si="676"/>
        <v>0</v>
      </c>
      <c r="N1776" s="366"/>
      <c r="O1776" s="366"/>
      <c r="P1776" s="366"/>
      <c r="Q1776" s="358" t="s">
        <v>18</v>
      </c>
      <c r="R1776" s="358"/>
      <c r="S1776" s="358" t="s">
        <v>19</v>
      </c>
      <c r="T1776" s="528">
        <v>5</v>
      </c>
      <c r="U1776" s="324">
        <f t="shared" si="675"/>
        <v>0</v>
      </c>
      <c r="V1776" s="676"/>
      <c r="W1776" s="528"/>
      <c r="X1776" s="529"/>
      <c r="Y1776" s="657"/>
      <c r="Z1776" s="312">
        <f t="shared" si="677"/>
        <v>0</v>
      </c>
      <c r="AA1776" s="316">
        <f>SUM(E1776/347+0.25)</f>
        <v>0.25</v>
      </c>
    </row>
    <row r="1777" spans="1:27" ht="77.25" thickBot="1" x14ac:dyDescent="0.45">
      <c r="A1777" s="319" t="s">
        <v>728</v>
      </c>
      <c r="B1777" s="799" t="s">
        <v>1207</v>
      </c>
      <c r="C1777" s="528">
        <f t="shared" si="660"/>
        <v>0</v>
      </c>
      <c r="D1777" s="550">
        <f>C1777*12</f>
        <v>0</v>
      </c>
      <c r="E1777" s="456">
        <f>D1777*0.27</f>
        <v>0</v>
      </c>
      <c r="F1777" s="358">
        <f>E1777*0.87*1.01/151</f>
        <v>0</v>
      </c>
      <c r="G1777" s="358">
        <f>INT(M1777)</f>
        <v>0</v>
      </c>
      <c r="H1777" s="358" t="s">
        <v>18</v>
      </c>
      <c r="I1777" s="548">
        <f>(M1777-G1777)*64</f>
        <v>0</v>
      </c>
      <c r="J1777" s="358" t="s">
        <v>19</v>
      </c>
      <c r="K1777" s="358"/>
      <c r="L1777" s="358"/>
      <c r="M1777" s="358">
        <f>F1777*7889/3456</f>
        <v>0</v>
      </c>
      <c r="N1777" s="461"/>
      <c r="O1777" s="461"/>
      <c r="P1777" s="366"/>
      <c r="Q1777" s="358" t="s">
        <v>18</v>
      </c>
      <c r="R1777" s="358"/>
      <c r="S1777" s="358" t="s">
        <v>19</v>
      </c>
      <c r="T1777" s="528">
        <v>10</v>
      </c>
      <c r="U1777" s="324">
        <f t="shared" si="675"/>
        <v>0</v>
      </c>
      <c r="V1777" s="676"/>
      <c r="W1777" s="528"/>
      <c r="X1777" s="529"/>
      <c r="Y1777" s="367"/>
      <c r="Z1777" s="312">
        <f t="shared" si="677"/>
        <v>0</v>
      </c>
      <c r="AA1777" s="316">
        <f>SUM(Z1777/425.7+0.25)</f>
        <v>0.25</v>
      </c>
    </row>
    <row r="1778" spans="1:27" ht="77.25" thickBot="1" x14ac:dyDescent="0.45">
      <c r="A1778" s="319" t="s">
        <v>728</v>
      </c>
      <c r="B1778" s="799" t="s">
        <v>1221</v>
      </c>
      <c r="C1778" s="528">
        <f t="shared" si="660"/>
        <v>0</v>
      </c>
      <c r="D1778" s="550">
        <f>C1778*7</f>
        <v>0</v>
      </c>
      <c r="E1778" s="456">
        <f>D1778*0.27</f>
        <v>0</v>
      </c>
      <c r="F1778" s="358">
        <f>E1778*0.87*1.01/151</f>
        <v>0</v>
      </c>
      <c r="G1778" s="358">
        <f>INT(M1778)</f>
        <v>0</v>
      </c>
      <c r="H1778" s="358" t="s">
        <v>18</v>
      </c>
      <c r="I1778" s="548">
        <f>(M1778-G1778)*64</f>
        <v>0</v>
      </c>
      <c r="J1778" s="358" t="s">
        <v>19</v>
      </c>
      <c r="K1778" s="358"/>
      <c r="L1778" s="358"/>
      <c r="M1778" s="358">
        <f>F1778*7889/3456</f>
        <v>0</v>
      </c>
      <c r="N1778" s="461"/>
      <c r="O1778" s="461"/>
      <c r="P1778" s="366"/>
      <c r="Q1778" s="358" t="s">
        <v>18</v>
      </c>
      <c r="R1778" s="358"/>
      <c r="S1778" s="358" t="s">
        <v>19</v>
      </c>
      <c r="T1778" s="528">
        <v>10</v>
      </c>
      <c r="U1778" s="324">
        <f>E1778/390*60</f>
        <v>0</v>
      </c>
      <c r="V1778" s="676"/>
      <c r="W1778" s="528"/>
      <c r="X1778" s="529"/>
      <c r="Y1778" s="367"/>
      <c r="Z1778" s="312">
        <f>E1778</f>
        <v>0</v>
      </c>
      <c r="AA1778" s="316">
        <f>SUM(Z1778/425.7+0.25)</f>
        <v>0.25</v>
      </c>
    </row>
    <row r="1779" spans="1:27" ht="77.25" thickBot="1" x14ac:dyDescent="0.45">
      <c r="A1779" s="319" t="s">
        <v>728</v>
      </c>
      <c r="B1779" s="320" t="s">
        <v>1028</v>
      </c>
      <c r="C1779" s="528">
        <f t="shared" si="660"/>
        <v>0</v>
      </c>
      <c r="D1779" s="567">
        <f>C1779*12</f>
        <v>0</v>
      </c>
      <c r="E1779" s="324">
        <f>D1779*0.18</f>
        <v>0</v>
      </c>
      <c r="F1779" s="324">
        <f>E1779*0.99*1.03/147</f>
        <v>0</v>
      </c>
      <c r="G1779" s="324">
        <f t="shared" si="673"/>
        <v>0</v>
      </c>
      <c r="H1779" s="324" t="s">
        <v>18</v>
      </c>
      <c r="I1779" s="528">
        <f t="shared" si="674"/>
        <v>0</v>
      </c>
      <c r="J1779" s="324" t="s">
        <v>19</v>
      </c>
      <c r="K1779" s="324"/>
      <c r="L1779" s="324"/>
      <c r="M1779" s="324">
        <f>C1779*12*6/45/64*1.03</f>
        <v>0</v>
      </c>
      <c r="N1779" s="324"/>
      <c r="O1779" s="324"/>
      <c r="P1779" s="324"/>
      <c r="Q1779" s="324" t="s">
        <v>18</v>
      </c>
      <c r="R1779" s="324"/>
      <c r="S1779" s="324" t="s">
        <v>19</v>
      </c>
      <c r="T1779" s="528">
        <v>9</v>
      </c>
      <c r="U1779" s="324">
        <f>E1779/237*60</f>
        <v>0</v>
      </c>
      <c r="V1779" s="676"/>
      <c r="W1779" s="528"/>
      <c r="X1779" s="529"/>
      <c r="Y1779" s="323"/>
      <c r="Z1779" s="312">
        <f t="shared" si="677"/>
        <v>0</v>
      </c>
      <c r="AA1779" s="316">
        <f>SUM(Z1779/514.1+0.25)</f>
        <v>0.25</v>
      </c>
    </row>
    <row r="1780" spans="1:27" ht="51.75" thickBot="1" x14ac:dyDescent="0.45">
      <c r="A1780" s="319" t="s">
        <v>728</v>
      </c>
      <c r="B1780" s="320" t="s">
        <v>996</v>
      </c>
      <c r="C1780" s="528">
        <f t="shared" si="660"/>
        <v>0</v>
      </c>
      <c r="D1780" s="567">
        <f>C1780*12</f>
        <v>0</v>
      </c>
      <c r="E1780" s="324">
        <f>D1780*0.18</f>
        <v>0</v>
      </c>
      <c r="F1780" s="324">
        <f>E1780*0.99*1.03/147</f>
        <v>0</v>
      </c>
      <c r="G1780" s="324">
        <f t="shared" si="669"/>
        <v>0</v>
      </c>
      <c r="H1780" s="324" t="s">
        <v>18</v>
      </c>
      <c r="I1780" s="528">
        <f t="shared" si="670"/>
        <v>0</v>
      </c>
      <c r="J1780" s="324" t="s">
        <v>19</v>
      </c>
      <c r="K1780" s="324"/>
      <c r="L1780" s="324"/>
      <c r="M1780" s="324">
        <f>C1780*12*6/45/64*1.03</f>
        <v>0</v>
      </c>
      <c r="N1780" s="324"/>
      <c r="O1780" s="324"/>
      <c r="P1780" s="324"/>
      <c r="Q1780" s="324" t="s">
        <v>18</v>
      </c>
      <c r="R1780" s="324"/>
      <c r="S1780" s="324" t="s">
        <v>19</v>
      </c>
      <c r="T1780" s="528">
        <v>9</v>
      </c>
      <c r="U1780" s="324">
        <f>E1780/237*60</f>
        <v>0</v>
      </c>
      <c r="V1780" s="676"/>
      <c r="W1780" s="528"/>
      <c r="X1780" s="529"/>
      <c r="Y1780" s="323"/>
      <c r="Z1780" s="312">
        <f t="shared" si="658"/>
        <v>0</v>
      </c>
      <c r="AA1780" s="316">
        <f>SUM(Z1780/514.1+0.25)</f>
        <v>0.25</v>
      </c>
    </row>
    <row r="1781" spans="1:27" ht="51.75" thickBot="1" x14ac:dyDescent="0.45">
      <c r="A1781" s="319" t="s">
        <v>728</v>
      </c>
      <c r="B1781" s="320" t="s">
        <v>997</v>
      </c>
      <c r="C1781" s="528">
        <f t="shared" si="660"/>
        <v>0</v>
      </c>
      <c r="D1781" s="567">
        <f>C1781*12</f>
        <v>0</v>
      </c>
      <c r="E1781" s="324">
        <f>D1781*0.18</f>
        <v>0</v>
      </c>
      <c r="F1781" s="324">
        <f>E1781*0.99*1.03/147</f>
        <v>0</v>
      </c>
      <c r="G1781" s="324">
        <f t="shared" si="669"/>
        <v>0</v>
      </c>
      <c r="H1781" s="324" t="s">
        <v>18</v>
      </c>
      <c r="I1781" s="528">
        <f t="shared" si="670"/>
        <v>0</v>
      </c>
      <c r="J1781" s="324" t="s">
        <v>19</v>
      </c>
      <c r="K1781" s="324"/>
      <c r="L1781" s="324"/>
      <c r="M1781" s="324">
        <f>C1781*12*6/45/64*1.03</f>
        <v>0</v>
      </c>
      <c r="N1781" s="324"/>
      <c r="O1781" s="324"/>
      <c r="P1781" s="324"/>
      <c r="Q1781" s="324" t="s">
        <v>18</v>
      </c>
      <c r="R1781" s="324"/>
      <c r="S1781" s="324" t="s">
        <v>19</v>
      </c>
      <c r="T1781" s="528">
        <v>9</v>
      </c>
      <c r="U1781" s="324">
        <f>E1781/237*60</f>
        <v>0</v>
      </c>
      <c r="V1781" s="676"/>
      <c r="W1781" s="528"/>
      <c r="X1781" s="529"/>
      <c r="Y1781" s="323"/>
      <c r="Z1781" s="312">
        <f t="shared" si="658"/>
        <v>0</v>
      </c>
      <c r="AA1781" s="316">
        <f>SUM(Z1781/514.1+0.25)</f>
        <v>0.25</v>
      </c>
    </row>
    <row r="1782" spans="1:27" ht="51.75" thickBot="1" x14ac:dyDescent="0.45">
      <c r="A1782" s="319" t="s">
        <v>728</v>
      </c>
      <c r="B1782" s="320" t="s">
        <v>998</v>
      </c>
      <c r="C1782" s="528">
        <f t="shared" si="660"/>
        <v>0</v>
      </c>
      <c r="D1782" s="567">
        <f>C1782*26</f>
        <v>0</v>
      </c>
      <c r="E1782" s="324">
        <f>D1782*0.18</f>
        <v>0</v>
      </c>
      <c r="F1782" s="324">
        <f>E1782*0.99*1.03/147</f>
        <v>0</v>
      </c>
      <c r="G1782" s="324">
        <f t="shared" si="669"/>
        <v>0</v>
      </c>
      <c r="H1782" s="324" t="s">
        <v>18</v>
      </c>
      <c r="I1782" s="528">
        <f t="shared" si="670"/>
        <v>0</v>
      </c>
      <c r="J1782" s="324" t="s">
        <v>19</v>
      </c>
      <c r="K1782" s="324"/>
      <c r="L1782" s="324"/>
      <c r="M1782" s="324">
        <f>C1782*26*6/45/64*1.03</f>
        <v>0</v>
      </c>
      <c r="N1782" s="324"/>
      <c r="O1782" s="324"/>
      <c r="P1782" s="324"/>
      <c r="Q1782" s="324" t="s">
        <v>18</v>
      </c>
      <c r="R1782" s="324"/>
      <c r="S1782" s="324" t="s">
        <v>19</v>
      </c>
      <c r="T1782" s="528">
        <v>9</v>
      </c>
      <c r="U1782" s="324">
        <f>E1782/237*60</f>
        <v>0</v>
      </c>
      <c r="V1782" s="676"/>
      <c r="W1782" s="528"/>
      <c r="X1782" s="529"/>
      <c r="Y1782" s="323"/>
      <c r="Z1782" s="312">
        <f t="shared" si="658"/>
        <v>0</v>
      </c>
      <c r="AA1782" s="316">
        <f>SUM(Z1782/514.1+0.25)</f>
        <v>0.25</v>
      </c>
    </row>
    <row r="1783" spans="1:27" ht="77.25" thickBot="1" x14ac:dyDescent="0.45">
      <c r="A1783" s="319" t="s">
        <v>728</v>
      </c>
      <c r="B1783" s="320" t="s">
        <v>904</v>
      </c>
      <c r="C1783" s="528">
        <f t="shared" si="660"/>
        <v>0</v>
      </c>
      <c r="D1783" s="569">
        <f>C1783*12</f>
        <v>0</v>
      </c>
      <c r="E1783" s="458">
        <f>D1783*0.55</f>
        <v>0</v>
      </c>
      <c r="F1783" s="358">
        <f>E1783*0.9*1.01/147</f>
        <v>0</v>
      </c>
      <c r="G1783" s="556">
        <f t="shared" si="669"/>
        <v>0</v>
      </c>
      <c r="H1783" s="366" t="s">
        <v>18</v>
      </c>
      <c r="I1783" s="556">
        <f t="shared" si="670"/>
        <v>0</v>
      </c>
      <c r="J1783" s="366" t="s">
        <v>19</v>
      </c>
      <c r="K1783" s="366"/>
      <c r="L1783" s="366"/>
      <c r="M1783" s="570">
        <f>(F1783*5300/3456)</f>
        <v>0</v>
      </c>
      <c r="N1783" s="366"/>
      <c r="O1783" s="366"/>
      <c r="P1783" s="366"/>
      <c r="Q1783" s="366" t="s">
        <v>18</v>
      </c>
      <c r="R1783" s="366"/>
      <c r="S1783" s="366" t="s">
        <v>19</v>
      </c>
      <c r="T1783" s="528">
        <v>10</v>
      </c>
      <c r="U1783" s="324"/>
      <c r="V1783" s="676"/>
      <c r="W1783" s="528"/>
      <c r="X1783" s="529"/>
      <c r="Y1783" s="658"/>
      <c r="Z1783" s="312">
        <f t="shared" si="658"/>
        <v>0</v>
      </c>
      <c r="AA1783" s="316">
        <f>SUM(Z1783/520.5+0.25)</f>
        <v>0.25</v>
      </c>
    </row>
    <row r="1784" spans="1:27" ht="77.25" thickBot="1" x14ac:dyDescent="0.45">
      <c r="A1784" s="319" t="s">
        <v>728</v>
      </c>
      <c r="B1784" s="320" t="s">
        <v>905</v>
      </c>
      <c r="C1784" s="528">
        <f t="shared" si="660"/>
        <v>0</v>
      </c>
      <c r="D1784" s="569">
        <f>C1784*12</f>
        <v>0</v>
      </c>
      <c r="E1784" s="458">
        <f>D1784*0.55</f>
        <v>0</v>
      </c>
      <c r="F1784" s="358">
        <f>E1784*0.9*1.01/147</f>
        <v>0</v>
      </c>
      <c r="G1784" s="556">
        <f t="shared" si="669"/>
        <v>0</v>
      </c>
      <c r="H1784" s="366" t="s">
        <v>18</v>
      </c>
      <c r="I1784" s="556">
        <f t="shared" si="670"/>
        <v>0</v>
      </c>
      <c r="J1784" s="366" t="s">
        <v>19</v>
      </c>
      <c r="K1784" s="366"/>
      <c r="L1784" s="366"/>
      <c r="M1784" s="570">
        <f>(F1784*5300/3456)</f>
        <v>0</v>
      </c>
      <c r="N1784" s="366"/>
      <c r="O1784" s="366"/>
      <c r="P1784" s="366"/>
      <c r="Q1784" s="366" t="s">
        <v>18</v>
      </c>
      <c r="R1784" s="366"/>
      <c r="S1784" s="366" t="s">
        <v>19</v>
      </c>
      <c r="T1784" s="528">
        <v>10</v>
      </c>
      <c r="U1784" s="324"/>
      <c r="V1784" s="676"/>
      <c r="W1784" s="528"/>
      <c r="X1784" s="529"/>
      <c r="Y1784" s="660"/>
      <c r="Z1784" s="312">
        <f t="shared" si="658"/>
        <v>0</v>
      </c>
      <c r="AA1784" s="316">
        <f>SUM(Z1784/520.5+0.25)</f>
        <v>0.25</v>
      </c>
    </row>
    <row r="1785" spans="1:27" s="728" customFormat="1" outlineLevel="1" thickBot="1" x14ac:dyDescent="0.45">
      <c r="A1785" s="636" t="s">
        <v>728</v>
      </c>
      <c r="B1785" s="634" t="s">
        <v>1042</v>
      </c>
      <c r="C1785" s="720">
        <f>C963</f>
        <v>0</v>
      </c>
      <c r="D1785" s="741">
        <f>C1785*12</f>
        <v>0</v>
      </c>
      <c r="E1785" s="721">
        <f>D1785*0.25</f>
        <v>0</v>
      </c>
      <c r="F1785" s="722">
        <f>E1785*0.99*1.02/147</f>
        <v>0</v>
      </c>
      <c r="G1785" s="720">
        <f>INT(M1785)</f>
        <v>0</v>
      </c>
      <c r="H1785" s="722" t="s">
        <v>18</v>
      </c>
      <c r="I1785" s="720">
        <f>(M1785-G1785)*64</f>
        <v>0</v>
      </c>
      <c r="J1785" s="722" t="s">
        <v>19</v>
      </c>
      <c r="K1785" s="722"/>
      <c r="L1785" s="722"/>
      <c r="M1785" s="722">
        <f>(F1785*5880)/3456</f>
        <v>0</v>
      </c>
      <c r="N1785" s="722"/>
      <c r="O1785" s="722"/>
      <c r="P1785" s="722"/>
      <c r="Q1785" s="722" t="s">
        <v>18</v>
      </c>
      <c r="R1785" s="722"/>
      <c r="S1785" s="722" t="s">
        <v>19</v>
      </c>
      <c r="T1785" s="720">
        <v>12</v>
      </c>
      <c r="U1785" s="324">
        <f>E1785/390*60</f>
        <v>0</v>
      </c>
      <c r="V1785" s="724"/>
      <c r="W1785" s="720"/>
      <c r="X1785" s="725"/>
      <c r="Y1785" s="751"/>
      <c r="Z1785" s="727">
        <f t="shared" si="658"/>
        <v>0</v>
      </c>
      <c r="AA1785" s="815">
        <f>SUM(Z1785/459+0.25)</f>
        <v>0.25</v>
      </c>
    </row>
    <row r="1786" spans="1:27" ht="53.25" thickBot="1" x14ac:dyDescent="0.45">
      <c r="A1786" s="319" t="s">
        <v>728</v>
      </c>
      <c r="B1786" s="320" t="s">
        <v>637</v>
      </c>
      <c r="C1786" s="528">
        <f>C961</f>
        <v>0</v>
      </c>
      <c r="D1786" s="528">
        <f>C1786*12</f>
        <v>0</v>
      </c>
      <c r="E1786" s="460">
        <f>D1786*0.25</f>
        <v>0</v>
      </c>
      <c r="F1786" s="324">
        <f>E1786*1.05*0.99/135</f>
        <v>0</v>
      </c>
      <c r="G1786" s="528">
        <f t="shared" ref="G1786:G1803" si="678">INT(M1786)</f>
        <v>0</v>
      </c>
      <c r="H1786" s="324" t="s">
        <v>18</v>
      </c>
      <c r="I1786" s="528">
        <f t="shared" ref="I1786:I1803" si="679">(M1786-G1786)*64</f>
        <v>0</v>
      </c>
      <c r="J1786" s="324" t="s">
        <v>19</v>
      </c>
      <c r="K1786" s="324"/>
      <c r="L1786" s="324"/>
      <c r="M1786" s="324">
        <f>(F1786*6253)/2880</f>
        <v>0</v>
      </c>
      <c r="N1786" s="324"/>
      <c r="O1786" s="324"/>
      <c r="P1786" s="324"/>
      <c r="Q1786" s="324" t="s">
        <v>18</v>
      </c>
      <c r="R1786" s="324"/>
      <c r="S1786" s="324" t="s">
        <v>19</v>
      </c>
      <c r="T1786" s="528">
        <v>5</v>
      </c>
      <c r="U1786" s="324">
        <f>E1786/390*60</f>
        <v>0</v>
      </c>
      <c r="V1786" s="676"/>
      <c r="W1786" s="528"/>
      <c r="X1786" s="529"/>
      <c r="Y1786" s="360" t="s">
        <v>1029</v>
      </c>
      <c r="Z1786" s="312">
        <f t="shared" si="658"/>
        <v>0</v>
      </c>
      <c r="AA1786" s="316">
        <f>SUM(Z1786/386.7+0.25)</f>
        <v>0.25</v>
      </c>
    </row>
    <row r="1787" spans="1:27" ht="53.25" thickBot="1" x14ac:dyDescent="0.45">
      <c r="A1787" s="319" t="s">
        <v>728</v>
      </c>
      <c r="B1787" s="320" t="s">
        <v>773</v>
      </c>
      <c r="C1787" s="528">
        <f>C960</f>
        <v>0</v>
      </c>
      <c r="D1787" s="528">
        <f>C1787*6</f>
        <v>0</v>
      </c>
      <c r="E1787" s="460">
        <f>D1787*0.25</f>
        <v>0</v>
      </c>
      <c r="F1787" s="324">
        <f>E1787*1.05*0.99/135</f>
        <v>0</v>
      </c>
      <c r="G1787" s="528">
        <f t="shared" si="678"/>
        <v>0</v>
      </c>
      <c r="H1787" s="324" t="s">
        <v>18</v>
      </c>
      <c r="I1787" s="528">
        <f t="shared" si="679"/>
        <v>0</v>
      </c>
      <c r="J1787" s="324" t="s">
        <v>19</v>
      </c>
      <c r="K1787" s="324"/>
      <c r="L1787" s="324"/>
      <c r="M1787" s="324">
        <f>(F1787*6253)/2880</f>
        <v>0</v>
      </c>
      <c r="N1787" s="324"/>
      <c r="O1787" s="324"/>
      <c r="P1787" s="324"/>
      <c r="Q1787" s="324" t="s">
        <v>18</v>
      </c>
      <c r="R1787" s="324"/>
      <c r="S1787" s="324" t="s">
        <v>19</v>
      </c>
      <c r="T1787" s="528">
        <v>5</v>
      </c>
      <c r="U1787" s="324">
        <f>E1787/226*60</f>
        <v>0</v>
      </c>
      <c r="V1787" s="676"/>
      <c r="W1787" s="528"/>
      <c r="X1787" s="529"/>
      <c r="Y1787" s="360" t="s">
        <v>1029</v>
      </c>
      <c r="Z1787" s="312">
        <f t="shared" si="658"/>
        <v>0</v>
      </c>
      <c r="AA1787" s="316">
        <f>SUM(Z1787/386.7+0.25)</f>
        <v>0.25</v>
      </c>
    </row>
    <row r="1788" spans="1:27" ht="77.25" outlineLevel="1" thickBot="1" x14ac:dyDescent="0.45">
      <c r="A1788" s="319" t="s">
        <v>728</v>
      </c>
      <c r="B1788" s="799" t="s">
        <v>1214</v>
      </c>
      <c r="C1788" s="528">
        <f>C962</f>
        <v>0</v>
      </c>
      <c r="D1788" s="528">
        <f>C1788*14</f>
        <v>0</v>
      </c>
      <c r="E1788" s="460">
        <f>D1788*0.25</f>
        <v>0</v>
      </c>
      <c r="F1788" s="324">
        <f>E1788*1.05*0.99/135</f>
        <v>0</v>
      </c>
      <c r="G1788" s="528">
        <f t="shared" si="678"/>
        <v>0</v>
      </c>
      <c r="H1788" s="324" t="s">
        <v>18</v>
      </c>
      <c r="I1788" s="528">
        <f t="shared" si="679"/>
        <v>0</v>
      </c>
      <c r="J1788" s="324" t="s">
        <v>19</v>
      </c>
      <c r="K1788" s="324"/>
      <c r="L1788" s="324"/>
      <c r="M1788" s="324">
        <f>(F1788*6253)/2880</f>
        <v>0</v>
      </c>
      <c r="N1788" s="324"/>
      <c r="O1788" s="324"/>
      <c r="P1788" s="324"/>
      <c r="Q1788" s="324" t="s">
        <v>18</v>
      </c>
      <c r="R1788" s="324"/>
      <c r="S1788" s="324" t="s">
        <v>19</v>
      </c>
      <c r="T1788" s="528">
        <v>5</v>
      </c>
      <c r="U1788" s="324">
        <f>E1788/226*60</f>
        <v>0</v>
      </c>
      <c r="V1788" s="676"/>
      <c r="W1788" s="528"/>
      <c r="X1788" s="529"/>
      <c r="Y1788" s="360" t="s">
        <v>1029</v>
      </c>
      <c r="Z1788" s="312">
        <f t="shared" si="658"/>
        <v>0</v>
      </c>
      <c r="AA1788" s="316">
        <f>SUM(Z1788/387+0.25)</f>
        <v>0.25</v>
      </c>
    </row>
    <row r="1789" spans="1:27" ht="51.75" thickBot="1" x14ac:dyDescent="0.45">
      <c r="A1789" s="319" t="s">
        <v>728</v>
      </c>
      <c r="B1789" s="320" t="s">
        <v>809</v>
      </c>
      <c r="C1789" s="586">
        <f t="shared" ref="C1789:C1803" si="680">C964</f>
        <v>0</v>
      </c>
      <c r="D1789" s="551">
        <f>C1789*8</f>
        <v>0</v>
      </c>
      <c r="E1789" s="456">
        <f>D1789*0.34</f>
        <v>0</v>
      </c>
      <c r="F1789" s="358">
        <f>E1789*0.99*1.01/147</f>
        <v>0</v>
      </c>
      <c r="G1789" s="548">
        <f t="shared" si="678"/>
        <v>0</v>
      </c>
      <c r="H1789" s="358" t="s">
        <v>18</v>
      </c>
      <c r="I1789" s="548">
        <f t="shared" si="679"/>
        <v>0</v>
      </c>
      <c r="J1789" s="358" t="s">
        <v>19</v>
      </c>
      <c r="K1789" s="358"/>
      <c r="L1789" s="358"/>
      <c r="M1789" s="358">
        <f>(F1789*5250)/2880</f>
        <v>0</v>
      </c>
      <c r="N1789" s="358"/>
      <c r="O1789" s="358"/>
      <c r="P1789" s="358"/>
      <c r="Q1789" s="358" t="s">
        <v>18</v>
      </c>
      <c r="R1789" s="358"/>
      <c r="S1789" s="358" t="s">
        <v>19</v>
      </c>
      <c r="T1789" s="583">
        <v>12</v>
      </c>
      <c r="U1789" s="585"/>
      <c r="V1789" s="676"/>
      <c r="W1789" s="528"/>
      <c r="X1789" s="529"/>
      <c r="Y1789" s="323"/>
      <c r="Z1789" s="312">
        <f t="shared" si="658"/>
        <v>0</v>
      </c>
      <c r="AA1789" s="316">
        <f>SUM(Z1789/514.1+0.25)</f>
        <v>0.25</v>
      </c>
    </row>
    <row r="1790" spans="1:27" ht="51.75" thickBot="1" x14ac:dyDescent="0.45">
      <c r="A1790" s="319" t="s">
        <v>728</v>
      </c>
      <c r="B1790" s="320" t="s">
        <v>810</v>
      </c>
      <c r="C1790" s="586">
        <f t="shared" si="680"/>
        <v>0</v>
      </c>
      <c r="D1790" s="551">
        <f>C1790*8</f>
        <v>0</v>
      </c>
      <c r="E1790" s="456">
        <f>D1790*0.34</f>
        <v>0</v>
      </c>
      <c r="F1790" s="358">
        <f>E1790*0.99*1.01/147</f>
        <v>0</v>
      </c>
      <c r="G1790" s="548">
        <f t="shared" si="678"/>
        <v>0</v>
      </c>
      <c r="H1790" s="358" t="s">
        <v>18</v>
      </c>
      <c r="I1790" s="548">
        <f t="shared" si="679"/>
        <v>0</v>
      </c>
      <c r="J1790" s="358" t="s">
        <v>19</v>
      </c>
      <c r="K1790" s="358"/>
      <c r="L1790" s="358"/>
      <c r="M1790" s="358">
        <f>(F1790*5250)/2880</f>
        <v>0</v>
      </c>
      <c r="N1790" s="358"/>
      <c r="O1790" s="358"/>
      <c r="P1790" s="358"/>
      <c r="Q1790" s="358" t="s">
        <v>18</v>
      </c>
      <c r="R1790" s="358"/>
      <c r="S1790" s="358" t="s">
        <v>19</v>
      </c>
      <c r="T1790" s="583">
        <v>12</v>
      </c>
      <c r="U1790" s="585">
        <f>E1790/390*60</f>
        <v>0</v>
      </c>
      <c r="V1790" s="676"/>
      <c r="W1790" s="528"/>
      <c r="X1790" s="529"/>
      <c r="Y1790" s="323"/>
      <c r="Z1790" s="312">
        <f t="shared" si="658"/>
        <v>0</v>
      </c>
      <c r="AA1790" s="316">
        <f>SUM(Z1790/514.1+0.25)</f>
        <v>0.25</v>
      </c>
    </row>
    <row r="1791" spans="1:27" ht="51.75" thickBot="1" x14ac:dyDescent="0.45">
      <c r="A1791" s="319" t="s">
        <v>728</v>
      </c>
      <c r="B1791" s="320" t="s">
        <v>812</v>
      </c>
      <c r="C1791" s="528">
        <f t="shared" si="680"/>
        <v>0</v>
      </c>
      <c r="D1791" s="551">
        <f>C1791*15</f>
        <v>0</v>
      </c>
      <c r="E1791" s="456">
        <f>D1791*0.18</f>
        <v>0</v>
      </c>
      <c r="F1791" s="358">
        <f t="shared" ref="F1791:F1797" si="681">E1791*0.99*1.03/147</f>
        <v>0</v>
      </c>
      <c r="G1791" s="548">
        <f t="shared" si="678"/>
        <v>0</v>
      </c>
      <c r="H1791" s="358" t="s">
        <v>18</v>
      </c>
      <c r="I1791" s="548">
        <f t="shared" si="679"/>
        <v>0</v>
      </c>
      <c r="J1791" s="358" t="s">
        <v>19</v>
      </c>
      <c r="K1791" s="358"/>
      <c r="L1791" s="358"/>
      <c r="M1791" s="358">
        <f>(F1791*6450)/2880</f>
        <v>0</v>
      </c>
      <c r="N1791" s="358"/>
      <c r="O1791" s="358"/>
      <c r="P1791" s="358"/>
      <c r="Q1791" s="358" t="s">
        <v>18</v>
      </c>
      <c r="R1791" s="358"/>
      <c r="S1791" s="358" t="s">
        <v>19</v>
      </c>
      <c r="T1791" s="528">
        <v>14</v>
      </c>
      <c r="U1791" s="324">
        <f>E1791/237*60</f>
        <v>0</v>
      </c>
      <c r="V1791" s="676"/>
      <c r="W1791" s="528"/>
      <c r="X1791" s="529"/>
      <c r="Y1791" s="323"/>
      <c r="Z1791" s="312">
        <f t="shared" si="658"/>
        <v>0</v>
      </c>
      <c r="AA1791" s="316">
        <f>SUM(Z1791/422.3+0.25)</f>
        <v>0.25</v>
      </c>
    </row>
    <row r="1792" spans="1:27" ht="51.75" thickBot="1" x14ac:dyDescent="0.45">
      <c r="A1792" s="319" t="s">
        <v>728</v>
      </c>
      <c r="B1792" s="344" t="s">
        <v>860</v>
      </c>
      <c r="C1792" s="528">
        <f t="shared" si="680"/>
        <v>0</v>
      </c>
      <c r="D1792" s="548">
        <f>C1792*12</f>
        <v>0</v>
      </c>
      <c r="E1792" s="456">
        <f>D1792*0.2</f>
        <v>0</v>
      </c>
      <c r="F1792" s="358">
        <f t="shared" si="681"/>
        <v>0</v>
      </c>
      <c r="G1792" s="548">
        <f t="shared" si="678"/>
        <v>0</v>
      </c>
      <c r="H1792" s="358" t="s">
        <v>18</v>
      </c>
      <c r="I1792" s="548">
        <f t="shared" si="679"/>
        <v>0</v>
      </c>
      <c r="J1792" s="358" t="s">
        <v>19</v>
      </c>
      <c r="K1792" s="358"/>
      <c r="L1792" s="358"/>
      <c r="M1792" s="358">
        <f>(F1792*8655)/2880</f>
        <v>0</v>
      </c>
      <c r="N1792" s="358"/>
      <c r="O1792" s="358"/>
      <c r="P1792" s="358"/>
      <c r="Q1792" s="358" t="s">
        <v>18</v>
      </c>
      <c r="R1792" s="358"/>
      <c r="S1792" s="358" t="s">
        <v>19</v>
      </c>
      <c r="T1792" s="528">
        <v>5</v>
      </c>
      <c r="U1792" s="324">
        <f t="shared" ref="U1792:U1797" si="682">E1792/403*60</f>
        <v>0</v>
      </c>
      <c r="V1792" s="676"/>
      <c r="W1792" s="528"/>
      <c r="X1792" s="529"/>
      <c r="Y1792" s="323"/>
      <c r="Z1792" s="312">
        <f t="shared" si="658"/>
        <v>0</v>
      </c>
      <c r="AA1792" s="316">
        <f>SUM(Z1792/302.9+0.25)</f>
        <v>0.25</v>
      </c>
    </row>
    <row r="1793" spans="1:27" ht="51.75" thickBot="1" x14ac:dyDescent="0.45">
      <c r="A1793" s="319" t="s">
        <v>728</v>
      </c>
      <c r="B1793" s="344" t="s">
        <v>861</v>
      </c>
      <c r="C1793" s="528">
        <f t="shared" si="680"/>
        <v>0</v>
      </c>
      <c r="D1793" s="548">
        <f>C1793*12</f>
        <v>0</v>
      </c>
      <c r="E1793" s="456">
        <f>D1793*0.2</f>
        <v>0</v>
      </c>
      <c r="F1793" s="358">
        <f t="shared" si="681"/>
        <v>0</v>
      </c>
      <c r="G1793" s="548">
        <f t="shared" si="678"/>
        <v>0</v>
      </c>
      <c r="H1793" s="358" t="s">
        <v>18</v>
      </c>
      <c r="I1793" s="548">
        <f t="shared" si="679"/>
        <v>0</v>
      </c>
      <c r="J1793" s="358" t="s">
        <v>19</v>
      </c>
      <c r="K1793" s="358"/>
      <c r="L1793" s="358"/>
      <c r="M1793" s="358">
        <f>(F1793*8655)/2880</f>
        <v>0</v>
      </c>
      <c r="N1793" s="358"/>
      <c r="O1793" s="358"/>
      <c r="P1793" s="358"/>
      <c r="Q1793" s="358" t="s">
        <v>18</v>
      </c>
      <c r="R1793" s="358"/>
      <c r="S1793" s="358" t="s">
        <v>19</v>
      </c>
      <c r="T1793" s="528">
        <v>5</v>
      </c>
      <c r="U1793" s="324">
        <f t="shared" si="682"/>
        <v>0</v>
      </c>
      <c r="V1793" s="676"/>
      <c r="W1793" s="528"/>
      <c r="X1793" s="529"/>
      <c r="Y1793" s="323"/>
      <c r="Z1793" s="312">
        <f t="shared" si="658"/>
        <v>0</v>
      </c>
      <c r="AA1793" s="316">
        <f>SUM(Z1793/302.9+0.25)</f>
        <v>0.25</v>
      </c>
    </row>
    <row r="1794" spans="1:27" ht="51.75" thickBot="1" x14ac:dyDescent="0.45">
      <c r="A1794" s="319" t="s">
        <v>728</v>
      </c>
      <c r="B1794" s="344" t="s">
        <v>846</v>
      </c>
      <c r="C1794" s="528">
        <f t="shared" si="680"/>
        <v>0</v>
      </c>
      <c r="D1794" s="551">
        <f>C1794*12</f>
        <v>0</v>
      </c>
      <c r="E1794" s="456">
        <f>D1794*0.25</f>
        <v>0</v>
      </c>
      <c r="F1794" s="358">
        <f t="shared" si="681"/>
        <v>0</v>
      </c>
      <c r="G1794" s="548">
        <f t="shared" si="678"/>
        <v>0</v>
      </c>
      <c r="H1794" s="358" t="s">
        <v>18</v>
      </c>
      <c r="I1794" s="548">
        <f t="shared" si="679"/>
        <v>0</v>
      </c>
      <c r="J1794" s="358" t="s">
        <v>19</v>
      </c>
      <c r="K1794" s="358"/>
      <c r="L1794" s="358"/>
      <c r="M1794" s="358">
        <f>(F1794*6989)/2880</f>
        <v>0</v>
      </c>
      <c r="N1794" s="358"/>
      <c r="O1794" s="358"/>
      <c r="P1794" s="358"/>
      <c r="Q1794" s="358" t="s">
        <v>18</v>
      </c>
      <c r="R1794" s="358"/>
      <c r="S1794" s="358" t="s">
        <v>19</v>
      </c>
      <c r="T1794" s="528">
        <v>5</v>
      </c>
      <c r="U1794" s="324">
        <f t="shared" si="682"/>
        <v>0</v>
      </c>
      <c r="V1794" s="676"/>
      <c r="W1794" s="528"/>
      <c r="X1794" s="529"/>
      <c r="Y1794" s="323"/>
      <c r="Z1794" s="312">
        <f t="shared" si="658"/>
        <v>0</v>
      </c>
      <c r="AA1794" s="316">
        <f>SUM(Z1794/385.6+0.25)</f>
        <v>0.25</v>
      </c>
    </row>
    <row r="1795" spans="1:27" ht="51.75" thickBot="1" x14ac:dyDescent="0.45">
      <c r="A1795" s="319" t="s">
        <v>728</v>
      </c>
      <c r="B1795" s="344" t="s">
        <v>847</v>
      </c>
      <c r="C1795" s="528">
        <f t="shared" si="680"/>
        <v>0</v>
      </c>
      <c r="D1795" s="551">
        <f>C1795*12</f>
        <v>0</v>
      </c>
      <c r="E1795" s="456">
        <f>D1795*0.25</f>
        <v>0</v>
      </c>
      <c r="F1795" s="358">
        <f t="shared" si="681"/>
        <v>0</v>
      </c>
      <c r="G1795" s="548">
        <f t="shared" si="678"/>
        <v>0</v>
      </c>
      <c r="H1795" s="358" t="s">
        <v>18</v>
      </c>
      <c r="I1795" s="548">
        <f t="shared" si="679"/>
        <v>0</v>
      </c>
      <c r="J1795" s="358" t="s">
        <v>19</v>
      </c>
      <c r="K1795" s="358"/>
      <c r="L1795" s="358"/>
      <c r="M1795" s="358">
        <f>(F1795*6989)/2880</f>
        <v>0</v>
      </c>
      <c r="N1795" s="358"/>
      <c r="O1795" s="358"/>
      <c r="P1795" s="358"/>
      <c r="Q1795" s="358" t="s">
        <v>18</v>
      </c>
      <c r="R1795" s="358"/>
      <c r="S1795" s="358" t="s">
        <v>19</v>
      </c>
      <c r="T1795" s="528">
        <v>5</v>
      </c>
      <c r="U1795" s="324">
        <f t="shared" si="682"/>
        <v>0</v>
      </c>
      <c r="V1795" s="676"/>
      <c r="W1795" s="528"/>
      <c r="X1795" s="529"/>
      <c r="Y1795" s="323"/>
      <c r="Z1795" s="312">
        <f t="shared" si="658"/>
        <v>0</v>
      </c>
      <c r="AA1795" s="316">
        <f>SUM(Z1795/385.6+0.25)</f>
        <v>0.25</v>
      </c>
    </row>
    <row r="1796" spans="1:27" ht="51.75" thickBot="1" x14ac:dyDescent="0.45">
      <c r="A1796" s="319" t="s">
        <v>728</v>
      </c>
      <c r="B1796" s="879" t="s">
        <v>1211</v>
      </c>
      <c r="C1796" s="528">
        <f t="shared" si="680"/>
        <v>0</v>
      </c>
      <c r="D1796" s="551">
        <f>C1796*14</f>
        <v>0</v>
      </c>
      <c r="E1796" s="456">
        <f>D1796*0.25</f>
        <v>0</v>
      </c>
      <c r="F1796" s="358">
        <f t="shared" si="681"/>
        <v>0</v>
      </c>
      <c r="G1796" s="548">
        <f>INT(M1796)</f>
        <v>0</v>
      </c>
      <c r="H1796" s="358" t="s">
        <v>18</v>
      </c>
      <c r="I1796" s="548">
        <f>(M1796-G1796)*64</f>
        <v>0</v>
      </c>
      <c r="J1796" s="358" t="s">
        <v>19</v>
      </c>
      <c r="K1796" s="358"/>
      <c r="L1796" s="358"/>
      <c r="M1796" s="358">
        <f>(F1796*6989)/2880</f>
        <v>0</v>
      </c>
      <c r="N1796" s="358"/>
      <c r="O1796" s="358"/>
      <c r="P1796" s="358"/>
      <c r="Q1796" s="358" t="s">
        <v>18</v>
      </c>
      <c r="R1796" s="358"/>
      <c r="S1796" s="358" t="s">
        <v>19</v>
      </c>
      <c r="T1796" s="528">
        <v>5</v>
      </c>
      <c r="U1796" s="324">
        <f t="shared" si="682"/>
        <v>0</v>
      </c>
      <c r="V1796" s="676"/>
      <c r="W1796" s="528"/>
      <c r="X1796" s="529"/>
      <c r="Y1796" s="323"/>
      <c r="Z1796" s="312">
        <f>E1796</f>
        <v>0</v>
      </c>
      <c r="AA1796" s="316">
        <f>SUM(Z1796/385.6+0.25)</f>
        <v>0.25</v>
      </c>
    </row>
    <row r="1797" spans="1:27" ht="51.75" thickBot="1" x14ac:dyDescent="0.45">
      <c r="A1797" s="319" t="s">
        <v>728</v>
      </c>
      <c r="B1797" s="879" t="s">
        <v>1213</v>
      </c>
      <c r="C1797" s="528">
        <f t="shared" si="680"/>
        <v>0</v>
      </c>
      <c r="D1797" s="551">
        <f>C1797*14</f>
        <v>0</v>
      </c>
      <c r="E1797" s="456">
        <f>D1797*0.25</f>
        <v>0</v>
      </c>
      <c r="F1797" s="358">
        <f t="shared" si="681"/>
        <v>0</v>
      </c>
      <c r="G1797" s="548">
        <f>INT(M1797)</f>
        <v>0</v>
      </c>
      <c r="H1797" s="358" t="s">
        <v>18</v>
      </c>
      <c r="I1797" s="548">
        <f>(M1797-G1797)*64</f>
        <v>0</v>
      </c>
      <c r="J1797" s="358" t="s">
        <v>19</v>
      </c>
      <c r="K1797" s="358"/>
      <c r="L1797" s="358"/>
      <c r="M1797" s="358">
        <f>(F1797*6989)/2880</f>
        <v>0</v>
      </c>
      <c r="N1797" s="358"/>
      <c r="O1797" s="358"/>
      <c r="P1797" s="358"/>
      <c r="Q1797" s="358" t="s">
        <v>18</v>
      </c>
      <c r="R1797" s="358"/>
      <c r="S1797" s="358" t="s">
        <v>19</v>
      </c>
      <c r="T1797" s="528">
        <v>5</v>
      </c>
      <c r="U1797" s="324">
        <f t="shared" si="682"/>
        <v>0</v>
      </c>
      <c r="V1797" s="676"/>
      <c r="W1797" s="528"/>
      <c r="X1797" s="529"/>
      <c r="Y1797" s="323"/>
      <c r="Z1797" s="312">
        <f>E1797</f>
        <v>0</v>
      </c>
      <c r="AA1797" s="316">
        <f>SUM(Z1797/385.6+0.25)</f>
        <v>0.25</v>
      </c>
    </row>
    <row r="1798" spans="1:27" ht="51.75" thickBot="1" x14ac:dyDescent="0.45">
      <c r="A1798" s="319" t="s">
        <v>728</v>
      </c>
      <c r="B1798" s="320" t="s">
        <v>1021</v>
      </c>
      <c r="C1798" s="528">
        <f t="shared" si="680"/>
        <v>0</v>
      </c>
      <c r="D1798" s="530">
        <f>C1798*22</f>
        <v>0</v>
      </c>
      <c r="E1798" s="460">
        <f>D1798*0.13</f>
        <v>0</v>
      </c>
      <c r="F1798" s="324">
        <f t="shared" ref="F1798:F1803" si="683">E1798*0.99*1.02/170</f>
        <v>0</v>
      </c>
      <c r="G1798" s="324">
        <f>INT(M1798)</f>
        <v>0</v>
      </c>
      <c r="H1798" s="324" t="s">
        <v>18</v>
      </c>
      <c r="I1798" s="528">
        <f>(M1798-G1798)*64</f>
        <v>0</v>
      </c>
      <c r="J1798" s="324" t="s">
        <v>19</v>
      </c>
      <c r="K1798" s="324"/>
      <c r="L1798" s="324"/>
      <c r="M1798" s="324">
        <f t="shared" ref="M1798:M1803" si="684">(F1798*8500)/3456</f>
        <v>0</v>
      </c>
      <c r="N1798" s="324"/>
      <c r="O1798" s="324"/>
      <c r="P1798" s="324"/>
      <c r="Q1798" s="324" t="s">
        <v>18</v>
      </c>
      <c r="R1798" s="324"/>
      <c r="S1798" s="324" t="s">
        <v>19</v>
      </c>
      <c r="T1798" s="528">
        <v>5</v>
      </c>
      <c r="U1798" s="324">
        <f>E1798/237*60</f>
        <v>0</v>
      </c>
      <c r="V1798" s="676"/>
      <c r="W1798" s="528"/>
      <c r="X1798" s="529"/>
      <c r="Y1798" s="323"/>
      <c r="Z1798" s="312">
        <f t="shared" si="658"/>
        <v>0</v>
      </c>
      <c r="AA1798" s="316">
        <f>SUM(Z1798/377.5+0.25)</f>
        <v>0.25</v>
      </c>
    </row>
    <row r="1799" spans="1:27" ht="51.75" thickBot="1" x14ac:dyDescent="0.45">
      <c r="A1799" s="319" t="s">
        <v>728</v>
      </c>
      <c r="B1799" s="799" t="s">
        <v>1223</v>
      </c>
      <c r="C1799" s="528">
        <f t="shared" si="680"/>
        <v>0</v>
      </c>
      <c r="D1799" s="530">
        <f>C1799*12</f>
        <v>0</v>
      </c>
      <c r="E1799" s="460">
        <f>D1799*0.13</f>
        <v>0</v>
      </c>
      <c r="F1799" s="324">
        <f t="shared" si="683"/>
        <v>0</v>
      </c>
      <c r="G1799" s="324">
        <f>INT(M1799)</f>
        <v>0</v>
      </c>
      <c r="H1799" s="324" t="s">
        <v>18</v>
      </c>
      <c r="I1799" s="528">
        <f>(M1799-G1799)*64</f>
        <v>0</v>
      </c>
      <c r="J1799" s="324" t="s">
        <v>19</v>
      </c>
      <c r="K1799" s="324"/>
      <c r="L1799" s="324"/>
      <c r="M1799" s="324">
        <f t="shared" si="684"/>
        <v>0</v>
      </c>
      <c r="N1799" s="324"/>
      <c r="O1799" s="324"/>
      <c r="P1799" s="324"/>
      <c r="Q1799" s="324" t="s">
        <v>18</v>
      </c>
      <c r="R1799" s="324"/>
      <c r="S1799" s="324" t="s">
        <v>19</v>
      </c>
      <c r="T1799" s="528">
        <v>5</v>
      </c>
      <c r="U1799" s="324">
        <f>E1799/237*60</f>
        <v>0</v>
      </c>
      <c r="V1799" s="676"/>
      <c r="W1799" s="528"/>
      <c r="X1799" s="529"/>
      <c r="Y1799" s="323"/>
      <c r="Z1799" s="312">
        <f>E1799</f>
        <v>0</v>
      </c>
      <c r="AA1799" s="316">
        <f>SUM(Z1799/377.5+0.25)</f>
        <v>0.25</v>
      </c>
    </row>
    <row r="1800" spans="1:27" thickBot="1" x14ac:dyDescent="0.45">
      <c r="A1800" s="319" t="s">
        <v>728</v>
      </c>
      <c r="B1800" s="320" t="s">
        <v>1023</v>
      </c>
      <c r="C1800" s="528">
        <f t="shared" si="680"/>
        <v>0</v>
      </c>
      <c r="D1800" s="530">
        <f>C1800*8</f>
        <v>0</v>
      </c>
      <c r="E1800" s="460">
        <f>D1800*0.16</f>
        <v>0</v>
      </c>
      <c r="F1800" s="324">
        <f t="shared" si="683"/>
        <v>0</v>
      </c>
      <c r="G1800" s="324">
        <f>INT(M1800)</f>
        <v>0</v>
      </c>
      <c r="H1800" s="324" t="s">
        <v>18</v>
      </c>
      <c r="I1800" s="528">
        <f>(M1800-G1800)*64</f>
        <v>0</v>
      </c>
      <c r="J1800" s="324" t="s">
        <v>19</v>
      </c>
      <c r="K1800" s="324"/>
      <c r="L1800" s="324"/>
      <c r="M1800" s="324">
        <f t="shared" si="684"/>
        <v>0</v>
      </c>
      <c r="N1800" s="324"/>
      <c r="O1800" s="324"/>
      <c r="P1800" s="324"/>
      <c r="Q1800" s="324" t="s">
        <v>18</v>
      </c>
      <c r="R1800" s="324"/>
      <c r="S1800" s="324" t="s">
        <v>19</v>
      </c>
      <c r="T1800" s="528">
        <v>5</v>
      </c>
      <c r="U1800" s="324">
        <f>E1800/237*60</f>
        <v>0</v>
      </c>
      <c r="V1800" s="676"/>
      <c r="W1800" s="528"/>
      <c r="X1800" s="529"/>
      <c r="Y1800" s="323"/>
      <c r="Z1800" s="312">
        <f t="shared" si="658"/>
        <v>0</v>
      </c>
      <c r="AA1800" s="316">
        <f>SUM(Z1800/367.7+0.25)</f>
        <v>0.25</v>
      </c>
    </row>
    <row r="1801" spans="1:27" ht="51.75" thickBot="1" x14ac:dyDescent="0.45">
      <c r="A1801" s="319" t="s">
        <v>728</v>
      </c>
      <c r="B1801" s="343" t="s">
        <v>1194</v>
      </c>
      <c r="C1801" s="528">
        <f t="shared" si="680"/>
        <v>0</v>
      </c>
      <c r="D1801" s="551">
        <f>C1801*12</f>
        <v>0</v>
      </c>
      <c r="E1801" s="456">
        <f>D1801*0.16</f>
        <v>0</v>
      </c>
      <c r="F1801" s="358">
        <f t="shared" si="683"/>
        <v>0</v>
      </c>
      <c r="G1801" s="358">
        <f t="shared" si="678"/>
        <v>0</v>
      </c>
      <c r="H1801" s="358" t="s">
        <v>18</v>
      </c>
      <c r="I1801" s="548">
        <f t="shared" si="679"/>
        <v>0</v>
      </c>
      <c r="J1801" s="358" t="s">
        <v>19</v>
      </c>
      <c r="K1801" s="358"/>
      <c r="L1801" s="358"/>
      <c r="M1801" s="358">
        <f t="shared" si="684"/>
        <v>0</v>
      </c>
      <c r="N1801" s="324"/>
      <c r="O1801" s="324"/>
      <c r="P1801" s="324"/>
      <c r="Q1801" s="324" t="s">
        <v>18</v>
      </c>
      <c r="R1801" s="324"/>
      <c r="S1801" s="324" t="s">
        <v>19</v>
      </c>
      <c r="T1801" s="528">
        <v>5</v>
      </c>
      <c r="U1801" s="324">
        <f>E1801/403*60</f>
        <v>0</v>
      </c>
      <c r="V1801" s="676"/>
      <c r="W1801" s="528"/>
      <c r="X1801" s="529"/>
      <c r="Y1801" s="323"/>
      <c r="Z1801" s="312">
        <f t="shared" si="658"/>
        <v>0</v>
      </c>
      <c r="AA1801" s="316">
        <f>SUM(Z1801/367.7+0.25)</f>
        <v>0.25</v>
      </c>
    </row>
    <row r="1802" spans="1:27" ht="51.75" thickBot="1" x14ac:dyDescent="0.45">
      <c r="A1802" s="319" t="s">
        <v>728</v>
      </c>
      <c r="B1802" s="802" t="s">
        <v>1215</v>
      </c>
      <c r="C1802" s="528">
        <f t="shared" si="680"/>
        <v>0</v>
      </c>
      <c r="D1802" s="551">
        <f>C1802*10</f>
        <v>0</v>
      </c>
      <c r="E1802" s="456">
        <f>D1802*0.16</f>
        <v>0</v>
      </c>
      <c r="F1802" s="358">
        <f t="shared" si="683"/>
        <v>0</v>
      </c>
      <c r="G1802" s="358">
        <f t="shared" si="678"/>
        <v>0</v>
      </c>
      <c r="H1802" s="358" t="s">
        <v>18</v>
      </c>
      <c r="I1802" s="548">
        <f t="shared" si="679"/>
        <v>0</v>
      </c>
      <c r="J1802" s="358" t="s">
        <v>19</v>
      </c>
      <c r="K1802" s="358"/>
      <c r="L1802" s="358"/>
      <c r="M1802" s="358">
        <f t="shared" si="684"/>
        <v>0</v>
      </c>
      <c r="N1802" s="324"/>
      <c r="O1802" s="324"/>
      <c r="P1802" s="324"/>
      <c r="Q1802" s="324" t="s">
        <v>18</v>
      </c>
      <c r="R1802" s="324"/>
      <c r="S1802" s="324" t="s">
        <v>19</v>
      </c>
      <c r="T1802" s="528">
        <v>5</v>
      </c>
      <c r="U1802" s="324">
        <f>E1802/237*60</f>
        <v>0</v>
      </c>
      <c r="V1802" s="676"/>
      <c r="W1802" s="528"/>
      <c r="X1802" s="529"/>
      <c r="Y1802" s="323"/>
      <c r="Z1802" s="312">
        <f>E1802</f>
        <v>0</v>
      </c>
      <c r="AA1802" s="316">
        <f>SUM(Z1802/367.7+0.25)</f>
        <v>0.25</v>
      </c>
    </row>
    <row r="1803" spans="1:27" ht="77.25" thickBot="1" x14ac:dyDescent="0.45">
      <c r="A1803" s="319" t="s">
        <v>728</v>
      </c>
      <c r="B1803" s="362" t="s">
        <v>1182</v>
      </c>
      <c r="C1803" s="528">
        <f t="shared" si="680"/>
        <v>0</v>
      </c>
      <c r="D1803" s="530">
        <f>C1803*10</f>
        <v>0</v>
      </c>
      <c r="E1803" s="460">
        <f>D1803*0.26</f>
        <v>0</v>
      </c>
      <c r="F1803" s="324">
        <f t="shared" si="683"/>
        <v>0</v>
      </c>
      <c r="G1803" s="324">
        <f t="shared" si="678"/>
        <v>0</v>
      </c>
      <c r="H1803" s="324" t="s">
        <v>18</v>
      </c>
      <c r="I1803" s="528">
        <f t="shared" si="679"/>
        <v>0</v>
      </c>
      <c r="J1803" s="324" t="s">
        <v>19</v>
      </c>
      <c r="K1803" s="324"/>
      <c r="L1803" s="324"/>
      <c r="M1803" s="324">
        <f t="shared" si="684"/>
        <v>0</v>
      </c>
      <c r="N1803" s="324"/>
      <c r="O1803" s="324"/>
      <c r="P1803" s="324"/>
      <c r="Q1803" s="324" t="s">
        <v>18</v>
      </c>
      <c r="R1803" s="324"/>
      <c r="S1803" s="324" t="s">
        <v>19</v>
      </c>
      <c r="T1803" s="528">
        <v>5</v>
      </c>
      <c r="U1803" s="324">
        <f>E1803/237*60</f>
        <v>0</v>
      </c>
      <c r="V1803" s="676"/>
      <c r="W1803" s="528"/>
      <c r="X1803" s="529"/>
      <c r="Y1803" s="323"/>
      <c r="Z1803" s="312">
        <f>E1803</f>
        <v>0</v>
      </c>
      <c r="AA1803" s="316">
        <f>SUM(Z1803/377.5+0.25)</f>
        <v>0.25</v>
      </c>
    </row>
    <row r="1804" spans="1:27" thickBot="1" x14ac:dyDescent="0.45">
      <c r="A1804" s="329"/>
      <c r="B1804" s="344"/>
      <c r="C1804" s="536"/>
      <c r="D1804" s="530"/>
      <c r="E1804" s="460"/>
      <c r="F1804" s="324"/>
      <c r="G1804" s="324"/>
      <c r="H1804" s="324"/>
      <c r="I1804" s="528"/>
      <c r="J1804" s="324"/>
      <c r="K1804" s="324"/>
      <c r="L1804" s="324"/>
      <c r="M1804" s="324"/>
      <c r="N1804" s="324"/>
      <c r="O1804" s="324"/>
      <c r="P1804" s="324"/>
      <c r="Q1804" s="324"/>
      <c r="R1804" s="324"/>
      <c r="S1804" s="324"/>
      <c r="T1804" s="563"/>
      <c r="U1804" s="324"/>
      <c r="V1804" s="676"/>
      <c r="W1804" s="528"/>
      <c r="X1804" s="529"/>
      <c r="Y1804" s="323"/>
    </row>
    <row r="1805" spans="1:27" thickBot="1" x14ac:dyDescent="0.45">
      <c r="A1805" s="329"/>
      <c r="B1805" s="344"/>
      <c r="C1805" s="536"/>
      <c r="D1805" s="530"/>
      <c r="E1805" s="460"/>
      <c r="F1805" s="324"/>
      <c r="G1805" s="324"/>
      <c r="H1805" s="324"/>
      <c r="I1805" s="528"/>
      <c r="J1805" s="324"/>
      <c r="K1805" s="324"/>
      <c r="L1805" s="324"/>
      <c r="M1805" s="324"/>
      <c r="N1805" s="324"/>
      <c r="O1805" s="324"/>
      <c r="P1805" s="324"/>
      <c r="Q1805" s="324"/>
      <c r="R1805" s="324"/>
      <c r="S1805" s="324"/>
      <c r="T1805" s="563"/>
      <c r="U1805" s="324"/>
      <c r="V1805" s="676"/>
      <c r="W1805" s="528"/>
      <c r="X1805" s="529"/>
      <c r="Y1805" s="323"/>
    </row>
    <row r="1806" spans="1:27" ht="53.25" thickBot="1" x14ac:dyDescent="0.45">
      <c r="A1806" s="319"/>
      <c r="B1806" s="394" t="s">
        <v>695</v>
      </c>
      <c r="C1806" s="537"/>
      <c r="D1806" s="537"/>
      <c r="E1806" s="496"/>
      <c r="F1806" s="354"/>
      <c r="G1806" s="537"/>
      <c r="H1806" s="354"/>
      <c r="I1806" s="537"/>
      <c r="J1806" s="354"/>
      <c r="K1806" s="354"/>
      <c r="L1806" s="354"/>
      <c r="M1806" s="354"/>
      <c r="N1806" s="354"/>
      <c r="O1806" s="354"/>
      <c r="P1806" s="354"/>
      <c r="Q1806" s="354"/>
      <c r="R1806" s="354"/>
      <c r="S1806" s="354"/>
      <c r="T1806" s="537"/>
      <c r="U1806" s="354"/>
      <c r="V1806" s="682" t="s">
        <v>696</v>
      </c>
      <c r="W1806" s="537"/>
      <c r="X1806" s="540"/>
      <c r="Y1806" s="323"/>
    </row>
    <row r="1807" spans="1:27" thickBot="1" x14ac:dyDescent="0.45">
      <c r="A1807" s="319"/>
      <c r="B1807" s="319"/>
      <c r="C1807" s="528"/>
      <c r="D1807" s="528"/>
      <c r="E1807" s="460"/>
      <c r="F1807" s="324"/>
      <c r="G1807" s="528"/>
      <c r="H1807" s="324"/>
      <c r="I1807" s="528"/>
      <c r="J1807" s="324"/>
      <c r="K1807" s="324"/>
      <c r="L1807" s="324"/>
      <c r="M1807" s="324"/>
      <c r="N1807" s="324"/>
      <c r="O1807" s="324"/>
      <c r="P1807" s="324"/>
      <c r="Q1807" s="324"/>
      <c r="R1807" s="324"/>
      <c r="S1807" s="324"/>
      <c r="T1807" s="528"/>
      <c r="U1807" s="324"/>
      <c r="V1807" s="676"/>
      <c r="W1807" s="528"/>
      <c r="X1807" s="529"/>
      <c r="Y1807" s="323"/>
    </row>
    <row r="1808" spans="1:27" thickBot="1" x14ac:dyDescent="0.45">
      <c r="A1808" s="319"/>
      <c r="B1808" s="319"/>
      <c r="C1808" s="528"/>
      <c r="D1808" s="528"/>
      <c r="E1808" s="460"/>
      <c r="F1808" s="324"/>
      <c r="G1808" s="528"/>
      <c r="H1808" s="324"/>
      <c r="I1808" s="528"/>
      <c r="J1808" s="324"/>
      <c r="K1808" s="324"/>
      <c r="L1808" s="324"/>
      <c r="M1808" s="324"/>
      <c r="N1808" s="324"/>
      <c r="O1808" s="324"/>
      <c r="P1808" s="324"/>
      <c r="Q1808" s="324"/>
      <c r="R1808" s="324"/>
      <c r="S1808" s="324"/>
      <c r="T1808" s="528"/>
      <c r="U1808" s="324"/>
      <c r="V1808" s="676"/>
      <c r="W1808" s="528"/>
      <c r="X1808" s="529"/>
      <c r="Y1808" s="323"/>
    </row>
    <row r="1809" spans="1:27" ht="205.5" thickBot="1" x14ac:dyDescent="0.45">
      <c r="A1809" s="319"/>
      <c r="B1809" s="304" t="s">
        <v>1055</v>
      </c>
      <c r="C1809" s="499"/>
      <c r="D1809" s="499"/>
      <c r="E1809" s="499">
        <v>215</v>
      </c>
      <c r="F1809" s="538"/>
      <c r="G1809" s="528"/>
      <c r="H1809" s="324"/>
      <c r="I1809" s="528"/>
      <c r="J1809" s="324"/>
      <c r="K1809" s="324"/>
      <c r="L1809" s="324"/>
      <c r="M1809" s="324"/>
      <c r="N1809" s="324"/>
      <c r="O1809" s="324"/>
      <c r="P1809" s="324"/>
      <c r="Q1809" s="324"/>
      <c r="R1809" s="324"/>
      <c r="S1809" s="324"/>
      <c r="T1809" s="528"/>
      <c r="U1809" s="324"/>
      <c r="V1809" s="676"/>
      <c r="W1809" s="528"/>
      <c r="X1809" s="529"/>
      <c r="Y1809" s="397" t="s">
        <v>1054</v>
      </c>
    </row>
    <row r="1810" spans="1:27" thickBot="1" x14ac:dyDescent="0.45">
      <c r="A1810" s="319"/>
      <c r="B1810" s="304"/>
      <c r="C1810" s="499"/>
      <c r="D1810" s="499"/>
      <c r="E1810" s="499"/>
      <c r="F1810" s="538"/>
      <c r="G1810" s="528"/>
      <c r="H1810" s="324"/>
      <c r="I1810" s="528"/>
      <c r="J1810" s="324"/>
      <c r="K1810" s="324"/>
      <c r="L1810" s="324"/>
      <c r="M1810" s="324"/>
      <c r="N1810" s="324"/>
      <c r="O1810" s="324"/>
      <c r="P1810" s="324"/>
      <c r="Q1810" s="324"/>
      <c r="R1810" s="324"/>
      <c r="S1810" s="324"/>
      <c r="T1810" s="528"/>
      <c r="U1810" s="324"/>
      <c r="V1810" s="676"/>
      <c r="W1810" s="528"/>
      <c r="X1810" s="529"/>
      <c r="Y1810" s="397"/>
    </row>
    <row r="1811" spans="1:27" thickBot="1" x14ac:dyDescent="0.45">
      <c r="A1811" s="829"/>
      <c r="B1811" s="382" t="s">
        <v>147</v>
      </c>
      <c r="C1811" s="537"/>
      <c r="D1811" s="537"/>
      <c r="E1811" s="496">
        <f>SUM(E1635:E1803)</f>
        <v>20400</v>
      </c>
      <c r="F1811" s="324"/>
      <c r="G1811" s="528"/>
      <c r="H1811" s="324"/>
      <c r="I1811" s="528"/>
      <c r="J1811" s="324"/>
      <c r="K1811" s="324"/>
      <c r="L1811" s="324"/>
      <c r="M1811" s="324"/>
      <c r="N1811" s="324"/>
      <c r="O1811" s="324"/>
      <c r="P1811" s="324"/>
      <c r="Q1811" s="324"/>
      <c r="R1811" s="324"/>
      <c r="S1811" s="324"/>
      <c r="T1811" s="528"/>
      <c r="U1811" s="324"/>
      <c r="V1811" s="676"/>
      <c r="W1811" s="528"/>
      <c r="X1811" s="529"/>
      <c r="Y1811" s="323"/>
    </row>
    <row r="1812" spans="1:27" thickBot="1" x14ac:dyDescent="0.45">
      <c r="A1812" s="356"/>
      <c r="B1812" s="356"/>
      <c r="C1812" s="528"/>
      <c r="D1812" s="528"/>
      <c r="E1812" s="460"/>
      <c r="F1812" s="324"/>
      <c r="G1812" s="528"/>
      <c r="H1812" s="324"/>
      <c r="I1812" s="528"/>
      <c r="J1812" s="324"/>
      <c r="K1812" s="324"/>
      <c r="L1812" s="324"/>
      <c r="M1812" s="324"/>
      <c r="N1812" s="324"/>
      <c r="O1812" s="324"/>
      <c r="P1812" s="324"/>
      <c r="Q1812" s="324"/>
      <c r="R1812" s="324"/>
      <c r="S1812" s="324"/>
      <c r="T1812" s="528"/>
      <c r="U1812" s="324"/>
      <c r="V1812" s="676"/>
      <c r="W1812" s="528"/>
      <c r="X1812" s="529"/>
      <c r="Y1812" s="323"/>
    </row>
    <row r="1813" spans="1:27" thickBot="1" x14ac:dyDescent="0.45">
      <c r="A1813" s="356"/>
      <c r="B1813" s="356"/>
      <c r="C1813" s="528"/>
      <c r="D1813" s="528"/>
      <c r="E1813" s="460"/>
      <c r="F1813" s="324"/>
      <c r="G1813" s="528"/>
      <c r="H1813" s="324"/>
      <c r="I1813" s="528"/>
      <c r="J1813" s="324"/>
      <c r="K1813" s="324"/>
      <c r="L1813" s="324"/>
      <c r="M1813" s="324"/>
      <c r="N1813" s="324"/>
      <c r="O1813" s="324"/>
      <c r="P1813" s="324"/>
      <c r="Q1813" s="324"/>
      <c r="R1813" s="324"/>
      <c r="S1813" s="324"/>
      <c r="T1813" s="528"/>
      <c r="U1813" s="324"/>
      <c r="V1813" s="676"/>
      <c r="W1813" s="528"/>
      <c r="X1813" s="529"/>
      <c r="Y1813" s="323"/>
    </row>
    <row r="1814" spans="1:27" thickBot="1" x14ac:dyDescent="0.45">
      <c r="A1814" s="829"/>
      <c r="B1814" s="305" t="s">
        <v>308</v>
      </c>
      <c r="C1814" s="559"/>
      <c r="D1814" s="559"/>
      <c r="E1814" s="510"/>
      <c r="F1814" s="471"/>
      <c r="G1814" s="559"/>
      <c r="H1814" s="471"/>
      <c r="I1814" s="559"/>
      <c r="J1814" s="471"/>
      <c r="K1814" s="471"/>
      <c r="L1814" s="471"/>
      <c r="M1814" s="471"/>
      <c r="N1814" s="471"/>
      <c r="O1814" s="471"/>
      <c r="P1814" s="471"/>
      <c r="Q1814" s="471"/>
      <c r="R1814" s="471"/>
      <c r="S1814" s="471"/>
      <c r="T1814" s="559"/>
      <c r="U1814" s="471"/>
      <c r="V1814" s="687"/>
      <c r="W1814" s="471"/>
      <c r="X1814" s="471"/>
      <c r="Y1814" s="373"/>
      <c r="AA1814" s="391" t="s">
        <v>680</v>
      </c>
    </row>
    <row r="1815" spans="1:27" thickBot="1" x14ac:dyDescent="0.45">
      <c r="A1815" s="319"/>
      <c r="B1815" s="332" t="s">
        <v>297</v>
      </c>
      <c r="C1815" s="528"/>
      <c r="D1815" s="528"/>
      <c r="E1815" s="460"/>
      <c r="F1815" s="324"/>
      <c r="G1815" s="528"/>
      <c r="H1815" s="324"/>
      <c r="I1815" s="528"/>
      <c r="J1815" s="324"/>
      <c r="K1815" s="324"/>
      <c r="L1815" s="324"/>
      <c r="M1815" s="324"/>
      <c r="N1815" s="324"/>
      <c r="O1815" s="324"/>
      <c r="P1815" s="324"/>
      <c r="Q1815" s="324"/>
      <c r="R1815" s="324"/>
      <c r="S1815" s="324"/>
      <c r="T1815" s="528"/>
      <c r="U1815" s="324"/>
      <c r="V1815" s="676"/>
      <c r="W1815" s="528"/>
      <c r="X1815" s="529"/>
      <c r="Y1815" s="323"/>
    </row>
    <row r="1816" spans="1:27" ht="51.75" thickBot="1" x14ac:dyDescent="0.45">
      <c r="A1816" s="319" t="s">
        <v>732</v>
      </c>
      <c r="B1816" s="362" t="s">
        <v>620</v>
      </c>
      <c r="C1816" s="586">
        <f>C136+C360+C588</f>
        <v>0</v>
      </c>
      <c r="D1816" s="528">
        <f>C1816*12</f>
        <v>0</v>
      </c>
      <c r="E1816" s="460">
        <f>D1816*0.255</f>
        <v>0</v>
      </c>
      <c r="F1816" s="324">
        <f>E1816*1.03*1.05/173</f>
        <v>0</v>
      </c>
      <c r="G1816" s="528">
        <f t="shared" ref="G1816:G1821" si="685">INT(M1816)</f>
        <v>0</v>
      </c>
      <c r="H1816" s="324" t="s">
        <v>18</v>
      </c>
      <c r="I1816" s="528">
        <f t="shared" ref="I1816:I1821" si="686">(M1816-G1816)*64</f>
        <v>0</v>
      </c>
      <c r="J1816" s="324" t="s">
        <v>19</v>
      </c>
      <c r="K1816" s="324"/>
      <c r="L1816" s="324"/>
      <c r="M1816" s="324">
        <f>(F1816*7673)/2880</f>
        <v>0</v>
      </c>
      <c r="N1816" s="324"/>
      <c r="O1816" s="324"/>
      <c r="P1816" s="324"/>
      <c r="Q1816" s="324" t="s">
        <v>18</v>
      </c>
      <c r="R1816" s="324"/>
      <c r="S1816" s="324" t="s">
        <v>19</v>
      </c>
      <c r="T1816" s="528">
        <v>7</v>
      </c>
      <c r="U1816" s="324">
        <f>E1816/207*60</f>
        <v>0</v>
      </c>
      <c r="V1816" s="676"/>
      <c r="W1816" s="528"/>
      <c r="X1816" s="529"/>
      <c r="Y1816" s="323"/>
      <c r="Z1816" s="312">
        <f t="shared" ref="Z1816:Z1821" si="687">E1816</f>
        <v>0</v>
      </c>
      <c r="AA1816" s="316">
        <f>SUM(Z1816/625+0.25)</f>
        <v>0.25</v>
      </c>
    </row>
    <row r="1817" spans="1:27" ht="51.75" thickBot="1" x14ac:dyDescent="0.45">
      <c r="A1817" s="319" t="s">
        <v>732</v>
      </c>
      <c r="B1817" s="362" t="s">
        <v>621</v>
      </c>
      <c r="C1817" s="586">
        <f>C137+C361+C589</f>
        <v>0</v>
      </c>
      <c r="D1817" s="528">
        <f>C1817*12</f>
        <v>0</v>
      </c>
      <c r="E1817" s="460">
        <f>D1817*0.255</f>
        <v>0</v>
      </c>
      <c r="F1817" s="324">
        <f>E1817*1.03*1.05/173</f>
        <v>0</v>
      </c>
      <c r="G1817" s="528">
        <f t="shared" si="685"/>
        <v>0</v>
      </c>
      <c r="H1817" s="324" t="s">
        <v>18</v>
      </c>
      <c r="I1817" s="528">
        <f t="shared" si="686"/>
        <v>0</v>
      </c>
      <c r="J1817" s="324" t="s">
        <v>19</v>
      </c>
      <c r="K1817" s="324"/>
      <c r="L1817" s="324"/>
      <c r="M1817" s="324">
        <f>(F1817*7673)/2880</f>
        <v>0</v>
      </c>
      <c r="N1817" s="324"/>
      <c r="O1817" s="324"/>
      <c r="P1817" s="324"/>
      <c r="Q1817" s="324" t="s">
        <v>18</v>
      </c>
      <c r="R1817" s="324"/>
      <c r="S1817" s="324" t="s">
        <v>19</v>
      </c>
      <c r="T1817" s="528">
        <v>4</v>
      </c>
      <c r="U1817" s="324">
        <f>E1817/207*60</f>
        <v>0</v>
      </c>
      <c r="V1817" s="676"/>
      <c r="W1817" s="528"/>
      <c r="X1817" s="529"/>
      <c r="Y1817" s="323"/>
      <c r="Z1817" s="312">
        <f t="shared" si="687"/>
        <v>0</v>
      </c>
      <c r="AA1817" s="316">
        <f>SUM(Z1817/625+0.25)</f>
        <v>0.25</v>
      </c>
    </row>
    <row r="1818" spans="1:27" ht="51.75" thickBot="1" x14ac:dyDescent="0.45">
      <c r="A1818" s="319" t="s">
        <v>732</v>
      </c>
      <c r="B1818" s="362" t="s">
        <v>622</v>
      </c>
      <c r="C1818" s="586">
        <f>C138+C362+C590</f>
        <v>0</v>
      </c>
      <c r="D1818" s="528">
        <f>C1818*12</f>
        <v>0</v>
      </c>
      <c r="E1818" s="460">
        <f>D1818*0.255</f>
        <v>0</v>
      </c>
      <c r="F1818" s="324">
        <f>E1818*1.03*1.05/173</f>
        <v>0</v>
      </c>
      <c r="G1818" s="528">
        <f t="shared" si="685"/>
        <v>0</v>
      </c>
      <c r="H1818" s="324" t="s">
        <v>18</v>
      </c>
      <c r="I1818" s="528">
        <f t="shared" si="686"/>
        <v>0</v>
      </c>
      <c r="J1818" s="324" t="s">
        <v>19</v>
      </c>
      <c r="K1818" s="324"/>
      <c r="L1818" s="324"/>
      <c r="M1818" s="324">
        <f>(F1818*7673)/2880</f>
        <v>0</v>
      </c>
      <c r="N1818" s="324"/>
      <c r="O1818" s="324"/>
      <c r="P1818" s="324"/>
      <c r="Q1818" s="324" t="s">
        <v>18</v>
      </c>
      <c r="R1818" s="324"/>
      <c r="S1818" s="324" t="s">
        <v>19</v>
      </c>
      <c r="T1818" s="528">
        <v>4</v>
      </c>
      <c r="U1818" s="324">
        <f>E1818/207*60</f>
        <v>0</v>
      </c>
      <c r="V1818" s="676"/>
      <c r="W1818" s="528"/>
      <c r="X1818" s="529"/>
      <c r="Y1818" s="323"/>
      <c r="Z1818" s="312">
        <f t="shared" si="687"/>
        <v>0</v>
      </c>
      <c r="AA1818" s="316">
        <f>SUM(Z1818/625+0.25)</f>
        <v>0.25</v>
      </c>
    </row>
    <row r="1819" spans="1:27" ht="51.75" thickBot="1" x14ac:dyDescent="0.45">
      <c r="A1819" s="319" t="s">
        <v>732</v>
      </c>
      <c r="B1819" s="362" t="s">
        <v>619</v>
      </c>
      <c r="C1819" s="639">
        <f>C1935</f>
        <v>0</v>
      </c>
      <c r="D1819" s="525">
        <f>C1819*10</f>
        <v>0</v>
      </c>
      <c r="E1819" s="545">
        <f>D1819*0.25</f>
        <v>0</v>
      </c>
      <c r="F1819" s="461">
        <f>E1819*1.15*0.82/173</f>
        <v>0</v>
      </c>
      <c r="G1819" s="525">
        <f t="shared" si="685"/>
        <v>0</v>
      </c>
      <c r="H1819" s="461" t="s">
        <v>18</v>
      </c>
      <c r="I1819" s="525">
        <f t="shared" si="686"/>
        <v>0</v>
      </c>
      <c r="J1819" s="461" t="s">
        <v>19</v>
      </c>
      <c r="K1819" s="461"/>
      <c r="L1819" s="461"/>
      <c r="M1819" s="461">
        <f>(F1819*7863)/3456</f>
        <v>0</v>
      </c>
      <c r="N1819" s="461"/>
      <c r="O1819" s="461"/>
      <c r="P1819" s="461"/>
      <c r="Q1819" s="324" t="s">
        <v>18</v>
      </c>
      <c r="R1819" s="324"/>
      <c r="S1819" s="324" t="s">
        <v>19</v>
      </c>
      <c r="T1819" s="528">
        <v>7</v>
      </c>
      <c r="U1819" s="324">
        <f>E1819/272*60</f>
        <v>0</v>
      </c>
      <c r="V1819" s="676"/>
      <c r="W1819" s="528"/>
      <c r="X1819" s="529"/>
      <c r="Y1819" s="323"/>
      <c r="Z1819" s="312">
        <f t="shared" si="687"/>
        <v>0</v>
      </c>
      <c r="AA1819" s="316">
        <f>SUM(Z1819/560+0.25)</f>
        <v>0.25</v>
      </c>
    </row>
    <row r="1820" spans="1:27" ht="51.75" thickBot="1" x14ac:dyDescent="0.45">
      <c r="A1820" s="319" t="s">
        <v>732</v>
      </c>
      <c r="B1820" s="362" t="s">
        <v>911</v>
      </c>
      <c r="C1820" s="639">
        <f>C135+C359+C587</f>
        <v>0</v>
      </c>
      <c r="D1820" s="525">
        <f>C1820*10</f>
        <v>0</v>
      </c>
      <c r="E1820" s="545">
        <f>D1820*0.2</f>
        <v>0</v>
      </c>
      <c r="F1820" s="461">
        <f>E1820*1.15*0.82/173</f>
        <v>0</v>
      </c>
      <c r="G1820" s="525">
        <f t="shared" si="685"/>
        <v>0</v>
      </c>
      <c r="H1820" s="461" t="s">
        <v>18</v>
      </c>
      <c r="I1820" s="525">
        <f t="shared" si="686"/>
        <v>0</v>
      </c>
      <c r="J1820" s="461" t="s">
        <v>19</v>
      </c>
      <c r="K1820" s="461"/>
      <c r="L1820" s="461"/>
      <c r="M1820" s="461">
        <f>(F1820*9600)/3456</f>
        <v>0</v>
      </c>
      <c r="N1820" s="461"/>
      <c r="O1820" s="461"/>
      <c r="P1820" s="461"/>
      <c r="Q1820" s="324" t="s">
        <v>18</v>
      </c>
      <c r="R1820" s="324"/>
      <c r="S1820" s="324" t="s">
        <v>19</v>
      </c>
      <c r="T1820" s="528">
        <v>7</v>
      </c>
      <c r="U1820" s="324">
        <f>E1820/207*60</f>
        <v>0</v>
      </c>
      <c r="V1820" s="676"/>
      <c r="W1820" s="528"/>
      <c r="X1820" s="529"/>
      <c r="Y1820" s="323"/>
      <c r="Z1820" s="312">
        <f t="shared" si="687"/>
        <v>0</v>
      </c>
      <c r="AA1820" s="316">
        <f>SUM(Z1820/450+0.25)</f>
        <v>0.25</v>
      </c>
    </row>
    <row r="1821" spans="1:27" ht="77.25" thickBot="1" x14ac:dyDescent="0.45">
      <c r="A1821" s="319" t="s">
        <v>732</v>
      </c>
      <c r="B1821" s="320" t="s">
        <v>813</v>
      </c>
      <c r="C1821" s="528">
        <f>C1937</f>
        <v>0</v>
      </c>
      <c r="D1821" s="525">
        <f>C1821*10</f>
        <v>0</v>
      </c>
      <c r="E1821" s="545">
        <f>D1821*0.2</f>
        <v>0</v>
      </c>
      <c r="F1821" s="461">
        <f>E1821*1.15*0.82/173</f>
        <v>0</v>
      </c>
      <c r="G1821" s="525">
        <f t="shared" si="685"/>
        <v>0</v>
      </c>
      <c r="H1821" s="461" t="s">
        <v>18</v>
      </c>
      <c r="I1821" s="525">
        <f t="shared" si="686"/>
        <v>0</v>
      </c>
      <c r="J1821" s="461" t="s">
        <v>19</v>
      </c>
      <c r="K1821" s="461"/>
      <c r="L1821" s="461"/>
      <c r="M1821" s="461">
        <f>(F1821*9600)/3456</f>
        <v>0</v>
      </c>
      <c r="N1821" s="461"/>
      <c r="O1821" s="461"/>
      <c r="P1821" s="461"/>
      <c r="Q1821" s="324" t="s">
        <v>18</v>
      </c>
      <c r="R1821" s="324"/>
      <c r="S1821" s="324" t="s">
        <v>19</v>
      </c>
      <c r="T1821" s="528">
        <v>7</v>
      </c>
      <c r="U1821" s="324">
        <f>E1821/207*60</f>
        <v>0</v>
      </c>
      <c r="V1821" s="676"/>
      <c r="W1821" s="528"/>
      <c r="X1821" s="529"/>
      <c r="Y1821" s="323"/>
      <c r="Z1821" s="312">
        <f t="shared" si="687"/>
        <v>0</v>
      </c>
      <c r="AA1821" s="316">
        <f>SUM(Z1821/450+0.25)</f>
        <v>0.25</v>
      </c>
    </row>
    <row r="1822" spans="1:27" outlineLevel="1" thickBot="1" x14ac:dyDescent="0.45">
      <c r="A1822" s="319"/>
      <c r="B1822" s="305" t="s">
        <v>623</v>
      </c>
      <c r="C1822" s="539"/>
      <c r="D1822" s="539"/>
      <c r="E1822" s="502"/>
      <c r="F1822" s="333"/>
      <c r="G1822" s="539"/>
      <c r="H1822" s="333"/>
      <c r="I1822" s="539"/>
      <c r="J1822" s="333"/>
      <c r="K1822" s="333"/>
      <c r="L1822" s="333"/>
      <c r="M1822" s="333"/>
      <c r="N1822" s="333"/>
      <c r="O1822" s="333"/>
      <c r="P1822" s="333"/>
      <c r="Q1822" s="333"/>
      <c r="R1822" s="333"/>
      <c r="S1822" s="333"/>
      <c r="T1822" s="539"/>
      <c r="U1822" s="333"/>
      <c r="V1822" s="681"/>
      <c r="W1822" s="333"/>
      <c r="X1822" s="333"/>
      <c r="Y1822" s="374"/>
    </row>
    <row r="1823" spans="1:27" ht="77.25" outlineLevel="1" thickBot="1" x14ac:dyDescent="0.45">
      <c r="A1823" s="319" t="s">
        <v>732</v>
      </c>
      <c r="B1823" s="362" t="s">
        <v>624</v>
      </c>
      <c r="C1823" s="638">
        <f>C2085</f>
        <v>0</v>
      </c>
      <c r="D1823" s="530">
        <f>C1823*10</f>
        <v>0</v>
      </c>
      <c r="E1823" s="460">
        <f>D1823*0.2</f>
        <v>0</v>
      </c>
      <c r="F1823" s="324">
        <f>E1823*0.97*0.8/19.6</f>
        <v>0</v>
      </c>
      <c r="G1823" s="528">
        <f>INT(M1823)</f>
        <v>0</v>
      </c>
      <c r="H1823" s="324" t="s">
        <v>18</v>
      </c>
      <c r="I1823" s="528">
        <f>(M1823-G1823)*64</f>
        <v>0</v>
      </c>
      <c r="J1823" s="324" t="s">
        <v>19</v>
      </c>
      <c r="K1823" s="324"/>
      <c r="L1823" s="324"/>
      <c r="M1823" s="324">
        <f>(F1823*1087/3456)</f>
        <v>0</v>
      </c>
      <c r="N1823" s="324"/>
      <c r="O1823" s="324"/>
      <c r="P1823" s="324"/>
      <c r="Q1823" s="324" t="s">
        <v>18</v>
      </c>
      <c r="R1823" s="324"/>
      <c r="S1823" s="324" t="s">
        <v>19</v>
      </c>
      <c r="T1823" s="528">
        <v>5</v>
      </c>
      <c r="U1823" s="324">
        <f>E1823/324*60</f>
        <v>0</v>
      </c>
      <c r="V1823" s="676"/>
      <c r="W1823" s="528"/>
      <c r="X1823" s="529"/>
      <c r="Y1823" s="323"/>
      <c r="Z1823" s="312">
        <f>E1823</f>
        <v>0</v>
      </c>
      <c r="AA1823" s="316">
        <f>SUM(Z1823/540+0.25)</f>
        <v>0.25</v>
      </c>
    </row>
    <row r="1824" spans="1:27" ht="132" outlineLevel="1" thickBot="1" x14ac:dyDescent="0.45">
      <c r="A1824" s="319" t="s">
        <v>794</v>
      </c>
      <c r="B1824" s="362" t="s">
        <v>625</v>
      </c>
      <c r="C1824" s="638">
        <f>C1939</f>
        <v>0</v>
      </c>
      <c r="D1824" s="530">
        <f>C1824*10</f>
        <v>0</v>
      </c>
      <c r="E1824" s="460">
        <f>D1824*0.2</f>
        <v>0</v>
      </c>
      <c r="F1824" s="324">
        <f>E1824*0.97*0.8/19.6</f>
        <v>0</v>
      </c>
      <c r="G1824" s="528">
        <f>INT(M1824)</f>
        <v>0</v>
      </c>
      <c r="H1824" s="324" t="s">
        <v>18</v>
      </c>
      <c r="I1824" s="528">
        <f>(M1824-G1824)*64</f>
        <v>0</v>
      </c>
      <c r="J1824" s="324" t="s">
        <v>19</v>
      </c>
      <c r="K1824" s="324"/>
      <c r="L1824" s="324"/>
      <c r="M1824" s="324">
        <f>(F1824*1087/3456)</f>
        <v>0</v>
      </c>
      <c r="N1824" s="324"/>
      <c r="O1824" s="324"/>
      <c r="P1824" s="324"/>
      <c r="Q1824" s="324" t="s">
        <v>18</v>
      </c>
      <c r="R1824" s="324"/>
      <c r="S1824" s="324" t="s">
        <v>19</v>
      </c>
      <c r="T1824" s="528">
        <v>5</v>
      </c>
      <c r="U1824" s="324">
        <f>E1824/324*60</f>
        <v>0</v>
      </c>
      <c r="V1824" s="676"/>
      <c r="W1824" s="528"/>
      <c r="X1824" s="529"/>
      <c r="Y1824" s="323"/>
      <c r="Z1824" s="312">
        <f>E1824</f>
        <v>0</v>
      </c>
      <c r="AA1824" s="316">
        <f>SUM(Z1824/540+0.25)</f>
        <v>0.25</v>
      </c>
    </row>
    <row r="1825" spans="1:27" ht="105.75" outlineLevel="1" thickBot="1" x14ac:dyDescent="0.45">
      <c r="A1825" s="319" t="s">
        <v>792</v>
      </c>
      <c r="B1825" s="369" t="s">
        <v>626</v>
      </c>
      <c r="C1825" s="586">
        <f>C1940</f>
        <v>0</v>
      </c>
      <c r="D1825" s="530">
        <f>C1825*10</f>
        <v>0</v>
      </c>
      <c r="E1825" s="460">
        <f>D1825*0.2</f>
        <v>0</v>
      </c>
      <c r="F1825" s="324">
        <f>E1825*0.97*0.8/19.6</f>
        <v>0</v>
      </c>
      <c r="G1825" s="528">
        <f>INT(M1825)</f>
        <v>0</v>
      </c>
      <c r="H1825" s="324" t="s">
        <v>18</v>
      </c>
      <c r="I1825" s="528">
        <f>(M1825-G1825)*64</f>
        <v>0</v>
      </c>
      <c r="J1825" s="324" t="s">
        <v>19</v>
      </c>
      <c r="K1825" s="324"/>
      <c r="L1825" s="324"/>
      <c r="M1825" s="324">
        <f>(F1825*1087/3456)</f>
        <v>0</v>
      </c>
      <c r="N1825" s="324"/>
      <c r="O1825" s="324"/>
      <c r="P1825" s="324"/>
      <c r="Q1825" s="324" t="s">
        <v>18</v>
      </c>
      <c r="R1825" s="324"/>
      <c r="S1825" s="324" t="s">
        <v>19</v>
      </c>
      <c r="T1825" s="528">
        <v>5</v>
      </c>
      <c r="U1825" s="324">
        <f>E1825/259*60</f>
        <v>0</v>
      </c>
      <c r="V1825" s="676"/>
      <c r="W1825" s="528"/>
      <c r="X1825" s="529"/>
      <c r="Y1825" s="323"/>
      <c r="Z1825" s="312">
        <f>E1825</f>
        <v>0</v>
      </c>
      <c r="AA1825" s="316">
        <f>SUM(Z1825/540+0.25)</f>
        <v>0.25</v>
      </c>
    </row>
    <row r="1826" spans="1:27" thickBot="1" x14ac:dyDescent="0.45">
      <c r="A1826" s="329"/>
      <c r="B1826" s="332" t="s">
        <v>285</v>
      </c>
      <c r="C1826" s="528"/>
      <c r="D1826" s="528"/>
      <c r="E1826" s="460"/>
      <c r="F1826" s="324"/>
      <c r="G1826" s="528"/>
      <c r="H1826" s="324"/>
      <c r="I1826" s="528"/>
      <c r="J1826" s="324"/>
      <c r="K1826" s="324"/>
      <c r="L1826" s="324"/>
      <c r="M1826" s="324"/>
      <c r="N1826" s="324"/>
      <c r="O1826" s="324"/>
      <c r="P1826" s="324"/>
      <c r="Q1826" s="324"/>
      <c r="R1826" s="324"/>
      <c r="S1826" s="324"/>
      <c r="T1826" s="528"/>
      <c r="U1826" s="324"/>
      <c r="V1826" s="676"/>
      <c r="W1826" s="528"/>
      <c r="X1826" s="529"/>
      <c r="Y1826" s="323"/>
    </row>
    <row r="1827" spans="1:27" ht="105.75" thickBot="1" x14ac:dyDescent="0.45">
      <c r="A1827" s="319" t="s">
        <v>732</v>
      </c>
      <c r="B1827" s="320" t="s">
        <v>858</v>
      </c>
      <c r="C1827" s="528">
        <f>C1672</f>
        <v>0</v>
      </c>
      <c r="D1827" s="551">
        <f>C1827*18</f>
        <v>0</v>
      </c>
      <c r="E1827" s="456">
        <f>D1827*0.18</f>
        <v>0</v>
      </c>
      <c r="F1827" s="358">
        <f>E1827*1.03*0.8/147</f>
        <v>0</v>
      </c>
      <c r="G1827" s="548">
        <f t="shared" ref="G1827:G1835" si="688">INT(M1827)</f>
        <v>0</v>
      </c>
      <c r="H1827" s="358" t="s">
        <v>18</v>
      </c>
      <c r="I1827" s="548">
        <f t="shared" ref="I1827:I1835" si="689">(M1827-G1827)*64</f>
        <v>0</v>
      </c>
      <c r="J1827" s="358" t="s">
        <v>19</v>
      </c>
      <c r="K1827" s="358"/>
      <c r="L1827" s="358"/>
      <c r="M1827" s="358">
        <f>F1827*5960/3456</f>
        <v>0</v>
      </c>
      <c r="N1827" s="324"/>
      <c r="O1827" s="324"/>
      <c r="P1827" s="324"/>
      <c r="Q1827" s="324" t="s">
        <v>18</v>
      </c>
      <c r="R1827" s="324"/>
      <c r="S1827" s="324" t="s">
        <v>19</v>
      </c>
      <c r="T1827" s="528">
        <v>4</v>
      </c>
      <c r="U1827" s="324">
        <f t="shared" ref="U1827:U1833" si="690">E1827/220*60</f>
        <v>0</v>
      </c>
      <c r="V1827" s="676"/>
      <c r="W1827" s="528"/>
      <c r="X1827" s="529"/>
      <c r="Y1827" s="323" t="s">
        <v>1014</v>
      </c>
      <c r="Z1827" s="312">
        <f t="shared" ref="Z1827:Z1898" si="691">E1827</f>
        <v>0</v>
      </c>
      <c r="AA1827" s="316">
        <f>SUM(Z1827/505.3+0.25)</f>
        <v>0.25</v>
      </c>
    </row>
    <row r="1828" spans="1:27" ht="51.75" thickBot="1" x14ac:dyDescent="0.45">
      <c r="A1828" s="319" t="s">
        <v>732</v>
      </c>
      <c r="B1828" s="320" t="s">
        <v>1031</v>
      </c>
      <c r="C1828" s="528">
        <f>C1673</f>
        <v>0</v>
      </c>
      <c r="D1828" s="530">
        <f>C1828*22</f>
        <v>0</v>
      </c>
      <c r="E1828" s="460">
        <f>D1828*0.18</f>
        <v>0</v>
      </c>
      <c r="F1828" s="324">
        <f>E1828*1.03*0.8/147</f>
        <v>0</v>
      </c>
      <c r="G1828" s="528">
        <f t="shared" si="688"/>
        <v>0</v>
      </c>
      <c r="H1828" s="324" t="s">
        <v>18</v>
      </c>
      <c r="I1828" s="528">
        <f t="shared" si="689"/>
        <v>0</v>
      </c>
      <c r="J1828" s="324" t="s">
        <v>19</v>
      </c>
      <c r="K1828" s="324"/>
      <c r="L1828" s="324"/>
      <c r="M1828" s="324">
        <f>F1828*5960/3456</f>
        <v>0</v>
      </c>
      <c r="N1828" s="324"/>
      <c r="O1828" s="324"/>
      <c r="P1828" s="324"/>
      <c r="Q1828" s="324" t="s">
        <v>18</v>
      </c>
      <c r="R1828" s="324"/>
      <c r="S1828" s="324" t="s">
        <v>19</v>
      </c>
      <c r="T1828" s="528" t="s">
        <v>924</v>
      </c>
      <c r="U1828" s="324">
        <f t="shared" si="690"/>
        <v>0</v>
      </c>
      <c r="V1828" s="676"/>
      <c r="W1828" s="528"/>
      <c r="X1828" s="529"/>
      <c r="Y1828" s="300"/>
      <c r="Z1828" s="312">
        <f>E1828</f>
        <v>0</v>
      </c>
      <c r="AA1828" s="316">
        <f>SUM(Z1828/505.3+0.25)</f>
        <v>0.25</v>
      </c>
    </row>
    <row r="1829" spans="1:27" ht="77.25" thickBot="1" x14ac:dyDescent="0.45">
      <c r="A1829" s="319" t="s">
        <v>732</v>
      </c>
      <c r="B1829" s="320" t="s">
        <v>893</v>
      </c>
      <c r="C1829" s="528">
        <f>C1674</f>
        <v>0</v>
      </c>
      <c r="D1829" s="551">
        <f>C1829*18</f>
        <v>0</v>
      </c>
      <c r="E1829" s="456">
        <f>D1829*0.18</f>
        <v>0</v>
      </c>
      <c r="F1829" s="358">
        <f>E1829*1.03*0.8/147</f>
        <v>0</v>
      </c>
      <c r="G1829" s="548">
        <f t="shared" si="688"/>
        <v>0</v>
      </c>
      <c r="H1829" s="358" t="s">
        <v>18</v>
      </c>
      <c r="I1829" s="548">
        <f t="shared" si="689"/>
        <v>0</v>
      </c>
      <c r="J1829" s="358" t="s">
        <v>19</v>
      </c>
      <c r="K1829" s="358"/>
      <c r="L1829" s="358"/>
      <c r="M1829" s="358">
        <f>F1829*5960/3456</f>
        <v>0</v>
      </c>
      <c r="N1829" s="324"/>
      <c r="O1829" s="324"/>
      <c r="P1829" s="324"/>
      <c r="Q1829" s="324" t="s">
        <v>18</v>
      </c>
      <c r="R1829" s="324"/>
      <c r="S1829" s="324" t="s">
        <v>19</v>
      </c>
      <c r="T1829" s="528">
        <v>3</v>
      </c>
      <c r="U1829" s="324">
        <f t="shared" si="690"/>
        <v>0</v>
      </c>
      <c r="V1829" s="676"/>
      <c r="W1829" s="528"/>
      <c r="X1829" s="529"/>
      <c r="Y1829" s="323"/>
      <c r="Z1829" s="312">
        <f t="shared" si="691"/>
        <v>0</v>
      </c>
      <c r="AA1829" s="316">
        <f>SUM(Z1829/505.3+0.25)</f>
        <v>0.25</v>
      </c>
    </row>
    <row r="1830" spans="1:27" ht="51.75" thickBot="1" x14ac:dyDescent="0.45">
      <c r="A1830" s="319" t="s">
        <v>732</v>
      </c>
      <c r="B1830" s="320" t="s">
        <v>880</v>
      </c>
      <c r="C1830" s="528">
        <f>C1689</f>
        <v>0</v>
      </c>
      <c r="D1830" s="550">
        <f>C1830*18</f>
        <v>0</v>
      </c>
      <c r="E1830" s="358">
        <f>D1830*0.24</f>
        <v>0</v>
      </c>
      <c r="F1830" s="358">
        <f>E1830*0.81/147</f>
        <v>0</v>
      </c>
      <c r="G1830" s="548">
        <f t="shared" si="688"/>
        <v>0</v>
      </c>
      <c r="H1830" s="358" t="s">
        <v>18</v>
      </c>
      <c r="I1830" s="548">
        <f t="shared" si="689"/>
        <v>0</v>
      </c>
      <c r="J1830" s="358" t="s">
        <v>19</v>
      </c>
      <c r="K1830" s="358"/>
      <c r="L1830" s="358"/>
      <c r="M1830" s="358">
        <f>F1830*6125/3456</f>
        <v>0</v>
      </c>
      <c r="N1830" s="358"/>
      <c r="O1830" s="358"/>
      <c r="P1830" s="358"/>
      <c r="Q1830" s="358" t="s">
        <v>18</v>
      </c>
      <c r="R1830" s="358"/>
      <c r="S1830" s="358" t="s">
        <v>19</v>
      </c>
      <c r="T1830" s="528">
        <v>3</v>
      </c>
      <c r="U1830" s="324">
        <f t="shared" si="690"/>
        <v>0</v>
      </c>
      <c r="V1830" s="676"/>
      <c r="W1830" s="528"/>
      <c r="X1830" s="529"/>
      <c r="Y1830" s="323"/>
      <c r="Z1830" s="312">
        <f t="shared" si="691"/>
        <v>0</v>
      </c>
      <c r="AA1830" s="316">
        <f>SUM(E1830/522.7+0.25)</f>
        <v>0.25</v>
      </c>
    </row>
    <row r="1831" spans="1:27" ht="105.75" thickBot="1" x14ac:dyDescent="0.45">
      <c r="A1831" s="319" t="s">
        <v>732</v>
      </c>
      <c r="B1831" s="362" t="s">
        <v>859</v>
      </c>
      <c r="C1831" s="528"/>
      <c r="D1831" s="551">
        <f>C1831*18</f>
        <v>0</v>
      </c>
      <c r="E1831" s="456">
        <f>D1831*0.18</f>
        <v>0</v>
      </c>
      <c r="F1831" s="358">
        <f>E1831*0.84/147</f>
        <v>0</v>
      </c>
      <c r="G1831" s="548">
        <f t="shared" si="688"/>
        <v>0</v>
      </c>
      <c r="H1831" s="358" t="s">
        <v>18</v>
      </c>
      <c r="I1831" s="548">
        <f t="shared" si="689"/>
        <v>0</v>
      </c>
      <c r="J1831" s="358" t="s">
        <v>19</v>
      </c>
      <c r="K1831" s="358"/>
      <c r="L1831" s="358"/>
      <c r="M1831" s="358">
        <f>F1831*5880/3456</f>
        <v>0</v>
      </c>
      <c r="N1831" s="324"/>
      <c r="O1831" s="324"/>
      <c r="P1831" s="324"/>
      <c r="Q1831" s="324" t="s">
        <v>18</v>
      </c>
      <c r="R1831" s="324"/>
      <c r="S1831" s="324" t="s">
        <v>19</v>
      </c>
      <c r="T1831" s="528">
        <v>5</v>
      </c>
      <c r="U1831" s="324">
        <f t="shared" si="690"/>
        <v>0</v>
      </c>
      <c r="V1831" s="676"/>
      <c r="W1831" s="528"/>
      <c r="X1831" s="529"/>
      <c r="Y1831" s="323" t="s">
        <v>1014</v>
      </c>
      <c r="Z1831" s="312">
        <f t="shared" si="691"/>
        <v>0</v>
      </c>
      <c r="AA1831" s="316">
        <f>SUM(Z1831/240+0.25)</f>
        <v>0.25</v>
      </c>
    </row>
    <row r="1832" spans="1:27" ht="77.25" thickBot="1" x14ac:dyDescent="0.45">
      <c r="A1832" s="319" t="s">
        <v>732</v>
      </c>
      <c r="B1832" s="362" t="s">
        <v>1032</v>
      </c>
      <c r="C1832" s="528"/>
      <c r="D1832" s="530">
        <f>C1832*22</f>
        <v>0</v>
      </c>
      <c r="E1832" s="460">
        <f>D1832*0.18</f>
        <v>0</v>
      </c>
      <c r="F1832" s="324">
        <f>E1832*0.84/147</f>
        <v>0</v>
      </c>
      <c r="G1832" s="528">
        <f t="shared" si="688"/>
        <v>0</v>
      </c>
      <c r="H1832" s="324" t="s">
        <v>18</v>
      </c>
      <c r="I1832" s="528">
        <f t="shared" si="689"/>
        <v>0</v>
      </c>
      <c r="J1832" s="324" t="s">
        <v>19</v>
      </c>
      <c r="K1832" s="324"/>
      <c r="L1832" s="324"/>
      <c r="M1832" s="324">
        <f>F1832*5880/3456</f>
        <v>0</v>
      </c>
      <c r="N1832" s="324"/>
      <c r="O1832" s="324"/>
      <c r="P1832" s="324"/>
      <c r="Q1832" s="324" t="s">
        <v>18</v>
      </c>
      <c r="R1832" s="324"/>
      <c r="S1832" s="324" t="s">
        <v>19</v>
      </c>
      <c r="T1832" s="528" t="s">
        <v>923</v>
      </c>
      <c r="U1832" s="324">
        <f t="shared" si="690"/>
        <v>0</v>
      </c>
      <c r="V1832" s="676"/>
      <c r="W1832" s="528"/>
      <c r="X1832" s="529"/>
      <c r="Y1832" s="323"/>
      <c r="Z1832" s="312">
        <f>E1832</f>
        <v>0</v>
      </c>
      <c r="AA1832" s="316">
        <f>SUM(Z1832/240+0.25)</f>
        <v>0.25</v>
      </c>
    </row>
    <row r="1833" spans="1:27" ht="51.75" thickBot="1" x14ac:dyDescent="0.45">
      <c r="A1833" s="319" t="s">
        <v>732</v>
      </c>
      <c r="B1833" s="320" t="s">
        <v>1036</v>
      </c>
      <c r="C1833" s="586">
        <f>C1675</f>
        <v>0</v>
      </c>
      <c r="D1833" s="550">
        <f>C1833*22</f>
        <v>0</v>
      </c>
      <c r="E1833" s="456">
        <f>D1833*0.2</f>
        <v>0</v>
      </c>
      <c r="F1833" s="358">
        <f>E1833*1.03*0.82/147</f>
        <v>0</v>
      </c>
      <c r="G1833" s="548">
        <f t="shared" si="688"/>
        <v>0</v>
      </c>
      <c r="H1833" s="358" t="s">
        <v>18</v>
      </c>
      <c r="I1833" s="548">
        <f t="shared" si="689"/>
        <v>0</v>
      </c>
      <c r="J1833" s="358" t="s">
        <v>19</v>
      </c>
      <c r="K1833" s="358"/>
      <c r="L1833" s="358"/>
      <c r="M1833" s="358">
        <f>F1833*5250/3456</f>
        <v>0</v>
      </c>
      <c r="N1833" s="358"/>
      <c r="O1833" s="358"/>
      <c r="P1833" s="358"/>
      <c r="Q1833" s="358" t="s">
        <v>18</v>
      </c>
      <c r="R1833" s="358"/>
      <c r="S1833" s="358" t="s">
        <v>19</v>
      </c>
      <c r="T1833" s="528">
        <v>4</v>
      </c>
      <c r="U1833" s="324">
        <f t="shared" si="690"/>
        <v>0</v>
      </c>
      <c r="V1833" s="676"/>
      <c r="W1833" s="528"/>
      <c r="X1833" s="529"/>
      <c r="Y1833" s="323"/>
      <c r="Z1833" s="312">
        <f t="shared" si="691"/>
        <v>0</v>
      </c>
      <c r="AA1833" s="316">
        <f>SUM(Z1833/548.9+0.25)</f>
        <v>0.25</v>
      </c>
    </row>
    <row r="1834" spans="1:27" ht="51.75" thickBot="1" x14ac:dyDescent="0.45">
      <c r="A1834" s="319" t="s">
        <v>732</v>
      </c>
      <c r="B1834" s="320" t="s">
        <v>1001</v>
      </c>
      <c r="C1834" s="586">
        <f>C1676</f>
        <v>0</v>
      </c>
      <c r="D1834" s="551">
        <f>C1834*22</f>
        <v>0</v>
      </c>
      <c r="E1834" s="456">
        <f>D1834*0.2</f>
        <v>0</v>
      </c>
      <c r="F1834" s="358">
        <f>E1834*1.03*0.82/147</f>
        <v>0</v>
      </c>
      <c r="G1834" s="548">
        <f t="shared" si="688"/>
        <v>0</v>
      </c>
      <c r="H1834" s="358" t="s">
        <v>18</v>
      </c>
      <c r="I1834" s="548">
        <f t="shared" si="689"/>
        <v>0</v>
      </c>
      <c r="J1834" s="358" t="s">
        <v>19</v>
      </c>
      <c r="K1834" s="358"/>
      <c r="L1834" s="358"/>
      <c r="M1834" s="358">
        <f>F1834*5250/3456</f>
        <v>0</v>
      </c>
      <c r="N1834" s="358"/>
      <c r="O1834" s="358"/>
      <c r="P1834" s="358"/>
      <c r="Q1834" s="358" t="s">
        <v>18</v>
      </c>
      <c r="R1834" s="358"/>
      <c r="S1834" s="358" t="s">
        <v>19</v>
      </c>
      <c r="T1834" s="528">
        <v>4</v>
      </c>
      <c r="U1834" s="354">
        <f>E1834/259*60</f>
        <v>0</v>
      </c>
      <c r="V1834" s="676"/>
      <c r="W1834" s="528"/>
      <c r="X1834" s="529"/>
      <c r="Y1834" s="323"/>
      <c r="Z1834" s="312">
        <f t="shared" si="691"/>
        <v>0</v>
      </c>
      <c r="AA1834" s="316">
        <f>SUM(Z1834/548.9+0.25)</f>
        <v>0.25</v>
      </c>
    </row>
    <row r="1835" spans="1:27" ht="77.25" thickBot="1" x14ac:dyDescent="0.45">
      <c r="A1835" s="319" t="s">
        <v>732</v>
      </c>
      <c r="B1835" s="320" t="s">
        <v>797</v>
      </c>
      <c r="C1835" s="528">
        <f>C1678</f>
        <v>0</v>
      </c>
      <c r="D1835" s="551">
        <f>C1835*8</f>
        <v>0</v>
      </c>
      <c r="E1835" s="456">
        <f>D1835*0.25</f>
        <v>0</v>
      </c>
      <c r="F1835" s="358">
        <f>E1835*1.015*0.72/147</f>
        <v>0</v>
      </c>
      <c r="G1835" s="548">
        <f t="shared" si="688"/>
        <v>0</v>
      </c>
      <c r="H1835" s="358" t="s">
        <v>18</v>
      </c>
      <c r="I1835" s="548">
        <f t="shared" si="689"/>
        <v>0</v>
      </c>
      <c r="J1835" s="358" t="s">
        <v>19</v>
      </c>
      <c r="K1835" s="358"/>
      <c r="L1835" s="358"/>
      <c r="M1835" s="552">
        <f>(F1835*6447/3456)</f>
        <v>0</v>
      </c>
      <c r="N1835" s="324"/>
      <c r="O1835" s="324"/>
      <c r="P1835" s="324"/>
      <c r="Q1835" s="324" t="s">
        <v>18</v>
      </c>
      <c r="R1835" s="324"/>
      <c r="S1835" s="324" t="s">
        <v>19</v>
      </c>
      <c r="T1835" s="528">
        <v>3</v>
      </c>
      <c r="U1835" s="324">
        <f>E1835/259*60</f>
        <v>0</v>
      </c>
      <c r="V1835" s="676"/>
      <c r="W1835" s="528"/>
      <c r="X1835" s="529"/>
      <c r="Y1835" s="323"/>
      <c r="Z1835" s="312">
        <f t="shared" si="691"/>
        <v>0</v>
      </c>
      <c r="AA1835" s="316">
        <f>SUM(Z1835/509.7+0.25)</f>
        <v>0.25</v>
      </c>
    </row>
    <row r="1836" spans="1:27" ht="52.5" thickBot="1" x14ac:dyDescent="0.45">
      <c r="A1836" s="319" t="s">
        <v>732</v>
      </c>
      <c r="B1836" s="320" t="s">
        <v>951</v>
      </c>
      <c r="C1836" s="586">
        <f>C1686</f>
        <v>0</v>
      </c>
      <c r="D1836" s="551">
        <f>C1836*18</f>
        <v>0</v>
      </c>
      <c r="E1836" s="456">
        <f t="shared" ref="E1836:E1844" si="692">D1836*0.2</f>
        <v>0</v>
      </c>
      <c r="F1836" s="358">
        <f>E1836*1.03*0.82/147</f>
        <v>0</v>
      </c>
      <c r="G1836" s="548">
        <f t="shared" ref="G1836:G1846" si="693">INT(M1836)</f>
        <v>0</v>
      </c>
      <c r="H1836" s="358" t="s">
        <v>18</v>
      </c>
      <c r="I1836" s="548">
        <f t="shared" ref="I1836:I1846" si="694">(M1836-G1836)*64</f>
        <v>0</v>
      </c>
      <c r="J1836" s="358" t="s">
        <v>19</v>
      </c>
      <c r="K1836" s="358"/>
      <c r="L1836" s="358"/>
      <c r="M1836" s="358">
        <f>F1836*5250/3456</f>
        <v>0</v>
      </c>
      <c r="N1836" s="324"/>
      <c r="O1836" s="324"/>
      <c r="P1836" s="324"/>
      <c r="Q1836" s="324" t="s">
        <v>18</v>
      </c>
      <c r="R1836" s="324"/>
      <c r="S1836" s="324" t="s">
        <v>19</v>
      </c>
      <c r="T1836" s="561">
        <v>4</v>
      </c>
      <c r="U1836" s="324">
        <f>E1836/259*60</f>
        <v>0</v>
      </c>
      <c r="V1836" s="689"/>
      <c r="W1836" s="561"/>
      <c r="X1836" s="562"/>
      <c r="Y1836" s="323"/>
      <c r="Z1836" s="312">
        <f t="shared" si="691"/>
        <v>0</v>
      </c>
      <c r="AA1836" s="316">
        <f>SUM(Z1836/548.9+0.25)</f>
        <v>0.25</v>
      </c>
    </row>
    <row r="1837" spans="1:27" ht="77.25" outlineLevel="1" thickBot="1" x14ac:dyDescent="0.45">
      <c r="A1837" s="319" t="s">
        <v>732</v>
      </c>
      <c r="B1837" s="634" t="s">
        <v>764</v>
      </c>
      <c r="C1837" s="586">
        <f>C1680</f>
        <v>0</v>
      </c>
      <c r="D1837" s="548">
        <f>C1837*10</f>
        <v>0</v>
      </c>
      <c r="E1837" s="456">
        <f t="shared" si="692"/>
        <v>0</v>
      </c>
      <c r="F1837" s="358">
        <f>E1837*1.015*0.72/147</f>
        <v>0</v>
      </c>
      <c r="G1837" s="548">
        <f t="shared" si="693"/>
        <v>0</v>
      </c>
      <c r="H1837" s="358" t="s">
        <v>18</v>
      </c>
      <c r="I1837" s="548">
        <f t="shared" si="694"/>
        <v>0</v>
      </c>
      <c r="J1837" s="358" t="s">
        <v>19</v>
      </c>
      <c r="K1837" s="358"/>
      <c r="L1837" s="358"/>
      <c r="M1837" s="358">
        <f>(F1837*8070/3456)</f>
        <v>0</v>
      </c>
      <c r="N1837" s="324"/>
      <c r="O1837" s="324"/>
      <c r="P1837" s="324"/>
      <c r="Q1837" s="324" t="s">
        <v>18</v>
      </c>
      <c r="R1837" s="324"/>
      <c r="S1837" s="324" t="s">
        <v>19</v>
      </c>
      <c r="T1837" s="561">
        <v>4</v>
      </c>
      <c r="U1837" s="324">
        <f>E1837/259*60</f>
        <v>0</v>
      </c>
      <c r="V1837" s="676"/>
      <c r="W1837" s="528"/>
      <c r="X1837" s="529"/>
      <c r="Y1837" s="323"/>
      <c r="Z1837" s="312">
        <f t="shared" si="691"/>
        <v>0</v>
      </c>
      <c r="AA1837" s="316">
        <f>SUM(Z1837/411.6+0.25)</f>
        <v>0.25</v>
      </c>
    </row>
    <row r="1838" spans="1:27" ht="51.75" thickBot="1" x14ac:dyDescent="0.45">
      <c r="A1838" s="319" t="s">
        <v>732</v>
      </c>
      <c r="B1838" s="320" t="s">
        <v>1004</v>
      </c>
      <c r="C1838" s="528">
        <f>C1692</f>
        <v>0</v>
      </c>
      <c r="D1838" s="567">
        <f>C1838*14</f>
        <v>0</v>
      </c>
      <c r="E1838" s="324">
        <f>D1838*0.36</f>
        <v>0</v>
      </c>
      <c r="F1838" s="324">
        <f>E1838*1.03*0.8/147</f>
        <v>0</v>
      </c>
      <c r="G1838" s="528">
        <f t="shared" si="693"/>
        <v>0</v>
      </c>
      <c r="H1838" s="324" t="s">
        <v>18</v>
      </c>
      <c r="I1838" s="528">
        <f t="shared" si="694"/>
        <v>0</v>
      </c>
      <c r="J1838" s="324" t="s">
        <v>19</v>
      </c>
      <c r="K1838" s="324"/>
      <c r="L1838" s="324"/>
      <c r="M1838" s="324">
        <f>F1838*6000/3456</f>
        <v>0</v>
      </c>
      <c r="N1838" s="324"/>
      <c r="O1838" s="324"/>
      <c r="P1838" s="324"/>
      <c r="Q1838" s="324" t="s">
        <v>18</v>
      </c>
      <c r="R1838" s="324"/>
      <c r="S1838" s="324" t="s">
        <v>19</v>
      </c>
      <c r="T1838" s="528">
        <v>4</v>
      </c>
      <c r="U1838" s="324">
        <f>E1838/220*60</f>
        <v>0</v>
      </c>
      <c r="V1838" s="676"/>
      <c r="W1838" s="528"/>
      <c r="X1838" s="529"/>
      <c r="Y1838" s="323"/>
      <c r="Z1838" s="312">
        <f t="shared" si="691"/>
        <v>0</v>
      </c>
      <c r="AA1838" s="316">
        <f>SUM(Z1838/522.7+0.25)</f>
        <v>0.25</v>
      </c>
    </row>
    <row r="1839" spans="1:27" ht="102.75" thickBot="1" x14ac:dyDescent="0.45">
      <c r="A1839" s="319" t="s">
        <v>732</v>
      </c>
      <c r="B1839" s="362" t="s">
        <v>1027</v>
      </c>
      <c r="C1839" s="528">
        <f>C1693</f>
        <v>0</v>
      </c>
      <c r="D1839" s="567">
        <f>C1839*7</f>
        <v>0</v>
      </c>
      <c r="E1839" s="460">
        <f>D1839*0.36</f>
        <v>0</v>
      </c>
      <c r="F1839" s="324">
        <f>E1839*1.03*0.8/147</f>
        <v>0</v>
      </c>
      <c r="G1839" s="528">
        <f t="shared" si="693"/>
        <v>0</v>
      </c>
      <c r="H1839" s="324" t="s">
        <v>18</v>
      </c>
      <c r="I1839" s="528">
        <f t="shared" si="694"/>
        <v>0</v>
      </c>
      <c r="J1839" s="324" t="s">
        <v>19</v>
      </c>
      <c r="K1839" s="324"/>
      <c r="L1839" s="324"/>
      <c r="M1839" s="324">
        <f>F1839*6000/3456</f>
        <v>0</v>
      </c>
      <c r="N1839" s="324"/>
      <c r="O1839" s="324"/>
      <c r="P1839" s="324"/>
      <c r="Q1839" s="324" t="s">
        <v>18</v>
      </c>
      <c r="R1839" s="324"/>
      <c r="S1839" s="324" t="s">
        <v>19</v>
      </c>
      <c r="T1839" s="528">
        <v>3</v>
      </c>
      <c r="U1839" s="324">
        <f>E1839/220*60</f>
        <v>0</v>
      </c>
      <c r="V1839" s="676"/>
      <c r="W1839" s="528"/>
      <c r="X1839" s="529"/>
      <c r="Y1839" s="323"/>
      <c r="Z1839" s="312">
        <f t="shared" si="691"/>
        <v>0</v>
      </c>
      <c r="AA1839" s="316">
        <f>SUM(Z1839/352.8+0.25)</f>
        <v>0.25</v>
      </c>
    </row>
    <row r="1840" spans="1:27" ht="77.25" outlineLevel="1" thickBot="1" x14ac:dyDescent="0.45">
      <c r="A1840" s="319" t="s">
        <v>732</v>
      </c>
      <c r="B1840" s="362" t="s">
        <v>760</v>
      </c>
      <c r="C1840" s="586">
        <f>C1681</f>
        <v>0</v>
      </c>
      <c r="D1840" s="548">
        <f>C1840*10</f>
        <v>0</v>
      </c>
      <c r="E1840" s="456">
        <f t="shared" si="692"/>
        <v>0</v>
      </c>
      <c r="F1840" s="358">
        <f>E1840*1.015*0.72/147</f>
        <v>0</v>
      </c>
      <c r="G1840" s="548">
        <f t="shared" si="693"/>
        <v>0</v>
      </c>
      <c r="H1840" s="358" t="s">
        <v>18</v>
      </c>
      <c r="I1840" s="548">
        <f t="shared" si="694"/>
        <v>0</v>
      </c>
      <c r="J1840" s="358" t="s">
        <v>19</v>
      </c>
      <c r="K1840" s="358"/>
      <c r="L1840" s="358"/>
      <c r="M1840" s="358">
        <f>(F1840*8070/3456)</f>
        <v>0</v>
      </c>
      <c r="N1840" s="324"/>
      <c r="O1840" s="324"/>
      <c r="P1840" s="324"/>
      <c r="Q1840" s="324" t="s">
        <v>18</v>
      </c>
      <c r="R1840" s="324"/>
      <c r="S1840" s="324" t="s">
        <v>19</v>
      </c>
      <c r="T1840" s="561">
        <v>4</v>
      </c>
      <c r="U1840" s="324">
        <f>E1840/259*60</f>
        <v>0</v>
      </c>
      <c r="V1840" s="676"/>
      <c r="W1840" s="528"/>
      <c r="X1840" s="529"/>
      <c r="Y1840" s="323"/>
      <c r="Z1840" s="312">
        <f t="shared" si="691"/>
        <v>0</v>
      </c>
      <c r="AA1840" s="316">
        <f>SUM(Z1840/411.6+0.25)</f>
        <v>0.25</v>
      </c>
    </row>
    <row r="1841" spans="1:27" ht="77.25" thickBot="1" x14ac:dyDescent="0.45">
      <c r="A1841" s="319" t="s">
        <v>732</v>
      </c>
      <c r="B1841" s="421" t="s">
        <v>992</v>
      </c>
      <c r="C1841" s="528">
        <f>C2198</f>
        <v>0</v>
      </c>
      <c r="D1841" s="528">
        <f>C1841*12</f>
        <v>0</v>
      </c>
      <c r="E1841" s="324">
        <f>D1841*0.25</f>
        <v>0</v>
      </c>
      <c r="F1841" s="324">
        <f>E1841*1.03*0.81/170</f>
        <v>0</v>
      </c>
      <c r="G1841" s="528">
        <f>INT(M1841)</f>
        <v>0</v>
      </c>
      <c r="H1841" s="324" t="s">
        <v>18</v>
      </c>
      <c r="I1841" s="528">
        <f>(M1841-G1841)*64</f>
        <v>0</v>
      </c>
      <c r="J1841" s="324" t="s">
        <v>19</v>
      </c>
      <c r="K1841" s="324"/>
      <c r="L1841" s="324"/>
      <c r="M1841" s="324">
        <f>(F1841*8820/3456)</f>
        <v>0</v>
      </c>
      <c r="N1841" s="324"/>
      <c r="O1841" s="324"/>
      <c r="P1841" s="324"/>
      <c r="Q1841" s="324" t="s">
        <v>18</v>
      </c>
      <c r="R1841" s="324"/>
      <c r="S1841" s="324" t="s">
        <v>19</v>
      </c>
      <c r="T1841" s="528">
        <v>7</v>
      </c>
      <c r="U1841" s="324">
        <f>E1841/220*60</f>
        <v>0</v>
      </c>
      <c r="V1841" s="676"/>
      <c r="W1841" s="528"/>
      <c r="X1841" s="529"/>
      <c r="Y1841" s="323"/>
      <c r="Z1841" s="312">
        <f t="shared" si="691"/>
        <v>0</v>
      </c>
      <c r="AA1841" s="316">
        <f>SUM(Z1841/720+0.25)</f>
        <v>0.25</v>
      </c>
    </row>
    <row r="1842" spans="1:27" ht="77.25" thickBot="1" x14ac:dyDescent="0.45">
      <c r="A1842" s="319" t="s">
        <v>732</v>
      </c>
      <c r="B1842" s="320" t="s">
        <v>627</v>
      </c>
      <c r="C1842" s="586">
        <f>C1682</f>
        <v>0</v>
      </c>
      <c r="D1842" s="548">
        <f>C1842*18</f>
        <v>0</v>
      </c>
      <c r="E1842" s="456">
        <f t="shared" si="692"/>
        <v>0</v>
      </c>
      <c r="F1842" s="358">
        <f>E1842*1.05*0.8/140</f>
        <v>0</v>
      </c>
      <c r="G1842" s="548">
        <f t="shared" si="693"/>
        <v>0</v>
      </c>
      <c r="H1842" s="358" t="s">
        <v>18</v>
      </c>
      <c r="I1842" s="548">
        <f t="shared" si="694"/>
        <v>0</v>
      </c>
      <c r="J1842" s="358" t="s">
        <v>19</v>
      </c>
      <c r="K1842" s="358"/>
      <c r="L1842" s="358"/>
      <c r="M1842" s="358">
        <f>F1842*5111/3456</f>
        <v>0</v>
      </c>
      <c r="N1842" s="324"/>
      <c r="O1842" s="324"/>
      <c r="P1842" s="324"/>
      <c r="Q1842" s="324" t="s">
        <v>18</v>
      </c>
      <c r="R1842" s="324"/>
      <c r="S1842" s="324" t="s">
        <v>19</v>
      </c>
      <c r="T1842" s="528">
        <v>3</v>
      </c>
      <c r="U1842" s="324">
        <f>E1842/220*60</f>
        <v>0</v>
      </c>
      <c r="V1842" s="676"/>
      <c r="W1842" s="528"/>
      <c r="X1842" s="529"/>
      <c r="Y1842" s="323"/>
      <c r="Z1842" s="312">
        <f t="shared" si="691"/>
        <v>0</v>
      </c>
      <c r="AA1842" s="316">
        <f>SUM(Z1842/548.9+0.25)</f>
        <v>0.25</v>
      </c>
    </row>
    <row r="1843" spans="1:27" ht="78" thickBot="1" x14ac:dyDescent="0.45">
      <c r="A1843" s="319" t="s">
        <v>732</v>
      </c>
      <c r="B1843" s="320" t="s">
        <v>952</v>
      </c>
      <c r="C1843" s="586">
        <f>C1687</f>
        <v>0</v>
      </c>
      <c r="D1843" s="551">
        <f>C1843*18</f>
        <v>0</v>
      </c>
      <c r="E1843" s="456">
        <f t="shared" si="692"/>
        <v>0</v>
      </c>
      <c r="F1843" s="358">
        <f>E1843*1.03*0.729/147</f>
        <v>0</v>
      </c>
      <c r="G1843" s="548">
        <f t="shared" si="693"/>
        <v>0</v>
      </c>
      <c r="H1843" s="358" t="s">
        <v>18</v>
      </c>
      <c r="I1843" s="548">
        <f t="shared" si="694"/>
        <v>0</v>
      </c>
      <c r="J1843" s="358" t="s">
        <v>19</v>
      </c>
      <c r="K1843" s="358"/>
      <c r="L1843" s="358"/>
      <c r="M1843" s="358">
        <f>F1843*5880/3456</f>
        <v>0</v>
      </c>
      <c r="N1843" s="324"/>
      <c r="O1843" s="324"/>
      <c r="P1843" s="324"/>
      <c r="Q1843" s="324" t="s">
        <v>18</v>
      </c>
      <c r="R1843" s="324"/>
      <c r="S1843" s="324" t="s">
        <v>19</v>
      </c>
      <c r="T1843" s="528">
        <v>4</v>
      </c>
      <c r="U1843" s="324">
        <f>E1843/220*60</f>
        <v>0</v>
      </c>
      <c r="V1843" s="676"/>
      <c r="W1843" s="528"/>
      <c r="X1843" s="529"/>
      <c r="Y1843" s="323"/>
      <c r="Z1843" s="312">
        <f t="shared" si="691"/>
        <v>0</v>
      </c>
      <c r="AA1843" s="316">
        <f>SUM(Z1843/529.3+0.25)</f>
        <v>0.25</v>
      </c>
    </row>
    <row r="1844" spans="1:27" ht="78" thickBot="1" x14ac:dyDescent="0.45">
      <c r="A1844" s="319" t="s">
        <v>732</v>
      </c>
      <c r="B1844" s="320" t="s">
        <v>953</v>
      </c>
      <c r="C1844" s="586">
        <f>C1694</f>
        <v>0</v>
      </c>
      <c r="D1844" s="551">
        <f>C1844*18</f>
        <v>0</v>
      </c>
      <c r="E1844" s="456">
        <f t="shared" si="692"/>
        <v>0</v>
      </c>
      <c r="F1844" s="358">
        <f>E1844*1.03*0.729/147</f>
        <v>0</v>
      </c>
      <c r="G1844" s="548">
        <f t="shared" si="693"/>
        <v>0</v>
      </c>
      <c r="H1844" s="358" t="s">
        <v>18</v>
      </c>
      <c r="I1844" s="548">
        <f t="shared" si="694"/>
        <v>0</v>
      </c>
      <c r="J1844" s="358" t="s">
        <v>19</v>
      </c>
      <c r="K1844" s="358"/>
      <c r="L1844" s="358"/>
      <c r="M1844" s="358">
        <f>F1844*5880/3456</f>
        <v>0</v>
      </c>
      <c r="N1844" s="324"/>
      <c r="O1844" s="324"/>
      <c r="P1844" s="324"/>
      <c r="Q1844" s="324" t="s">
        <v>18</v>
      </c>
      <c r="R1844" s="324"/>
      <c r="S1844" s="324" t="s">
        <v>19</v>
      </c>
      <c r="T1844" s="561">
        <v>4</v>
      </c>
      <c r="V1844" s="689"/>
      <c r="W1844" s="561"/>
      <c r="X1844" s="562"/>
      <c r="Y1844" s="323"/>
      <c r="Z1844" s="312">
        <f t="shared" si="691"/>
        <v>0</v>
      </c>
      <c r="AA1844" s="316">
        <f>SUM(Z1844/529.3+0.25)</f>
        <v>0.25</v>
      </c>
    </row>
    <row r="1845" spans="1:27" ht="77.25" thickBot="1" x14ac:dyDescent="0.45">
      <c r="A1845" s="319" t="s">
        <v>732</v>
      </c>
      <c r="B1845" s="344" t="s">
        <v>1170</v>
      </c>
      <c r="C1845" s="586">
        <f t="shared" ref="C1845:C1852" si="695">C1756</f>
        <v>0</v>
      </c>
      <c r="D1845" s="551">
        <f>C1845*16</f>
        <v>0</v>
      </c>
      <c r="E1845" s="456">
        <f t="shared" ref="E1845:E1853" si="696">D1845*0.25</f>
        <v>0</v>
      </c>
      <c r="F1845" s="358">
        <f t="shared" ref="F1845:F1853" si="697">E1845*0.99*1.03/147</f>
        <v>0</v>
      </c>
      <c r="G1845" s="548">
        <f t="shared" si="693"/>
        <v>0</v>
      </c>
      <c r="H1845" s="358" t="s">
        <v>18</v>
      </c>
      <c r="I1845" s="548">
        <f t="shared" si="694"/>
        <v>0</v>
      </c>
      <c r="J1845" s="358" t="s">
        <v>19</v>
      </c>
      <c r="K1845" s="358"/>
      <c r="L1845" s="358"/>
      <c r="M1845" s="358">
        <f t="shared" ref="M1845:M1860" si="698">(F1845*6989)/2880</f>
        <v>0</v>
      </c>
      <c r="N1845" s="324"/>
      <c r="O1845" s="324"/>
      <c r="P1845" s="324"/>
      <c r="Q1845" s="324" t="s">
        <v>18</v>
      </c>
      <c r="R1845" s="324"/>
      <c r="S1845" s="324" t="s">
        <v>19</v>
      </c>
      <c r="T1845" s="561">
        <v>3</v>
      </c>
      <c r="V1845" s="689"/>
      <c r="W1845" s="561"/>
      <c r="X1845" s="562"/>
      <c r="Y1845" s="323"/>
      <c r="Z1845" s="312">
        <f t="shared" si="691"/>
        <v>0</v>
      </c>
      <c r="AA1845" s="316">
        <f t="shared" ref="AA1845:AA1853" si="699">SUM(Z1845/385.6+0.25)</f>
        <v>0.25</v>
      </c>
    </row>
    <row r="1846" spans="1:27" ht="77.25" thickBot="1" x14ac:dyDescent="0.45">
      <c r="A1846" s="319" t="s">
        <v>732</v>
      </c>
      <c r="B1846" s="344" t="s">
        <v>1169</v>
      </c>
      <c r="C1846" s="586">
        <f t="shared" si="695"/>
        <v>0</v>
      </c>
      <c r="D1846" s="551">
        <f>C1846*16</f>
        <v>0</v>
      </c>
      <c r="E1846" s="456">
        <f t="shared" si="696"/>
        <v>0</v>
      </c>
      <c r="F1846" s="358">
        <f t="shared" si="697"/>
        <v>0</v>
      </c>
      <c r="G1846" s="548">
        <f t="shared" si="693"/>
        <v>0</v>
      </c>
      <c r="H1846" s="358" t="s">
        <v>18</v>
      </c>
      <c r="I1846" s="548">
        <f t="shared" si="694"/>
        <v>0</v>
      </c>
      <c r="J1846" s="358" t="s">
        <v>19</v>
      </c>
      <c r="K1846" s="358"/>
      <c r="L1846" s="358"/>
      <c r="M1846" s="358">
        <f t="shared" si="698"/>
        <v>0</v>
      </c>
      <c r="N1846" s="324"/>
      <c r="O1846" s="324"/>
      <c r="P1846" s="324"/>
      <c r="Q1846" s="324" t="s">
        <v>18</v>
      </c>
      <c r="R1846" s="324"/>
      <c r="S1846" s="324" t="s">
        <v>19</v>
      </c>
      <c r="T1846" s="600">
        <v>3</v>
      </c>
      <c r="V1846" s="689"/>
      <c r="W1846" s="561"/>
      <c r="X1846" s="562"/>
      <c r="Y1846" s="323"/>
      <c r="Z1846" s="312">
        <f t="shared" si="691"/>
        <v>0</v>
      </c>
      <c r="AA1846" s="316">
        <f t="shared" si="699"/>
        <v>0.25</v>
      </c>
    </row>
    <row r="1847" spans="1:27" ht="105.75" thickBot="1" x14ac:dyDescent="0.45">
      <c r="A1847" s="319" t="s">
        <v>732</v>
      </c>
      <c r="B1847" s="344" t="s">
        <v>701</v>
      </c>
      <c r="C1847" s="586">
        <f t="shared" si="695"/>
        <v>0</v>
      </c>
      <c r="D1847" s="551">
        <f t="shared" ref="D1847:D1853" si="700">C1847*12</f>
        <v>0</v>
      </c>
      <c r="E1847" s="456">
        <f t="shared" si="696"/>
        <v>0</v>
      </c>
      <c r="F1847" s="358">
        <f t="shared" si="697"/>
        <v>0</v>
      </c>
      <c r="G1847" s="548">
        <f t="shared" ref="G1847:G1885" si="701">INT(M1847)</f>
        <v>0</v>
      </c>
      <c r="H1847" s="358" t="s">
        <v>18</v>
      </c>
      <c r="I1847" s="548">
        <f t="shared" ref="I1847:I1885" si="702">(M1847-G1847)*64</f>
        <v>0</v>
      </c>
      <c r="J1847" s="358" t="s">
        <v>19</v>
      </c>
      <c r="K1847" s="358"/>
      <c r="L1847" s="358"/>
      <c r="M1847" s="358">
        <f t="shared" si="698"/>
        <v>0</v>
      </c>
      <c r="N1847" s="324"/>
      <c r="O1847" s="324"/>
      <c r="P1847" s="324"/>
      <c r="Q1847" s="324" t="s">
        <v>18</v>
      </c>
      <c r="R1847" s="324"/>
      <c r="S1847" s="324" t="s">
        <v>19</v>
      </c>
      <c r="T1847" s="600" t="s">
        <v>924</v>
      </c>
      <c r="V1847" s="689"/>
      <c r="W1847" s="561"/>
      <c r="X1847" s="562"/>
      <c r="Y1847" s="360" t="s">
        <v>1062</v>
      </c>
      <c r="Z1847" s="312">
        <f t="shared" si="691"/>
        <v>0</v>
      </c>
      <c r="AA1847" s="316">
        <f t="shared" si="699"/>
        <v>0.25</v>
      </c>
    </row>
    <row r="1848" spans="1:27" ht="105.75" thickBot="1" x14ac:dyDescent="0.45">
      <c r="A1848" s="319" t="s">
        <v>732</v>
      </c>
      <c r="B1848" s="344" t="s">
        <v>702</v>
      </c>
      <c r="C1848" s="586">
        <f t="shared" si="695"/>
        <v>0</v>
      </c>
      <c r="D1848" s="551">
        <f t="shared" si="700"/>
        <v>0</v>
      </c>
      <c r="E1848" s="456">
        <f t="shared" si="696"/>
        <v>0</v>
      </c>
      <c r="F1848" s="358">
        <f t="shared" si="697"/>
        <v>0</v>
      </c>
      <c r="G1848" s="548">
        <f t="shared" si="701"/>
        <v>0</v>
      </c>
      <c r="H1848" s="358" t="s">
        <v>18</v>
      </c>
      <c r="I1848" s="548">
        <f t="shared" si="702"/>
        <v>0</v>
      </c>
      <c r="J1848" s="358" t="s">
        <v>19</v>
      </c>
      <c r="K1848" s="358"/>
      <c r="L1848" s="358"/>
      <c r="M1848" s="358">
        <f t="shared" si="698"/>
        <v>0</v>
      </c>
      <c r="N1848" s="324"/>
      <c r="O1848" s="324"/>
      <c r="P1848" s="324"/>
      <c r="Q1848" s="324" t="s">
        <v>18</v>
      </c>
      <c r="R1848" s="324"/>
      <c r="S1848" s="324" t="s">
        <v>19</v>
      </c>
      <c r="T1848" s="600" t="s">
        <v>924</v>
      </c>
      <c r="V1848" s="689"/>
      <c r="W1848" s="561"/>
      <c r="X1848" s="562"/>
      <c r="Y1848" s="360" t="s">
        <v>1062</v>
      </c>
      <c r="Z1848" s="312">
        <f t="shared" si="691"/>
        <v>0</v>
      </c>
      <c r="AA1848" s="316">
        <f t="shared" si="699"/>
        <v>0.25</v>
      </c>
    </row>
    <row r="1849" spans="1:27" ht="105.75" thickBot="1" x14ac:dyDescent="0.45">
      <c r="A1849" s="319" t="s">
        <v>732</v>
      </c>
      <c r="B1849" s="344" t="s">
        <v>1078</v>
      </c>
      <c r="C1849" s="586">
        <f t="shared" si="695"/>
        <v>0</v>
      </c>
      <c r="D1849" s="530">
        <f>C1849*16</f>
        <v>0</v>
      </c>
      <c r="E1849" s="460">
        <f>D1849*0.25</f>
        <v>0</v>
      </c>
      <c r="F1849" s="324">
        <f>E1849*0.99*1.03/147</f>
        <v>0</v>
      </c>
      <c r="G1849" s="528">
        <f>INT(M1849)</f>
        <v>0</v>
      </c>
      <c r="H1849" s="324" t="s">
        <v>18</v>
      </c>
      <c r="I1849" s="528">
        <f>(M1849-G1849)*64</f>
        <v>0</v>
      </c>
      <c r="J1849" s="324" t="s">
        <v>19</v>
      </c>
      <c r="K1849" s="324"/>
      <c r="L1849" s="324"/>
      <c r="M1849" s="324">
        <f>(F1849*6989)/2880</f>
        <v>0</v>
      </c>
      <c r="N1849" s="324"/>
      <c r="O1849" s="324"/>
      <c r="P1849" s="324"/>
      <c r="Q1849" s="324" t="s">
        <v>18</v>
      </c>
      <c r="R1849" s="324"/>
      <c r="S1849" s="324" t="s">
        <v>19</v>
      </c>
      <c r="T1849" s="600" t="s">
        <v>924</v>
      </c>
      <c r="V1849" s="689"/>
      <c r="W1849" s="561"/>
      <c r="X1849" s="562"/>
      <c r="Y1849" s="360" t="s">
        <v>1062</v>
      </c>
      <c r="Z1849" s="312">
        <f>E1849</f>
        <v>0</v>
      </c>
      <c r="AA1849" s="316">
        <f t="shared" si="699"/>
        <v>0.25</v>
      </c>
    </row>
    <row r="1850" spans="1:27" ht="105.75" thickBot="1" x14ac:dyDescent="0.45">
      <c r="A1850" s="319" t="s">
        <v>732</v>
      </c>
      <c r="B1850" s="344" t="s">
        <v>1077</v>
      </c>
      <c r="C1850" s="586">
        <f t="shared" si="695"/>
        <v>0</v>
      </c>
      <c r="D1850" s="530">
        <f>C1850*16</f>
        <v>0</v>
      </c>
      <c r="E1850" s="460">
        <f>D1850*0.25</f>
        <v>0</v>
      </c>
      <c r="F1850" s="324">
        <f>E1850*0.99*1.03/147</f>
        <v>0</v>
      </c>
      <c r="G1850" s="528">
        <f>INT(M1850)</f>
        <v>0</v>
      </c>
      <c r="H1850" s="324" t="s">
        <v>18</v>
      </c>
      <c r="I1850" s="528">
        <f>(M1850-G1850)*64</f>
        <v>0</v>
      </c>
      <c r="J1850" s="324" t="s">
        <v>19</v>
      </c>
      <c r="K1850" s="324"/>
      <c r="L1850" s="324"/>
      <c r="M1850" s="324">
        <f>(F1850*6989)/2880</f>
        <v>0</v>
      </c>
      <c r="N1850" s="324"/>
      <c r="O1850" s="324"/>
      <c r="P1850" s="324"/>
      <c r="Q1850" s="324" t="s">
        <v>18</v>
      </c>
      <c r="R1850" s="324"/>
      <c r="S1850" s="324" t="s">
        <v>19</v>
      </c>
      <c r="T1850" s="600" t="s">
        <v>924</v>
      </c>
      <c r="V1850" s="689"/>
      <c r="W1850" s="561"/>
      <c r="X1850" s="562"/>
      <c r="Y1850" s="360" t="s">
        <v>1062</v>
      </c>
      <c r="Z1850" s="312">
        <f>E1850</f>
        <v>0</v>
      </c>
      <c r="AA1850" s="316">
        <f t="shared" si="699"/>
        <v>0.25</v>
      </c>
    </row>
    <row r="1851" spans="1:27" ht="51.75" thickBot="1" x14ac:dyDescent="0.45">
      <c r="A1851" s="319" t="s">
        <v>732</v>
      </c>
      <c r="B1851" s="371" t="s">
        <v>823</v>
      </c>
      <c r="C1851" s="586">
        <f t="shared" si="695"/>
        <v>0</v>
      </c>
      <c r="D1851" s="551">
        <f t="shared" si="700"/>
        <v>0</v>
      </c>
      <c r="E1851" s="456">
        <f t="shared" si="696"/>
        <v>0</v>
      </c>
      <c r="F1851" s="358">
        <f t="shared" si="697"/>
        <v>0</v>
      </c>
      <c r="G1851" s="548">
        <f t="shared" si="701"/>
        <v>0</v>
      </c>
      <c r="H1851" s="358" t="s">
        <v>18</v>
      </c>
      <c r="I1851" s="548">
        <f t="shared" si="702"/>
        <v>0</v>
      </c>
      <c r="J1851" s="358" t="s">
        <v>19</v>
      </c>
      <c r="K1851" s="358"/>
      <c r="L1851" s="358"/>
      <c r="M1851" s="358">
        <f t="shared" si="698"/>
        <v>0</v>
      </c>
      <c r="N1851" s="324"/>
      <c r="O1851" s="324"/>
      <c r="P1851" s="324"/>
      <c r="Q1851" s="324" t="s">
        <v>18</v>
      </c>
      <c r="R1851" s="324"/>
      <c r="S1851" s="324" t="s">
        <v>19</v>
      </c>
      <c r="T1851" s="600">
        <v>4</v>
      </c>
      <c r="V1851" s="689"/>
      <c r="W1851" s="561"/>
      <c r="X1851" s="562"/>
      <c r="Y1851" s="323"/>
      <c r="Z1851" s="312">
        <f t="shared" si="691"/>
        <v>0</v>
      </c>
      <c r="AA1851" s="316">
        <f t="shared" si="699"/>
        <v>0.25</v>
      </c>
    </row>
    <row r="1852" spans="1:27" ht="51.75" thickBot="1" x14ac:dyDescent="0.45">
      <c r="A1852" s="319" t="s">
        <v>732</v>
      </c>
      <c r="B1852" s="371" t="s">
        <v>824</v>
      </c>
      <c r="C1852" s="586">
        <f t="shared" si="695"/>
        <v>0</v>
      </c>
      <c r="D1852" s="551">
        <f t="shared" si="700"/>
        <v>0</v>
      </c>
      <c r="E1852" s="456">
        <f t="shared" si="696"/>
        <v>0</v>
      </c>
      <c r="F1852" s="358">
        <f t="shared" si="697"/>
        <v>0</v>
      </c>
      <c r="G1852" s="548">
        <f t="shared" si="701"/>
        <v>0</v>
      </c>
      <c r="H1852" s="358" t="s">
        <v>18</v>
      </c>
      <c r="I1852" s="548">
        <f t="shared" si="702"/>
        <v>0</v>
      </c>
      <c r="J1852" s="358" t="s">
        <v>19</v>
      </c>
      <c r="K1852" s="358"/>
      <c r="L1852" s="358"/>
      <c r="M1852" s="358">
        <f t="shared" si="698"/>
        <v>0</v>
      </c>
      <c r="N1852" s="324"/>
      <c r="O1852" s="324"/>
      <c r="P1852" s="324"/>
      <c r="Q1852" s="324" t="s">
        <v>18</v>
      </c>
      <c r="R1852" s="324"/>
      <c r="S1852" s="324" t="s">
        <v>19</v>
      </c>
      <c r="T1852" s="600">
        <v>4</v>
      </c>
      <c r="V1852" s="689"/>
      <c r="W1852" s="561"/>
      <c r="X1852" s="562"/>
      <c r="Y1852" s="323"/>
      <c r="Z1852" s="312">
        <f t="shared" si="691"/>
        <v>0</v>
      </c>
      <c r="AA1852" s="316">
        <f t="shared" si="699"/>
        <v>0.25</v>
      </c>
    </row>
    <row r="1853" spans="1:27" ht="105.75" thickBot="1" x14ac:dyDescent="0.45">
      <c r="A1853" s="319" t="s">
        <v>732</v>
      </c>
      <c r="B1853" s="344" t="s">
        <v>703</v>
      </c>
      <c r="C1853" s="586">
        <f>C1766</f>
        <v>0</v>
      </c>
      <c r="D1853" s="551">
        <f t="shared" si="700"/>
        <v>0</v>
      </c>
      <c r="E1853" s="456">
        <f t="shared" si="696"/>
        <v>0</v>
      </c>
      <c r="F1853" s="358">
        <f t="shared" si="697"/>
        <v>0</v>
      </c>
      <c r="G1853" s="548">
        <f t="shared" si="701"/>
        <v>0</v>
      </c>
      <c r="H1853" s="358" t="s">
        <v>18</v>
      </c>
      <c r="I1853" s="548">
        <f t="shared" si="702"/>
        <v>0</v>
      </c>
      <c r="J1853" s="358" t="s">
        <v>19</v>
      </c>
      <c r="K1853" s="358"/>
      <c r="L1853" s="358"/>
      <c r="M1853" s="358">
        <f t="shared" si="698"/>
        <v>0</v>
      </c>
      <c r="N1853" s="324"/>
      <c r="O1853" s="324"/>
      <c r="P1853" s="324"/>
      <c r="Q1853" s="324" t="s">
        <v>18</v>
      </c>
      <c r="R1853" s="324"/>
      <c r="S1853" s="324" t="s">
        <v>19</v>
      </c>
      <c r="T1853" s="600" t="s">
        <v>924</v>
      </c>
      <c r="V1853" s="689"/>
      <c r="W1853" s="561"/>
      <c r="X1853" s="562"/>
      <c r="Y1853" s="360" t="s">
        <v>1062</v>
      </c>
      <c r="Z1853" s="312">
        <f t="shared" si="691"/>
        <v>0</v>
      </c>
      <c r="AA1853" s="316">
        <f t="shared" si="699"/>
        <v>0.25</v>
      </c>
    </row>
    <row r="1854" spans="1:27" ht="79.5" thickBot="1" x14ac:dyDescent="0.45">
      <c r="A1854" s="319" t="s">
        <v>732</v>
      </c>
      <c r="B1854" s="344" t="s">
        <v>798</v>
      </c>
      <c r="C1854" s="586">
        <f>C1767</f>
        <v>0</v>
      </c>
      <c r="D1854" s="548">
        <f>C1854*28</f>
        <v>0</v>
      </c>
      <c r="E1854" s="456">
        <f>D1854*0.125</f>
        <v>0</v>
      </c>
      <c r="F1854" s="358">
        <f t="shared" ref="F1854:F1860" si="703">E1854*0.99*1.03/147</f>
        <v>0</v>
      </c>
      <c r="G1854" s="548">
        <f t="shared" si="701"/>
        <v>0</v>
      </c>
      <c r="H1854" s="358" t="s">
        <v>18</v>
      </c>
      <c r="I1854" s="548">
        <f t="shared" si="702"/>
        <v>0</v>
      </c>
      <c r="J1854" s="358" t="s">
        <v>19</v>
      </c>
      <c r="K1854" s="358"/>
      <c r="L1854" s="358"/>
      <c r="M1854" s="358">
        <f t="shared" si="698"/>
        <v>0</v>
      </c>
      <c r="N1854" s="324"/>
      <c r="O1854" s="324"/>
      <c r="P1854" s="324"/>
      <c r="Q1854" s="324" t="s">
        <v>18</v>
      </c>
      <c r="R1854" s="324"/>
      <c r="S1854" s="324" t="s">
        <v>19</v>
      </c>
      <c r="T1854" s="561" t="s">
        <v>923</v>
      </c>
      <c r="U1854" s="324">
        <f>E1854/403*60</f>
        <v>0</v>
      </c>
      <c r="V1854" s="676"/>
      <c r="W1854" s="528"/>
      <c r="X1854" s="529"/>
      <c r="Y1854" s="360" t="s">
        <v>1061</v>
      </c>
      <c r="Z1854" s="312">
        <f t="shared" si="691"/>
        <v>0</v>
      </c>
      <c r="AA1854" s="316">
        <f>SUM(Z1854/360+0.25)</f>
        <v>0.25</v>
      </c>
    </row>
    <row r="1855" spans="1:27" ht="79.5" thickBot="1" x14ac:dyDescent="0.45">
      <c r="A1855" s="319" t="s">
        <v>732</v>
      </c>
      <c r="B1855" s="344" t="s">
        <v>791</v>
      </c>
      <c r="C1855" s="586">
        <f>C1768</f>
        <v>0</v>
      </c>
      <c r="D1855" s="551">
        <f>C1855*28</f>
        <v>0</v>
      </c>
      <c r="E1855" s="456">
        <f>D1855*0.125</f>
        <v>0</v>
      </c>
      <c r="F1855" s="358">
        <f t="shared" si="703"/>
        <v>0</v>
      </c>
      <c r="G1855" s="548">
        <f t="shared" si="701"/>
        <v>0</v>
      </c>
      <c r="H1855" s="358" t="s">
        <v>18</v>
      </c>
      <c r="I1855" s="548">
        <f t="shared" si="702"/>
        <v>0</v>
      </c>
      <c r="J1855" s="358" t="s">
        <v>19</v>
      </c>
      <c r="K1855" s="358"/>
      <c r="L1855" s="358"/>
      <c r="M1855" s="358">
        <f t="shared" si="698"/>
        <v>0</v>
      </c>
      <c r="N1855" s="324"/>
      <c r="O1855" s="324"/>
      <c r="P1855" s="324"/>
      <c r="Q1855" s="324" t="s">
        <v>18</v>
      </c>
      <c r="R1855" s="324"/>
      <c r="S1855" s="324" t="s">
        <v>19</v>
      </c>
      <c r="T1855" s="561" t="s">
        <v>923</v>
      </c>
      <c r="U1855" s="324">
        <f>E1855/403*60</f>
        <v>0</v>
      </c>
      <c r="V1855" s="676"/>
      <c r="W1855" s="528"/>
      <c r="X1855" s="529"/>
      <c r="Y1855" s="360" t="s">
        <v>1061</v>
      </c>
      <c r="Z1855" s="312">
        <f t="shared" si="691"/>
        <v>0</v>
      </c>
      <c r="AA1855" s="316">
        <f>SUM(Z1855/360+0.25)</f>
        <v>0.25</v>
      </c>
    </row>
    <row r="1856" spans="1:27" ht="53.25" thickBot="1" x14ac:dyDescent="0.45">
      <c r="A1856" s="319" t="s">
        <v>732</v>
      </c>
      <c r="B1856" s="319" t="s">
        <v>999</v>
      </c>
      <c r="C1856" s="586">
        <f>C1743</f>
        <v>0</v>
      </c>
      <c r="D1856" s="551">
        <f>C1856*16</f>
        <v>0</v>
      </c>
      <c r="E1856" s="456">
        <f t="shared" ref="E1856:E1864" si="704">D1856*0.25</f>
        <v>0</v>
      </c>
      <c r="F1856" s="358">
        <f t="shared" si="703"/>
        <v>0</v>
      </c>
      <c r="G1856" s="548">
        <f t="shared" si="701"/>
        <v>0</v>
      </c>
      <c r="H1856" s="358" t="s">
        <v>18</v>
      </c>
      <c r="I1856" s="548">
        <f t="shared" si="702"/>
        <v>0</v>
      </c>
      <c r="J1856" s="358" t="s">
        <v>19</v>
      </c>
      <c r="K1856" s="358"/>
      <c r="L1856" s="358"/>
      <c r="M1856" s="358">
        <f t="shared" si="698"/>
        <v>0</v>
      </c>
      <c r="N1856" s="358"/>
      <c r="O1856" s="358"/>
      <c r="P1856" s="358"/>
      <c r="Q1856" s="358" t="s">
        <v>18</v>
      </c>
      <c r="R1856" s="358"/>
      <c r="S1856" s="358" t="s">
        <v>19</v>
      </c>
      <c r="T1856" s="528">
        <v>4</v>
      </c>
      <c r="U1856" s="324">
        <f>E1856/259*60</f>
        <v>0</v>
      </c>
      <c r="V1856" s="676"/>
      <c r="W1856" s="528"/>
      <c r="X1856" s="529"/>
      <c r="Y1856" s="323"/>
      <c r="Z1856" s="312">
        <f t="shared" si="691"/>
        <v>0</v>
      </c>
      <c r="AA1856" s="316">
        <f t="shared" ref="AA1856:AA1863" si="705">SUM(Z1856/385.6+0.25)</f>
        <v>0.25</v>
      </c>
    </row>
    <row r="1857" spans="1:28" ht="53.25" thickBot="1" x14ac:dyDescent="0.45">
      <c r="A1857" s="319" t="s">
        <v>732</v>
      </c>
      <c r="B1857" s="319" t="s">
        <v>1002</v>
      </c>
      <c r="C1857" s="586">
        <f>C1744</f>
        <v>0</v>
      </c>
      <c r="D1857" s="551">
        <f>C1857*16</f>
        <v>0</v>
      </c>
      <c r="E1857" s="456">
        <f t="shared" si="704"/>
        <v>0</v>
      </c>
      <c r="F1857" s="358">
        <f t="shared" si="703"/>
        <v>0</v>
      </c>
      <c r="G1857" s="548">
        <f t="shared" si="701"/>
        <v>0</v>
      </c>
      <c r="H1857" s="358" t="s">
        <v>18</v>
      </c>
      <c r="I1857" s="548">
        <f t="shared" si="702"/>
        <v>0</v>
      </c>
      <c r="J1857" s="358" t="s">
        <v>19</v>
      </c>
      <c r="K1857" s="358"/>
      <c r="L1857" s="358"/>
      <c r="M1857" s="358">
        <f t="shared" si="698"/>
        <v>0</v>
      </c>
      <c r="N1857" s="358"/>
      <c r="O1857" s="358"/>
      <c r="P1857" s="358"/>
      <c r="Q1857" s="358" t="s">
        <v>18</v>
      </c>
      <c r="R1857" s="358"/>
      <c r="S1857" s="358" t="s">
        <v>19</v>
      </c>
      <c r="T1857" s="528">
        <v>4</v>
      </c>
      <c r="U1857" s="324">
        <f t="shared" ref="U1857:U1868" si="706">E1857/259*60</f>
        <v>0</v>
      </c>
      <c r="V1857" s="676"/>
      <c r="W1857" s="528"/>
      <c r="X1857" s="529"/>
      <c r="Y1857" s="323"/>
      <c r="Z1857" s="312">
        <f t="shared" si="691"/>
        <v>0</v>
      </c>
      <c r="AA1857" s="316">
        <f t="shared" si="705"/>
        <v>0.25</v>
      </c>
    </row>
    <row r="1858" spans="1:28" ht="51.75" thickBot="1" x14ac:dyDescent="0.45">
      <c r="A1858" s="319" t="s">
        <v>732</v>
      </c>
      <c r="B1858" s="320" t="s">
        <v>1000</v>
      </c>
      <c r="C1858" s="586">
        <f>C1745</f>
        <v>0</v>
      </c>
      <c r="D1858" s="551">
        <f>C1858*16</f>
        <v>0</v>
      </c>
      <c r="E1858" s="456">
        <f t="shared" si="704"/>
        <v>0</v>
      </c>
      <c r="F1858" s="358">
        <f t="shared" si="703"/>
        <v>0</v>
      </c>
      <c r="G1858" s="548">
        <f t="shared" si="701"/>
        <v>0</v>
      </c>
      <c r="H1858" s="358" t="s">
        <v>18</v>
      </c>
      <c r="I1858" s="548">
        <f t="shared" si="702"/>
        <v>0</v>
      </c>
      <c r="J1858" s="358" t="s">
        <v>19</v>
      </c>
      <c r="K1858" s="358"/>
      <c r="L1858" s="358"/>
      <c r="M1858" s="358">
        <f t="shared" si="698"/>
        <v>0</v>
      </c>
      <c r="N1858" s="358"/>
      <c r="O1858" s="358"/>
      <c r="P1858" s="358"/>
      <c r="Q1858" s="358" t="s">
        <v>18</v>
      </c>
      <c r="R1858" s="358"/>
      <c r="S1858" s="358" t="s">
        <v>19</v>
      </c>
      <c r="T1858" s="528">
        <v>4</v>
      </c>
      <c r="U1858" s="324">
        <f t="shared" si="706"/>
        <v>0</v>
      </c>
      <c r="V1858" s="676"/>
      <c r="W1858" s="528"/>
      <c r="X1858" s="529"/>
      <c r="Y1858" s="323"/>
      <c r="Z1858" s="312">
        <f t="shared" si="691"/>
        <v>0</v>
      </c>
      <c r="AA1858" s="316">
        <f t="shared" si="705"/>
        <v>0.25</v>
      </c>
    </row>
    <row r="1859" spans="1:28" ht="105.75" thickBot="1" x14ac:dyDescent="0.45">
      <c r="A1859" s="319" t="s">
        <v>732</v>
      </c>
      <c r="B1859" s="344" t="s">
        <v>1006</v>
      </c>
      <c r="C1859" s="528">
        <f>C1764</f>
        <v>0</v>
      </c>
      <c r="D1859" s="530">
        <f>C1859*16</f>
        <v>0</v>
      </c>
      <c r="E1859" s="460">
        <f t="shared" si="704"/>
        <v>0</v>
      </c>
      <c r="F1859" s="324">
        <f t="shared" si="703"/>
        <v>0</v>
      </c>
      <c r="G1859" s="528">
        <f t="shared" si="701"/>
        <v>0</v>
      </c>
      <c r="H1859" s="324" t="s">
        <v>18</v>
      </c>
      <c r="I1859" s="528">
        <f t="shared" si="702"/>
        <v>0</v>
      </c>
      <c r="J1859" s="324" t="s">
        <v>19</v>
      </c>
      <c r="K1859" s="324"/>
      <c r="L1859" s="324"/>
      <c r="M1859" s="324">
        <f t="shared" si="698"/>
        <v>0</v>
      </c>
      <c r="N1859" s="324"/>
      <c r="O1859" s="324"/>
      <c r="P1859" s="324"/>
      <c r="Q1859" s="324" t="s">
        <v>18</v>
      </c>
      <c r="R1859" s="324"/>
      <c r="S1859" s="324" t="s">
        <v>19</v>
      </c>
      <c r="T1859" s="528" t="s">
        <v>924</v>
      </c>
      <c r="U1859" s="324">
        <f>E1859/403*60</f>
        <v>0</v>
      </c>
      <c r="V1859" s="676"/>
      <c r="W1859" s="528"/>
      <c r="X1859" s="529"/>
      <c r="Y1859" s="360" t="s">
        <v>1062</v>
      </c>
      <c r="Z1859" s="312">
        <f t="shared" si="691"/>
        <v>0</v>
      </c>
      <c r="AA1859" s="316">
        <f t="shared" si="705"/>
        <v>0.25</v>
      </c>
    </row>
    <row r="1860" spans="1:28" ht="105.75" thickBot="1" x14ac:dyDescent="0.45">
      <c r="A1860" s="319" t="s">
        <v>732</v>
      </c>
      <c r="B1860" s="344" t="s">
        <v>1007</v>
      </c>
      <c r="C1860" s="528">
        <f>C1765</f>
        <v>0</v>
      </c>
      <c r="D1860" s="530">
        <f>C1860*16</f>
        <v>0</v>
      </c>
      <c r="E1860" s="460">
        <f t="shared" si="704"/>
        <v>0</v>
      </c>
      <c r="F1860" s="324">
        <f t="shared" si="703"/>
        <v>0</v>
      </c>
      <c r="G1860" s="528">
        <f t="shared" si="701"/>
        <v>0</v>
      </c>
      <c r="H1860" s="324" t="s">
        <v>18</v>
      </c>
      <c r="I1860" s="528">
        <f t="shared" si="702"/>
        <v>0</v>
      </c>
      <c r="J1860" s="324" t="s">
        <v>19</v>
      </c>
      <c r="K1860" s="324"/>
      <c r="L1860" s="324"/>
      <c r="M1860" s="324">
        <f t="shared" si="698"/>
        <v>0</v>
      </c>
      <c r="N1860" s="324"/>
      <c r="O1860" s="324"/>
      <c r="P1860" s="324"/>
      <c r="Q1860" s="324" t="s">
        <v>18</v>
      </c>
      <c r="R1860" s="324"/>
      <c r="S1860" s="324" t="s">
        <v>19</v>
      </c>
      <c r="T1860" s="528" t="s">
        <v>924</v>
      </c>
      <c r="U1860" s="324">
        <f>E1860/403*60</f>
        <v>0</v>
      </c>
      <c r="V1860" s="676"/>
      <c r="W1860" s="528"/>
      <c r="X1860" s="529"/>
      <c r="Y1860" s="360" t="s">
        <v>1062</v>
      </c>
      <c r="Z1860" s="312">
        <f t="shared" si="691"/>
        <v>0</v>
      </c>
      <c r="AA1860" s="316">
        <f t="shared" si="705"/>
        <v>0.25</v>
      </c>
    </row>
    <row r="1861" spans="1:28" ht="77.25" thickBot="1" x14ac:dyDescent="0.45">
      <c r="A1861" s="319" t="s">
        <v>732</v>
      </c>
      <c r="B1861" s="320" t="s">
        <v>634</v>
      </c>
      <c r="C1861" s="586">
        <f>C1746</f>
        <v>0</v>
      </c>
      <c r="D1861" s="551">
        <f>C1861*14</f>
        <v>0</v>
      </c>
      <c r="E1861" s="456">
        <f t="shared" si="704"/>
        <v>0</v>
      </c>
      <c r="F1861" s="358">
        <f>E1861*0.99*1.03/147</f>
        <v>0</v>
      </c>
      <c r="G1861" s="548">
        <f t="shared" si="701"/>
        <v>0</v>
      </c>
      <c r="H1861" s="358" t="s">
        <v>18</v>
      </c>
      <c r="I1861" s="548">
        <f t="shared" si="702"/>
        <v>0</v>
      </c>
      <c r="J1861" s="358" t="s">
        <v>19</v>
      </c>
      <c r="K1861" s="358"/>
      <c r="L1861" s="358"/>
      <c r="M1861" s="358">
        <f>(F1861*6989)/2880</f>
        <v>0</v>
      </c>
      <c r="N1861" s="324"/>
      <c r="O1861" s="324"/>
      <c r="P1861" s="324"/>
      <c r="Q1861" s="324" t="s">
        <v>18</v>
      </c>
      <c r="R1861" s="324"/>
      <c r="S1861" s="324" t="s">
        <v>19</v>
      </c>
      <c r="T1861" s="528">
        <v>3</v>
      </c>
      <c r="U1861" s="324">
        <f t="shared" si="706"/>
        <v>0</v>
      </c>
      <c r="V1861" s="676"/>
      <c r="W1861" s="528"/>
      <c r="X1861" s="529"/>
      <c r="Y1861" s="323"/>
      <c r="Z1861" s="312">
        <f t="shared" si="691"/>
        <v>0</v>
      </c>
      <c r="AA1861" s="316">
        <f t="shared" si="705"/>
        <v>0.25</v>
      </c>
    </row>
    <row r="1862" spans="1:28" ht="51.75" thickBot="1" x14ac:dyDescent="0.45">
      <c r="A1862" s="319" t="s">
        <v>732</v>
      </c>
      <c r="B1862" s="320" t="s">
        <v>635</v>
      </c>
      <c r="C1862" s="586">
        <f>C1755</f>
        <v>0</v>
      </c>
      <c r="D1862" s="551">
        <f>C1862*14</f>
        <v>0</v>
      </c>
      <c r="E1862" s="456">
        <f t="shared" si="704"/>
        <v>0</v>
      </c>
      <c r="F1862" s="358">
        <f>E1862*0.99*1.03/147</f>
        <v>0</v>
      </c>
      <c r="G1862" s="548">
        <f t="shared" si="701"/>
        <v>0</v>
      </c>
      <c r="H1862" s="358" t="s">
        <v>18</v>
      </c>
      <c r="I1862" s="548">
        <f t="shared" si="702"/>
        <v>0</v>
      </c>
      <c r="J1862" s="358" t="s">
        <v>19</v>
      </c>
      <c r="K1862" s="358"/>
      <c r="L1862" s="358"/>
      <c r="M1862" s="358">
        <f>(F1862*6989)/2880</f>
        <v>0</v>
      </c>
      <c r="N1862" s="324"/>
      <c r="O1862" s="324"/>
      <c r="P1862" s="324"/>
      <c r="Q1862" s="324" t="s">
        <v>18</v>
      </c>
      <c r="R1862" s="324"/>
      <c r="S1862" s="324" t="s">
        <v>19</v>
      </c>
      <c r="T1862" s="528">
        <v>3</v>
      </c>
      <c r="U1862" s="324">
        <f t="shared" si="706"/>
        <v>0</v>
      </c>
      <c r="V1862" s="676"/>
      <c r="W1862" s="528"/>
      <c r="X1862" s="529"/>
      <c r="Y1862" s="323"/>
      <c r="Z1862" s="312">
        <f t="shared" si="691"/>
        <v>0</v>
      </c>
      <c r="AA1862" s="316">
        <f t="shared" si="705"/>
        <v>0.25</v>
      </c>
    </row>
    <row r="1863" spans="1:28" ht="51.75" thickBot="1" x14ac:dyDescent="0.45">
      <c r="A1863" s="319" t="s">
        <v>732</v>
      </c>
      <c r="B1863" s="320" t="s">
        <v>636</v>
      </c>
      <c r="C1863" s="586">
        <f>C1747</f>
        <v>0</v>
      </c>
      <c r="D1863" s="551">
        <f>C1863*14</f>
        <v>0</v>
      </c>
      <c r="E1863" s="456">
        <f t="shared" si="704"/>
        <v>0</v>
      </c>
      <c r="F1863" s="358">
        <f>E1863*0.99*1.03/147</f>
        <v>0</v>
      </c>
      <c r="G1863" s="548">
        <f t="shared" si="701"/>
        <v>0</v>
      </c>
      <c r="H1863" s="358" t="s">
        <v>18</v>
      </c>
      <c r="I1863" s="548">
        <f t="shared" si="702"/>
        <v>0</v>
      </c>
      <c r="J1863" s="358" t="s">
        <v>19</v>
      </c>
      <c r="K1863" s="358"/>
      <c r="L1863" s="358"/>
      <c r="M1863" s="358">
        <f>(F1863*6989)/2880</f>
        <v>0</v>
      </c>
      <c r="N1863" s="324"/>
      <c r="O1863" s="324"/>
      <c r="P1863" s="324"/>
      <c r="Q1863" s="324" t="s">
        <v>18</v>
      </c>
      <c r="R1863" s="324"/>
      <c r="S1863" s="324" t="s">
        <v>19</v>
      </c>
      <c r="T1863" s="528">
        <v>3</v>
      </c>
      <c r="U1863" s="324">
        <f t="shared" si="706"/>
        <v>0</v>
      </c>
      <c r="V1863" s="676"/>
      <c r="W1863" s="528"/>
      <c r="X1863" s="529"/>
      <c r="Y1863" s="323"/>
      <c r="Z1863" s="312">
        <f t="shared" si="691"/>
        <v>0</v>
      </c>
      <c r="AA1863" s="316">
        <f t="shared" si="705"/>
        <v>0.25</v>
      </c>
    </row>
    <row r="1864" spans="1:28" ht="51.75" thickBot="1" x14ac:dyDescent="0.45">
      <c r="A1864" s="319" t="s">
        <v>732</v>
      </c>
      <c r="B1864" s="320" t="s">
        <v>637</v>
      </c>
      <c r="C1864" s="586">
        <f>C1786</f>
        <v>0</v>
      </c>
      <c r="D1864" s="528">
        <f t="shared" ref="D1864:D1872" si="707">C1864*12</f>
        <v>0</v>
      </c>
      <c r="E1864" s="460">
        <f t="shared" si="704"/>
        <v>0</v>
      </c>
      <c r="F1864" s="324">
        <f>E1864*1.05*0.99/135</f>
        <v>0</v>
      </c>
      <c r="G1864" s="528">
        <f t="shared" si="701"/>
        <v>0</v>
      </c>
      <c r="H1864" s="324" t="s">
        <v>18</v>
      </c>
      <c r="I1864" s="528">
        <f t="shared" si="702"/>
        <v>0</v>
      </c>
      <c r="J1864" s="324" t="s">
        <v>19</v>
      </c>
      <c r="K1864" s="324"/>
      <c r="L1864" s="324"/>
      <c r="M1864" s="324">
        <f>(F1864*6253)/2880</f>
        <v>0</v>
      </c>
      <c r="N1864" s="324"/>
      <c r="O1864" s="324"/>
      <c r="P1864" s="324"/>
      <c r="Q1864" s="324" t="s">
        <v>18</v>
      </c>
      <c r="R1864" s="324"/>
      <c r="S1864" s="324" t="s">
        <v>19</v>
      </c>
      <c r="T1864" s="528">
        <v>3</v>
      </c>
      <c r="U1864" s="324">
        <f t="shared" si="706"/>
        <v>0</v>
      </c>
      <c r="V1864" s="676"/>
      <c r="W1864" s="528"/>
      <c r="X1864" s="529"/>
      <c r="Y1864" s="323"/>
      <c r="Z1864" s="312">
        <f t="shared" si="691"/>
        <v>0</v>
      </c>
      <c r="AA1864" s="316">
        <f>SUM(Z1864/386.7+0.25)</f>
        <v>0.25</v>
      </c>
    </row>
    <row r="1865" spans="1:28" ht="51.75" thickBot="1" x14ac:dyDescent="0.45">
      <c r="A1865" s="319" t="s">
        <v>732</v>
      </c>
      <c r="B1865" s="320" t="s">
        <v>909</v>
      </c>
      <c r="C1865" s="528">
        <f>C1691</f>
        <v>0</v>
      </c>
      <c r="D1865" s="550">
        <f>C1865*12</f>
        <v>0</v>
      </c>
      <c r="E1865" s="358">
        <f>D1865*0.36</f>
        <v>0</v>
      </c>
      <c r="F1865" s="358">
        <f>E1865*1.03*0.8/147</f>
        <v>0</v>
      </c>
      <c r="G1865" s="548">
        <f t="shared" si="701"/>
        <v>0</v>
      </c>
      <c r="H1865" s="358" t="s">
        <v>18</v>
      </c>
      <c r="I1865" s="548">
        <f t="shared" si="702"/>
        <v>0</v>
      </c>
      <c r="J1865" s="358" t="s">
        <v>19</v>
      </c>
      <c r="K1865" s="358"/>
      <c r="L1865" s="358"/>
      <c r="M1865" s="358">
        <f>F1865*6000/3456</f>
        <v>0</v>
      </c>
      <c r="N1865" s="358"/>
      <c r="O1865" s="358"/>
      <c r="P1865" s="358"/>
      <c r="Q1865" s="358" t="s">
        <v>18</v>
      </c>
      <c r="R1865" s="358"/>
      <c r="S1865" s="358" t="s">
        <v>19</v>
      </c>
      <c r="T1865" s="528">
        <v>3</v>
      </c>
      <c r="U1865" s="324">
        <f>E1865/220*60</f>
        <v>0</v>
      </c>
      <c r="V1865" s="676"/>
      <c r="W1865" s="528"/>
      <c r="X1865" s="529"/>
      <c r="Y1865" s="323"/>
      <c r="Z1865" s="312">
        <f t="shared" si="691"/>
        <v>0</v>
      </c>
      <c r="AA1865" s="316">
        <f>SUM(E1865/522.7+0.25)</f>
        <v>0.25</v>
      </c>
    </row>
    <row r="1866" spans="1:28" ht="51.75" thickBot="1" x14ac:dyDescent="0.45">
      <c r="A1866" s="319" t="s">
        <v>732</v>
      </c>
      <c r="B1866" s="320" t="s">
        <v>1037</v>
      </c>
      <c r="C1866" s="586">
        <f t="shared" ref="C1866:C1872" si="708">C1748</f>
        <v>0</v>
      </c>
      <c r="D1866" s="548">
        <f>C1866*16</f>
        <v>0</v>
      </c>
      <c r="E1866" s="456">
        <f>D1866*0.27</f>
        <v>0</v>
      </c>
      <c r="F1866" s="358">
        <f t="shared" ref="F1866:F1873" si="709">E1866*0.99*1.03/147</f>
        <v>0</v>
      </c>
      <c r="G1866" s="548">
        <f t="shared" si="701"/>
        <v>0</v>
      </c>
      <c r="H1866" s="358" t="s">
        <v>18</v>
      </c>
      <c r="I1866" s="548">
        <f t="shared" si="702"/>
        <v>0</v>
      </c>
      <c r="J1866" s="358" t="s">
        <v>19</v>
      </c>
      <c r="K1866" s="358"/>
      <c r="L1866" s="358"/>
      <c r="M1866" s="358">
        <f>(F1866*6391)/2880</f>
        <v>0</v>
      </c>
      <c r="N1866" s="358"/>
      <c r="O1866" s="358"/>
      <c r="P1866" s="358"/>
      <c r="Q1866" s="358" t="s">
        <v>18</v>
      </c>
      <c r="R1866" s="358"/>
      <c r="S1866" s="358" t="s">
        <v>19</v>
      </c>
      <c r="T1866" s="528">
        <v>4</v>
      </c>
      <c r="U1866" s="324">
        <f t="shared" si="706"/>
        <v>0</v>
      </c>
      <c r="V1866" s="676"/>
      <c r="W1866" s="528"/>
      <c r="X1866" s="529"/>
      <c r="Y1866" s="323"/>
      <c r="Z1866" s="312">
        <f t="shared" si="691"/>
        <v>0</v>
      </c>
      <c r="AA1866" s="316">
        <f>SUM(Z1866/422.3+0.25)</f>
        <v>0.25</v>
      </c>
    </row>
    <row r="1867" spans="1:28" ht="51.75" thickBot="1" x14ac:dyDescent="0.45">
      <c r="A1867" s="319" t="s">
        <v>732</v>
      </c>
      <c r="B1867" s="343" t="s">
        <v>1038</v>
      </c>
      <c r="C1867" s="586">
        <f t="shared" si="708"/>
        <v>0</v>
      </c>
      <c r="D1867" s="548">
        <f>C1867*16</f>
        <v>0</v>
      </c>
      <c r="E1867" s="456">
        <f>D1867*0.27</f>
        <v>0</v>
      </c>
      <c r="F1867" s="358">
        <f t="shared" si="709"/>
        <v>0</v>
      </c>
      <c r="G1867" s="548">
        <f t="shared" si="701"/>
        <v>0</v>
      </c>
      <c r="H1867" s="358" t="s">
        <v>18</v>
      </c>
      <c r="I1867" s="548">
        <f t="shared" si="702"/>
        <v>0</v>
      </c>
      <c r="J1867" s="358" t="s">
        <v>19</v>
      </c>
      <c r="K1867" s="358"/>
      <c r="L1867" s="358"/>
      <c r="M1867" s="358">
        <f>(F1867*6391)/2880</f>
        <v>0</v>
      </c>
      <c r="N1867" s="358"/>
      <c r="O1867" s="358"/>
      <c r="P1867" s="358"/>
      <c r="Q1867" s="358" t="s">
        <v>18</v>
      </c>
      <c r="R1867" s="358"/>
      <c r="S1867" s="358" t="s">
        <v>19</v>
      </c>
      <c r="T1867" s="528">
        <v>4</v>
      </c>
      <c r="U1867" s="324">
        <f t="shared" si="706"/>
        <v>0</v>
      </c>
      <c r="V1867" s="676"/>
      <c r="W1867" s="528"/>
      <c r="X1867" s="529"/>
      <c r="Y1867" s="323"/>
      <c r="Z1867" s="312">
        <f t="shared" si="691"/>
        <v>0</v>
      </c>
      <c r="AA1867" s="316">
        <f>SUM(Z1867/422.3+0.25)</f>
        <v>0.25</v>
      </c>
    </row>
    <row r="1868" spans="1:28" ht="53.25" thickBot="1" x14ac:dyDescent="0.45">
      <c r="A1868" s="319" t="s">
        <v>732</v>
      </c>
      <c r="B1868" s="319" t="s">
        <v>684</v>
      </c>
      <c r="C1868" s="586">
        <f t="shared" si="708"/>
        <v>0</v>
      </c>
      <c r="D1868" s="548">
        <f t="shared" si="707"/>
        <v>0</v>
      </c>
      <c r="E1868" s="456">
        <f>D1868*0.3</f>
        <v>0</v>
      </c>
      <c r="F1868" s="358">
        <f t="shared" si="709"/>
        <v>0</v>
      </c>
      <c r="G1868" s="548">
        <f t="shared" si="701"/>
        <v>0</v>
      </c>
      <c r="H1868" s="358" t="s">
        <v>18</v>
      </c>
      <c r="I1868" s="548">
        <f t="shared" si="702"/>
        <v>0</v>
      </c>
      <c r="J1868" s="358" t="s">
        <v>19</v>
      </c>
      <c r="K1868" s="358"/>
      <c r="L1868" s="358"/>
      <c r="M1868" s="358">
        <f>(F1868*5880)/2880</f>
        <v>0</v>
      </c>
      <c r="N1868" s="324"/>
      <c r="O1868" s="324"/>
      <c r="P1868" s="324"/>
      <c r="Q1868" s="324" t="s">
        <v>18</v>
      </c>
      <c r="R1868" s="324"/>
      <c r="S1868" s="324" t="s">
        <v>19</v>
      </c>
      <c r="T1868" s="528">
        <v>4</v>
      </c>
      <c r="U1868" s="324">
        <f t="shared" si="706"/>
        <v>0</v>
      </c>
      <c r="V1868" s="676"/>
      <c r="W1868" s="528"/>
      <c r="X1868" s="529"/>
      <c r="Y1868" s="323"/>
      <c r="Z1868" s="312">
        <f t="shared" si="691"/>
        <v>0</v>
      </c>
      <c r="AA1868" s="316">
        <f>SUM(Z1868/459+0.25)</f>
        <v>0.25</v>
      </c>
    </row>
    <row r="1869" spans="1:28" ht="53.25" thickBot="1" x14ac:dyDescent="0.45">
      <c r="A1869" s="319" t="s">
        <v>732</v>
      </c>
      <c r="B1869" s="319" t="s">
        <v>685</v>
      </c>
      <c r="C1869" s="586">
        <f t="shared" si="708"/>
        <v>0</v>
      </c>
      <c r="D1869" s="548">
        <f t="shared" si="707"/>
        <v>0</v>
      </c>
      <c r="E1869" s="456">
        <f>D1869*0.3</f>
        <v>0</v>
      </c>
      <c r="F1869" s="358">
        <f t="shared" si="709"/>
        <v>0</v>
      </c>
      <c r="G1869" s="548">
        <f t="shared" si="701"/>
        <v>0</v>
      </c>
      <c r="H1869" s="358" t="s">
        <v>18</v>
      </c>
      <c r="I1869" s="548">
        <f t="shared" si="702"/>
        <v>0</v>
      </c>
      <c r="J1869" s="358" t="s">
        <v>19</v>
      </c>
      <c r="K1869" s="358"/>
      <c r="L1869" s="358"/>
      <c r="M1869" s="358">
        <f>(F1869*5880)/2880</f>
        <v>0</v>
      </c>
      <c r="N1869" s="324"/>
      <c r="O1869" s="324"/>
      <c r="P1869" s="324"/>
      <c r="Q1869" s="324" t="s">
        <v>18</v>
      </c>
      <c r="R1869" s="324"/>
      <c r="S1869" s="324" t="s">
        <v>19</v>
      </c>
      <c r="T1869" s="528">
        <v>4</v>
      </c>
      <c r="U1869" s="324">
        <f>E1869/259*60</f>
        <v>0</v>
      </c>
      <c r="V1869" s="676"/>
      <c r="W1869" s="528"/>
      <c r="X1869" s="529"/>
      <c r="Y1869" s="323"/>
      <c r="Z1869" s="312">
        <f t="shared" si="691"/>
        <v>0</v>
      </c>
      <c r="AA1869" s="316">
        <f>SUM(Z1869/459+0.25)</f>
        <v>0.25</v>
      </c>
    </row>
    <row r="1870" spans="1:28" ht="53.25" thickBot="1" x14ac:dyDescent="0.45">
      <c r="A1870" s="319" t="s">
        <v>732</v>
      </c>
      <c r="B1870" s="854" t="s">
        <v>1196</v>
      </c>
      <c r="C1870" s="528">
        <f t="shared" si="708"/>
        <v>0</v>
      </c>
      <c r="D1870" s="548">
        <f>C1870*14</f>
        <v>0</v>
      </c>
      <c r="E1870" s="456">
        <f>D1870*0.3</f>
        <v>0</v>
      </c>
      <c r="F1870" s="358">
        <f t="shared" si="709"/>
        <v>0</v>
      </c>
      <c r="G1870" s="548">
        <f t="shared" si="701"/>
        <v>0</v>
      </c>
      <c r="H1870" s="358" t="s">
        <v>18</v>
      </c>
      <c r="I1870" s="548">
        <f t="shared" si="702"/>
        <v>0</v>
      </c>
      <c r="J1870" s="358" t="s">
        <v>19</v>
      </c>
      <c r="K1870" s="358"/>
      <c r="L1870" s="358"/>
      <c r="M1870" s="358">
        <f>(F1870*5880)/2880</f>
        <v>0</v>
      </c>
      <c r="N1870" s="324"/>
      <c r="O1870" s="324"/>
      <c r="P1870" s="324"/>
      <c r="Q1870" s="324" t="s">
        <v>18</v>
      </c>
      <c r="R1870" s="324"/>
      <c r="S1870" s="324" t="s">
        <v>19</v>
      </c>
      <c r="T1870" s="528">
        <v>4</v>
      </c>
      <c r="U1870" s="324">
        <f>E1870/403*60</f>
        <v>0</v>
      </c>
      <c r="V1870" s="676"/>
      <c r="W1870" s="528"/>
      <c r="X1870" s="529"/>
      <c r="Y1870" s="360"/>
      <c r="Z1870" s="312">
        <f>E1870</f>
        <v>0</v>
      </c>
      <c r="AA1870" s="316">
        <f>SUM(Z1870/459+0.25)</f>
        <v>0.25</v>
      </c>
    </row>
    <row r="1871" spans="1:28" ht="77.25" thickBot="1" x14ac:dyDescent="0.45">
      <c r="A1871" s="319" t="s">
        <v>732</v>
      </c>
      <c r="B1871" s="862" t="s">
        <v>1197</v>
      </c>
      <c r="C1871" s="853">
        <f t="shared" si="708"/>
        <v>0</v>
      </c>
      <c r="D1871" s="856">
        <f>C1871*16</f>
        <v>0</v>
      </c>
      <c r="E1871" s="629">
        <f>D1871*0.3</f>
        <v>0</v>
      </c>
      <c r="F1871" s="857">
        <f>E1871*0.9*1.01/147</f>
        <v>0</v>
      </c>
      <c r="G1871" s="858">
        <f>INT(M1871)</f>
        <v>0</v>
      </c>
      <c r="H1871" s="366"/>
      <c r="I1871" s="859">
        <f t="shared" si="702"/>
        <v>0</v>
      </c>
      <c r="J1871" s="860" t="s">
        <v>19</v>
      </c>
      <c r="K1871" s="860"/>
      <c r="L1871" s="860"/>
      <c r="M1871" s="861">
        <f>F1871*6533/3456</f>
        <v>0</v>
      </c>
      <c r="N1871" s="860"/>
      <c r="O1871" s="860"/>
      <c r="P1871" s="860"/>
      <c r="Q1871" s="324" t="s">
        <v>18</v>
      </c>
      <c r="R1871" s="324"/>
      <c r="S1871" s="324" t="s">
        <v>19</v>
      </c>
      <c r="T1871" s="528">
        <v>4</v>
      </c>
      <c r="U1871" s="324">
        <f>E1871/403*60</f>
        <v>0</v>
      </c>
      <c r="V1871" s="676"/>
      <c r="W1871" s="528"/>
      <c r="X1871" s="529"/>
      <c r="Y1871" s="711"/>
      <c r="Z1871" s="312">
        <f>E1871/1.02/1.143</f>
        <v>0</v>
      </c>
      <c r="AA1871" s="316">
        <f>SUM(AB1871/459+0.25)</f>
        <v>0.25</v>
      </c>
      <c r="AB1871" s="310">
        <f>E1871/1.02</f>
        <v>0</v>
      </c>
    </row>
    <row r="1872" spans="1:28" ht="53.25" thickBot="1" x14ac:dyDescent="0.45">
      <c r="A1872" s="319" t="s">
        <v>732</v>
      </c>
      <c r="B1872" s="319" t="s">
        <v>692</v>
      </c>
      <c r="C1872" s="586">
        <f t="shared" si="708"/>
        <v>0</v>
      </c>
      <c r="D1872" s="548">
        <f t="shared" si="707"/>
        <v>0</v>
      </c>
      <c r="E1872" s="456">
        <f>D1872*0.3</f>
        <v>0</v>
      </c>
      <c r="F1872" s="358">
        <f t="shared" si="709"/>
        <v>0</v>
      </c>
      <c r="G1872" s="548">
        <f t="shared" si="701"/>
        <v>0</v>
      </c>
      <c r="H1872" s="358" t="s">
        <v>18</v>
      </c>
      <c r="I1872" s="548">
        <f t="shared" si="702"/>
        <v>0</v>
      </c>
      <c r="J1872" s="358" t="s">
        <v>19</v>
      </c>
      <c r="K1872" s="358"/>
      <c r="L1872" s="358"/>
      <c r="M1872" s="358">
        <f>(F1872*5880)/2880</f>
        <v>0</v>
      </c>
      <c r="N1872" s="324"/>
      <c r="O1872" s="324"/>
      <c r="P1872" s="324"/>
      <c r="Q1872" s="324" t="s">
        <v>18</v>
      </c>
      <c r="R1872" s="324"/>
      <c r="S1872" s="324" t="s">
        <v>19</v>
      </c>
      <c r="T1872" s="528">
        <v>4</v>
      </c>
      <c r="U1872" s="324">
        <f>E1872/259*60</f>
        <v>0</v>
      </c>
      <c r="V1872" s="676"/>
      <c r="W1872" s="528"/>
      <c r="X1872" s="529"/>
      <c r="Y1872" s="323"/>
      <c r="Z1872" s="312">
        <f t="shared" si="691"/>
        <v>0</v>
      </c>
      <c r="AA1872" s="316">
        <f>SUM(Z1872/459+0.25)</f>
        <v>0.25</v>
      </c>
    </row>
    <row r="1873" spans="1:27" ht="103.5" thickBot="1" x14ac:dyDescent="0.45">
      <c r="A1873" s="319" t="s">
        <v>732</v>
      </c>
      <c r="B1873" s="320" t="s">
        <v>781</v>
      </c>
      <c r="C1873" s="528">
        <f>C1769</f>
        <v>0</v>
      </c>
      <c r="D1873" s="548">
        <f>C1873*10</f>
        <v>0</v>
      </c>
      <c r="E1873" s="456">
        <f>D1873*0.18</f>
        <v>0</v>
      </c>
      <c r="F1873" s="358">
        <f t="shared" si="709"/>
        <v>0</v>
      </c>
      <c r="G1873" s="548">
        <f t="shared" si="701"/>
        <v>0</v>
      </c>
      <c r="H1873" s="358" t="s">
        <v>18</v>
      </c>
      <c r="I1873" s="548">
        <f t="shared" si="702"/>
        <v>0</v>
      </c>
      <c r="J1873" s="358" t="s">
        <v>19</v>
      </c>
      <c r="K1873" s="358"/>
      <c r="L1873" s="358"/>
      <c r="M1873" s="358">
        <f>(F1873*6400)/2880</f>
        <v>0</v>
      </c>
      <c r="N1873" s="324"/>
      <c r="O1873" s="324"/>
      <c r="P1873" s="324"/>
      <c r="Q1873" s="324" t="s">
        <v>18</v>
      </c>
      <c r="R1873" s="324"/>
      <c r="S1873" s="324" t="s">
        <v>19</v>
      </c>
      <c r="T1873" s="528">
        <v>5</v>
      </c>
      <c r="U1873" s="324">
        <f>E1873/237*60</f>
        <v>0</v>
      </c>
      <c r="V1873" s="676"/>
      <c r="W1873" s="528"/>
      <c r="X1873" s="529"/>
      <c r="Y1873" s="397" t="s">
        <v>888</v>
      </c>
      <c r="Z1873" s="312">
        <f t="shared" si="691"/>
        <v>0</v>
      </c>
      <c r="AA1873" s="316">
        <f>SUM(Z1873/422.3+0.25)</f>
        <v>0.25</v>
      </c>
    </row>
    <row r="1874" spans="1:27" ht="77.25" thickBot="1" x14ac:dyDescent="0.45">
      <c r="A1874" s="319" t="s">
        <v>732</v>
      </c>
      <c r="B1874" s="320" t="s">
        <v>1028</v>
      </c>
      <c r="C1874" s="528">
        <f>C1779</f>
        <v>0</v>
      </c>
      <c r="D1874" s="567">
        <f>C1874*12</f>
        <v>0</v>
      </c>
      <c r="E1874" s="324">
        <f>D1874*0.18</f>
        <v>0</v>
      </c>
      <c r="F1874" s="324">
        <f>E1874*0.99*1.03/147</f>
        <v>0</v>
      </c>
      <c r="G1874" s="324">
        <f>INT(M1874)</f>
        <v>0</v>
      </c>
      <c r="H1874" s="324" t="s">
        <v>18</v>
      </c>
      <c r="I1874" s="528">
        <f>(M1874-G1874)*64</f>
        <v>0</v>
      </c>
      <c r="J1874" s="324" t="s">
        <v>19</v>
      </c>
      <c r="K1874" s="324"/>
      <c r="L1874" s="324"/>
      <c r="M1874" s="324">
        <f>C1874*12*6/45/64*1.03</f>
        <v>0</v>
      </c>
      <c r="N1874" s="324"/>
      <c r="O1874" s="324"/>
      <c r="P1874" s="324"/>
      <c r="Q1874" s="324" t="s">
        <v>18</v>
      </c>
      <c r="R1874" s="324"/>
      <c r="S1874" s="324" t="s">
        <v>19</v>
      </c>
      <c r="T1874" s="528">
        <v>3</v>
      </c>
      <c r="U1874" s="324">
        <f>E1874/237*60</f>
        <v>0</v>
      </c>
      <c r="V1874" s="676"/>
      <c r="W1874" s="528"/>
      <c r="X1874" s="529"/>
      <c r="Y1874" s="323"/>
      <c r="Z1874" s="312">
        <f>E1874</f>
        <v>0</v>
      </c>
      <c r="AA1874" s="316">
        <f>SUM(Z1874/514.1+0.25)</f>
        <v>0.25</v>
      </c>
    </row>
    <row r="1875" spans="1:27" ht="51.75" thickBot="1" x14ac:dyDescent="0.45">
      <c r="A1875" s="319" t="s">
        <v>732</v>
      </c>
      <c r="B1875" s="320" t="s">
        <v>996</v>
      </c>
      <c r="C1875" s="528">
        <f>C1780</f>
        <v>0</v>
      </c>
      <c r="D1875" s="567">
        <f>C1875*12</f>
        <v>0</v>
      </c>
      <c r="E1875" s="324">
        <f>D1875*0.18</f>
        <v>0</v>
      </c>
      <c r="F1875" s="324">
        <f>E1875*0.99*1.03/147</f>
        <v>0</v>
      </c>
      <c r="G1875" s="324">
        <f>INT(M1875)</f>
        <v>0</v>
      </c>
      <c r="H1875" s="324" t="s">
        <v>18</v>
      </c>
      <c r="I1875" s="528">
        <f>(M1875-G1875)*64</f>
        <v>0</v>
      </c>
      <c r="J1875" s="324" t="s">
        <v>19</v>
      </c>
      <c r="K1875" s="324"/>
      <c r="L1875" s="324"/>
      <c r="M1875" s="324">
        <f>C1875*12*6/45/64*1.03</f>
        <v>0</v>
      </c>
      <c r="N1875" s="324"/>
      <c r="O1875" s="324"/>
      <c r="P1875" s="324"/>
      <c r="Q1875" s="324" t="s">
        <v>18</v>
      </c>
      <c r="R1875" s="324"/>
      <c r="S1875" s="324" t="s">
        <v>19</v>
      </c>
      <c r="T1875" s="528">
        <v>3</v>
      </c>
      <c r="U1875" s="324">
        <f>E1875/237*60</f>
        <v>0</v>
      </c>
      <c r="V1875" s="676"/>
      <c r="W1875" s="528"/>
      <c r="X1875" s="529"/>
      <c r="Y1875" s="323"/>
      <c r="Z1875" s="312">
        <f t="shared" si="691"/>
        <v>0</v>
      </c>
      <c r="AA1875" s="316">
        <f>SUM(Z1875/514.1+0.25)</f>
        <v>0.25</v>
      </c>
    </row>
    <row r="1876" spans="1:27" ht="51.75" thickBot="1" x14ac:dyDescent="0.45">
      <c r="A1876" s="319" t="s">
        <v>732</v>
      </c>
      <c r="B1876" s="320" t="s">
        <v>997</v>
      </c>
      <c r="C1876" s="528">
        <f>C1781</f>
        <v>0</v>
      </c>
      <c r="D1876" s="567">
        <f>C1876*12</f>
        <v>0</v>
      </c>
      <c r="E1876" s="324">
        <f>D1876*0.18</f>
        <v>0</v>
      </c>
      <c r="F1876" s="324">
        <f>E1876*0.99*1.03/147</f>
        <v>0</v>
      </c>
      <c r="G1876" s="324">
        <f>INT(M1876)</f>
        <v>0</v>
      </c>
      <c r="H1876" s="324" t="s">
        <v>18</v>
      </c>
      <c r="I1876" s="528">
        <f>(M1876-G1876)*64</f>
        <v>0</v>
      </c>
      <c r="J1876" s="324" t="s">
        <v>19</v>
      </c>
      <c r="K1876" s="324"/>
      <c r="L1876" s="324"/>
      <c r="M1876" s="324">
        <f>C1876*12*6/45/64*1.03</f>
        <v>0</v>
      </c>
      <c r="N1876" s="324"/>
      <c r="O1876" s="324"/>
      <c r="P1876" s="324"/>
      <c r="Q1876" s="324" t="s">
        <v>18</v>
      </c>
      <c r="R1876" s="324"/>
      <c r="S1876" s="324" t="s">
        <v>19</v>
      </c>
      <c r="T1876" s="528">
        <v>3</v>
      </c>
      <c r="U1876" s="324">
        <f>E1876/237*60</f>
        <v>0</v>
      </c>
      <c r="V1876" s="676"/>
      <c r="W1876" s="528"/>
      <c r="X1876" s="529"/>
      <c r="Y1876" s="323"/>
      <c r="Z1876" s="312">
        <f t="shared" si="691"/>
        <v>0</v>
      </c>
      <c r="AA1876" s="316">
        <f>SUM(Z1876/514.1+0.25)</f>
        <v>0.25</v>
      </c>
    </row>
    <row r="1877" spans="1:27" ht="51.75" thickBot="1" x14ac:dyDescent="0.45">
      <c r="A1877" s="319" t="s">
        <v>732</v>
      </c>
      <c r="B1877" s="320" t="s">
        <v>998</v>
      </c>
      <c r="C1877" s="528">
        <f>C1782</f>
        <v>0</v>
      </c>
      <c r="D1877" s="567">
        <f>C1877*26</f>
        <v>0</v>
      </c>
      <c r="E1877" s="324">
        <f>D1877*0.18</f>
        <v>0</v>
      </c>
      <c r="F1877" s="324">
        <f>E1877*0.99*1.03/147</f>
        <v>0</v>
      </c>
      <c r="G1877" s="324">
        <f>INT(M1877)</f>
        <v>0</v>
      </c>
      <c r="H1877" s="324" t="s">
        <v>18</v>
      </c>
      <c r="I1877" s="528">
        <f>(M1877-G1877)*64</f>
        <v>0</v>
      </c>
      <c r="J1877" s="324" t="s">
        <v>19</v>
      </c>
      <c r="K1877" s="324"/>
      <c r="L1877" s="324"/>
      <c r="M1877" s="324">
        <f>C1877*26*6/45/64*1.03</f>
        <v>0</v>
      </c>
      <c r="N1877" s="324"/>
      <c r="O1877" s="324"/>
      <c r="P1877" s="324"/>
      <c r="Q1877" s="324" t="s">
        <v>18</v>
      </c>
      <c r="R1877" s="324"/>
      <c r="S1877" s="324" t="s">
        <v>19</v>
      </c>
      <c r="T1877" s="528">
        <v>4</v>
      </c>
      <c r="U1877" s="324">
        <f>E1877/237*60</f>
        <v>0</v>
      </c>
      <c r="V1877" s="676"/>
      <c r="W1877" s="528"/>
      <c r="X1877" s="529"/>
      <c r="Y1877" s="323"/>
      <c r="Z1877" s="312">
        <f t="shared" si="691"/>
        <v>0</v>
      </c>
      <c r="AA1877" s="316">
        <f>SUM(Z1877/514.1+0.25)</f>
        <v>0.25</v>
      </c>
    </row>
    <row r="1878" spans="1:27" s="728" customFormat="1" ht="77.25" outlineLevel="1" thickBot="1" x14ac:dyDescent="0.45">
      <c r="A1878" s="636" t="s">
        <v>732</v>
      </c>
      <c r="B1878" s="634" t="s">
        <v>1040</v>
      </c>
      <c r="C1878" s="720">
        <f>C1688</f>
        <v>0</v>
      </c>
      <c r="D1878" s="720">
        <f>C1878*12</f>
        <v>0</v>
      </c>
      <c r="E1878" s="721">
        <f t="shared" ref="E1878:E1885" si="710">D1878*0.25</f>
        <v>0</v>
      </c>
      <c r="F1878" s="722">
        <f>E1878*1.03*0.729/147</f>
        <v>0</v>
      </c>
      <c r="G1878" s="720">
        <f t="shared" si="701"/>
        <v>0</v>
      </c>
      <c r="H1878" s="722" t="s">
        <v>18</v>
      </c>
      <c r="I1878" s="720">
        <f t="shared" si="702"/>
        <v>0</v>
      </c>
      <c r="J1878" s="722" t="s">
        <v>19</v>
      </c>
      <c r="K1878" s="722"/>
      <c r="L1878" s="722"/>
      <c r="M1878" s="722">
        <f>(F1878*7840/3456)</f>
        <v>0</v>
      </c>
      <c r="N1878" s="722"/>
      <c r="O1878" s="722"/>
      <c r="P1878" s="722"/>
      <c r="Q1878" s="722" t="s">
        <v>18</v>
      </c>
      <c r="R1878" s="722"/>
      <c r="S1878" s="722" t="s">
        <v>19</v>
      </c>
      <c r="T1878" s="720">
        <v>7</v>
      </c>
      <c r="U1878" s="324">
        <f t="shared" ref="U1878:U1888" si="711">E1878/390*60</f>
        <v>0</v>
      </c>
      <c r="V1878" s="724"/>
      <c r="W1878" s="720"/>
      <c r="X1878" s="725"/>
      <c r="Y1878" s="736"/>
      <c r="Z1878" s="727">
        <f t="shared" si="691"/>
        <v>0</v>
      </c>
      <c r="AA1878" s="815">
        <f>SUM(Z1878/392+0.25)</f>
        <v>0.25</v>
      </c>
    </row>
    <row r="1879" spans="1:27" s="728" customFormat="1" ht="51.75" outlineLevel="1" thickBot="1" x14ac:dyDescent="0.45">
      <c r="A1879" s="636" t="s">
        <v>732</v>
      </c>
      <c r="B1879" s="634" t="s">
        <v>1041</v>
      </c>
      <c r="C1879" s="720">
        <f t="shared" ref="C1879:C1885" si="712">C1770</f>
        <v>0</v>
      </c>
      <c r="D1879" s="720">
        <f>C1879*12</f>
        <v>0</v>
      </c>
      <c r="E1879" s="721">
        <f t="shared" si="710"/>
        <v>0</v>
      </c>
      <c r="F1879" s="722">
        <f t="shared" ref="F1879:F1885" si="713">E1879*0.9*1.01/147</f>
        <v>0</v>
      </c>
      <c r="G1879" s="720">
        <f t="shared" si="701"/>
        <v>0</v>
      </c>
      <c r="H1879" s="722" t="s">
        <v>18</v>
      </c>
      <c r="I1879" s="720">
        <f t="shared" si="702"/>
        <v>0</v>
      </c>
      <c r="J1879" s="722" t="s">
        <v>19</v>
      </c>
      <c r="K1879" s="722"/>
      <c r="L1879" s="722"/>
      <c r="M1879" s="722">
        <f>(F1879*6533/3456)</f>
        <v>0</v>
      </c>
      <c r="N1879" s="722"/>
      <c r="O1879" s="722"/>
      <c r="P1879" s="722"/>
      <c r="Q1879" s="722" t="s">
        <v>18</v>
      </c>
      <c r="R1879" s="722"/>
      <c r="S1879" s="722" t="s">
        <v>19</v>
      </c>
      <c r="T1879" s="720">
        <v>7</v>
      </c>
      <c r="U1879" s="324">
        <f t="shared" si="711"/>
        <v>0</v>
      </c>
      <c r="V1879" s="724"/>
      <c r="W1879" s="720"/>
      <c r="X1879" s="725"/>
      <c r="Y1879" s="749"/>
      <c r="Z1879" s="727">
        <f t="shared" si="691"/>
        <v>0</v>
      </c>
      <c r="AA1879" s="815">
        <f>SUM(Z1879/413.1+0.25)</f>
        <v>0.25</v>
      </c>
    </row>
    <row r="1880" spans="1:27" ht="79.5" thickBot="1" x14ac:dyDescent="0.45">
      <c r="A1880" s="319" t="s">
        <v>732</v>
      </c>
      <c r="B1880" s="320" t="s">
        <v>828</v>
      </c>
      <c r="C1880" s="528">
        <f t="shared" si="712"/>
        <v>0</v>
      </c>
      <c r="D1880" s="557">
        <f>C1880*12</f>
        <v>0</v>
      </c>
      <c r="E1880" s="457">
        <f t="shared" si="710"/>
        <v>0</v>
      </c>
      <c r="F1880" s="359">
        <f t="shared" si="713"/>
        <v>0</v>
      </c>
      <c r="G1880" s="558">
        <f t="shared" si="701"/>
        <v>0</v>
      </c>
      <c r="H1880" s="366" t="s">
        <v>18</v>
      </c>
      <c r="I1880" s="556">
        <f t="shared" si="702"/>
        <v>0</v>
      </c>
      <c r="J1880" s="366" t="s">
        <v>19</v>
      </c>
      <c r="K1880" s="366"/>
      <c r="L1880" s="366"/>
      <c r="M1880" s="366">
        <f t="shared" ref="M1880:M1885" si="714">(F1880*7777/3456)</f>
        <v>0</v>
      </c>
      <c r="N1880" s="366"/>
      <c r="O1880" s="366"/>
      <c r="P1880" s="366"/>
      <c r="Q1880" s="358" t="s">
        <v>18</v>
      </c>
      <c r="R1880" s="358"/>
      <c r="S1880" s="358" t="s">
        <v>19</v>
      </c>
      <c r="T1880" s="528">
        <v>4</v>
      </c>
      <c r="U1880" s="324">
        <f t="shared" si="711"/>
        <v>0</v>
      </c>
      <c r="V1880" s="676"/>
      <c r="W1880" s="528"/>
      <c r="X1880" s="529"/>
      <c r="Y1880" s="663" t="s">
        <v>1016</v>
      </c>
      <c r="Z1880" s="312">
        <f t="shared" si="691"/>
        <v>0</v>
      </c>
      <c r="AA1880" s="316">
        <f t="shared" ref="AA1880:AA1885" si="715">SUM(Z1880/347+0.25)</f>
        <v>0.25</v>
      </c>
    </row>
    <row r="1881" spans="1:27" ht="79.5" thickBot="1" x14ac:dyDescent="0.45">
      <c r="A1881" s="319" t="s">
        <v>732</v>
      </c>
      <c r="B1881" s="320" t="s">
        <v>1017</v>
      </c>
      <c r="C1881" s="528">
        <f t="shared" si="712"/>
        <v>0</v>
      </c>
      <c r="D1881" s="557">
        <f>C1881*12</f>
        <v>0</v>
      </c>
      <c r="E1881" s="457">
        <f t="shared" si="710"/>
        <v>0</v>
      </c>
      <c r="F1881" s="359">
        <f t="shared" si="713"/>
        <v>0</v>
      </c>
      <c r="G1881" s="558">
        <f t="shared" si="701"/>
        <v>0</v>
      </c>
      <c r="H1881" s="366" t="s">
        <v>18</v>
      </c>
      <c r="I1881" s="556">
        <f t="shared" si="702"/>
        <v>0</v>
      </c>
      <c r="J1881" s="366" t="s">
        <v>19</v>
      </c>
      <c r="K1881" s="366"/>
      <c r="L1881" s="366"/>
      <c r="M1881" s="366">
        <f t="shared" si="714"/>
        <v>0</v>
      </c>
      <c r="N1881" s="366"/>
      <c r="O1881" s="366"/>
      <c r="P1881" s="366"/>
      <c r="Q1881" s="358" t="s">
        <v>18</v>
      </c>
      <c r="R1881" s="358"/>
      <c r="S1881" s="358" t="s">
        <v>19</v>
      </c>
      <c r="T1881" s="528">
        <v>5</v>
      </c>
      <c r="U1881" s="324">
        <f>E1881/390*60</f>
        <v>0</v>
      </c>
      <c r="V1881" s="676"/>
      <c r="W1881" s="528"/>
      <c r="X1881" s="529"/>
      <c r="Y1881" s="666" t="s">
        <v>1061</v>
      </c>
      <c r="Z1881" s="312">
        <f t="shared" si="691"/>
        <v>0</v>
      </c>
      <c r="AA1881" s="316">
        <f t="shared" si="715"/>
        <v>0.25</v>
      </c>
    </row>
    <row r="1882" spans="1:27" ht="79.5" thickBot="1" x14ac:dyDescent="0.45">
      <c r="A1882" s="319" t="s">
        <v>732</v>
      </c>
      <c r="B1882" s="320" t="s">
        <v>1073</v>
      </c>
      <c r="C1882" s="528">
        <f t="shared" si="712"/>
        <v>0</v>
      </c>
      <c r="D1882" s="709">
        <f>C1882*16</f>
        <v>0</v>
      </c>
      <c r="E1882" s="496">
        <f>D1882*0.25</f>
        <v>0</v>
      </c>
      <c r="F1882" s="354">
        <f t="shared" si="713"/>
        <v>0</v>
      </c>
      <c r="G1882" s="710">
        <f>INT(M1882)</f>
        <v>0</v>
      </c>
      <c r="H1882" s="555" t="s">
        <v>18</v>
      </c>
      <c r="I1882" s="553">
        <f>(M1882-G1882)*64</f>
        <v>0</v>
      </c>
      <c r="J1882" s="555" t="s">
        <v>19</v>
      </c>
      <c r="K1882" s="555"/>
      <c r="L1882" s="555"/>
      <c r="M1882" s="555">
        <f t="shared" si="714"/>
        <v>0</v>
      </c>
      <c r="N1882" s="555"/>
      <c r="O1882" s="555"/>
      <c r="P1882" s="555"/>
      <c r="Q1882" s="324" t="s">
        <v>18</v>
      </c>
      <c r="R1882" s="324"/>
      <c r="S1882" s="324" t="s">
        <v>19</v>
      </c>
      <c r="T1882" s="528">
        <v>5</v>
      </c>
      <c r="U1882" s="324">
        <f>E1882/390*60</f>
        <v>0</v>
      </c>
      <c r="V1882" s="676"/>
      <c r="W1882" s="528"/>
      <c r="X1882" s="529"/>
      <c r="Y1882" s="668" t="s">
        <v>1061</v>
      </c>
      <c r="Z1882" s="312">
        <f>E1882</f>
        <v>0</v>
      </c>
      <c r="AA1882" s="316">
        <f t="shared" si="715"/>
        <v>0.25</v>
      </c>
    </row>
    <row r="1883" spans="1:27" ht="79.5" thickBot="1" x14ac:dyDescent="0.45">
      <c r="A1883" s="319" t="s">
        <v>732</v>
      </c>
      <c r="B1883" s="320" t="s">
        <v>1074</v>
      </c>
      <c r="C1883" s="528">
        <f t="shared" si="712"/>
        <v>0</v>
      </c>
      <c r="D1883" s="709">
        <f>C1883*16</f>
        <v>0</v>
      </c>
      <c r="E1883" s="496">
        <f>D1883*0.25</f>
        <v>0</v>
      </c>
      <c r="F1883" s="354">
        <f t="shared" si="713"/>
        <v>0</v>
      </c>
      <c r="G1883" s="710">
        <f>INT(M1883)</f>
        <v>0</v>
      </c>
      <c r="H1883" s="555" t="s">
        <v>18</v>
      </c>
      <c r="I1883" s="553">
        <f>(M1883-G1883)*64</f>
        <v>0</v>
      </c>
      <c r="J1883" s="555" t="s">
        <v>19</v>
      </c>
      <c r="K1883" s="555"/>
      <c r="L1883" s="555"/>
      <c r="M1883" s="555">
        <f t="shared" si="714"/>
        <v>0</v>
      </c>
      <c r="N1883" s="555"/>
      <c r="O1883" s="555"/>
      <c r="P1883" s="555"/>
      <c r="Q1883" s="324" t="s">
        <v>18</v>
      </c>
      <c r="R1883" s="324"/>
      <c r="S1883" s="324" t="s">
        <v>19</v>
      </c>
      <c r="T1883" s="528">
        <v>5</v>
      </c>
      <c r="U1883" s="324">
        <f>E1883/390*60</f>
        <v>0</v>
      </c>
      <c r="V1883" s="676"/>
      <c r="W1883" s="528"/>
      <c r="X1883" s="529"/>
      <c r="Y1883" s="660" t="s">
        <v>1061</v>
      </c>
      <c r="Z1883" s="312">
        <f>E1883</f>
        <v>0</v>
      </c>
      <c r="AA1883" s="316">
        <f t="shared" si="715"/>
        <v>0.25</v>
      </c>
    </row>
    <row r="1884" spans="1:27" ht="77.25" thickBot="1" x14ac:dyDescent="0.45">
      <c r="A1884" s="319" t="s">
        <v>732</v>
      </c>
      <c r="B1884" s="320" t="s">
        <v>1184</v>
      </c>
      <c r="C1884" s="528">
        <f t="shared" si="712"/>
        <v>0</v>
      </c>
      <c r="D1884" s="551">
        <f>C1884*16</f>
        <v>0</v>
      </c>
      <c r="E1884" s="456">
        <f t="shared" si="710"/>
        <v>0</v>
      </c>
      <c r="F1884" s="358">
        <f t="shared" si="713"/>
        <v>0</v>
      </c>
      <c r="G1884" s="556">
        <f t="shared" si="701"/>
        <v>0</v>
      </c>
      <c r="H1884" s="366" t="s">
        <v>18</v>
      </c>
      <c r="I1884" s="556">
        <f t="shared" si="702"/>
        <v>0</v>
      </c>
      <c r="J1884" s="366" t="s">
        <v>19</v>
      </c>
      <c r="K1884" s="366"/>
      <c r="L1884" s="366"/>
      <c r="M1884" s="366">
        <f t="shared" si="714"/>
        <v>0</v>
      </c>
      <c r="N1884" s="366"/>
      <c r="O1884" s="366"/>
      <c r="P1884" s="366"/>
      <c r="Q1884" s="358" t="s">
        <v>18</v>
      </c>
      <c r="R1884" s="358"/>
      <c r="S1884" s="358" t="s">
        <v>19</v>
      </c>
      <c r="T1884" s="528">
        <v>5</v>
      </c>
      <c r="U1884" s="324">
        <f t="shared" si="711"/>
        <v>0</v>
      </c>
      <c r="V1884" s="676"/>
      <c r="W1884" s="528"/>
      <c r="X1884" s="529"/>
      <c r="Y1884" s="381"/>
      <c r="Z1884" s="312">
        <f t="shared" si="691"/>
        <v>0</v>
      </c>
      <c r="AA1884" s="316">
        <f t="shared" si="715"/>
        <v>0.25</v>
      </c>
    </row>
    <row r="1885" spans="1:27" ht="51.75" thickBot="1" x14ac:dyDescent="0.45">
      <c r="A1885" s="319" t="s">
        <v>732</v>
      </c>
      <c r="B1885" s="320" t="s">
        <v>856</v>
      </c>
      <c r="C1885" s="528">
        <f t="shared" si="712"/>
        <v>0</v>
      </c>
      <c r="D1885" s="551">
        <f>C1885*16</f>
        <v>0</v>
      </c>
      <c r="E1885" s="456">
        <f t="shared" si="710"/>
        <v>0</v>
      </c>
      <c r="F1885" s="358">
        <f t="shared" si="713"/>
        <v>0</v>
      </c>
      <c r="G1885" s="556">
        <f t="shared" si="701"/>
        <v>0</v>
      </c>
      <c r="H1885" s="366" t="s">
        <v>18</v>
      </c>
      <c r="I1885" s="556">
        <f t="shared" si="702"/>
        <v>0</v>
      </c>
      <c r="J1885" s="366" t="s">
        <v>19</v>
      </c>
      <c r="K1885" s="366"/>
      <c r="L1885" s="366"/>
      <c r="M1885" s="366">
        <f t="shared" si="714"/>
        <v>0</v>
      </c>
      <c r="N1885" s="366"/>
      <c r="O1885" s="366"/>
      <c r="P1885" s="366"/>
      <c r="Q1885" s="358" t="s">
        <v>18</v>
      </c>
      <c r="R1885" s="358"/>
      <c r="S1885" s="358" t="s">
        <v>19</v>
      </c>
      <c r="T1885" s="528">
        <v>4</v>
      </c>
      <c r="U1885" s="324">
        <f t="shared" si="711"/>
        <v>0</v>
      </c>
      <c r="V1885" s="676"/>
      <c r="W1885" s="528"/>
      <c r="X1885" s="529"/>
      <c r="Y1885" s="323"/>
      <c r="Z1885" s="312">
        <f t="shared" si="691"/>
        <v>0</v>
      </c>
      <c r="AA1885" s="316">
        <f t="shared" si="715"/>
        <v>0.25</v>
      </c>
    </row>
    <row r="1886" spans="1:27" ht="51.75" thickBot="1" x14ac:dyDescent="0.45">
      <c r="A1886" s="319" t="s">
        <v>732</v>
      </c>
      <c r="B1886" s="344" t="s">
        <v>860</v>
      </c>
      <c r="C1886" s="528">
        <f>C1792</f>
        <v>0</v>
      </c>
      <c r="D1886" s="548">
        <f>C1886*12</f>
        <v>0</v>
      </c>
      <c r="E1886" s="456">
        <f>D1886*0.2</f>
        <v>0</v>
      </c>
      <c r="F1886" s="358">
        <f>E1886*0.99*1.03/147</f>
        <v>0</v>
      </c>
      <c r="G1886" s="548">
        <f t="shared" ref="G1886:G1907" si="716">INT(M1886)</f>
        <v>0</v>
      </c>
      <c r="H1886" s="358" t="s">
        <v>18</v>
      </c>
      <c r="I1886" s="548">
        <f t="shared" ref="I1886:I1907" si="717">(M1886-G1886)*64</f>
        <v>0</v>
      </c>
      <c r="J1886" s="358" t="s">
        <v>19</v>
      </c>
      <c r="K1886" s="358"/>
      <c r="L1886" s="358"/>
      <c r="M1886" s="358">
        <f>(F1886*8655)/2880</f>
        <v>0</v>
      </c>
      <c r="N1886" s="358"/>
      <c r="O1886" s="358"/>
      <c r="P1886" s="358"/>
      <c r="Q1886" s="358" t="s">
        <v>18</v>
      </c>
      <c r="R1886" s="358"/>
      <c r="S1886" s="358" t="s">
        <v>19</v>
      </c>
      <c r="T1886" s="528">
        <v>4</v>
      </c>
      <c r="U1886" s="324">
        <f>E1886/403*60</f>
        <v>0</v>
      </c>
      <c r="V1886" s="676"/>
      <c r="W1886" s="528"/>
      <c r="X1886" s="529"/>
      <c r="Y1886" s="323"/>
      <c r="Z1886" s="312">
        <f t="shared" si="691"/>
        <v>0</v>
      </c>
      <c r="AA1886" s="316">
        <f>SUM(Z1886/302.9+0.25)</f>
        <v>0.25</v>
      </c>
    </row>
    <row r="1887" spans="1:27" ht="51.75" thickBot="1" x14ac:dyDescent="0.45">
      <c r="A1887" s="319" t="s">
        <v>732</v>
      </c>
      <c r="B1887" s="344" t="s">
        <v>861</v>
      </c>
      <c r="C1887" s="528">
        <f>C1793</f>
        <v>0</v>
      </c>
      <c r="D1887" s="548">
        <f>C1887*12</f>
        <v>0</v>
      </c>
      <c r="E1887" s="456">
        <f>D1887*0.2</f>
        <v>0</v>
      </c>
      <c r="F1887" s="358">
        <f>E1887*0.99*1.03/147</f>
        <v>0</v>
      </c>
      <c r="G1887" s="548">
        <f t="shared" si="716"/>
        <v>0</v>
      </c>
      <c r="H1887" s="358" t="s">
        <v>18</v>
      </c>
      <c r="I1887" s="548">
        <f t="shared" si="717"/>
        <v>0</v>
      </c>
      <c r="J1887" s="358" t="s">
        <v>19</v>
      </c>
      <c r="K1887" s="358"/>
      <c r="L1887" s="358"/>
      <c r="M1887" s="358">
        <f>(F1887*8655)/2880</f>
        <v>0</v>
      </c>
      <c r="N1887" s="358"/>
      <c r="O1887" s="358"/>
      <c r="P1887" s="358"/>
      <c r="Q1887" s="358" t="s">
        <v>18</v>
      </c>
      <c r="R1887" s="358"/>
      <c r="S1887" s="358" t="s">
        <v>19</v>
      </c>
      <c r="T1887" s="528">
        <v>4</v>
      </c>
      <c r="U1887" s="324">
        <f>E1887/403*60</f>
        <v>0</v>
      </c>
      <c r="V1887" s="676"/>
      <c r="W1887" s="528"/>
      <c r="X1887" s="529"/>
      <c r="Y1887" s="323"/>
      <c r="Z1887" s="312">
        <f t="shared" si="691"/>
        <v>0</v>
      </c>
      <c r="AA1887" s="316">
        <f>SUM(Z1887/302.9+0.25)</f>
        <v>0.25</v>
      </c>
    </row>
    <row r="1888" spans="1:27" s="728" customFormat="1" outlineLevel="1" thickBot="1" x14ac:dyDescent="0.45">
      <c r="A1888" s="636" t="s">
        <v>732</v>
      </c>
      <c r="B1888" s="634" t="s">
        <v>1042</v>
      </c>
      <c r="C1888" s="720">
        <f>C1785</f>
        <v>0</v>
      </c>
      <c r="D1888" s="741">
        <f>C1888*12</f>
        <v>0</v>
      </c>
      <c r="E1888" s="721">
        <f t="shared" ref="E1888:E1893" si="718">D1888*0.25</f>
        <v>0</v>
      </c>
      <c r="F1888" s="722">
        <f>E1888*0.99*1.02/147</f>
        <v>0</v>
      </c>
      <c r="G1888" s="720">
        <f t="shared" si="716"/>
        <v>0</v>
      </c>
      <c r="H1888" s="722" t="s">
        <v>18</v>
      </c>
      <c r="I1888" s="720">
        <f t="shared" si="717"/>
        <v>0</v>
      </c>
      <c r="J1888" s="722" t="s">
        <v>19</v>
      </c>
      <c r="K1888" s="722"/>
      <c r="L1888" s="722"/>
      <c r="M1888" s="722">
        <f>(F1888*5880)/3456</f>
        <v>0</v>
      </c>
      <c r="N1888" s="722"/>
      <c r="O1888" s="722"/>
      <c r="P1888" s="722"/>
      <c r="Q1888" s="722" t="s">
        <v>18</v>
      </c>
      <c r="R1888" s="722"/>
      <c r="S1888" s="722" t="s">
        <v>19</v>
      </c>
      <c r="T1888" s="720">
        <v>7</v>
      </c>
      <c r="U1888" s="324">
        <f t="shared" si="711"/>
        <v>0</v>
      </c>
      <c r="V1888" s="724"/>
      <c r="W1888" s="720"/>
      <c r="X1888" s="725"/>
      <c r="Y1888" s="736"/>
      <c r="Z1888" s="727">
        <f t="shared" si="691"/>
        <v>0</v>
      </c>
      <c r="AA1888" s="815">
        <f>SUM(Z1888/459+0.25)</f>
        <v>0.25</v>
      </c>
    </row>
    <row r="1889" spans="1:27" ht="77.25" thickBot="1" x14ac:dyDescent="0.45">
      <c r="A1889" s="319" t="s">
        <v>732</v>
      </c>
      <c r="B1889" s="364" t="s">
        <v>694</v>
      </c>
      <c r="C1889" s="528">
        <f>C1683</f>
        <v>0</v>
      </c>
      <c r="D1889" s="548">
        <f>C1889*10</f>
        <v>0</v>
      </c>
      <c r="E1889" s="456">
        <f t="shared" si="718"/>
        <v>0</v>
      </c>
      <c r="F1889" s="358">
        <f>E1889*1.03*0.81/147</f>
        <v>0</v>
      </c>
      <c r="G1889" s="548">
        <f t="shared" si="716"/>
        <v>0</v>
      </c>
      <c r="H1889" s="358" t="s">
        <v>18</v>
      </c>
      <c r="I1889" s="548">
        <f t="shared" si="717"/>
        <v>0</v>
      </c>
      <c r="J1889" s="358" t="s">
        <v>19</v>
      </c>
      <c r="K1889" s="358"/>
      <c r="L1889" s="358"/>
      <c r="M1889" s="358">
        <f>(F1889*8820/3456)</f>
        <v>0</v>
      </c>
      <c r="N1889" s="324"/>
      <c r="O1889" s="324"/>
      <c r="P1889" s="324"/>
      <c r="Q1889" s="324" t="s">
        <v>18</v>
      </c>
      <c r="R1889" s="324"/>
      <c r="S1889" s="324" t="s">
        <v>19</v>
      </c>
      <c r="T1889" s="528">
        <v>7</v>
      </c>
      <c r="U1889" s="324">
        <f>E1889/220*60</f>
        <v>0</v>
      </c>
      <c r="V1889" s="676"/>
      <c r="W1889" s="528"/>
      <c r="X1889" s="529"/>
      <c r="Y1889" s="323"/>
      <c r="Z1889" s="312">
        <f t="shared" si="691"/>
        <v>0</v>
      </c>
      <c r="AA1889" s="316">
        <f>SUM(Z1889/457.4+0.25)</f>
        <v>0.25</v>
      </c>
    </row>
    <row r="1890" spans="1:27" ht="77.25" thickBot="1" x14ac:dyDescent="0.45">
      <c r="A1890" s="319" t="s">
        <v>732</v>
      </c>
      <c r="B1890" s="364" t="s">
        <v>1068</v>
      </c>
      <c r="C1890" s="528">
        <f>C1684</f>
        <v>0</v>
      </c>
      <c r="D1890" s="528">
        <f>C1890*10</f>
        <v>0</v>
      </c>
      <c r="E1890" s="460">
        <f t="shared" si="718"/>
        <v>0</v>
      </c>
      <c r="F1890" s="324">
        <f>E1890*1.03*0.81/147</f>
        <v>0</v>
      </c>
      <c r="G1890" s="528">
        <f>INT(M1890)</f>
        <v>0</v>
      </c>
      <c r="H1890" s="324" t="s">
        <v>18</v>
      </c>
      <c r="I1890" s="528">
        <f>(M1890-G1890)*64</f>
        <v>0</v>
      </c>
      <c r="J1890" s="324" t="s">
        <v>19</v>
      </c>
      <c r="K1890" s="324"/>
      <c r="L1890" s="324"/>
      <c r="M1890" s="324">
        <f>(F1890*8820/3456)</f>
        <v>0</v>
      </c>
      <c r="N1890" s="324"/>
      <c r="O1890" s="324"/>
      <c r="P1890" s="324"/>
      <c r="Q1890" s="324" t="s">
        <v>18</v>
      </c>
      <c r="R1890" s="324"/>
      <c r="S1890" s="324" t="s">
        <v>19</v>
      </c>
      <c r="T1890" s="528">
        <v>7</v>
      </c>
      <c r="U1890" s="324">
        <f>E1890/220*60</f>
        <v>0</v>
      </c>
      <c r="V1890" s="676"/>
      <c r="W1890" s="528"/>
      <c r="X1890" s="529"/>
      <c r="Y1890" s="323"/>
      <c r="Z1890" s="312">
        <f>E1890</f>
        <v>0</v>
      </c>
      <c r="AA1890" s="316">
        <f>SUM(Z1890/457.4+0.25)</f>
        <v>0.25</v>
      </c>
    </row>
    <row r="1891" spans="1:27" ht="77.25" thickBot="1" x14ac:dyDescent="0.45">
      <c r="A1891" s="319" t="s">
        <v>732</v>
      </c>
      <c r="B1891" s="364" t="s">
        <v>1072</v>
      </c>
      <c r="C1891" s="528">
        <f>C1685</f>
        <v>0</v>
      </c>
      <c r="D1891" s="528">
        <f>C1891*10</f>
        <v>0</v>
      </c>
      <c r="E1891" s="460">
        <f t="shared" si="718"/>
        <v>0</v>
      </c>
      <c r="F1891" s="324">
        <f>E1891*1.03*0.81/147</f>
        <v>0</v>
      </c>
      <c r="G1891" s="528">
        <f>INT(M1891)</f>
        <v>0</v>
      </c>
      <c r="H1891" s="324" t="s">
        <v>18</v>
      </c>
      <c r="I1891" s="528">
        <f>(M1891-G1891)*64</f>
        <v>0</v>
      </c>
      <c r="J1891" s="324" t="s">
        <v>19</v>
      </c>
      <c r="K1891" s="324"/>
      <c r="L1891" s="324"/>
      <c r="M1891" s="324">
        <f>(F1891*8820/3456)</f>
        <v>0</v>
      </c>
      <c r="N1891" s="324"/>
      <c r="O1891" s="324"/>
      <c r="P1891" s="324"/>
      <c r="Q1891" s="324" t="s">
        <v>18</v>
      </c>
      <c r="R1891" s="324"/>
      <c r="S1891" s="324" t="s">
        <v>19</v>
      </c>
      <c r="T1891" s="528">
        <v>7</v>
      </c>
      <c r="U1891" s="324">
        <f>E1891/220*60</f>
        <v>0</v>
      </c>
      <c r="V1891" s="676"/>
      <c r="W1891" s="528"/>
      <c r="X1891" s="529"/>
      <c r="Y1891" s="323"/>
      <c r="Z1891" s="312">
        <f>E1891</f>
        <v>0</v>
      </c>
      <c r="AA1891" s="316">
        <f>SUM(Z1891/392+0.25)</f>
        <v>0.25</v>
      </c>
    </row>
    <row r="1892" spans="1:27" ht="77.25" thickBot="1" x14ac:dyDescent="0.45">
      <c r="A1892" s="319" t="s">
        <v>732</v>
      </c>
      <c r="B1892" s="320" t="s">
        <v>796</v>
      </c>
      <c r="C1892" s="528">
        <f>C1677</f>
        <v>0</v>
      </c>
      <c r="D1892" s="551">
        <f>C1892*8</f>
        <v>0</v>
      </c>
      <c r="E1892" s="456">
        <f t="shared" si="718"/>
        <v>0</v>
      </c>
      <c r="F1892" s="358">
        <f>E1892*1.015*0.72/147</f>
        <v>0</v>
      </c>
      <c r="G1892" s="548">
        <f t="shared" si="716"/>
        <v>0</v>
      </c>
      <c r="H1892" s="358" t="s">
        <v>18</v>
      </c>
      <c r="I1892" s="548">
        <f t="shared" si="717"/>
        <v>0</v>
      </c>
      <c r="J1892" s="358" t="s">
        <v>19</v>
      </c>
      <c r="K1892" s="358"/>
      <c r="L1892" s="358"/>
      <c r="M1892" s="552">
        <f>(F1892*6447/3456)</f>
        <v>0</v>
      </c>
      <c r="N1892" s="324"/>
      <c r="O1892" s="324"/>
      <c r="P1892" s="324"/>
      <c r="Q1892" s="324" t="s">
        <v>18</v>
      </c>
      <c r="R1892" s="324"/>
      <c r="S1892" s="324" t="s">
        <v>19</v>
      </c>
      <c r="T1892" s="528">
        <v>3</v>
      </c>
      <c r="U1892" s="324">
        <f>E1892/259*60</f>
        <v>0</v>
      </c>
      <c r="V1892" s="676"/>
      <c r="W1892" s="528"/>
      <c r="X1892" s="529"/>
      <c r="Y1892" s="323"/>
      <c r="Z1892" s="312">
        <f t="shared" si="691"/>
        <v>0</v>
      </c>
      <c r="AA1892" s="316">
        <f>SUM(Z1892/509.7+0.25)</f>
        <v>0.25</v>
      </c>
    </row>
    <row r="1893" spans="1:27" ht="51.75" thickBot="1" x14ac:dyDescent="0.45">
      <c r="A1893" s="319" t="s">
        <v>732</v>
      </c>
      <c r="B1893" s="320" t="s">
        <v>773</v>
      </c>
      <c r="C1893" s="528">
        <f>C1787</f>
        <v>0</v>
      </c>
      <c r="D1893" s="528">
        <f>C1893*6</f>
        <v>0</v>
      </c>
      <c r="E1893" s="460">
        <f t="shared" si="718"/>
        <v>0</v>
      </c>
      <c r="F1893" s="324">
        <f>E1893*1.05*0.99/135</f>
        <v>0</v>
      </c>
      <c r="G1893" s="528">
        <f t="shared" si="716"/>
        <v>0</v>
      </c>
      <c r="H1893" s="324" t="s">
        <v>18</v>
      </c>
      <c r="I1893" s="528">
        <f t="shared" si="717"/>
        <v>0</v>
      </c>
      <c r="J1893" s="324" t="s">
        <v>19</v>
      </c>
      <c r="K1893" s="324"/>
      <c r="L1893" s="324"/>
      <c r="M1893" s="324">
        <f>(F1893*6253)/2880</f>
        <v>0</v>
      </c>
      <c r="N1893" s="324"/>
      <c r="O1893" s="324"/>
      <c r="P1893" s="324"/>
      <c r="Q1893" s="324" t="s">
        <v>18</v>
      </c>
      <c r="R1893" s="324"/>
      <c r="S1893" s="324" t="s">
        <v>19</v>
      </c>
      <c r="T1893" s="528">
        <v>3</v>
      </c>
      <c r="U1893" s="324">
        <f>E1893/226*60</f>
        <v>0</v>
      </c>
      <c r="V1893" s="676"/>
      <c r="W1893" s="528"/>
      <c r="X1893" s="529"/>
      <c r="Y1893" s="323"/>
      <c r="Z1893" s="312">
        <f t="shared" si="691"/>
        <v>0</v>
      </c>
      <c r="AA1893" s="316">
        <f>SUM(Z1893/386.7+0.25)</f>
        <v>0.25</v>
      </c>
    </row>
    <row r="1894" spans="1:27" ht="51.75" outlineLevel="1" thickBot="1" x14ac:dyDescent="0.45">
      <c r="A1894" s="319" t="s">
        <v>732</v>
      </c>
      <c r="B1894" s="363" t="s">
        <v>683</v>
      </c>
      <c r="C1894" s="528">
        <f>C1679</f>
        <v>0</v>
      </c>
      <c r="D1894" s="548">
        <f>C1894*10</f>
        <v>0</v>
      </c>
      <c r="E1894" s="456">
        <f>D1894*0.2</f>
        <v>0</v>
      </c>
      <c r="F1894" s="358">
        <f>E1894*1.03*0.82/147</f>
        <v>0</v>
      </c>
      <c r="G1894" s="548">
        <f t="shared" si="716"/>
        <v>0</v>
      </c>
      <c r="H1894" s="358" t="s">
        <v>18</v>
      </c>
      <c r="I1894" s="548">
        <f t="shared" si="717"/>
        <v>0</v>
      </c>
      <c r="J1894" s="358" t="s">
        <v>19</v>
      </c>
      <c r="K1894" s="358"/>
      <c r="L1894" s="358"/>
      <c r="M1894" s="358">
        <f>(F1894*8750/3456)</f>
        <v>0</v>
      </c>
      <c r="N1894" s="324"/>
      <c r="O1894" s="324"/>
      <c r="P1894" s="324"/>
      <c r="Q1894" s="324" t="s">
        <v>18</v>
      </c>
      <c r="R1894" s="324"/>
      <c r="S1894" s="324" t="s">
        <v>19</v>
      </c>
      <c r="T1894" s="528">
        <v>7</v>
      </c>
      <c r="U1894" s="324">
        <f>E1894/220*60</f>
        <v>0</v>
      </c>
      <c r="V1894" s="676"/>
      <c r="W1894" s="528"/>
      <c r="X1894" s="529"/>
      <c r="Y1894" s="323"/>
      <c r="Z1894" s="312">
        <f t="shared" si="691"/>
        <v>0</v>
      </c>
      <c r="AA1894" s="316">
        <f>SUM(Z1894/379.4+0.25)</f>
        <v>0.25</v>
      </c>
    </row>
    <row r="1895" spans="1:27" ht="51.75" thickBot="1" x14ac:dyDescent="0.45">
      <c r="A1895" s="319" t="s">
        <v>732</v>
      </c>
      <c r="B1895" s="320" t="s">
        <v>1021</v>
      </c>
      <c r="C1895" s="528">
        <f>C1798</f>
        <v>0</v>
      </c>
      <c r="D1895" s="530">
        <f>C1895*22</f>
        <v>0</v>
      </c>
      <c r="E1895" s="460">
        <f>D1895*0.13</f>
        <v>0</v>
      </c>
      <c r="F1895" s="324">
        <f>E1895*0.99*1.02/170</f>
        <v>0</v>
      </c>
      <c r="G1895" s="324">
        <f>INT(M1895)</f>
        <v>0</v>
      </c>
      <c r="H1895" s="324" t="s">
        <v>18</v>
      </c>
      <c r="I1895" s="528">
        <f>(M1895-G1895)*64</f>
        <v>0</v>
      </c>
      <c r="J1895" s="324" t="s">
        <v>19</v>
      </c>
      <c r="K1895" s="324"/>
      <c r="L1895" s="324"/>
      <c r="M1895" s="324">
        <f>(F1895*8500)/3456</f>
        <v>0</v>
      </c>
      <c r="N1895" s="324"/>
      <c r="O1895" s="324"/>
      <c r="P1895" s="324"/>
      <c r="Q1895" s="324" t="s">
        <v>18</v>
      </c>
      <c r="R1895" s="324"/>
      <c r="S1895" s="324" t="s">
        <v>19</v>
      </c>
      <c r="T1895" s="528">
        <v>3</v>
      </c>
      <c r="U1895" s="324">
        <f>E1895/237*60</f>
        <v>0</v>
      </c>
      <c r="V1895" s="676"/>
      <c r="W1895" s="528"/>
      <c r="X1895" s="529"/>
      <c r="Y1895" s="323"/>
      <c r="Z1895" s="312">
        <f t="shared" si="691"/>
        <v>0</v>
      </c>
      <c r="AA1895" s="316">
        <f>SUM(Z1895/377.5+0.25)</f>
        <v>0.25</v>
      </c>
    </row>
    <row r="1896" spans="1:27" ht="51.75" thickBot="1" x14ac:dyDescent="0.45">
      <c r="A1896" s="319" t="s">
        <v>732</v>
      </c>
      <c r="B1896" s="799" t="s">
        <v>1223</v>
      </c>
      <c r="C1896" s="528">
        <f>C1799</f>
        <v>0</v>
      </c>
      <c r="D1896" s="530">
        <f>C1896*12</f>
        <v>0</v>
      </c>
      <c r="E1896" s="460">
        <f>D1896*0.13</f>
        <v>0</v>
      </c>
      <c r="F1896" s="324">
        <f>E1896*0.99*1.02/170</f>
        <v>0</v>
      </c>
      <c r="G1896" s="324">
        <f>INT(M1896)</f>
        <v>0</v>
      </c>
      <c r="H1896" s="324" t="s">
        <v>18</v>
      </c>
      <c r="I1896" s="528">
        <f>(M1896-G1896)*64</f>
        <v>0</v>
      </c>
      <c r="J1896" s="324" t="s">
        <v>19</v>
      </c>
      <c r="K1896" s="324"/>
      <c r="L1896" s="324"/>
      <c r="M1896" s="324">
        <f>(F1896*8500)/3456</f>
        <v>0</v>
      </c>
      <c r="N1896" s="324"/>
      <c r="O1896" s="324"/>
      <c r="P1896" s="324"/>
      <c r="Q1896" s="324" t="s">
        <v>18</v>
      </c>
      <c r="R1896" s="324"/>
      <c r="S1896" s="324" t="s">
        <v>19</v>
      </c>
      <c r="T1896" s="528">
        <v>3</v>
      </c>
      <c r="U1896" s="324">
        <f>E1896/237*60</f>
        <v>0</v>
      </c>
      <c r="V1896" s="676"/>
      <c r="W1896" s="528"/>
      <c r="X1896" s="529"/>
      <c r="Y1896" s="323"/>
      <c r="Z1896" s="312">
        <f>E1896</f>
        <v>0</v>
      </c>
      <c r="AA1896" s="316">
        <f>SUM(Z1896/377.5+0.25)</f>
        <v>0.25</v>
      </c>
    </row>
    <row r="1897" spans="1:27" ht="51.75" thickBot="1" x14ac:dyDescent="0.45">
      <c r="A1897" s="319" t="s">
        <v>732</v>
      </c>
      <c r="B1897" s="344" t="s">
        <v>846</v>
      </c>
      <c r="C1897" s="528">
        <f>C1794</f>
        <v>0</v>
      </c>
      <c r="D1897" s="551">
        <f>C1897*12</f>
        <v>0</v>
      </c>
      <c r="E1897" s="456">
        <f t="shared" ref="E1897:E1902" si="719">D1897*0.25</f>
        <v>0</v>
      </c>
      <c r="F1897" s="358">
        <f t="shared" ref="F1897:F1902" si="720">E1897*0.99*1.03/147</f>
        <v>0</v>
      </c>
      <c r="G1897" s="548">
        <f t="shared" si="716"/>
        <v>0</v>
      </c>
      <c r="H1897" s="358" t="s">
        <v>18</v>
      </c>
      <c r="I1897" s="548">
        <f t="shared" si="717"/>
        <v>0</v>
      </c>
      <c r="J1897" s="358" t="s">
        <v>19</v>
      </c>
      <c r="K1897" s="358"/>
      <c r="L1897" s="358"/>
      <c r="M1897" s="358">
        <f t="shared" ref="M1897:M1902" si="721">(F1897*6989)/2880</f>
        <v>0</v>
      </c>
      <c r="N1897" s="358"/>
      <c r="O1897" s="358"/>
      <c r="P1897" s="358"/>
      <c r="Q1897" s="358" t="s">
        <v>18</v>
      </c>
      <c r="R1897" s="358"/>
      <c r="S1897" s="358" t="s">
        <v>19</v>
      </c>
      <c r="T1897" s="528">
        <v>3</v>
      </c>
      <c r="U1897" s="324">
        <f t="shared" ref="U1897:U1902" si="722">E1897/403*60</f>
        <v>0</v>
      </c>
      <c r="V1897" s="676"/>
      <c r="W1897" s="528"/>
      <c r="X1897" s="529"/>
      <c r="Y1897" s="323"/>
      <c r="Z1897" s="312">
        <f t="shared" si="691"/>
        <v>0</v>
      </c>
      <c r="AA1897" s="316">
        <f>SUM(Z1897/385.6+0.25)</f>
        <v>0.25</v>
      </c>
    </row>
    <row r="1898" spans="1:27" ht="51.75" thickBot="1" x14ac:dyDescent="0.45">
      <c r="A1898" s="319" t="s">
        <v>732</v>
      </c>
      <c r="B1898" s="344" t="s">
        <v>847</v>
      </c>
      <c r="C1898" s="528">
        <f>C1795</f>
        <v>0</v>
      </c>
      <c r="D1898" s="551">
        <f>C1898*12</f>
        <v>0</v>
      </c>
      <c r="E1898" s="456">
        <f t="shared" si="719"/>
        <v>0</v>
      </c>
      <c r="F1898" s="358">
        <f t="shared" si="720"/>
        <v>0</v>
      </c>
      <c r="G1898" s="548">
        <f t="shared" si="716"/>
        <v>0</v>
      </c>
      <c r="H1898" s="358" t="s">
        <v>18</v>
      </c>
      <c r="I1898" s="548">
        <f t="shared" si="717"/>
        <v>0</v>
      </c>
      <c r="J1898" s="358" t="s">
        <v>19</v>
      </c>
      <c r="K1898" s="358"/>
      <c r="L1898" s="358"/>
      <c r="M1898" s="358">
        <f t="shared" si="721"/>
        <v>0</v>
      </c>
      <c r="N1898" s="358"/>
      <c r="O1898" s="358"/>
      <c r="P1898" s="358"/>
      <c r="Q1898" s="358" t="s">
        <v>18</v>
      </c>
      <c r="R1898" s="358"/>
      <c r="S1898" s="358" t="s">
        <v>19</v>
      </c>
      <c r="T1898" s="528">
        <v>3</v>
      </c>
      <c r="U1898" s="324">
        <f t="shared" si="722"/>
        <v>0</v>
      </c>
      <c r="V1898" s="676"/>
      <c r="W1898" s="528"/>
      <c r="X1898" s="529"/>
      <c r="Y1898" s="323"/>
      <c r="Z1898" s="312">
        <f t="shared" si="691"/>
        <v>0</v>
      </c>
      <c r="AA1898" s="316">
        <f>SUM(Z1898/385.6+0.25)</f>
        <v>0.25</v>
      </c>
    </row>
    <row r="1899" spans="1:27" ht="51.75" thickBot="1" x14ac:dyDescent="0.45">
      <c r="A1899" s="319" t="s">
        <v>732</v>
      </c>
      <c r="B1899" s="371" t="s">
        <v>848</v>
      </c>
      <c r="C1899" s="528">
        <f>C2554</f>
        <v>0</v>
      </c>
      <c r="D1899" s="551">
        <f>C1899*12</f>
        <v>0</v>
      </c>
      <c r="E1899" s="456">
        <f t="shared" si="719"/>
        <v>0</v>
      </c>
      <c r="F1899" s="358">
        <f t="shared" si="720"/>
        <v>0</v>
      </c>
      <c r="G1899" s="548">
        <f t="shared" ref="G1899:G1904" si="723">INT(M1899)</f>
        <v>0</v>
      </c>
      <c r="H1899" s="358" t="s">
        <v>18</v>
      </c>
      <c r="I1899" s="548">
        <f t="shared" ref="I1899:I1904" si="724">(M1899-G1899)*64</f>
        <v>0</v>
      </c>
      <c r="J1899" s="358" t="s">
        <v>19</v>
      </c>
      <c r="K1899" s="358"/>
      <c r="L1899" s="358"/>
      <c r="M1899" s="358">
        <f t="shared" si="721"/>
        <v>0</v>
      </c>
      <c r="N1899" s="358"/>
      <c r="O1899" s="358"/>
      <c r="P1899" s="358"/>
      <c r="Q1899" s="358" t="s">
        <v>18</v>
      </c>
      <c r="R1899" s="358"/>
      <c r="S1899" s="358" t="s">
        <v>19</v>
      </c>
      <c r="T1899" s="528">
        <v>3</v>
      </c>
      <c r="U1899" s="324">
        <f t="shared" si="722"/>
        <v>0</v>
      </c>
      <c r="V1899" s="676"/>
      <c r="W1899" s="528"/>
      <c r="X1899" s="529"/>
      <c r="Y1899" s="323"/>
      <c r="Z1899" s="312">
        <f t="shared" ref="Z1899:Z1904" si="725">E1899</f>
        <v>0</v>
      </c>
      <c r="AA1899" s="316">
        <f>SUM(Z1899/625+0.25)</f>
        <v>0.25</v>
      </c>
    </row>
    <row r="1900" spans="1:27" ht="51.75" thickBot="1" x14ac:dyDescent="0.45">
      <c r="A1900" s="319" t="s">
        <v>732</v>
      </c>
      <c r="B1900" s="879" t="s">
        <v>1211</v>
      </c>
      <c r="C1900" s="528">
        <f>C1796</f>
        <v>0</v>
      </c>
      <c r="D1900" s="551">
        <f>C1900*14</f>
        <v>0</v>
      </c>
      <c r="E1900" s="456">
        <f t="shared" si="719"/>
        <v>0</v>
      </c>
      <c r="F1900" s="358">
        <f t="shared" si="720"/>
        <v>0</v>
      </c>
      <c r="G1900" s="548">
        <f t="shared" si="723"/>
        <v>0</v>
      </c>
      <c r="H1900" s="358" t="s">
        <v>18</v>
      </c>
      <c r="I1900" s="548">
        <f t="shared" si="724"/>
        <v>0</v>
      </c>
      <c r="J1900" s="358" t="s">
        <v>19</v>
      </c>
      <c r="K1900" s="358"/>
      <c r="L1900" s="358"/>
      <c r="M1900" s="358">
        <f t="shared" si="721"/>
        <v>0</v>
      </c>
      <c r="N1900" s="358"/>
      <c r="O1900" s="358"/>
      <c r="P1900" s="358"/>
      <c r="Q1900" s="358" t="s">
        <v>18</v>
      </c>
      <c r="R1900" s="358"/>
      <c r="S1900" s="358" t="s">
        <v>19</v>
      </c>
      <c r="T1900" s="528">
        <v>3</v>
      </c>
      <c r="U1900" s="324">
        <f t="shared" si="722"/>
        <v>0</v>
      </c>
      <c r="V1900" s="676"/>
      <c r="W1900" s="528"/>
      <c r="X1900" s="529"/>
      <c r="Y1900" s="323"/>
      <c r="Z1900" s="312">
        <f t="shared" si="725"/>
        <v>0</v>
      </c>
      <c r="AA1900" s="316">
        <f>SUM(Z1900/385.6+0.25)</f>
        <v>0.25</v>
      </c>
    </row>
    <row r="1901" spans="1:27" ht="51.75" thickBot="1" x14ac:dyDescent="0.45">
      <c r="A1901" s="319" t="s">
        <v>732</v>
      </c>
      <c r="B1901" s="879" t="s">
        <v>1213</v>
      </c>
      <c r="C1901" s="528">
        <f>C1797</f>
        <v>0</v>
      </c>
      <c r="D1901" s="551">
        <f>C1901*14</f>
        <v>0</v>
      </c>
      <c r="E1901" s="456">
        <f t="shared" si="719"/>
        <v>0</v>
      </c>
      <c r="F1901" s="358">
        <f t="shared" si="720"/>
        <v>0</v>
      </c>
      <c r="G1901" s="548">
        <f t="shared" si="723"/>
        <v>0</v>
      </c>
      <c r="H1901" s="358" t="s">
        <v>18</v>
      </c>
      <c r="I1901" s="548">
        <f t="shared" si="724"/>
        <v>0</v>
      </c>
      <c r="J1901" s="358" t="s">
        <v>19</v>
      </c>
      <c r="K1901" s="358"/>
      <c r="L1901" s="358"/>
      <c r="M1901" s="358">
        <f t="shared" si="721"/>
        <v>0</v>
      </c>
      <c r="N1901" s="358"/>
      <c r="O1901" s="358"/>
      <c r="P1901" s="358"/>
      <c r="Q1901" s="358" t="s">
        <v>18</v>
      </c>
      <c r="R1901" s="358"/>
      <c r="S1901" s="358" t="s">
        <v>19</v>
      </c>
      <c r="T1901" s="528">
        <v>3</v>
      </c>
      <c r="U1901" s="324">
        <f t="shared" si="722"/>
        <v>0</v>
      </c>
      <c r="V1901" s="676"/>
      <c r="W1901" s="528"/>
      <c r="X1901" s="529"/>
      <c r="Y1901" s="323"/>
      <c r="Z1901" s="312">
        <f t="shared" si="725"/>
        <v>0</v>
      </c>
      <c r="AA1901" s="316">
        <f>SUM(Z1901/385.6+0.25)</f>
        <v>0.25</v>
      </c>
    </row>
    <row r="1902" spans="1:27" ht="51.75" thickBot="1" x14ac:dyDescent="0.45">
      <c r="A1902" s="319" t="s">
        <v>732</v>
      </c>
      <c r="B1902" s="880" t="s">
        <v>1212</v>
      </c>
      <c r="C1902" s="528">
        <f>C2557</f>
        <v>0</v>
      </c>
      <c r="D1902" s="551">
        <f>C1902*14</f>
        <v>0</v>
      </c>
      <c r="E1902" s="456">
        <f t="shared" si="719"/>
        <v>0</v>
      </c>
      <c r="F1902" s="358">
        <f t="shared" si="720"/>
        <v>0</v>
      </c>
      <c r="G1902" s="548">
        <f t="shared" si="723"/>
        <v>0</v>
      </c>
      <c r="H1902" s="358" t="s">
        <v>18</v>
      </c>
      <c r="I1902" s="548">
        <f t="shared" si="724"/>
        <v>0</v>
      </c>
      <c r="J1902" s="358" t="s">
        <v>19</v>
      </c>
      <c r="K1902" s="358"/>
      <c r="L1902" s="358"/>
      <c r="M1902" s="358">
        <f t="shared" si="721"/>
        <v>0</v>
      </c>
      <c r="N1902" s="358"/>
      <c r="O1902" s="358"/>
      <c r="P1902" s="358"/>
      <c r="Q1902" s="358" t="s">
        <v>18</v>
      </c>
      <c r="R1902" s="358"/>
      <c r="S1902" s="358" t="s">
        <v>19</v>
      </c>
      <c r="T1902" s="528">
        <v>4</v>
      </c>
      <c r="U1902" s="324">
        <f t="shared" si="722"/>
        <v>0</v>
      </c>
      <c r="V1902" s="676"/>
      <c r="W1902" s="528"/>
      <c r="X1902" s="529"/>
      <c r="Y1902" s="323"/>
      <c r="Z1902" s="312">
        <f t="shared" si="725"/>
        <v>0</v>
      </c>
      <c r="AA1902" s="316">
        <f>SUM(Z1902/625+0.25)</f>
        <v>0.25</v>
      </c>
    </row>
    <row r="1903" spans="1:27" ht="77.25" thickBot="1" x14ac:dyDescent="0.45">
      <c r="A1903" s="319" t="s">
        <v>732</v>
      </c>
      <c r="B1903" s="362" t="s">
        <v>1182</v>
      </c>
      <c r="C1903" s="528">
        <f>C1803</f>
        <v>0</v>
      </c>
      <c r="D1903" s="530">
        <f>C1903*10</f>
        <v>0</v>
      </c>
      <c r="E1903" s="460">
        <f>D1903*0.26</f>
        <v>0</v>
      </c>
      <c r="F1903" s="324">
        <f>E1903*0.99*1.02/170</f>
        <v>0</v>
      </c>
      <c r="G1903" s="324">
        <f t="shared" si="723"/>
        <v>0</v>
      </c>
      <c r="H1903" s="324" t="s">
        <v>18</v>
      </c>
      <c r="I1903" s="528">
        <f t="shared" si="724"/>
        <v>0</v>
      </c>
      <c r="J1903" s="324" t="s">
        <v>19</v>
      </c>
      <c r="K1903" s="324"/>
      <c r="L1903" s="324"/>
      <c r="M1903" s="324">
        <f>(F1903*8500)/3456</f>
        <v>0</v>
      </c>
      <c r="N1903" s="324"/>
      <c r="O1903" s="324"/>
      <c r="P1903" s="324"/>
      <c r="Q1903" s="324" t="s">
        <v>18</v>
      </c>
      <c r="R1903" s="324"/>
      <c r="S1903" s="324" t="s">
        <v>19</v>
      </c>
      <c r="T1903" s="528">
        <v>3</v>
      </c>
      <c r="U1903" s="324">
        <f>E1903/237*60</f>
        <v>0</v>
      </c>
      <c r="V1903" s="676"/>
      <c r="W1903" s="528"/>
      <c r="X1903" s="529"/>
      <c r="Y1903" s="323"/>
      <c r="Z1903" s="312">
        <f t="shared" si="725"/>
        <v>0</v>
      </c>
      <c r="AA1903" s="316">
        <f>SUM(Z1903/377.5+0.25)</f>
        <v>0.25</v>
      </c>
    </row>
    <row r="1904" spans="1:27" ht="77.25" thickBot="1" x14ac:dyDescent="0.45">
      <c r="A1904" s="319" t="s">
        <v>732</v>
      </c>
      <c r="B1904" s="799" t="s">
        <v>1214</v>
      </c>
      <c r="C1904" s="528">
        <f>C1788</f>
        <v>0</v>
      </c>
      <c r="D1904" s="528">
        <f>C1904*14</f>
        <v>0</v>
      </c>
      <c r="E1904" s="460">
        <f>D1904*0.25</f>
        <v>0</v>
      </c>
      <c r="F1904" s="324">
        <f>E1904*1.05*0.99/135</f>
        <v>0</v>
      </c>
      <c r="G1904" s="528">
        <f t="shared" si="723"/>
        <v>0</v>
      </c>
      <c r="H1904" s="324" t="s">
        <v>18</v>
      </c>
      <c r="I1904" s="528">
        <f t="shared" si="724"/>
        <v>0</v>
      </c>
      <c r="J1904" s="324" t="s">
        <v>19</v>
      </c>
      <c r="K1904" s="324"/>
      <c r="L1904" s="324"/>
      <c r="M1904" s="324">
        <f>(F1904*6253)/2880</f>
        <v>0</v>
      </c>
      <c r="N1904" s="324"/>
      <c r="O1904" s="324"/>
      <c r="P1904" s="324"/>
      <c r="Q1904" s="324" t="s">
        <v>18</v>
      </c>
      <c r="R1904" s="324"/>
      <c r="S1904" s="324" t="s">
        <v>19</v>
      </c>
      <c r="T1904" s="528">
        <v>3</v>
      </c>
      <c r="U1904" s="676"/>
      <c r="V1904" s="528"/>
      <c r="W1904" s="529"/>
      <c r="X1904" s="323"/>
      <c r="Y1904" s="312"/>
      <c r="Z1904" s="312">
        <f t="shared" si="725"/>
        <v>0</v>
      </c>
      <c r="AA1904" s="316">
        <f>SUM(Z1904/387+0.25)</f>
        <v>0.25</v>
      </c>
    </row>
    <row r="1905" spans="1:27" thickBot="1" x14ac:dyDescent="0.45">
      <c r="A1905" s="319"/>
      <c r="B1905" s="477" t="s">
        <v>989</v>
      </c>
      <c r="C1905" s="572"/>
      <c r="D1905" s="551"/>
      <c r="E1905" s="456"/>
      <c r="F1905" s="358"/>
      <c r="G1905" s="548"/>
      <c r="H1905" s="358"/>
      <c r="I1905" s="548"/>
      <c r="J1905" s="358"/>
      <c r="K1905" s="358"/>
      <c r="L1905" s="358"/>
      <c r="M1905" s="358"/>
      <c r="N1905" s="358"/>
      <c r="O1905" s="358"/>
      <c r="P1905" s="358"/>
      <c r="Q1905" s="358"/>
      <c r="R1905" s="358"/>
      <c r="S1905" s="358"/>
      <c r="T1905" s="528"/>
      <c r="U1905" s="324"/>
      <c r="V1905" s="676"/>
      <c r="W1905" s="528"/>
      <c r="X1905" s="529"/>
      <c r="Y1905" s="323"/>
    </row>
    <row r="1906" spans="1:27" ht="51.75" thickBot="1" x14ac:dyDescent="0.45">
      <c r="A1906" s="319" t="s">
        <v>732</v>
      </c>
      <c r="B1906" s="320" t="s">
        <v>614</v>
      </c>
      <c r="C1906" s="586">
        <f>C1931</f>
        <v>0</v>
      </c>
      <c r="D1906" s="533">
        <f>C1906*12</f>
        <v>0</v>
      </c>
      <c r="E1906" s="534">
        <f>D1906*0.2</f>
        <v>0</v>
      </c>
      <c r="F1906" s="321">
        <f>D1906*22*0.0086/24.7</f>
        <v>0</v>
      </c>
      <c r="G1906" s="533">
        <f t="shared" si="716"/>
        <v>0</v>
      </c>
      <c r="H1906" s="321" t="s">
        <v>18</v>
      </c>
      <c r="I1906" s="533">
        <f t="shared" si="717"/>
        <v>0</v>
      </c>
      <c r="J1906" s="321" t="s">
        <v>19</v>
      </c>
      <c r="K1906" s="324"/>
      <c r="L1906" s="324"/>
      <c r="M1906" s="321">
        <f>F1906*3024/16128</f>
        <v>0</v>
      </c>
      <c r="N1906" s="324"/>
      <c r="O1906" s="324"/>
      <c r="P1906" s="324"/>
      <c r="Q1906" s="324" t="s">
        <v>18</v>
      </c>
      <c r="R1906" s="324"/>
      <c r="S1906" s="324" t="s">
        <v>19</v>
      </c>
      <c r="T1906" s="528">
        <v>7</v>
      </c>
      <c r="U1906" s="324">
        <f>E1906/207*60</f>
        <v>0</v>
      </c>
      <c r="V1906" s="676"/>
      <c r="W1906" s="528"/>
      <c r="X1906" s="529"/>
      <c r="Y1906" s="360"/>
      <c r="Z1906" s="312">
        <f>E1906</f>
        <v>0</v>
      </c>
      <c r="AA1906" s="316">
        <f>AA1931</f>
        <v>0.25</v>
      </c>
    </row>
    <row r="1907" spans="1:27" ht="51.75" thickBot="1" x14ac:dyDescent="0.45">
      <c r="A1907" s="319" t="s">
        <v>732</v>
      </c>
      <c r="B1907" s="328" t="s">
        <v>615</v>
      </c>
      <c r="C1907" s="586">
        <f>C1932</f>
        <v>0</v>
      </c>
      <c r="D1907" s="533">
        <f>C1907*12</f>
        <v>0</v>
      </c>
      <c r="E1907" s="534">
        <f>D1907*0.2</f>
        <v>0</v>
      </c>
      <c r="F1907" s="321">
        <f>D1907*22*0.0086/24.7</f>
        <v>0</v>
      </c>
      <c r="G1907" s="533">
        <f t="shared" si="716"/>
        <v>0</v>
      </c>
      <c r="H1907" s="321" t="s">
        <v>18</v>
      </c>
      <c r="I1907" s="533">
        <f t="shared" si="717"/>
        <v>0</v>
      </c>
      <c r="J1907" s="321" t="s">
        <v>19</v>
      </c>
      <c r="K1907" s="324"/>
      <c r="L1907" s="324"/>
      <c r="M1907" s="321">
        <f>F1907*3024/16128</f>
        <v>0</v>
      </c>
      <c r="N1907" s="324"/>
      <c r="O1907" s="324"/>
      <c r="P1907" s="324"/>
      <c r="Q1907" s="324" t="s">
        <v>18</v>
      </c>
      <c r="R1907" s="324"/>
      <c r="S1907" s="324" t="s">
        <v>19</v>
      </c>
      <c r="T1907" s="528">
        <v>7</v>
      </c>
      <c r="U1907" s="324">
        <f>E1907/207*60</f>
        <v>0</v>
      </c>
      <c r="V1907" s="689"/>
      <c r="W1907" s="561"/>
      <c r="X1907" s="562"/>
      <c r="Y1907" s="360"/>
      <c r="Z1907" s="312">
        <f>E1907</f>
        <v>0</v>
      </c>
      <c r="AA1907" s="316">
        <f>AA1932</f>
        <v>0.25</v>
      </c>
    </row>
    <row r="1908" spans="1:27" thickBot="1" x14ac:dyDescent="0.45">
      <c r="A1908" s="329"/>
      <c r="B1908" s="344"/>
      <c r="C1908" s="536"/>
      <c r="D1908" s="528"/>
      <c r="E1908" s="460"/>
      <c r="F1908" s="324"/>
      <c r="G1908" s="528"/>
      <c r="H1908" s="324"/>
      <c r="I1908" s="528"/>
      <c r="J1908" s="324"/>
      <c r="K1908" s="324"/>
      <c r="L1908" s="324"/>
      <c r="M1908" s="324"/>
      <c r="N1908" s="324"/>
      <c r="O1908" s="324"/>
      <c r="P1908" s="324"/>
      <c r="Q1908" s="324"/>
      <c r="R1908" s="324"/>
      <c r="S1908" s="324"/>
      <c r="T1908" s="561"/>
      <c r="U1908" s="324"/>
      <c r="V1908" s="676"/>
      <c r="W1908" s="528"/>
      <c r="X1908" s="529"/>
      <c r="Y1908" s="323"/>
    </row>
    <row r="1909" spans="1:27" thickBot="1" x14ac:dyDescent="0.45">
      <c r="A1909" s="329"/>
      <c r="B1909" s="344"/>
      <c r="C1909" s="536"/>
      <c r="D1909" s="528"/>
      <c r="E1909" s="460"/>
      <c r="F1909" s="324"/>
      <c r="G1909" s="528"/>
      <c r="H1909" s="324"/>
      <c r="I1909" s="528"/>
      <c r="J1909" s="324"/>
      <c r="K1909" s="324"/>
      <c r="L1909" s="324"/>
      <c r="M1909" s="324"/>
      <c r="N1909" s="324"/>
      <c r="O1909" s="324"/>
      <c r="P1909" s="324"/>
      <c r="Q1909" s="324"/>
      <c r="R1909" s="324"/>
      <c r="S1909" s="324"/>
      <c r="T1909" s="561"/>
      <c r="U1909" s="324"/>
      <c r="V1909" s="676"/>
      <c r="W1909" s="528"/>
      <c r="X1909" s="529"/>
      <c r="Y1909" s="323"/>
    </row>
    <row r="1910" spans="1:27" ht="53.25" thickBot="1" x14ac:dyDescent="0.45">
      <c r="A1910" s="319"/>
      <c r="B1910" s="394" t="s">
        <v>695</v>
      </c>
      <c r="C1910" s="537"/>
      <c r="D1910" s="537"/>
      <c r="E1910" s="496"/>
      <c r="F1910" s="354"/>
      <c r="G1910" s="537"/>
      <c r="H1910" s="354"/>
      <c r="I1910" s="537"/>
      <c r="J1910" s="354"/>
      <c r="K1910" s="354"/>
      <c r="L1910" s="354"/>
      <c r="M1910" s="354"/>
      <c r="N1910" s="354"/>
      <c r="O1910" s="354"/>
      <c r="P1910" s="354"/>
      <c r="Q1910" s="354"/>
      <c r="R1910" s="354"/>
      <c r="S1910" s="354"/>
      <c r="T1910" s="537"/>
      <c r="U1910" s="354"/>
      <c r="V1910" s="682" t="s">
        <v>697</v>
      </c>
      <c r="W1910" s="537"/>
      <c r="X1910" s="540"/>
      <c r="Y1910" s="323"/>
    </row>
    <row r="1911" spans="1:27" thickBot="1" x14ac:dyDescent="0.45">
      <c r="A1911" s="319"/>
      <c r="B1911" s="418"/>
      <c r="C1911" s="528"/>
      <c r="D1911" s="528"/>
      <c r="E1911" s="460"/>
      <c r="F1911" s="324"/>
      <c r="G1911" s="528"/>
      <c r="H1911" s="324"/>
      <c r="I1911" s="528"/>
      <c r="J1911" s="324"/>
      <c r="K1911" s="324"/>
      <c r="L1911" s="324"/>
      <c r="M1911" s="324"/>
      <c r="N1911" s="324"/>
      <c r="O1911" s="324"/>
      <c r="P1911" s="324"/>
      <c r="Q1911" s="324"/>
      <c r="R1911" s="324"/>
      <c r="S1911" s="324"/>
      <c r="T1911" s="528"/>
      <c r="U1911" s="324"/>
      <c r="V1911" s="676"/>
      <c r="W1911" s="528"/>
      <c r="X1911" s="529"/>
      <c r="Y1911" s="323"/>
    </row>
    <row r="1912" spans="1:27" thickBot="1" x14ac:dyDescent="0.45">
      <c r="A1912" s="329"/>
      <c r="B1912" s="346"/>
      <c r="C1912" s="528"/>
      <c r="D1912" s="528"/>
      <c r="E1912" s="460"/>
      <c r="F1912" s="324"/>
      <c r="G1912" s="528"/>
      <c r="H1912" s="324"/>
      <c r="I1912" s="528"/>
      <c r="J1912" s="324"/>
      <c r="K1912" s="324"/>
      <c r="L1912" s="324"/>
      <c r="M1912" s="324"/>
      <c r="N1912" s="324"/>
      <c r="O1912" s="324"/>
      <c r="P1912" s="324"/>
      <c r="Q1912" s="324"/>
      <c r="R1912" s="324"/>
      <c r="S1912" s="324"/>
      <c r="T1912" s="528"/>
      <c r="U1912" s="324"/>
      <c r="V1912" s="676"/>
      <c r="W1912" s="528"/>
      <c r="X1912" s="529"/>
      <c r="Y1912" s="323"/>
    </row>
    <row r="1913" spans="1:27" thickBot="1" x14ac:dyDescent="0.45">
      <c r="A1913" s="329"/>
      <c r="B1913" s="382" t="s">
        <v>147</v>
      </c>
      <c r="C1913" s="537"/>
      <c r="D1913" s="537"/>
      <c r="E1913" s="496">
        <f>SUM(E1816:E1903)</f>
        <v>0</v>
      </c>
      <c r="F1913" s="324"/>
      <c r="G1913" s="528"/>
      <c r="H1913" s="324"/>
      <c r="I1913" s="528"/>
      <c r="J1913" s="324"/>
      <c r="K1913" s="324"/>
      <c r="L1913" s="324"/>
      <c r="M1913" s="324"/>
      <c r="N1913" s="324"/>
      <c r="O1913" s="324"/>
      <c r="P1913" s="324"/>
      <c r="Q1913" s="324"/>
      <c r="R1913" s="324"/>
      <c r="S1913" s="324"/>
      <c r="T1913" s="528"/>
      <c r="U1913" s="324"/>
      <c r="V1913" s="676"/>
      <c r="W1913" s="528"/>
      <c r="X1913" s="529"/>
      <c r="Y1913" s="323"/>
    </row>
    <row r="1914" spans="1:27" thickBot="1" x14ac:dyDescent="0.45">
      <c r="A1914" s="329"/>
      <c r="B1914" s="382" t="s">
        <v>709</v>
      </c>
      <c r="C1914" s="537"/>
      <c r="D1914" s="537"/>
      <c r="E1914" s="496">
        <f>E1906+E1907</f>
        <v>0</v>
      </c>
      <c r="F1914" s="324"/>
      <c r="G1914" s="528"/>
      <c r="H1914" s="324"/>
      <c r="I1914" s="528"/>
      <c r="J1914" s="324"/>
      <c r="K1914" s="324"/>
      <c r="L1914" s="324"/>
      <c r="M1914" s="324"/>
      <c r="N1914" s="324"/>
      <c r="O1914" s="324"/>
      <c r="P1914" s="324"/>
      <c r="Q1914" s="324"/>
      <c r="R1914" s="324"/>
      <c r="S1914" s="324"/>
      <c r="T1914" s="528"/>
      <c r="U1914" s="324"/>
      <c r="V1914" s="676"/>
      <c r="W1914" s="528"/>
      <c r="X1914" s="529"/>
      <c r="Y1914" s="323"/>
    </row>
    <row r="1915" spans="1:27" thickBot="1" x14ac:dyDescent="0.45">
      <c r="A1915" s="350"/>
      <c r="B1915" s="356"/>
      <c r="C1915" s="528"/>
      <c r="D1915" s="528"/>
      <c r="E1915" s="460"/>
      <c r="F1915" s="324"/>
      <c r="G1915" s="528"/>
      <c r="H1915" s="324"/>
      <c r="I1915" s="528"/>
      <c r="J1915" s="324"/>
      <c r="K1915" s="324"/>
      <c r="L1915" s="324"/>
      <c r="M1915" s="324"/>
      <c r="N1915" s="324"/>
      <c r="O1915" s="324"/>
      <c r="P1915" s="324"/>
      <c r="Q1915" s="324"/>
      <c r="R1915" s="324"/>
      <c r="S1915" s="324"/>
      <c r="T1915" s="528"/>
      <c r="U1915" s="324"/>
      <c r="V1915" s="676"/>
      <c r="W1915" s="528"/>
      <c r="X1915" s="529"/>
      <c r="Y1915" s="323"/>
    </row>
    <row r="1916" spans="1:27" thickBot="1" x14ac:dyDescent="0.45">
      <c r="A1916" s="350"/>
      <c r="B1916" s="356"/>
      <c r="C1916" s="528"/>
      <c r="D1916" s="528"/>
      <c r="E1916" s="460"/>
      <c r="F1916" s="324"/>
      <c r="G1916" s="528"/>
      <c r="H1916" s="324"/>
      <c r="I1916" s="528"/>
      <c r="J1916" s="324"/>
      <c r="K1916" s="324"/>
      <c r="L1916" s="324"/>
      <c r="M1916" s="324"/>
      <c r="N1916" s="324"/>
      <c r="O1916" s="324"/>
      <c r="P1916" s="324"/>
      <c r="Q1916" s="324"/>
      <c r="R1916" s="324"/>
      <c r="S1916" s="324"/>
      <c r="T1916" s="528"/>
      <c r="U1916" s="324"/>
      <c r="V1916" s="676"/>
      <c r="W1916" s="528"/>
      <c r="X1916" s="529"/>
      <c r="Y1916" s="323"/>
    </row>
    <row r="1917" spans="1:27" outlineLevel="1" thickBot="1" x14ac:dyDescent="0.45">
      <c r="A1917" s="829"/>
      <c r="B1917" s="305" t="s">
        <v>300</v>
      </c>
      <c r="C1917" s="559"/>
      <c r="D1917" s="559"/>
      <c r="E1917" s="510"/>
      <c r="F1917" s="471"/>
      <c r="G1917" s="559"/>
      <c r="H1917" s="471"/>
      <c r="I1917" s="559"/>
      <c r="J1917" s="471"/>
      <c r="K1917" s="471"/>
      <c r="L1917" s="471"/>
      <c r="M1917" s="471"/>
      <c r="N1917" s="471"/>
      <c r="O1917" s="471"/>
      <c r="P1917" s="471"/>
      <c r="Q1917" s="471"/>
      <c r="R1917" s="471"/>
      <c r="S1917" s="471"/>
      <c r="T1917" s="559"/>
      <c r="U1917" s="471"/>
      <c r="V1917" s="687"/>
      <c r="W1917" s="471"/>
      <c r="X1917" s="471"/>
      <c r="Y1917" s="373"/>
      <c r="AA1917" s="391" t="s">
        <v>676</v>
      </c>
    </row>
    <row r="1918" spans="1:27" outlineLevel="1" thickBot="1" x14ac:dyDescent="0.45">
      <c r="A1918" s="830"/>
      <c r="B1918" s="395" t="s">
        <v>294</v>
      </c>
      <c r="C1918" s="528"/>
      <c r="D1918" s="528"/>
      <c r="E1918" s="460"/>
      <c r="F1918" s="324"/>
      <c r="G1918" s="528"/>
      <c r="H1918" s="324"/>
      <c r="I1918" s="528"/>
      <c r="J1918" s="324"/>
      <c r="K1918" s="324"/>
      <c r="L1918" s="324"/>
      <c r="M1918" s="324"/>
      <c r="N1918" s="324"/>
      <c r="O1918" s="324"/>
      <c r="P1918" s="324"/>
      <c r="Q1918" s="324"/>
      <c r="R1918" s="324"/>
      <c r="S1918" s="324"/>
      <c r="T1918" s="528"/>
      <c r="U1918" s="324"/>
      <c r="V1918" s="676"/>
      <c r="W1918" s="324"/>
      <c r="X1918" s="529"/>
      <c r="Y1918" s="323"/>
    </row>
    <row r="1919" spans="1:27" ht="77.25" outlineLevel="1" thickBot="1" x14ac:dyDescent="0.45">
      <c r="A1919" s="319" t="s">
        <v>723</v>
      </c>
      <c r="B1919" s="320" t="s">
        <v>609</v>
      </c>
      <c r="C1919" s="586">
        <f>C54</f>
        <v>0</v>
      </c>
      <c r="D1919" s="533"/>
      <c r="E1919" s="534">
        <f t="shared" ref="E1919:E1925" si="726">C1919*2</f>
        <v>0</v>
      </c>
      <c r="F1919" s="321">
        <f t="shared" ref="F1919:F1924" si="727">E1919*0.76*1.034/20</f>
        <v>0</v>
      </c>
      <c r="G1919" s="533">
        <f t="shared" ref="G1919:G1926" si="728">INT(M1919)</f>
        <v>0</v>
      </c>
      <c r="H1919" s="321" t="s">
        <v>18</v>
      </c>
      <c r="I1919" s="533">
        <f t="shared" ref="I1919:I1925" si="729">(M1919-G1919)*64</f>
        <v>0</v>
      </c>
      <c r="J1919" s="321" t="s">
        <v>19</v>
      </c>
      <c r="K1919" s="324"/>
      <c r="L1919" s="324"/>
      <c r="M1919" s="321">
        <f>F1919*1008/8064</f>
        <v>0</v>
      </c>
      <c r="N1919" s="324"/>
      <c r="O1919" s="324"/>
      <c r="P1919" s="324"/>
      <c r="Q1919" s="324" t="s">
        <v>18</v>
      </c>
      <c r="R1919" s="324"/>
      <c r="S1919" s="324" t="s">
        <v>19</v>
      </c>
      <c r="T1919" s="528">
        <v>2</v>
      </c>
      <c r="U1919" s="324">
        <f t="shared" ref="U1919:U1924" si="730">E1919/272*60</f>
        <v>0</v>
      </c>
      <c r="V1919" s="676"/>
      <c r="W1919" s="528"/>
      <c r="X1919" s="529"/>
      <c r="Y1919" s="360" t="s">
        <v>990</v>
      </c>
      <c r="Z1919" s="312">
        <f t="shared" ref="Z1919:Z1932" si="731">E1919</f>
        <v>0</v>
      </c>
      <c r="AA1919" s="316">
        <f>G1919/2.5+0.25</f>
        <v>0.25</v>
      </c>
    </row>
    <row r="1920" spans="1:27" ht="77.25" outlineLevel="1" thickBot="1" x14ac:dyDescent="0.45">
      <c r="A1920" s="319" t="s">
        <v>723</v>
      </c>
      <c r="B1920" s="320" t="s">
        <v>610</v>
      </c>
      <c r="C1920" s="586">
        <f>C55</f>
        <v>0</v>
      </c>
      <c r="D1920" s="533"/>
      <c r="E1920" s="534">
        <f t="shared" si="726"/>
        <v>0</v>
      </c>
      <c r="F1920" s="321">
        <f t="shared" si="727"/>
        <v>0</v>
      </c>
      <c r="G1920" s="533">
        <f t="shared" si="728"/>
        <v>0</v>
      </c>
      <c r="H1920" s="321" t="s">
        <v>18</v>
      </c>
      <c r="I1920" s="533">
        <f t="shared" si="729"/>
        <v>0</v>
      </c>
      <c r="J1920" s="321" t="s">
        <v>19</v>
      </c>
      <c r="K1920" s="324"/>
      <c r="L1920" s="324"/>
      <c r="M1920" s="321">
        <f>F1920*1008/8064</f>
        <v>0</v>
      </c>
      <c r="N1920" s="324"/>
      <c r="O1920" s="324"/>
      <c r="P1920" s="324"/>
      <c r="Q1920" s="324" t="s">
        <v>18</v>
      </c>
      <c r="R1920" s="324"/>
      <c r="S1920" s="324" t="s">
        <v>19</v>
      </c>
      <c r="T1920" s="528">
        <v>2</v>
      </c>
      <c r="U1920" s="324">
        <f t="shared" si="730"/>
        <v>0</v>
      </c>
      <c r="V1920" s="676"/>
      <c r="W1920" s="528"/>
      <c r="X1920" s="529"/>
      <c r="Y1920" s="360" t="s">
        <v>990</v>
      </c>
      <c r="Z1920" s="312">
        <f t="shared" si="731"/>
        <v>0</v>
      </c>
      <c r="AA1920" s="316">
        <f t="shared" ref="AA1920:AA1932" si="732">G1920/2.5+0.25</f>
        <v>0.25</v>
      </c>
    </row>
    <row r="1921" spans="1:28" outlineLevel="1" thickBot="1" x14ac:dyDescent="0.45">
      <c r="A1921" s="319" t="s">
        <v>723</v>
      </c>
      <c r="B1921" s="320" t="s">
        <v>742</v>
      </c>
      <c r="C1921" s="586">
        <f>C56</f>
        <v>0</v>
      </c>
      <c r="D1921" s="533"/>
      <c r="E1921" s="534">
        <f t="shared" si="726"/>
        <v>0</v>
      </c>
      <c r="F1921" s="321">
        <f t="shared" si="727"/>
        <v>0</v>
      </c>
      <c r="G1921" s="533">
        <f t="shared" si="728"/>
        <v>0</v>
      </c>
      <c r="H1921" s="321" t="s">
        <v>18</v>
      </c>
      <c r="I1921" s="533">
        <f t="shared" si="729"/>
        <v>0</v>
      </c>
      <c r="J1921" s="321" t="s">
        <v>19</v>
      </c>
      <c r="K1921" s="324"/>
      <c r="L1921" s="324"/>
      <c r="M1921" s="321">
        <f>F1921*1008/8064</f>
        <v>0</v>
      </c>
      <c r="N1921" s="324"/>
      <c r="O1921" s="324"/>
      <c r="P1921" s="324"/>
      <c r="Q1921" s="324" t="s">
        <v>18</v>
      </c>
      <c r="R1921" s="324"/>
      <c r="S1921" s="324" t="s">
        <v>19</v>
      </c>
      <c r="T1921" s="528">
        <v>3</v>
      </c>
      <c r="U1921" s="324">
        <f t="shared" si="730"/>
        <v>0</v>
      </c>
      <c r="V1921" s="676"/>
      <c r="W1921" s="528"/>
      <c r="X1921" s="529"/>
      <c r="Y1921" s="360" t="s">
        <v>990</v>
      </c>
      <c r="Z1921" s="312">
        <f t="shared" si="731"/>
        <v>0</v>
      </c>
      <c r="AA1921" s="316">
        <f t="shared" si="732"/>
        <v>0.25</v>
      </c>
    </row>
    <row r="1922" spans="1:28" ht="77.25" outlineLevel="1" thickBot="1" x14ac:dyDescent="0.45">
      <c r="A1922" s="319" t="s">
        <v>723</v>
      </c>
      <c r="B1922" s="320" t="s">
        <v>842</v>
      </c>
      <c r="C1922" s="586">
        <f>C58</f>
        <v>0</v>
      </c>
      <c r="D1922" s="533"/>
      <c r="E1922" s="534">
        <f t="shared" si="726"/>
        <v>0</v>
      </c>
      <c r="F1922" s="321">
        <f t="shared" si="727"/>
        <v>0</v>
      </c>
      <c r="G1922" s="533">
        <f t="shared" si="728"/>
        <v>0</v>
      </c>
      <c r="H1922" s="321" t="s">
        <v>18</v>
      </c>
      <c r="I1922" s="533">
        <f>(M1922-G1922)*64</f>
        <v>0</v>
      </c>
      <c r="J1922" s="321" t="s">
        <v>19</v>
      </c>
      <c r="K1922" s="324"/>
      <c r="L1922" s="324"/>
      <c r="M1922" s="321">
        <f>F1922*1008/8064</f>
        <v>0</v>
      </c>
      <c r="N1922" s="324"/>
      <c r="O1922" s="324"/>
      <c r="P1922" s="324"/>
      <c r="Q1922" s="324" t="s">
        <v>18</v>
      </c>
      <c r="R1922" s="324"/>
      <c r="S1922" s="324" t="s">
        <v>19</v>
      </c>
      <c r="T1922" s="528">
        <v>2</v>
      </c>
      <c r="U1922" s="324">
        <f t="shared" si="730"/>
        <v>0</v>
      </c>
      <c r="V1922" s="676"/>
      <c r="W1922" s="528"/>
      <c r="X1922" s="529"/>
      <c r="Y1922" s="360" t="s">
        <v>990</v>
      </c>
      <c r="Z1922" s="312">
        <f t="shared" si="731"/>
        <v>0</v>
      </c>
      <c r="AA1922" s="316">
        <f t="shared" si="732"/>
        <v>0.25</v>
      </c>
    </row>
    <row r="1923" spans="1:28" ht="51.75" outlineLevel="1" thickBot="1" x14ac:dyDescent="0.45">
      <c r="A1923" s="319" t="s">
        <v>723</v>
      </c>
      <c r="B1923" s="320" t="s">
        <v>611</v>
      </c>
      <c r="C1923" s="586">
        <f>C59</f>
        <v>0</v>
      </c>
      <c r="D1923" s="533"/>
      <c r="E1923" s="534">
        <f t="shared" si="726"/>
        <v>0</v>
      </c>
      <c r="F1923" s="321">
        <f t="shared" si="727"/>
        <v>0</v>
      </c>
      <c r="G1923" s="533">
        <f t="shared" si="728"/>
        <v>0</v>
      </c>
      <c r="H1923" s="321" t="s">
        <v>18</v>
      </c>
      <c r="I1923" s="533">
        <f t="shared" si="729"/>
        <v>0</v>
      </c>
      <c r="J1923" s="321" t="s">
        <v>19</v>
      </c>
      <c r="K1923" s="324"/>
      <c r="L1923" s="324"/>
      <c r="M1923" s="321">
        <f>F1923*1008/8064</f>
        <v>0</v>
      </c>
      <c r="N1923" s="324"/>
      <c r="O1923" s="324"/>
      <c r="P1923" s="324"/>
      <c r="Q1923" s="324" t="s">
        <v>18</v>
      </c>
      <c r="R1923" s="324"/>
      <c r="S1923" s="324" t="s">
        <v>19</v>
      </c>
      <c r="T1923" s="528">
        <v>3</v>
      </c>
      <c r="U1923" s="324">
        <f t="shared" si="730"/>
        <v>0</v>
      </c>
      <c r="V1923" s="676"/>
      <c r="W1923" s="528"/>
      <c r="X1923" s="529"/>
      <c r="Y1923" s="360" t="s">
        <v>990</v>
      </c>
      <c r="Z1923" s="312">
        <f t="shared" si="731"/>
        <v>0</v>
      </c>
      <c r="AA1923" s="316">
        <f t="shared" si="732"/>
        <v>0.25</v>
      </c>
    </row>
    <row r="1924" spans="1:28" ht="51.75" outlineLevel="1" thickBot="1" x14ac:dyDescent="0.45">
      <c r="A1924" s="319" t="s">
        <v>723</v>
      </c>
      <c r="B1924" s="320" t="s">
        <v>612</v>
      </c>
      <c r="C1924" s="586">
        <f>C60</f>
        <v>0</v>
      </c>
      <c r="D1924" s="528"/>
      <c r="E1924" s="460">
        <f t="shared" si="726"/>
        <v>0</v>
      </c>
      <c r="F1924" s="324">
        <f t="shared" si="727"/>
        <v>0</v>
      </c>
      <c r="G1924" s="528">
        <f t="shared" si="728"/>
        <v>0</v>
      </c>
      <c r="H1924" s="324" t="s">
        <v>18</v>
      </c>
      <c r="I1924" s="528">
        <f t="shared" si="729"/>
        <v>0</v>
      </c>
      <c r="J1924" s="324" t="s">
        <v>19</v>
      </c>
      <c r="K1924" s="324"/>
      <c r="L1924" s="324"/>
      <c r="M1924" s="324">
        <f>F1924*2016/16128</f>
        <v>0</v>
      </c>
      <c r="N1924" s="324"/>
      <c r="O1924" s="324"/>
      <c r="P1924" s="324"/>
      <c r="Q1924" s="324" t="s">
        <v>18</v>
      </c>
      <c r="R1924" s="324"/>
      <c r="S1924" s="324" t="s">
        <v>19</v>
      </c>
      <c r="T1924" s="528">
        <v>3</v>
      </c>
      <c r="U1924" s="324">
        <f t="shared" si="730"/>
        <v>0</v>
      </c>
      <c r="V1924" s="676"/>
      <c r="W1924" s="528"/>
      <c r="X1924" s="529"/>
      <c r="Y1924" s="360" t="s">
        <v>990</v>
      </c>
      <c r="Z1924" s="312">
        <f t="shared" si="731"/>
        <v>0</v>
      </c>
      <c r="AA1924" s="316">
        <f t="shared" si="732"/>
        <v>0.25</v>
      </c>
    </row>
    <row r="1925" spans="1:28" s="453" customFormat="1" ht="51.75" outlineLevel="1" thickBot="1" x14ac:dyDescent="0.45">
      <c r="A1925" s="319" t="s">
        <v>723</v>
      </c>
      <c r="B1925" s="480" t="s">
        <v>1044</v>
      </c>
      <c r="C1925" s="525">
        <f>C611+C159+C383</f>
        <v>0</v>
      </c>
      <c r="D1925" s="626"/>
      <c r="E1925" s="358">
        <f t="shared" si="726"/>
        <v>0</v>
      </c>
      <c r="F1925" s="358">
        <f>E1925*1.03*0.82/147</f>
        <v>0</v>
      </c>
      <c r="G1925" s="548">
        <f t="shared" si="728"/>
        <v>0</v>
      </c>
      <c r="H1925" s="358"/>
      <c r="I1925" s="548">
        <f t="shared" si="729"/>
        <v>0</v>
      </c>
      <c r="J1925" s="358" t="s">
        <v>19</v>
      </c>
      <c r="K1925" s="358"/>
      <c r="L1925" s="358"/>
      <c r="M1925" s="358">
        <f>F1925*147/0.46/64</f>
        <v>0</v>
      </c>
      <c r="N1925" s="631"/>
      <c r="O1925" s="631"/>
      <c r="P1925" s="631"/>
      <c r="Q1925" s="324" t="s">
        <v>18</v>
      </c>
      <c r="R1925" s="324"/>
      <c r="S1925" s="324" t="s">
        <v>19</v>
      </c>
      <c r="T1925" s="528">
        <v>3</v>
      </c>
      <c r="U1925" s="461"/>
      <c r="V1925" s="688"/>
      <c r="W1925" s="525"/>
      <c r="X1925" s="560"/>
      <c r="Y1925" s="360"/>
      <c r="Z1925" s="312">
        <f>E1925</f>
        <v>0</v>
      </c>
      <c r="AA1925" s="316">
        <f>G1925/2.8+0.25</f>
        <v>0.25</v>
      </c>
      <c r="AB1925" s="310"/>
    </row>
    <row r="1926" spans="1:28" s="453" customFormat="1" ht="51.75" outlineLevel="1" thickBot="1" x14ac:dyDescent="0.45">
      <c r="A1926" s="319" t="s">
        <v>723</v>
      </c>
      <c r="B1926" s="480" t="s">
        <v>1084</v>
      </c>
      <c r="C1926" s="525">
        <f>C613+C161+C385</f>
        <v>0</v>
      </c>
      <c r="D1926" s="626"/>
      <c r="E1926" s="358">
        <f>C1926*0.4</f>
        <v>0</v>
      </c>
      <c r="F1926" s="358">
        <f>E1926*1.03*0.82/147</f>
        <v>0</v>
      </c>
      <c r="G1926" s="548">
        <f t="shared" si="728"/>
        <v>0</v>
      </c>
      <c r="H1926" s="358"/>
      <c r="I1926" s="548">
        <f>(M1926-G1926)*64</f>
        <v>0</v>
      </c>
      <c r="J1926" s="358" t="s">
        <v>19</v>
      </c>
      <c r="K1926" s="358"/>
      <c r="L1926" s="358"/>
      <c r="M1926" s="358">
        <f>F1926*147/0.46/64</f>
        <v>0</v>
      </c>
      <c r="N1926" s="631"/>
      <c r="O1926" s="631"/>
      <c r="P1926" s="631"/>
      <c r="Q1926" s="324" t="s">
        <v>18</v>
      </c>
      <c r="R1926" s="324"/>
      <c r="S1926" s="324" t="s">
        <v>19</v>
      </c>
      <c r="T1926" s="528">
        <v>3</v>
      </c>
      <c r="U1926" s="461"/>
      <c r="V1926" s="688"/>
      <c r="W1926" s="525"/>
      <c r="X1926" s="560"/>
      <c r="Y1926" s="360"/>
      <c r="Z1926" s="312">
        <f>E1926</f>
        <v>0</v>
      </c>
      <c r="AA1926" s="316">
        <f>G1926/2.8+0.25</f>
        <v>0.25</v>
      </c>
      <c r="AB1926" s="310"/>
    </row>
    <row r="1927" spans="1:28" s="327" customFormat="1" ht="53.25" outlineLevel="1" thickBot="1" x14ac:dyDescent="0.45">
      <c r="A1927" s="319" t="s">
        <v>723</v>
      </c>
      <c r="B1927" s="325" t="s">
        <v>816</v>
      </c>
      <c r="C1927" s="586">
        <f>C61</f>
        <v>0</v>
      </c>
      <c r="D1927" s="535">
        <f>C1927*10</f>
        <v>0</v>
      </c>
      <c r="E1927" s="534">
        <f>D1927*0.35</f>
        <v>0</v>
      </c>
      <c r="F1927" s="321">
        <f>E1927*0.8*1/20</f>
        <v>0</v>
      </c>
      <c r="G1927" s="533">
        <f t="shared" ref="G1927:G1932" si="733">INT(M1927)</f>
        <v>0</v>
      </c>
      <c r="H1927" s="321" t="s">
        <v>18</v>
      </c>
      <c r="I1927" s="533">
        <f t="shared" ref="I1927:I1932" si="734">(M1927-G1927)*64</f>
        <v>0</v>
      </c>
      <c r="J1927" s="321" t="s">
        <v>19</v>
      </c>
      <c r="K1927" s="321"/>
      <c r="L1927" s="321"/>
      <c r="M1927" s="321">
        <f>F1927*2016/16128</f>
        <v>0</v>
      </c>
      <c r="N1927" s="321"/>
      <c r="O1927" s="321"/>
      <c r="P1927" s="321"/>
      <c r="Q1927" s="321" t="s">
        <v>18</v>
      </c>
      <c r="R1927" s="321"/>
      <c r="S1927" s="321" t="s">
        <v>19</v>
      </c>
      <c r="T1927" s="533">
        <v>3</v>
      </c>
      <c r="U1927" s="321">
        <f>E1927/272*60</f>
        <v>0</v>
      </c>
      <c r="V1927" s="683"/>
      <c r="W1927" s="533"/>
      <c r="X1927" s="321"/>
      <c r="Y1927" s="360" t="s">
        <v>990</v>
      </c>
      <c r="Z1927" s="312">
        <f t="shared" si="731"/>
        <v>0</v>
      </c>
      <c r="AA1927" s="316">
        <f t="shared" si="732"/>
        <v>0.25</v>
      </c>
    </row>
    <row r="1928" spans="1:28" ht="77.25" outlineLevel="1" thickBot="1" x14ac:dyDescent="0.45">
      <c r="A1928" s="319" t="s">
        <v>723</v>
      </c>
      <c r="B1928" s="320" t="s">
        <v>1039</v>
      </c>
      <c r="C1928" s="586">
        <f>C62</f>
        <v>0</v>
      </c>
      <c r="D1928" s="533">
        <f>C1928*16</f>
        <v>0</v>
      </c>
      <c r="E1928" s="534">
        <f>D1928*0.25</f>
        <v>0</v>
      </c>
      <c r="F1928" s="321">
        <f>E1928*0.8*1/20</f>
        <v>0</v>
      </c>
      <c r="G1928" s="533">
        <f t="shared" si="733"/>
        <v>0</v>
      </c>
      <c r="H1928" s="321" t="s">
        <v>18</v>
      </c>
      <c r="I1928" s="533">
        <f t="shared" si="734"/>
        <v>0</v>
      </c>
      <c r="J1928" s="321" t="s">
        <v>19</v>
      </c>
      <c r="K1928" s="324"/>
      <c r="L1928" s="324"/>
      <c r="M1928" s="321">
        <f>F1928*2016/16128</f>
        <v>0</v>
      </c>
      <c r="N1928" s="324"/>
      <c r="O1928" s="324"/>
      <c r="P1928" s="324"/>
      <c r="Q1928" s="324" t="s">
        <v>18</v>
      </c>
      <c r="R1928" s="324"/>
      <c r="S1928" s="324" t="s">
        <v>19</v>
      </c>
      <c r="T1928" s="528">
        <v>3</v>
      </c>
      <c r="U1928" s="324">
        <f>E1928/272*60</f>
        <v>0</v>
      </c>
      <c r="V1928" s="676"/>
      <c r="W1928" s="528"/>
      <c r="X1928" s="529"/>
      <c r="Y1928" s="360" t="s">
        <v>990</v>
      </c>
      <c r="Z1928" s="312">
        <f t="shared" si="731"/>
        <v>0</v>
      </c>
      <c r="AA1928" s="316">
        <f t="shared" si="732"/>
        <v>0.25</v>
      </c>
    </row>
    <row r="1929" spans="1:28" ht="77.25" outlineLevel="1" thickBot="1" x14ac:dyDescent="0.45">
      <c r="A1929" s="319" t="s">
        <v>723</v>
      </c>
      <c r="B1929" s="708" t="s">
        <v>1079</v>
      </c>
      <c r="C1929" s="586">
        <f>C65</f>
        <v>0</v>
      </c>
      <c r="D1929" s="533">
        <f>C1929*7</f>
        <v>0</v>
      </c>
      <c r="E1929" s="321">
        <f>D1929*0.2</f>
        <v>0</v>
      </c>
      <c r="F1929" s="321">
        <f>E1929*10/225</f>
        <v>0</v>
      </c>
      <c r="G1929" s="533">
        <f t="shared" si="733"/>
        <v>0</v>
      </c>
      <c r="H1929" s="321" t="s">
        <v>18</v>
      </c>
      <c r="I1929" s="533">
        <f t="shared" si="734"/>
        <v>0</v>
      </c>
      <c r="J1929" s="321" t="s">
        <v>19</v>
      </c>
      <c r="K1929" s="324"/>
      <c r="L1929" s="324"/>
      <c r="M1929" s="321">
        <f>F1929*1008/8064</f>
        <v>0</v>
      </c>
      <c r="N1929" s="324"/>
      <c r="O1929" s="324"/>
      <c r="P1929" s="324"/>
      <c r="Q1929" s="324" t="s">
        <v>18</v>
      </c>
      <c r="R1929" s="324"/>
      <c r="S1929" s="324" t="s">
        <v>19</v>
      </c>
      <c r="T1929" s="528">
        <v>3</v>
      </c>
      <c r="U1929" s="324">
        <f>E1929/166*60</f>
        <v>0</v>
      </c>
      <c r="V1929" s="676"/>
      <c r="W1929" s="528"/>
      <c r="X1929" s="529"/>
      <c r="Y1929" s="360"/>
      <c r="Z1929" s="312">
        <f t="shared" si="731"/>
        <v>0</v>
      </c>
      <c r="AA1929" s="316">
        <f t="shared" si="732"/>
        <v>0.25</v>
      </c>
    </row>
    <row r="1930" spans="1:28" ht="77.25" outlineLevel="1" thickBot="1" x14ac:dyDescent="0.45">
      <c r="A1930" s="319" t="s">
        <v>723</v>
      </c>
      <c r="B1930" s="320" t="s">
        <v>613</v>
      </c>
      <c r="C1930" s="586">
        <f>C66</f>
        <v>0</v>
      </c>
      <c r="D1930" s="528">
        <f>C1930*20</f>
        <v>0</v>
      </c>
      <c r="E1930" s="460">
        <f>D1930*0.2</f>
        <v>0</v>
      </c>
      <c r="F1930" s="324">
        <f>E1930*0.8*1.01/20</f>
        <v>0</v>
      </c>
      <c r="G1930" s="528">
        <f t="shared" si="733"/>
        <v>0</v>
      </c>
      <c r="H1930" s="324" t="s">
        <v>18</v>
      </c>
      <c r="I1930" s="528">
        <f t="shared" si="734"/>
        <v>0</v>
      </c>
      <c r="J1930" s="324" t="s">
        <v>19</v>
      </c>
      <c r="K1930" s="324"/>
      <c r="L1930" s="324"/>
      <c r="M1930" s="324">
        <f>F1930*1008/8064</f>
        <v>0</v>
      </c>
      <c r="N1930" s="324"/>
      <c r="O1930" s="324"/>
      <c r="P1930" s="324"/>
      <c r="Q1930" s="324" t="s">
        <v>18</v>
      </c>
      <c r="R1930" s="324"/>
      <c r="S1930" s="324" t="s">
        <v>19</v>
      </c>
      <c r="T1930" s="528">
        <v>3</v>
      </c>
      <c r="U1930" s="324">
        <f>E1930/272*60</f>
        <v>0</v>
      </c>
      <c r="V1930" s="676"/>
      <c r="W1930" s="528"/>
      <c r="X1930" s="529"/>
      <c r="Y1930" s="360" t="s">
        <v>990</v>
      </c>
      <c r="Z1930" s="312">
        <f t="shared" si="731"/>
        <v>0</v>
      </c>
      <c r="AA1930" s="316">
        <f t="shared" si="732"/>
        <v>0.25</v>
      </c>
    </row>
    <row r="1931" spans="1:28" ht="51.75" outlineLevel="1" thickBot="1" x14ac:dyDescent="0.45">
      <c r="A1931" s="319" t="s">
        <v>723</v>
      </c>
      <c r="B1931" s="320" t="s">
        <v>614</v>
      </c>
      <c r="C1931" s="586">
        <f>C67</f>
        <v>0</v>
      </c>
      <c r="D1931" s="533">
        <f>C1931*12</f>
        <v>0</v>
      </c>
      <c r="E1931" s="534">
        <f>D1931*0.2</f>
        <v>0</v>
      </c>
      <c r="F1931" s="321">
        <f>D1931*22*0.0086/24.7</f>
        <v>0</v>
      </c>
      <c r="G1931" s="533">
        <f t="shared" si="733"/>
        <v>0</v>
      </c>
      <c r="H1931" s="321" t="s">
        <v>18</v>
      </c>
      <c r="I1931" s="533">
        <f t="shared" si="734"/>
        <v>0</v>
      </c>
      <c r="J1931" s="321" t="s">
        <v>19</v>
      </c>
      <c r="K1931" s="324"/>
      <c r="L1931" s="324"/>
      <c r="M1931" s="321">
        <f>F1931*3024/16128</f>
        <v>0</v>
      </c>
      <c r="N1931" s="324"/>
      <c r="O1931" s="324"/>
      <c r="P1931" s="324"/>
      <c r="Q1931" s="324" t="s">
        <v>18</v>
      </c>
      <c r="R1931" s="324"/>
      <c r="S1931" s="324" t="s">
        <v>19</v>
      </c>
      <c r="T1931" s="528">
        <v>10</v>
      </c>
      <c r="U1931" s="324">
        <f>E1931/207*60</f>
        <v>0</v>
      </c>
      <c r="V1931" s="676"/>
      <c r="W1931" s="528"/>
      <c r="X1931" s="529"/>
      <c r="Y1931" s="360" t="s">
        <v>990</v>
      </c>
      <c r="Z1931" s="312">
        <f t="shared" si="731"/>
        <v>0</v>
      </c>
      <c r="AA1931" s="316">
        <f t="shared" si="732"/>
        <v>0.25</v>
      </c>
    </row>
    <row r="1932" spans="1:28" ht="51.75" outlineLevel="1" thickBot="1" x14ac:dyDescent="0.45">
      <c r="A1932" s="319" t="s">
        <v>723</v>
      </c>
      <c r="B1932" s="328" t="s">
        <v>615</v>
      </c>
      <c r="C1932" s="586">
        <f>C68</f>
        <v>0</v>
      </c>
      <c r="D1932" s="533">
        <f>C1932*12</f>
        <v>0</v>
      </c>
      <c r="E1932" s="534">
        <f>D1932*0.2</f>
        <v>0</v>
      </c>
      <c r="F1932" s="321">
        <f>D1932*22*0.0086/24.7</f>
        <v>0</v>
      </c>
      <c r="G1932" s="533">
        <f t="shared" si="733"/>
        <v>0</v>
      </c>
      <c r="H1932" s="321" t="s">
        <v>18</v>
      </c>
      <c r="I1932" s="533">
        <f t="shared" si="734"/>
        <v>0</v>
      </c>
      <c r="J1932" s="321" t="s">
        <v>19</v>
      </c>
      <c r="K1932" s="324"/>
      <c r="L1932" s="324"/>
      <c r="M1932" s="321">
        <f>F1932*3024/16128</f>
        <v>0</v>
      </c>
      <c r="N1932" s="324"/>
      <c r="O1932" s="324"/>
      <c r="P1932" s="324"/>
      <c r="Q1932" s="324" t="s">
        <v>18</v>
      </c>
      <c r="R1932" s="324"/>
      <c r="S1932" s="324" t="s">
        <v>19</v>
      </c>
      <c r="T1932" s="528">
        <v>10</v>
      </c>
      <c r="U1932" s="324">
        <f>E1932/207*60</f>
        <v>0</v>
      </c>
      <c r="V1932" s="689"/>
      <c r="W1932" s="561"/>
      <c r="X1932" s="562"/>
      <c r="Y1932" s="360" t="s">
        <v>990</v>
      </c>
      <c r="Z1932" s="312">
        <f t="shared" si="731"/>
        <v>0</v>
      </c>
      <c r="AA1932" s="316">
        <f t="shared" si="732"/>
        <v>0.25</v>
      </c>
    </row>
    <row r="1933" spans="1:28" outlineLevel="1" thickBot="1" x14ac:dyDescent="0.45">
      <c r="A1933" s="319"/>
      <c r="B1933" s="346"/>
      <c r="C1933" s="528"/>
      <c r="D1933" s="528"/>
      <c r="E1933" s="460"/>
      <c r="F1933" s="324"/>
      <c r="G1933" s="528"/>
      <c r="H1933" s="324"/>
      <c r="I1933" s="528"/>
      <c r="J1933" s="324"/>
      <c r="K1933" s="324"/>
      <c r="L1933" s="324"/>
      <c r="M1933" s="324"/>
      <c r="N1933" s="324"/>
      <c r="O1933" s="324"/>
      <c r="P1933" s="324"/>
      <c r="Q1933" s="324"/>
      <c r="R1933" s="324"/>
      <c r="S1933" s="324"/>
      <c r="T1933" s="528"/>
      <c r="U1933" s="324"/>
      <c r="V1933" s="676"/>
      <c r="W1933" s="528"/>
      <c r="X1933" s="529"/>
      <c r="Y1933" s="323"/>
    </row>
    <row r="1934" spans="1:28" outlineLevel="1" thickBot="1" x14ac:dyDescent="0.45">
      <c r="A1934" s="319"/>
      <c r="B1934" s="332" t="s">
        <v>297</v>
      </c>
      <c r="C1934" s="528"/>
      <c r="D1934" s="528"/>
      <c r="E1934" s="460"/>
      <c r="F1934" s="324"/>
      <c r="G1934" s="528"/>
      <c r="H1934" s="324"/>
      <c r="I1934" s="528"/>
      <c r="J1934" s="324"/>
      <c r="K1934" s="324"/>
      <c r="L1934" s="324"/>
      <c r="M1934" s="324"/>
      <c r="N1934" s="324"/>
      <c r="O1934" s="324"/>
      <c r="P1934" s="324"/>
      <c r="Q1934" s="324"/>
      <c r="R1934" s="324"/>
      <c r="S1934" s="324"/>
      <c r="T1934" s="528"/>
      <c r="U1934" s="324"/>
      <c r="V1934" s="676"/>
      <c r="W1934" s="528"/>
      <c r="X1934" s="529"/>
      <c r="Y1934" s="323"/>
    </row>
    <row r="1935" spans="1:28" ht="52.5" outlineLevel="1" thickBot="1" x14ac:dyDescent="0.45">
      <c r="A1935" s="319" t="s">
        <v>723</v>
      </c>
      <c r="B1935" s="320" t="s">
        <v>619</v>
      </c>
      <c r="C1935" s="586">
        <f>C133+C357+C585</f>
        <v>0</v>
      </c>
      <c r="D1935" s="525">
        <f>C1935*10</f>
        <v>0</v>
      </c>
      <c r="E1935" s="545">
        <f>D1935*0.25</f>
        <v>0</v>
      </c>
      <c r="F1935" s="461">
        <f>E1935*1.15*0.82/173</f>
        <v>0</v>
      </c>
      <c r="G1935" s="525">
        <f>INT(M1935)</f>
        <v>0</v>
      </c>
      <c r="H1935" s="461" t="s">
        <v>18</v>
      </c>
      <c r="I1935" s="525">
        <f>(M1935-G1935)*64</f>
        <v>0</v>
      </c>
      <c r="J1935" s="461" t="s">
        <v>19</v>
      </c>
      <c r="K1935" s="461"/>
      <c r="L1935" s="461"/>
      <c r="M1935" s="461">
        <f>(F1935*7863)/3456</f>
        <v>0</v>
      </c>
      <c r="N1935" s="461"/>
      <c r="O1935" s="461"/>
      <c r="P1935" s="461"/>
      <c r="Q1935" s="324" t="s">
        <v>18</v>
      </c>
      <c r="R1935" s="324"/>
      <c r="S1935" s="324" t="s">
        <v>19</v>
      </c>
      <c r="T1935" s="528">
        <v>7</v>
      </c>
      <c r="U1935" s="324">
        <f>E1935/272*60</f>
        <v>0</v>
      </c>
      <c r="V1935" s="676"/>
      <c r="W1935" s="528"/>
      <c r="X1935" s="529"/>
      <c r="Y1935" s="397" t="s">
        <v>965</v>
      </c>
      <c r="Z1935" s="312">
        <f>E1935</f>
        <v>0</v>
      </c>
      <c r="AA1935" s="316">
        <f>G1935/3.3+0.25</f>
        <v>0.25</v>
      </c>
    </row>
    <row r="1936" spans="1:28" ht="52.5" outlineLevel="1" thickBot="1" x14ac:dyDescent="0.45">
      <c r="A1936" s="319" t="s">
        <v>723</v>
      </c>
      <c r="B1936" s="320" t="s">
        <v>911</v>
      </c>
      <c r="C1936" s="586">
        <f>C135+C359+C587</f>
        <v>0</v>
      </c>
      <c r="D1936" s="525">
        <f>C1936*10</f>
        <v>0</v>
      </c>
      <c r="E1936" s="545">
        <f>D1936*0.2</f>
        <v>0</v>
      </c>
      <c r="F1936" s="461">
        <f>E1936*1.15*0.82/173</f>
        <v>0</v>
      </c>
      <c r="G1936" s="525">
        <f>INT(M1936)</f>
        <v>0</v>
      </c>
      <c r="H1936" s="461" t="s">
        <v>18</v>
      </c>
      <c r="I1936" s="525">
        <f>(M1936-G1936)*64</f>
        <v>0</v>
      </c>
      <c r="J1936" s="461" t="s">
        <v>19</v>
      </c>
      <c r="K1936" s="461"/>
      <c r="L1936" s="461"/>
      <c r="M1936" s="461">
        <f>(F1936*9600)/3456</f>
        <v>0</v>
      </c>
      <c r="N1936" s="461"/>
      <c r="O1936" s="461"/>
      <c r="P1936" s="461"/>
      <c r="Q1936" s="324" t="s">
        <v>18</v>
      </c>
      <c r="R1936" s="324"/>
      <c r="S1936" s="324" t="s">
        <v>19</v>
      </c>
      <c r="T1936" s="528">
        <v>7</v>
      </c>
      <c r="U1936" s="324">
        <f>E1936/272*60</f>
        <v>0</v>
      </c>
      <c r="V1936" s="676"/>
      <c r="W1936" s="528"/>
      <c r="X1936" s="529"/>
      <c r="Y1936" s="397" t="s">
        <v>965</v>
      </c>
      <c r="Z1936" s="312">
        <f>E1936</f>
        <v>0</v>
      </c>
      <c r="AA1936" s="316">
        <f>G1936/3.3+0.25</f>
        <v>0.25</v>
      </c>
    </row>
    <row r="1937" spans="1:27" ht="77.25" outlineLevel="1" thickBot="1" x14ac:dyDescent="0.45">
      <c r="A1937" s="319" t="s">
        <v>723</v>
      </c>
      <c r="B1937" s="320" t="s">
        <v>813</v>
      </c>
      <c r="C1937" s="586">
        <f>C134+C358+C586</f>
        <v>0</v>
      </c>
      <c r="D1937" s="525">
        <f>C1937*10</f>
        <v>0</v>
      </c>
      <c r="E1937" s="545">
        <f>D1937*0.2</f>
        <v>0</v>
      </c>
      <c r="F1937" s="461">
        <f>E1937*1.15*0.82/173</f>
        <v>0</v>
      </c>
      <c r="G1937" s="525">
        <f>INT(M1937)</f>
        <v>0</v>
      </c>
      <c r="H1937" s="461" t="s">
        <v>18</v>
      </c>
      <c r="I1937" s="525">
        <f>(M1937-G1937)*64</f>
        <v>0</v>
      </c>
      <c r="J1937" s="461" t="s">
        <v>19</v>
      </c>
      <c r="K1937" s="461"/>
      <c r="L1937" s="461"/>
      <c r="M1937" s="461">
        <f>(F1937*9600)/3456</f>
        <v>0</v>
      </c>
      <c r="N1937" s="461"/>
      <c r="O1937" s="461"/>
      <c r="P1937" s="461"/>
      <c r="Q1937" s="324" t="s">
        <v>18</v>
      </c>
      <c r="R1937" s="324"/>
      <c r="S1937" s="324" t="s">
        <v>19</v>
      </c>
      <c r="T1937" s="528">
        <v>7</v>
      </c>
      <c r="U1937" s="324">
        <f>E1937/272*60</f>
        <v>0</v>
      </c>
      <c r="V1937" s="676"/>
      <c r="W1937" s="528"/>
      <c r="X1937" s="529"/>
      <c r="Y1937" s="397" t="s">
        <v>965</v>
      </c>
      <c r="Z1937" s="312">
        <f>E1937</f>
        <v>0</v>
      </c>
      <c r="AA1937" s="316">
        <f>G1937/3.3+0.25</f>
        <v>0.25</v>
      </c>
    </row>
    <row r="1938" spans="1:27" outlineLevel="1" thickBot="1" x14ac:dyDescent="0.45">
      <c r="A1938" s="319"/>
      <c r="B1938" s="305" t="s">
        <v>623</v>
      </c>
      <c r="C1938" s="539"/>
      <c r="D1938" s="539"/>
      <c r="E1938" s="502"/>
      <c r="F1938" s="333"/>
      <c r="G1938" s="539"/>
      <c r="H1938" s="333"/>
      <c r="I1938" s="539"/>
      <c r="J1938" s="333"/>
      <c r="K1938" s="333"/>
      <c r="L1938" s="333"/>
      <c r="M1938" s="333"/>
      <c r="N1938" s="333"/>
      <c r="O1938" s="333"/>
      <c r="P1938" s="333"/>
      <c r="Q1938" s="333"/>
      <c r="R1938" s="333"/>
      <c r="S1938" s="333"/>
      <c r="T1938" s="539"/>
      <c r="U1938" s="333"/>
      <c r="V1938" s="681"/>
      <c r="W1938" s="333"/>
      <c r="X1938" s="333"/>
      <c r="Y1938" s="374"/>
    </row>
    <row r="1939" spans="1:27" ht="77.25" outlineLevel="1" thickBot="1" x14ac:dyDescent="0.45">
      <c r="A1939" s="319" t="s">
        <v>723</v>
      </c>
      <c r="B1939" s="320" t="s">
        <v>625</v>
      </c>
      <c r="C1939" s="528">
        <f>C141+C365+C593</f>
        <v>0</v>
      </c>
      <c r="D1939" s="530">
        <f>C1939*10</f>
        <v>0</v>
      </c>
      <c r="E1939" s="460">
        <f>D1939*0.2</f>
        <v>0</v>
      </c>
      <c r="F1939" s="324">
        <f>E1939*0.97*0.8/19.6</f>
        <v>0</v>
      </c>
      <c r="G1939" s="528">
        <f>INT(M1939)</f>
        <v>0</v>
      </c>
      <c r="H1939" s="324" t="s">
        <v>18</v>
      </c>
      <c r="I1939" s="528">
        <f>(M1939-G1939)*64</f>
        <v>0</v>
      </c>
      <c r="J1939" s="324" t="s">
        <v>19</v>
      </c>
      <c r="K1939" s="324"/>
      <c r="L1939" s="324"/>
      <c r="M1939" s="324">
        <f>(F1939*1087/3456)</f>
        <v>0</v>
      </c>
      <c r="N1939" s="324"/>
      <c r="O1939" s="324"/>
      <c r="P1939" s="324"/>
      <c r="Q1939" s="324" t="s">
        <v>18</v>
      </c>
      <c r="R1939" s="324"/>
      <c r="S1939" s="324" t="s">
        <v>19</v>
      </c>
      <c r="T1939" s="528">
        <v>3</v>
      </c>
      <c r="U1939" s="324">
        <f>E1939/259*60</f>
        <v>0</v>
      </c>
      <c r="V1939" s="676"/>
      <c r="W1939" s="528"/>
      <c r="X1939" s="529"/>
      <c r="Y1939" s="360" t="s">
        <v>1224</v>
      </c>
      <c r="Z1939" s="312">
        <f>E1939</f>
        <v>0</v>
      </c>
      <c r="AA1939" s="316">
        <f>G1939/3.3+0.25</f>
        <v>0.25</v>
      </c>
    </row>
    <row r="1940" spans="1:27" ht="77.25" outlineLevel="1" thickBot="1" x14ac:dyDescent="0.45">
      <c r="A1940" s="319" t="s">
        <v>723</v>
      </c>
      <c r="B1940" s="343" t="s">
        <v>626</v>
      </c>
      <c r="C1940" s="528">
        <f>C142+C366+C594</f>
        <v>0</v>
      </c>
      <c r="D1940" s="530">
        <f>C1940*10</f>
        <v>0</v>
      </c>
      <c r="E1940" s="460">
        <f>D1940*0.2</f>
        <v>0</v>
      </c>
      <c r="F1940" s="324">
        <f>E1940*0.97*0.8/19.6</f>
        <v>0</v>
      </c>
      <c r="G1940" s="528">
        <f>INT(M1940)</f>
        <v>0</v>
      </c>
      <c r="H1940" s="324" t="s">
        <v>18</v>
      </c>
      <c r="I1940" s="528">
        <f>(M1940-G1940)*64</f>
        <v>0</v>
      </c>
      <c r="J1940" s="324" t="s">
        <v>19</v>
      </c>
      <c r="K1940" s="324"/>
      <c r="L1940" s="324"/>
      <c r="M1940" s="324">
        <f>(F1940*1087/3456)</f>
        <v>0</v>
      </c>
      <c r="N1940" s="324"/>
      <c r="O1940" s="324"/>
      <c r="P1940" s="324"/>
      <c r="Q1940" s="324" t="s">
        <v>18</v>
      </c>
      <c r="R1940" s="324"/>
      <c r="S1940" s="324" t="s">
        <v>19</v>
      </c>
      <c r="T1940" s="528">
        <v>3</v>
      </c>
      <c r="U1940" s="324">
        <f>E1940/259*60</f>
        <v>0</v>
      </c>
      <c r="V1940" s="676"/>
      <c r="W1940" s="528"/>
      <c r="X1940" s="529"/>
      <c r="Y1940" s="360" t="s">
        <v>1224</v>
      </c>
      <c r="Z1940" s="312">
        <f>E1940</f>
        <v>0</v>
      </c>
      <c r="AA1940" s="316">
        <f>G1940/3.3+0.25</f>
        <v>0.25</v>
      </c>
    </row>
    <row r="1941" spans="1:27" outlineLevel="1" thickBot="1" x14ac:dyDescent="0.45">
      <c r="A1941" s="319"/>
      <c r="B1941" s="332" t="s">
        <v>298</v>
      </c>
      <c r="C1941" s="528"/>
      <c r="D1941" s="528"/>
      <c r="E1941" s="460"/>
      <c r="F1941" s="324"/>
      <c r="G1941" s="528"/>
      <c r="H1941" s="324"/>
      <c r="I1941" s="528"/>
      <c r="J1941" s="324"/>
      <c r="K1941" s="324"/>
      <c r="L1941" s="324"/>
      <c r="M1941" s="324"/>
      <c r="N1941" s="324"/>
      <c r="O1941" s="324"/>
      <c r="P1941" s="324"/>
      <c r="Q1941" s="324"/>
      <c r="R1941" s="324"/>
      <c r="S1941" s="324"/>
      <c r="T1941" s="528"/>
      <c r="U1941" s="324"/>
      <c r="V1941" s="676"/>
      <c r="W1941" s="528"/>
      <c r="X1941" s="529"/>
      <c r="Y1941" s="323"/>
    </row>
    <row r="1942" spans="1:27" outlineLevel="1" thickBot="1" x14ac:dyDescent="0.45">
      <c r="A1942" s="830"/>
      <c r="B1942" s="332" t="s">
        <v>299</v>
      </c>
      <c r="C1942" s="347"/>
      <c r="D1942" s="347"/>
      <c r="E1942" s="494"/>
      <c r="F1942" s="348"/>
      <c r="G1942" s="347"/>
      <c r="H1942" s="348"/>
      <c r="I1942" s="347"/>
      <c r="J1942" s="348"/>
      <c r="K1942" s="348"/>
      <c r="L1942" s="348"/>
      <c r="M1942" s="348"/>
      <c r="N1942" s="348"/>
      <c r="O1942" s="348"/>
      <c r="P1942" s="348"/>
      <c r="Q1942" s="348"/>
      <c r="R1942" s="348"/>
      <c r="S1942" s="348"/>
      <c r="T1942" s="347"/>
      <c r="U1942" s="348"/>
      <c r="V1942" s="356"/>
      <c r="W1942" s="348"/>
      <c r="X1942" s="495"/>
      <c r="Y1942" s="357"/>
    </row>
    <row r="1943" spans="1:27" ht="102.75" outlineLevel="1" thickBot="1" x14ac:dyDescent="0.45">
      <c r="A1943" s="319" t="s">
        <v>723</v>
      </c>
      <c r="B1943" s="320" t="s">
        <v>783</v>
      </c>
      <c r="C1943" s="586">
        <f>C158+C386+C614</f>
        <v>0</v>
      </c>
      <c r="D1943" s="530"/>
      <c r="E1943" s="456">
        <f>C1943*4</f>
        <v>0</v>
      </c>
      <c r="F1943" s="358">
        <f t="shared" ref="F1943:F1948" si="735">E1943*1.01*0.72/147</f>
        <v>0</v>
      </c>
      <c r="G1943" s="548">
        <f t="shared" ref="G1943:G1948" si="736">INT(M1943)</f>
        <v>0</v>
      </c>
      <c r="H1943" s="358" t="s">
        <v>18</v>
      </c>
      <c r="I1943" s="548">
        <f t="shared" ref="I1943:I1948" si="737">(M1943-G1943)*64</f>
        <v>0</v>
      </c>
      <c r="J1943" s="358" t="s">
        <v>19</v>
      </c>
      <c r="K1943" s="358"/>
      <c r="L1943" s="358"/>
      <c r="M1943" s="358">
        <f t="shared" ref="M1943:M1948" si="738">(F1943*6035/3456)</f>
        <v>0</v>
      </c>
      <c r="N1943" s="324"/>
      <c r="O1943" s="324"/>
      <c r="P1943" s="324"/>
      <c r="Q1943" s="324" t="s">
        <v>18</v>
      </c>
      <c r="R1943" s="324"/>
      <c r="S1943" s="324" t="s">
        <v>19</v>
      </c>
      <c r="T1943" s="528">
        <v>3</v>
      </c>
      <c r="U1943" s="324">
        <f t="shared" ref="U1943:U1955" si="739">E1943/324*60</f>
        <v>0</v>
      </c>
      <c r="V1943" s="676"/>
      <c r="W1943" s="528"/>
      <c r="X1943" s="529"/>
      <c r="Y1943" s="323"/>
      <c r="Z1943" s="312">
        <f t="shared" ref="Z1943:Z1956" si="740">E1943</f>
        <v>0</v>
      </c>
      <c r="AA1943" s="316">
        <f>G1943/2.8+0.25</f>
        <v>0.25</v>
      </c>
    </row>
    <row r="1944" spans="1:27" ht="77.25" outlineLevel="1" thickBot="1" x14ac:dyDescent="0.45">
      <c r="A1944" s="319" t="s">
        <v>723</v>
      </c>
      <c r="B1944" s="320" t="s">
        <v>784</v>
      </c>
      <c r="C1944" s="586">
        <f>C159+C387+C615</f>
        <v>0</v>
      </c>
      <c r="D1944" s="530"/>
      <c r="E1944" s="456">
        <f>C1944*4</f>
        <v>0</v>
      </c>
      <c r="F1944" s="358">
        <f t="shared" si="735"/>
        <v>0</v>
      </c>
      <c r="G1944" s="548">
        <f t="shared" si="736"/>
        <v>0</v>
      </c>
      <c r="H1944" s="358" t="s">
        <v>18</v>
      </c>
      <c r="I1944" s="548">
        <f t="shared" si="737"/>
        <v>0</v>
      </c>
      <c r="J1944" s="358" t="s">
        <v>19</v>
      </c>
      <c r="K1944" s="358"/>
      <c r="L1944" s="358"/>
      <c r="M1944" s="358">
        <f t="shared" si="738"/>
        <v>0</v>
      </c>
      <c r="N1944" s="324"/>
      <c r="O1944" s="324"/>
      <c r="P1944" s="324"/>
      <c r="Q1944" s="324" t="s">
        <v>18</v>
      </c>
      <c r="R1944" s="324"/>
      <c r="S1944" s="324" t="s">
        <v>19</v>
      </c>
      <c r="T1944" s="528">
        <v>3</v>
      </c>
      <c r="U1944" s="324">
        <f>E1944/324*60</f>
        <v>0</v>
      </c>
      <c r="V1944" s="676"/>
      <c r="W1944" s="528"/>
      <c r="X1944" s="529"/>
      <c r="Y1944" s="323"/>
      <c r="Z1944" s="312">
        <f t="shared" si="740"/>
        <v>0</v>
      </c>
      <c r="AA1944" s="316">
        <f t="shared" ref="AA1944:AA1991" si="741">G1944/2.8+0.25</f>
        <v>0.25</v>
      </c>
    </row>
    <row r="1945" spans="1:27" ht="77.25" outlineLevel="1" thickBot="1" x14ac:dyDescent="0.45">
      <c r="A1945" s="319" t="s">
        <v>723</v>
      </c>
      <c r="B1945" s="320" t="s">
        <v>744</v>
      </c>
      <c r="C1945" s="586">
        <f>C341+C388+C616</f>
        <v>0</v>
      </c>
      <c r="D1945" s="528"/>
      <c r="E1945" s="456">
        <f>C1945*4</f>
        <v>0</v>
      </c>
      <c r="F1945" s="358">
        <f t="shared" si="735"/>
        <v>0</v>
      </c>
      <c r="G1945" s="548">
        <f t="shared" si="736"/>
        <v>0</v>
      </c>
      <c r="H1945" s="358" t="s">
        <v>18</v>
      </c>
      <c r="I1945" s="548">
        <f t="shared" si="737"/>
        <v>0</v>
      </c>
      <c r="J1945" s="358" t="s">
        <v>19</v>
      </c>
      <c r="K1945" s="358"/>
      <c r="L1945" s="358"/>
      <c r="M1945" s="358">
        <f t="shared" si="738"/>
        <v>0</v>
      </c>
      <c r="N1945" s="324"/>
      <c r="O1945" s="324"/>
      <c r="P1945" s="324"/>
      <c r="Q1945" s="324" t="s">
        <v>18</v>
      </c>
      <c r="R1945" s="324"/>
      <c r="S1945" s="324" t="s">
        <v>19</v>
      </c>
      <c r="T1945" s="528">
        <v>3</v>
      </c>
      <c r="U1945" s="324">
        <f>E1945/324*60</f>
        <v>0</v>
      </c>
      <c r="V1945" s="676"/>
      <c r="W1945" s="528"/>
      <c r="X1945" s="529"/>
      <c r="Y1945" s="323"/>
      <c r="Z1945" s="312">
        <f t="shared" si="740"/>
        <v>0</v>
      </c>
      <c r="AA1945" s="316">
        <f t="shared" si="741"/>
        <v>0.25</v>
      </c>
    </row>
    <row r="1946" spans="1:27" ht="77.25" outlineLevel="1" thickBot="1" x14ac:dyDescent="0.45">
      <c r="A1946" s="319" t="s">
        <v>723</v>
      </c>
      <c r="B1946" s="320" t="s">
        <v>745</v>
      </c>
      <c r="C1946" s="586">
        <f>C342+C389+C617</f>
        <v>0</v>
      </c>
      <c r="D1946" s="528"/>
      <c r="E1946" s="456">
        <f>C1946*2.5</f>
        <v>0</v>
      </c>
      <c r="F1946" s="358">
        <f t="shared" si="735"/>
        <v>0</v>
      </c>
      <c r="G1946" s="548">
        <f t="shared" si="736"/>
        <v>0</v>
      </c>
      <c r="H1946" s="358" t="s">
        <v>18</v>
      </c>
      <c r="I1946" s="548">
        <f t="shared" si="737"/>
        <v>0</v>
      </c>
      <c r="J1946" s="358" t="s">
        <v>19</v>
      </c>
      <c r="K1946" s="358"/>
      <c r="L1946" s="358"/>
      <c r="M1946" s="358">
        <f t="shared" si="738"/>
        <v>0</v>
      </c>
      <c r="N1946" s="324"/>
      <c r="O1946" s="324"/>
      <c r="P1946" s="324"/>
      <c r="Q1946" s="324" t="s">
        <v>18</v>
      </c>
      <c r="R1946" s="324"/>
      <c r="S1946" s="324" t="s">
        <v>19</v>
      </c>
      <c r="T1946" s="528">
        <v>7</v>
      </c>
      <c r="U1946" s="324">
        <f>E1946/324*60</f>
        <v>0</v>
      </c>
      <c r="V1946" s="676"/>
      <c r="W1946" s="528"/>
      <c r="X1946" s="529"/>
      <c r="Y1946" s="323"/>
      <c r="Z1946" s="312">
        <f t="shared" si="740"/>
        <v>0</v>
      </c>
      <c r="AA1946" s="316">
        <f t="shared" si="741"/>
        <v>0.25</v>
      </c>
    </row>
    <row r="1947" spans="1:27" ht="77.25" outlineLevel="1" thickBot="1" x14ac:dyDescent="0.45">
      <c r="A1947" s="319" t="s">
        <v>723</v>
      </c>
      <c r="B1947" s="320" t="s">
        <v>746</v>
      </c>
      <c r="C1947" s="586">
        <f>C162+C390+C618</f>
        <v>3000</v>
      </c>
      <c r="D1947" s="528"/>
      <c r="E1947" s="456">
        <f>C1947*4</f>
        <v>12000</v>
      </c>
      <c r="F1947" s="358">
        <f t="shared" si="735"/>
        <v>59.363265306122443</v>
      </c>
      <c r="G1947" s="548">
        <f t="shared" si="736"/>
        <v>103</v>
      </c>
      <c r="H1947" s="358" t="s">
        <v>18</v>
      </c>
      <c r="I1947" s="548">
        <f t="shared" si="737"/>
        <v>42.394557823128707</v>
      </c>
      <c r="J1947" s="358" t="s">
        <v>19</v>
      </c>
      <c r="K1947" s="358"/>
      <c r="L1947" s="358"/>
      <c r="M1947" s="358">
        <f t="shared" si="738"/>
        <v>103.66241496598639</v>
      </c>
      <c r="N1947" s="324"/>
      <c r="O1947" s="324"/>
      <c r="P1947" s="324"/>
      <c r="Q1947" s="324" t="s">
        <v>18</v>
      </c>
      <c r="R1947" s="324"/>
      <c r="S1947" s="324" t="s">
        <v>19</v>
      </c>
      <c r="T1947" s="528">
        <v>3</v>
      </c>
      <c r="U1947" s="324">
        <f t="shared" si="739"/>
        <v>2222.2222222222222</v>
      </c>
      <c r="V1947" s="676"/>
      <c r="W1947" s="528"/>
      <c r="X1947" s="529"/>
      <c r="Y1947" s="323"/>
      <c r="Z1947" s="312">
        <f t="shared" si="740"/>
        <v>12000</v>
      </c>
      <c r="AA1947" s="316">
        <f t="shared" si="741"/>
        <v>37.035714285714285</v>
      </c>
    </row>
    <row r="1948" spans="1:27" ht="77.25" outlineLevel="1" thickBot="1" x14ac:dyDescent="0.45">
      <c r="A1948" s="319" t="s">
        <v>723</v>
      </c>
      <c r="B1948" s="320" t="s">
        <v>747</v>
      </c>
      <c r="C1948" s="586">
        <f>C163+C391+C619</f>
        <v>0</v>
      </c>
      <c r="D1948" s="528"/>
      <c r="E1948" s="456">
        <f>C1948*2.5</f>
        <v>0</v>
      </c>
      <c r="F1948" s="358">
        <f t="shared" si="735"/>
        <v>0</v>
      </c>
      <c r="G1948" s="548">
        <f t="shared" si="736"/>
        <v>0</v>
      </c>
      <c r="H1948" s="358" t="s">
        <v>18</v>
      </c>
      <c r="I1948" s="548">
        <f t="shared" si="737"/>
        <v>0</v>
      </c>
      <c r="J1948" s="358" t="s">
        <v>19</v>
      </c>
      <c r="K1948" s="358"/>
      <c r="L1948" s="358"/>
      <c r="M1948" s="358">
        <f t="shared" si="738"/>
        <v>0</v>
      </c>
      <c r="N1948" s="324"/>
      <c r="O1948" s="324"/>
      <c r="P1948" s="324"/>
      <c r="Q1948" s="324" t="s">
        <v>18</v>
      </c>
      <c r="R1948" s="324"/>
      <c r="S1948" s="324" t="s">
        <v>19</v>
      </c>
      <c r="T1948" s="528">
        <v>7</v>
      </c>
      <c r="U1948" s="324">
        <f>E1948/324*60</f>
        <v>0</v>
      </c>
      <c r="V1948" s="676"/>
      <c r="W1948" s="528"/>
      <c r="X1948" s="529"/>
      <c r="Y1948" s="323"/>
      <c r="Z1948" s="312">
        <f t="shared" si="740"/>
        <v>0</v>
      </c>
      <c r="AA1948" s="316">
        <f t="shared" si="741"/>
        <v>0.25</v>
      </c>
    </row>
    <row r="1949" spans="1:27" ht="51.75" outlineLevel="1" thickBot="1" x14ac:dyDescent="0.45">
      <c r="A1949" s="319" t="s">
        <v>723</v>
      </c>
      <c r="B1949" s="320" t="s">
        <v>765</v>
      </c>
      <c r="C1949" s="586">
        <f>C164+C392+C620</f>
        <v>0</v>
      </c>
      <c r="D1949" s="528"/>
      <c r="E1949" s="456">
        <f>C1949*2.5</f>
        <v>0</v>
      </c>
      <c r="F1949" s="358">
        <f>E1949*1.03*0.82/147</f>
        <v>0</v>
      </c>
      <c r="G1949" s="549">
        <f t="shared" ref="G1949:G1966" si="742">INT(M1949)</f>
        <v>0</v>
      </c>
      <c r="H1949" s="359" t="s">
        <v>18</v>
      </c>
      <c r="I1949" s="549">
        <f t="shared" ref="I1949:I1966" si="743">(M1949-G1949)*64</f>
        <v>0</v>
      </c>
      <c r="J1949" s="359" t="s">
        <v>19</v>
      </c>
      <c r="K1949" s="358"/>
      <c r="L1949" s="358"/>
      <c r="M1949" s="358">
        <f>(F1949*5547/3456)</f>
        <v>0</v>
      </c>
      <c r="N1949" s="324"/>
      <c r="O1949" s="324"/>
      <c r="P1949" s="324"/>
      <c r="Q1949" s="324" t="s">
        <v>18</v>
      </c>
      <c r="R1949" s="324"/>
      <c r="S1949" s="324" t="s">
        <v>19</v>
      </c>
      <c r="T1949" s="528">
        <v>7</v>
      </c>
      <c r="U1949" s="324">
        <f t="shared" si="739"/>
        <v>0</v>
      </c>
      <c r="V1949" s="676"/>
      <c r="W1949" s="528"/>
      <c r="X1949" s="529"/>
      <c r="Y1949" s="323"/>
      <c r="Z1949" s="312">
        <f t="shared" si="740"/>
        <v>0</v>
      </c>
      <c r="AA1949" s="316">
        <f t="shared" si="741"/>
        <v>0.25</v>
      </c>
    </row>
    <row r="1950" spans="1:27" ht="77.25" outlineLevel="1" thickBot="1" x14ac:dyDescent="0.45">
      <c r="A1950" s="319" t="s">
        <v>723</v>
      </c>
      <c r="B1950" s="320" t="s">
        <v>766</v>
      </c>
      <c r="C1950" s="586">
        <f>C165+C393+C621</f>
        <v>0</v>
      </c>
      <c r="D1950" s="528"/>
      <c r="E1950" s="456">
        <f>C1950*4</f>
        <v>0</v>
      </c>
      <c r="F1950" s="358">
        <f>E1950*1.03*0.82/147</f>
        <v>0</v>
      </c>
      <c r="G1950" s="548">
        <f t="shared" si="742"/>
        <v>0</v>
      </c>
      <c r="H1950" s="358" t="s">
        <v>18</v>
      </c>
      <c r="I1950" s="548">
        <f t="shared" si="743"/>
        <v>0</v>
      </c>
      <c r="J1950" s="358" t="s">
        <v>19</v>
      </c>
      <c r="K1950" s="358"/>
      <c r="L1950" s="358"/>
      <c r="M1950" s="358">
        <f>(F1950*5547/3456)</f>
        <v>0</v>
      </c>
      <c r="N1950" s="324"/>
      <c r="O1950" s="324"/>
      <c r="P1950" s="324"/>
      <c r="Q1950" s="324" t="s">
        <v>18</v>
      </c>
      <c r="R1950" s="324"/>
      <c r="S1950" s="324" t="s">
        <v>19</v>
      </c>
      <c r="T1950" s="528">
        <v>3</v>
      </c>
      <c r="U1950" s="324">
        <f t="shared" si="739"/>
        <v>0</v>
      </c>
      <c r="V1950" s="685"/>
      <c r="W1950" s="528"/>
      <c r="X1950" s="529"/>
      <c r="Y1950" s="323"/>
      <c r="Z1950" s="312">
        <f t="shared" si="740"/>
        <v>0</v>
      </c>
      <c r="AA1950" s="316">
        <f t="shared" si="741"/>
        <v>0.25</v>
      </c>
    </row>
    <row r="1951" spans="1:27" ht="77.25" outlineLevel="1" thickBot="1" x14ac:dyDescent="0.45">
      <c r="A1951" s="319" t="s">
        <v>723</v>
      </c>
      <c r="B1951" s="320" t="s">
        <v>1149</v>
      </c>
      <c r="C1951" s="586">
        <f>C168+C395+C623</f>
        <v>0</v>
      </c>
      <c r="D1951" s="528"/>
      <c r="E1951" s="456">
        <f>C1951*4</f>
        <v>0</v>
      </c>
      <c r="F1951" s="358">
        <f>E1951*1.03*0.82/147</f>
        <v>0</v>
      </c>
      <c r="G1951" s="548">
        <f t="shared" si="742"/>
        <v>0</v>
      </c>
      <c r="H1951" s="358" t="s">
        <v>18</v>
      </c>
      <c r="I1951" s="548">
        <f t="shared" si="743"/>
        <v>0</v>
      </c>
      <c r="J1951" s="358" t="s">
        <v>19</v>
      </c>
      <c r="K1951" s="358"/>
      <c r="L1951" s="358"/>
      <c r="M1951" s="358">
        <f>(F1951*5547/3456)</f>
        <v>0</v>
      </c>
      <c r="N1951" s="324"/>
      <c r="O1951" s="324"/>
      <c r="P1951" s="324"/>
      <c r="Q1951" s="324" t="s">
        <v>18</v>
      </c>
      <c r="R1951" s="324"/>
      <c r="S1951" s="324" t="s">
        <v>19</v>
      </c>
      <c r="T1951" s="528">
        <v>3</v>
      </c>
      <c r="U1951" s="324">
        <f t="shared" si="739"/>
        <v>0</v>
      </c>
      <c r="V1951" s="676"/>
      <c r="W1951" s="528"/>
      <c r="X1951" s="529"/>
      <c r="Y1951" s="323"/>
      <c r="Z1951" s="312">
        <f t="shared" si="740"/>
        <v>0</v>
      </c>
      <c r="AA1951" s="316">
        <f t="shared" si="741"/>
        <v>0.25</v>
      </c>
    </row>
    <row r="1952" spans="1:27" ht="77.25" outlineLevel="1" thickBot="1" x14ac:dyDescent="0.45">
      <c r="A1952" s="319" t="s">
        <v>723</v>
      </c>
      <c r="B1952" s="799" t="s">
        <v>1209</v>
      </c>
      <c r="C1952" s="586">
        <f>C167+C396+C624</f>
        <v>0</v>
      </c>
      <c r="D1952" s="528"/>
      <c r="E1952" s="456">
        <f>C1952*4</f>
        <v>0</v>
      </c>
      <c r="F1952" s="358">
        <f>E1952*1.03*0.82/147</f>
        <v>0</v>
      </c>
      <c r="G1952" s="548">
        <f t="shared" si="742"/>
        <v>0</v>
      </c>
      <c r="H1952" s="358" t="s">
        <v>18</v>
      </c>
      <c r="I1952" s="548">
        <f t="shared" si="743"/>
        <v>0</v>
      </c>
      <c r="J1952" s="358" t="s">
        <v>19</v>
      </c>
      <c r="K1952" s="358"/>
      <c r="L1952" s="358"/>
      <c r="M1952" s="358">
        <f>(F1952*5547/3456)</f>
        <v>0</v>
      </c>
      <c r="N1952" s="324"/>
      <c r="O1952" s="324"/>
      <c r="P1952" s="324"/>
      <c r="Q1952" s="324" t="s">
        <v>18</v>
      </c>
      <c r="R1952" s="324"/>
      <c r="S1952" s="324" t="s">
        <v>19</v>
      </c>
      <c r="T1952" s="528">
        <v>3</v>
      </c>
      <c r="U1952" s="324">
        <f>E1952/324*60</f>
        <v>0</v>
      </c>
      <c r="V1952" s="676"/>
      <c r="W1952" s="528"/>
      <c r="X1952" s="529"/>
      <c r="Y1952" s="323"/>
      <c r="Z1952" s="312">
        <f t="shared" si="740"/>
        <v>0</v>
      </c>
      <c r="AA1952" s="316">
        <f t="shared" si="741"/>
        <v>0.25</v>
      </c>
    </row>
    <row r="1953" spans="1:29" ht="102.75" outlineLevel="1" thickBot="1" x14ac:dyDescent="0.45">
      <c r="A1953" s="319" t="s">
        <v>723</v>
      </c>
      <c r="B1953" s="320" t="s">
        <v>751</v>
      </c>
      <c r="C1953" s="586">
        <f>C169+C397+C625</f>
        <v>0</v>
      </c>
      <c r="D1953" s="528"/>
      <c r="E1953" s="456">
        <f>C1953*4</f>
        <v>0</v>
      </c>
      <c r="F1953" s="358">
        <f>E1953*1.01*0.72/147</f>
        <v>0</v>
      </c>
      <c r="G1953" s="548">
        <f t="shared" si="742"/>
        <v>0</v>
      </c>
      <c r="H1953" s="358" t="s">
        <v>18</v>
      </c>
      <c r="I1953" s="548">
        <f t="shared" si="743"/>
        <v>0</v>
      </c>
      <c r="J1953" s="358" t="s">
        <v>19</v>
      </c>
      <c r="K1953" s="358"/>
      <c r="L1953" s="358"/>
      <c r="M1953" s="358">
        <f>(F1953*6035/3456)</f>
        <v>0</v>
      </c>
      <c r="N1953" s="324"/>
      <c r="O1953" s="324"/>
      <c r="P1953" s="324"/>
      <c r="Q1953" s="324" t="s">
        <v>18</v>
      </c>
      <c r="R1953" s="324"/>
      <c r="S1953" s="324" t="s">
        <v>19</v>
      </c>
      <c r="T1953" s="528">
        <v>3</v>
      </c>
      <c r="U1953" s="324">
        <f t="shared" si="739"/>
        <v>0</v>
      </c>
      <c r="V1953" s="676"/>
      <c r="W1953" s="528"/>
      <c r="X1953" s="529"/>
      <c r="Y1953" s="323"/>
      <c r="Z1953" s="312">
        <f t="shared" si="740"/>
        <v>0</v>
      </c>
      <c r="AA1953" s="316">
        <f t="shared" si="741"/>
        <v>0.25</v>
      </c>
    </row>
    <row r="1954" spans="1:29" ht="77.25" outlineLevel="1" thickBot="1" x14ac:dyDescent="0.45">
      <c r="A1954" s="319" t="s">
        <v>723</v>
      </c>
      <c r="B1954" s="343" t="s">
        <v>752</v>
      </c>
      <c r="C1954" s="586">
        <f>C170+C398+C626</f>
        <v>0</v>
      </c>
      <c r="D1954" s="528"/>
      <c r="E1954" s="457">
        <f>C1954*3</f>
        <v>0</v>
      </c>
      <c r="F1954" s="358">
        <f>E1954*1.03*0.82/147</f>
        <v>0</v>
      </c>
      <c r="G1954" s="549">
        <f t="shared" si="742"/>
        <v>0</v>
      </c>
      <c r="H1954" s="359" t="s">
        <v>18</v>
      </c>
      <c r="I1954" s="549">
        <f t="shared" si="743"/>
        <v>0</v>
      </c>
      <c r="J1954" s="359" t="s">
        <v>19</v>
      </c>
      <c r="K1954" s="358"/>
      <c r="L1954" s="358"/>
      <c r="M1954" s="358">
        <f>(F1954*5547/3456)</f>
        <v>0</v>
      </c>
      <c r="N1954" s="324"/>
      <c r="O1954" s="324"/>
      <c r="P1954" s="324"/>
      <c r="Q1954" s="324" t="s">
        <v>18</v>
      </c>
      <c r="R1954" s="324"/>
      <c r="S1954" s="324" t="s">
        <v>19</v>
      </c>
      <c r="T1954" s="528">
        <v>7</v>
      </c>
      <c r="U1954" s="324">
        <f t="shared" si="739"/>
        <v>0</v>
      </c>
      <c r="V1954" s="676"/>
      <c r="W1954" s="528"/>
      <c r="X1954" s="529"/>
      <c r="Y1954" s="323"/>
      <c r="Z1954" s="312">
        <f t="shared" si="740"/>
        <v>0</v>
      </c>
      <c r="AA1954" s="316">
        <f t="shared" si="741"/>
        <v>0.25</v>
      </c>
    </row>
    <row r="1955" spans="1:29" ht="77.25" outlineLevel="1" thickBot="1" x14ac:dyDescent="0.45">
      <c r="A1955" s="319" t="s">
        <v>723</v>
      </c>
      <c r="B1955" s="344" t="s">
        <v>879</v>
      </c>
      <c r="C1955" s="586">
        <f>C171+C399+C627</f>
        <v>0</v>
      </c>
      <c r="D1955" s="528"/>
      <c r="E1955" s="457">
        <f>C1955*3</f>
        <v>0</v>
      </c>
      <c r="F1955" s="358">
        <f>E1955*1.03*0.82/147</f>
        <v>0</v>
      </c>
      <c r="G1955" s="549">
        <f t="shared" si="742"/>
        <v>0</v>
      </c>
      <c r="H1955" s="359" t="s">
        <v>18</v>
      </c>
      <c r="I1955" s="549">
        <f t="shared" si="743"/>
        <v>0</v>
      </c>
      <c r="J1955" s="359" t="s">
        <v>19</v>
      </c>
      <c r="K1955" s="358"/>
      <c r="L1955" s="358"/>
      <c r="M1955" s="358">
        <f>(F1955*5547/3456)</f>
        <v>0</v>
      </c>
      <c r="N1955" s="324"/>
      <c r="O1955" s="324"/>
      <c r="P1955" s="324"/>
      <c r="Q1955" s="324" t="s">
        <v>18</v>
      </c>
      <c r="R1955" s="324"/>
      <c r="S1955" s="324" t="s">
        <v>19</v>
      </c>
      <c r="T1955" s="528">
        <v>3</v>
      </c>
      <c r="U1955" s="324">
        <f t="shared" si="739"/>
        <v>0</v>
      </c>
      <c r="V1955" s="676"/>
      <c r="W1955" s="528"/>
      <c r="X1955" s="562"/>
      <c r="Y1955" s="400"/>
      <c r="Z1955" s="312">
        <f t="shared" si="740"/>
        <v>0</v>
      </c>
      <c r="AA1955" s="316">
        <f t="shared" si="741"/>
        <v>0.25</v>
      </c>
    </row>
    <row r="1956" spans="1:29" ht="77.25" outlineLevel="1" thickBot="1" x14ac:dyDescent="0.45">
      <c r="A1956" s="319" t="s">
        <v>723</v>
      </c>
      <c r="B1956" s="634" t="s">
        <v>750</v>
      </c>
      <c r="C1956" s="528">
        <f>C166+C394+C622</f>
        <v>0</v>
      </c>
      <c r="D1956" s="548">
        <f>C1956*144</f>
        <v>0</v>
      </c>
      <c r="E1956" s="456">
        <f>D1956*0.025</f>
        <v>0</v>
      </c>
      <c r="F1956" s="358">
        <f>E1956*1.008*0.72/147</f>
        <v>0</v>
      </c>
      <c r="G1956" s="548">
        <f t="shared" si="742"/>
        <v>0</v>
      </c>
      <c r="H1956" s="358" t="s">
        <v>18</v>
      </c>
      <c r="I1956" s="548">
        <f t="shared" si="743"/>
        <v>0</v>
      </c>
      <c r="J1956" s="358" t="s">
        <v>19</v>
      </c>
      <c r="K1956" s="358"/>
      <c r="L1956" s="358"/>
      <c r="M1956" s="358">
        <f>(F1956*8166/3456)</f>
        <v>0</v>
      </c>
      <c r="N1956" s="324"/>
      <c r="O1956" s="324"/>
      <c r="P1956" s="324"/>
      <c r="Q1956" s="324" t="s">
        <v>18</v>
      </c>
      <c r="R1956" s="324"/>
      <c r="S1956" s="324" t="s">
        <v>19</v>
      </c>
      <c r="T1956" s="528">
        <v>3</v>
      </c>
      <c r="U1956" s="324">
        <f>E1956/259*60</f>
        <v>0</v>
      </c>
      <c r="V1956" s="676"/>
      <c r="W1956" s="528"/>
      <c r="X1956" s="529"/>
      <c r="Y1956" s="323"/>
      <c r="Z1956" s="312">
        <f t="shared" si="740"/>
        <v>0</v>
      </c>
      <c r="AA1956" s="316">
        <f t="shared" si="741"/>
        <v>0.25</v>
      </c>
    </row>
    <row r="1957" spans="1:29" ht="77.25" outlineLevel="1" thickBot="1" x14ac:dyDescent="0.45">
      <c r="A1957" s="319" t="s">
        <v>723</v>
      </c>
      <c r="B1957" s="799" t="s">
        <v>1185</v>
      </c>
      <c r="C1957" s="528">
        <f t="shared" ref="C1957:C1966" si="744">C180+C407+C635</f>
        <v>0</v>
      </c>
      <c r="D1957" s="528"/>
      <c r="E1957" s="456">
        <f>C1957*1</f>
        <v>0</v>
      </c>
      <c r="F1957" s="358">
        <f>E1957*1.03*0.84/147</f>
        <v>0</v>
      </c>
      <c r="G1957" s="549">
        <f>INT(M1957)</f>
        <v>0</v>
      </c>
      <c r="H1957" s="359" t="s">
        <v>18</v>
      </c>
      <c r="I1957" s="549">
        <f>(M1957-G1957)*64</f>
        <v>0</v>
      </c>
      <c r="J1957" s="359" t="s">
        <v>19</v>
      </c>
      <c r="K1957" s="358"/>
      <c r="L1957" s="358"/>
      <c r="M1957" s="358">
        <f>(F1957*5068/3456)</f>
        <v>0</v>
      </c>
      <c r="N1957" s="324"/>
      <c r="O1957" s="324"/>
      <c r="P1957" s="324"/>
      <c r="Q1957" s="324" t="s">
        <v>18</v>
      </c>
      <c r="R1957" s="324"/>
      <c r="S1957" s="324" t="s">
        <v>19</v>
      </c>
      <c r="T1957" s="528">
        <v>7</v>
      </c>
      <c r="U1957" s="324">
        <f>E1957/324*60</f>
        <v>0</v>
      </c>
      <c r="V1957" s="676"/>
      <c r="W1957" s="528"/>
      <c r="X1957" s="529"/>
      <c r="Y1957" s="323"/>
      <c r="Z1957" s="312">
        <f t="shared" ref="Z1957:Z1966" si="745">E1957</f>
        <v>0</v>
      </c>
      <c r="AA1957" s="316">
        <f t="shared" ref="AA1957:AA1966" si="746">G1957/2.8+0.25</f>
        <v>0.25</v>
      </c>
    </row>
    <row r="1958" spans="1:29" ht="77.25" outlineLevel="1" thickBot="1" x14ac:dyDescent="0.45">
      <c r="A1958" s="319" t="s">
        <v>723</v>
      </c>
      <c r="B1958" s="799" t="s">
        <v>1187</v>
      </c>
      <c r="C1958" s="528">
        <f t="shared" si="744"/>
        <v>0</v>
      </c>
      <c r="D1958" s="528"/>
      <c r="E1958" s="456">
        <f>C1958*1.7</f>
        <v>0</v>
      </c>
      <c r="F1958" s="358">
        <f>E1958*1.03*0.84/147</f>
        <v>0</v>
      </c>
      <c r="G1958" s="549">
        <f>INT(M1958)</f>
        <v>0</v>
      </c>
      <c r="H1958" s="359" t="s">
        <v>18</v>
      </c>
      <c r="I1958" s="549">
        <f>(M1958-G1958)*64</f>
        <v>0</v>
      </c>
      <c r="J1958" s="359" t="s">
        <v>19</v>
      </c>
      <c r="K1958" s="358"/>
      <c r="L1958" s="358"/>
      <c r="M1958" s="358">
        <f>(F1958*5068/3456)</f>
        <v>0</v>
      </c>
      <c r="N1958" s="324"/>
      <c r="O1958" s="324"/>
      <c r="P1958" s="324"/>
      <c r="Q1958" s="324" t="s">
        <v>18</v>
      </c>
      <c r="R1958" s="324"/>
      <c r="S1958" s="324" t="s">
        <v>19</v>
      </c>
      <c r="T1958" s="528">
        <v>7</v>
      </c>
      <c r="U1958" s="324">
        <f>E1958/324*60</f>
        <v>0</v>
      </c>
      <c r="V1958" s="676"/>
      <c r="W1958" s="528"/>
      <c r="X1958" s="529"/>
      <c r="Y1958" s="323"/>
      <c r="Z1958" s="312">
        <f t="shared" si="745"/>
        <v>0</v>
      </c>
      <c r="AA1958" s="316">
        <f t="shared" si="746"/>
        <v>0.25</v>
      </c>
      <c r="AB1958" s="310">
        <f>E1958/1.21</f>
        <v>0</v>
      </c>
    </row>
    <row r="1959" spans="1:29" ht="77.25" outlineLevel="1" thickBot="1" x14ac:dyDescent="0.45">
      <c r="A1959" s="319" t="s">
        <v>723</v>
      </c>
      <c r="B1959" s="799" t="s">
        <v>896</v>
      </c>
      <c r="C1959" s="528">
        <f t="shared" si="744"/>
        <v>0</v>
      </c>
      <c r="D1959" s="528"/>
      <c r="E1959" s="456">
        <f>C1959*1.2</f>
        <v>0</v>
      </c>
      <c r="F1959" s="358">
        <f>E1959*1.01*0.72/147</f>
        <v>0</v>
      </c>
      <c r="G1959" s="548">
        <f t="shared" si="742"/>
        <v>0</v>
      </c>
      <c r="H1959" s="358" t="s">
        <v>18</v>
      </c>
      <c r="I1959" s="548">
        <f t="shared" si="743"/>
        <v>0</v>
      </c>
      <c r="J1959" s="358" t="s">
        <v>19</v>
      </c>
      <c r="K1959" s="358"/>
      <c r="L1959" s="358"/>
      <c r="M1959" s="358">
        <f>(F1959*6035/3456)</f>
        <v>0</v>
      </c>
      <c r="N1959" s="358"/>
      <c r="O1959" s="358"/>
      <c r="P1959" s="358"/>
      <c r="Q1959" s="358" t="s">
        <v>18</v>
      </c>
      <c r="R1959" s="358"/>
      <c r="S1959" s="358" t="s">
        <v>19</v>
      </c>
      <c r="T1959" s="528">
        <v>7</v>
      </c>
      <c r="U1959" s="324">
        <f t="shared" ref="U1959:U1966" si="747">E1959/324*60</f>
        <v>0</v>
      </c>
      <c r="V1959" s="685"/>
      <c r="W1959" s="528"/>
      <c r="X1959" s="529"/>
      <c r="Y1959" s="323"/>
      <c r="Z1959" s="312">
        <f t="shared" si="745"/>
        <v>0</v>
      </c>
      <c r="AA1959" s="316">
        <f t="shared" si="746"/>
        <v>0.25</v>
      </c>
      <c r="AB1959" s="310">
        <f>E1959/1.21</f>
        <v>0</v>
      </c>
      <c r="AC1959" s="643"/>
    </row>
    <row r="1960" spans="1:29" ht="77.25" outlineLevel="1" thickBot="1" x14ac:dyDescent="0.45">
      <c r="A1960" s="319" t="s">
        <v>723</v>
      </c>
      <c r="B1960" s="799" t="s">
        <v>1082</v>
      </c>
      <c r="C1960" s="528">
        <f t="shared" si="744"/>
        <v>0</v>
      </c>
      <c r="D1960" s="528"/>
      <c r="E1960" s="460">
        <f>C1960*1.2</f>
        <v>0</v>
      </c>
      <c r="F1960" s="324">
        <f>E1960*1.01*0.72/147</f>
        <v>0</v>
      </c>
      <c r="G1960" s="528">
        <f t="shared" si="742"/>
        <v>0</v>
      </c>
      <c r="H1960" s="324" t="s">
        <v>18</v>
      </c>
      <c r="I1960" s="528">
        <f t="shared" si="743"/>
        <v>0</v>
      </c>
      <c r="J1960" s="324" t="s">
        <v>19</v>
      </c>
      <c r="K1960" s="324"/>
      <c r="L1960" s="324"/>
      <c r="M1960" s="324">
        <f>(F1960*6035/3456)</f>
        <v>0</v>
      </c>
      <c r="N1960" s="324"/>
      <c r="O1960" s="324"/>
      <c r="P1960" s="324"/>
      <c r="Q1960" s="324" t="s">
        <v>18</v>
      </c>
      <c r="R1960" s="324"/>
      <c r="S1960" s="324" t="s">
        <v>19</v>
      </c>
      <c r="T1960" s="528">
        <v>7</v>
      </c>
      <c r="U1960" s="324">
        <f t="shared" si="747"/>
        <v>0</v>
      </c>
      <c r="V1960" s="685"/>
      <c r="W1960" s="528"/>
      <c r="X1960" s="529"/>
      <c r="Y1960" s="323"/>
      <c r="Z1960" s="312">
        <f t="shared" si="745"/>
        <v>0</v>
      </c>
      <c r="AA1960" s="316">
        <f t="shared" si="746"/>
        <v>0.25</v>
      </c>
      <c r="AB1960" s="310">
        <f>E1960/1.21</f>
        <v>0</v>
      </c>
      <c r="AC1960" s="643"/>
    </row>
    <row r="1961" spans="1:29" ht="51.75" outlineLevel="1" thickBot="1" x14ac:dyDescent="0.45">
      <c r="A1961" s="319" t="s">
        <v>723</v>
      </c>
      <c r="B1961" s="799" t="s">
        <v>897</v>
      </c>
      <c r="C1961" s="528">
        <f t="shared" si="744"/>
        <v>0</v>
      </c>
      <c r="D1961" s="528"/>
      <c r="E1961" s="456">
        <f>C1961*1.2</f>
        <v>0</v>
      </c>
      <c r="F1961" s="358">
        <f>E1961*1.03*0.82/147</f>
        <v>0</v>
      </c>
      <c r="G1961" s="549">
        <f t="shared" si="742"/>
        <v>0</v>
      </c>
      <c r="H1961" s="359" t="s">
        <v>18</v>
      </c>
      <c r="I1961" s="549">
        <f t="shared" si="743"/>
        <v>0</v>
      </c>
      <c r="J1961" s="359" t="s">
        <v>19</v>
      </c>
      <c r="K1961" s="358"/>
      <c r="L1961" s="358"/>
      <c r="M1961" s="358">
        <f>(F1961*5547/3456)</f>
        <v>0</v>
      </c>
      <c r="N1961" s="358"/>
      <c r="O1961" s="358"/>
      <c r="P1961" s="358"/>
      <c r="Q1961" s="358" t="s">
        <v>18</v>
      </c>
      <c r="R1961" s="358"/>
      <c r="S1961" s="358" t="s">
        <v>19</v>
      </c>
      <c r="T1961" s="528">
        <v>7</v>
      </c>
      <c r="U1961" s="324">
        <f t="shared" si="747"/>
        <v>0</v>
      </c>
      <c r="V1961" s="685"/>
      <c r="W1961" s="528"/>
      <c r="X1961" s="529"/>
      <c r="Y1961" s="323"/>
      <c r="Z1961" s="312">
        <f t="shared" si="745"/>
        <v>0</v>
      </c>
      <c r="AA1961" s="316">
        <f t="shared" si="746"/>
        <v>0.25</v>
      </c>
    </row>
    <row r="1962" spans="1:29" ht="77.25" outlineLevel="1" thickBot="1" x14ac:dyDescent="0.45">
      <c r="A1962" s="319" t="s">
        <v>723</v>
      </c>
      <c r="B1962" s="799" t="s">
        <v>1203</v>
      </c>
      <c r="C1962" s="528">
        <f t="shared" si="744"/>
        <v>0</v>
      </c>
      <c r="D1962" s="528"/>
      <c r="E1962" s="456">
        <f>C1962*1.2</f>
        <v>0</v>
      </c>
      <c r="F1962" s="358">
        <f>E1962*1.03*0.82/147</f>
        <v>0</v>
      </c>
      <c r="G1962" s="549">
        <f>INT(M1962)</f>
        <v>0</v>
      </c>
      <c r="H1962" s="359" t="s">
        <v>18</v>
      </c>
      <c r="I1962" s="549">
        <f>(M1962-G1962)*64</f>
        <v>0</v>
      </c>
      <c r="J1962" s="359" t="s">
        <v>19</v>
      </c>
      <c r="K1962" s="358"/>
      <c r="L1962" s="358"/>
      <c r="M1962" s="358">
        <f>(F1962*5547/3456)</f>
        <v>0</v>
      </c>
      <c r="N1962" s="358"/>
      <c r="O1962" s="358"/>
      <c r="P1962" s="358"/>
      <c r="Q1962" s="358" t="s">
        <v>18</v>
      </c>
      <c r="R1962" s="358"/>
      <c r="S1962" s="358" t="s">
        <v>19</v>
      </c>
      <c r="T1962" s="528">
        <v>7</v>
      </c>
      <c r="U1962" s="324">
        <f>E1962/324*60</f>
        <v>0</v>
      </c>
      <c r="V1962" s="685"/>
      <c r="W1962" s="528"/>
      <c r="X1962" s="529"/>
      <c r="Y1962" s="323"/>
      <c r="Z1962" s="312">
        <f>E1962</f>
        <v>0</v>
      </c>
      <c r="AA1962" s="316">
        <f>G1962/2.8+0.25</f>
        <v>0.25</v>
      </c>
    </row>
    <row r="1963" spans="1:29" ht="77.25" outlineLevel="1" thickBot="1" x14ac:dyDescent="0.45">
      <c r="A1963" s="319" t="s">
        <v>723</v>
      </c>
      <c r="B1963" s="802" t="s">
        <v>1010</v>
      </c>
      <c r="C1963" s="528">
        <f t="shared" si="744"/>
        <v>0</v>
      </c>
      <c r="D1963" s="528"/>
      <c r="E1963" s="460">
        <f>C1963*2</f>
        <v>0</v>
      </c>
      <c r="F1963" s="324">
        <f>E1963*1.01*0.72/147</f>
        <v>0</v>
      </c>
      <c r="G1963" s="528">
        <f t="shared" si="742"/>
        <v>0</v>
      </c>
      <c r="H1963" s="324" t="s">
        <v>18</v>
      </c>
      <c r="I1963" s="528">
        <f t="shared" si="743"/>
        <v>0</v>
      </c>
      <c r="J1963" s="324" t="s">
        <v>19</v>
      </c>
      <c r="K1963" s="324"/>
      <c r="L1963" s="324"/>
      <c r="M1963" s="324">
        <f>(F1963*6035/3456)</f>
        <v>0</v>
      </c>
      <c r="N1963" s="324"/>
      <c r="O1963" s="324"/>
      <c r="P1963" s="324"/>
      <c r="Q1963" s="324" t="s">
        <v>18</v>
      </c>
      <c r="R1963" s="324"/>
      <c r="S1963" s="324" t="s">
        <v>19</v>
      </c>
      <c r="T1963" s="528">
        <v>7</v>
      </c>
      <c r="U1963" s="324">
        <f t="shared" si="747"/>
        <v>0</v>
      </c>
      <c r="V1963" s="685"/>
      <c r="W1963" s="528"/>
      <c r="X1963" s="529"/>
      <c r="Y1963" s="323"/>
      <c r="Z1963" s="312">
        <f t="shared" si="745"/>
        <v>0</v>
      </c>
      <c r="AA1963" s="316">
        <f t="shared" si="746"/>
        <v>0.25</v>
      </c>
      <c r="AB1963" s="310">
        <f>E1963/1.21</f>
        <v>0</v>
      </c>
      <c r="AC1963" s="643"/>
    </row>
    <row r="1964" spans="1:29" ht="77.25" outlineLevel="1" thickBot="1" x14ac:dyDescent="0.45">
      <c r="A1964" s="319" t="s">
        <v>723</v>
      </c>
      <c r="B1964" s="802" t="s">
        <v>1011</v>
      </c>
      <c r="C1964" s="528">
        <f t="shared" si="744"/>
        <v>0</v>
      </c>
      <c r="D1964" s="528"/>
      <c r="E1964" s="460">
        <f>C1964*2</f>
        <v>0</v>
      </c>
      <c r="F1964" s="324">
        <f>E1964*1.01*0.72/147</f>
        <v>0</v>
      </c>
      <c r="G1964" s="528">
        <f t="shared" si="742"/>
        <v>0</v>
      </c>
      <c r="H1964" s="324" t="s">
        <v>18</v>
      </c>
      <c r="I1964" s="528">
        <f t="shared" si="743"/>
        <v>0</v>
      </c>
      <c r="J1964" s="324" t="s">
        <v>19</v>
      </c>
      <c r="K1964" s="324"/>
      <c r="L1964" s="324"/>
      <c r="M1964" s="324">
        <f>(F1964*6035/3456)</f>
        <v>0</v>
      </c>
      <c r="N1964" s="324"/>
      <c r="O1964" s="324"/>
      <c r="P1964" s="324"/>
      <c r="Q1964" s="324" t="s">
        <v>18</v>
      </c>
      <c r="R1964" s="324"/>
      <c r="S1964" s="324" t="s">
        <v>19</v>
      </c>
      <c r="T1964" s="528">
        <v>7</v>
      </c>
      <c r="U1964" s="324">
        <f t="shared" si="747"/>
        <v>0</v>
      </c>
      <c r="V1964" s="685"/>
      <c r="W1964" s="528"/>
      <c r="X1964" s="529"/>
      <c r="Y1964" s="323"/>
      <c r="Z1964" s="312">
        <f t="shared" si="745"/>
        <v>0</v>
      </c>
      <c r="AA1964" s="316">
        <f t="shared" si="746"/>
        <v>0.25</v>
      </c>
      <c r="AB1964" s="310">
        <f>E1964/1.21</f>
        <v>0</v>
      </c>
      <c r="AC1964" s="643"/>
    </row>
    <row r="1965" spans="1:29" ht="77.25" outlineLevel="1" thickBot="1" x14ac:dyDescent="0.45">
      <c r="A1965" s="319" t="s">
        <v>723</v>
      </c>
      <c r="B1965" s="802" t="s">
        <v>1009</v>
      </c>
      <c r="C1965" s="528">
        <f t="shared" si="744"/>
        <v>0</v>
      </c>
      <c r="D1965" s="528"/>
      <c r="E1965" s="460">
        <f>C1965*2</f>
        <v>0</v>
      </c>
      <c r="F1965" s="324">
        <f>E1965*1.03*0.82/147</f>
        <v>0</v>
      </c>
      <c r="G1965" s="537">
        <f t="shared" si="742"/>
        <v>0</v>
      </c>
      <c r="H1965" s="354" t="s">
        <v>18</v>
      </c>
      <c r="I1965" s="537">
        <f t="shared" si="743"/>
        <v>0</v>
      </c>
      <c r="J1965" s="354" t="s">
        <v>19</v>
      </c>
      <c r="K1965" s="324"/>
      <c r="L1965" s="324"/>
      <c r="M1965" s="324">
        <f>(F1965*5547/3456)</f>
        <v>0</v>
      </c>
      <c r="N1965" s="324"/>
      <c r="O1965" s="324"/>
      <c r="P1965" s="324"/>
      <c r="Q1965" s="324" t="s">
        <v>18</v>
      </c>
      <c r="R1965" s="324"/>
      <c r="S1965" s="324" t="s">
        <v>19</v>
      </c>
      <c r="T1965" s="528">
        <v>7</v>
      </c>
      <c r="U1965" s="324">
        <f t="shared" si="747"/>
        <v>0</v>
      </c>
      <c r="V1965" s="685"/>
      <c r="W1965" s="528"/>
      <c r="X1965" s="529"/>
      <c r="Y1965" s="323"/>
      <c r="Z1965" s="312">
        <f t="shared" si="745"/>
        <v>0</v>
      </c>
      <c r="AA1965" s="316">
        <f t="shared" si="746"/>
        <v>0.25</v>
      </c>
    </row>
    <row r="1966" spans="1:29" ht="77.25" outlineLevel="1" thickBot="1" x14ac:dyDescent="0.45">
      <c r="A1966" s="319" t="s">
        <v>723</v>
      </c>
      <c r="B1966" s="802" t="s">
        <v>1043</v>
      </c>
      <c r="C1966" s="528">
        <f t="shared" si="744"/>
        <v>0</v>
      </c>
      <c r="D1966" s="528"/>
      <c r="E1966" s="460">
        <f>C1966*2</f>
        <v>0</v>
      </c>
      <c r="F1966" s="324">
        <f>E1966*1.03*0.82/147</f>
        <v>0</v>
      </c>
      <c r="G1966" s="537">
        <f t="shared" si="742"/>
        <v>0</v>
      </c>
      <c r="H1966" s="354" t="s">
        <v>18</v>
      </c>
      <c r="I1966" s="537">
        <f t="shared" si="743"/>
        <v>0</v>
      </c>
      <c r="J1966" s="354" t="s">
        <v>19</v>
      </c>
      <c r="K1966" s="324"/>
      <c r="L1966" s="324"/>
      <c r="M1966" s="324">
        <f>(F1966*5547/3456)</f>
        <v>0</v>
      </c>
      <c r="N1966" s="324"/>
      <c r="O1966" s="324"/>
      <c r="P1966" s="324"/>
      <c r="Q1966" s="324" t="s">
        <v>18</v>
      </c>
      <c r="R1966" s="324"/>
      <c r="S1966" s="324" t="s">
        <v>19</v>
      </c>
      <c r="T1966" s="528">
        <v>7</v>
      </c>
      <c r="U1966" s="324">
        <f t="shared" si="747"/>
        <v>0</v>
      </c>
      <c r="V1966" s="685"/>
      <c r="W1966" s="528"/>
      <c r="X1966" s="529"/>
      <c r="Y1966" s="323"/>
      <c r="Z1966" s="312">
        <f t="shared" si="745"/>
        <v>0</v>
      </c>
      <c r="AA1966" s="316">
        <f t="shared" si="746"/>
        <v>0.25</v>
      </c>
    </row>
    <row r="1967" spans="1:29" outlineLevel="2" thickBot="1" x14ac:dyDescent="0.45">
      <c r="A1967" s="830"/>
      <c r="B1967" s="332" t="s">
        <v>286</v>
      </c>
      <c r="C1967" s="347"/>
      <c r="D1967" s="347"/>
      <c r="E1967" s="494"/>
      <c r="F1967" s="348"/>
      <c r="G1967" s="347"/>
      <c r="H1967" s="348"/>
      <c r="I1967" s="347"/>
      <c r="J1967" s="348"/>
      <c r="K1967" s="348"/>
      <c r="L1967" s="348"/>
      <c r="M1967" s="348"/>
      <c r="N1967" s="348"/>
      <c r="O1967" s="348"/>
      <c r="P1967" s="348"/>
      <c r="Q1967" s="348"/>
      <c r="R1967" s="348"/>
      <c r="S1967" s="348"/>
      <c r="T1967" s="347"/>
      <c r="U1967" s="348"/>
      <c r="V1967" s="356"/>
      <c r="W1967" s="348"/>
      <c r="X1967" s="501"/>
      <c r="Y1967" s="392"/>
    </row>
    <row r="1968" spans="1:29" ht="51.75" outlineLevel="2" thickBot="1" x14ac:dyDescent="0.45">
      <c r="A1968" s="319" t="s">
        <v>723</v>
      </c>
      <c r="B1968" s="320" t="s">
        <v>858</v>
      </c>
      <c r="C1968" s="528">
        <f>C208+C436+C666</f>
        <v>0</v>
      </c>
      <c r="D1968" s="551">
        <f>C1968*18</f>
        <v>0</v>
      </c>
      <c r="E1968" s="456">
        <f>D1968*0.18</f>
        <v>0</v>
      </c>
      <c r="F1968" s="358">
        <f>E1968*1.03*0.8/147</f>
        <v>0</v>
      </c>
      <c r="G1968" s="548">
        <f t="shared" ref="G1968:G1991" si="748">INT(M1968)</f>
        <v>0</v>
      </c>
      <c r="H1968" s="358" t="s">
        <v>18</v>
      </c>
      <c r="I1968" s="548">
        <f t="shared" ref="I1968:I1991" si="749">(M1968-G1968)*64</f>
        <v>0</v>
      </c>
      <c r="J1968" s="358" t="s">
        <v>19</v>
      </c>
      <c r="K1968" s="358"/>
      <c r="L1968" s="358"/>
      <c r="M1968" s="358">
        <f>F1968*5960/3456</f>
        <v>0</v>
      </c>
      <c r="N1968" s="324"/>
      <c r="O1968" s="324"/>
      <c r="P1968" s="324"/>
      <c r="Q1968" s="324" t="s">
        <v>18</v>
      </c>
      <c r="R1968" s="324"/>
      <c r="S1968" s="324" t="s">
        <v>19</v>
      </c>
      <c r="T1968" s="528">
        <v>7</v>
      </c>
      <c r="U1968" s="324">
        <f>E1968/220*60</f>
        <v>0</v>
      </c>
      <c r="V1968" s="676"/>
      <c r="W1968" s="528"/>
      <c r="X1968" s="529"/>
      <c r="Y1968" s="323"/>
      <c r="Z1968" s="312">
        <f t="shared" ref="Z1968:Z1991" si="750">E1968</f>
        <v>0</v>
      </c>
      <c r="AA1968" s="316">
        <f t="shared" si="741"/>
        <v>0.25</v>
      </c>
    </row>
    <row r="1969" spans="1:27" ht="51.75" outlineLevel="2" thickBot="1" x14ac:dyDescent="0.45">
      <c r="A1969" s="319" t="s">
        <v>723</v>
      </c>
      <c r="B1969" s="320" t="s">
        <v>1031</v>
      </c>
      <c r="C1969" s="528">
        <f>C209+C437+C667</f>
        <v>0</v>
      </c>
      <c r="D1969" s="530">
        <f>C1969*22</f>
        <v>0</v>
      </c>
      <c r="E1969" s="460">
        <f>D1969*0.18</f>
        <v>0</v>
      </c>
      <c r="F1969" s="324">
        <f>E1969*1.03*0.8/147</f>
        <v>0</v>
      </c>
      <c r="G1969" s="528">
        <f t="shared" si="748"/>
        <v>0</v>
      </c>
      <c r="H1969" s="324" t="s">
        <v>18</v>
      </c>
      <c r="I1969" s="528">
        <f t="shared" si="749"/>
        <v>0</v>
      </c>
      <c r="J1969" s="324" t="s">
        <v>19</v>
      </c>
      <c r="K1969" s="324"/>
      <c r="L1969" s="324"/>
      <c r="M1969" s="324">
        <f>F1969*5960/3456</f>
        <v>0</v>
      </c>
      <c r="N1969" s="324"/>
      <c r="O1969" s="324"/>
      <c r="P1969" s="324"/>
      <c r="Q1969" s="324" t="s">
        <v>18</v>
      </c>
      <c r="R1969" s="324"/>
      <c r="S1969" s="324" t="s">
        <v>19</v>
      </c>
      <c r="T1969" s="528">
        <v>7</v>
      </c>
      <c r="U1969" s="324">
        <f>E1969/220*60</f>
        <v>0</v>
      </c>
      <c r="V1969" s="676"/>
      <c r="W1969" s="528"/>
      <c r="X1969" s="529"/>
      <c r="Y1969" s="300"/>
      <c r="Z1969" s="312">
        <f>E1969</f>
        <v>0</v>
      </c>
      <c r="AA1969" s="316">
        <f>G1969/2.8+0.25</f>
        <v>0.25</v>
      </c>
    </row>
    <row r="1970" spans="1:27" ht="77.25" outlineLevel="2" thickBot="1" x14ac:dyDescent="0.45">
      <c r="A1970" s="319" t="s">
        <v>723</v>
      </c>
      <c r="B1970" s="320" t="s">
        <v>893</v>
      </c>
      <c r="C1970" s="528">
        <f>C210+C438+C668</f>
        <v>0</v>
      </c>
      <c r="D1970" s="551">
        <f>C1970*18</f>
        <v>0</v>
      </c>
      <c r="E1970" s="456">
        <f>D1970*0.18</f>
        <v>0</v>
      </c>
      <c r="F1970" s="358">
        <f>E1970*1.03*0.8/147</f>
        <v>0</v>
      </c>
      <c r="G1970" s="548">
        <f t="shared" si="748"/>
        <v>0</v>
      </c>
      <c r="H1970" s="358" t="s">
        <v>18</v>
      </c>
      <c r="I1970" s="548">
        <f t="shared" si="749"/>
        <v>0</v>
      </c>
      <c r="J1970" s="358" t="s">
        <v>19</v>
      </c>
      <c r="K1970" s="358"/>
      <c r="L1970" s="358"/>
      <c r="M1970" s="358">
        <f>F1970*5960/3456</f>
        <v>0</v>
      </c>
      <c r="N1970" s="324"/>
      <c r="O1970" s="324"/>
      <c r="P1970" s="324"/>
      <c r="Q1970" s="324" t="s">
        <v>18</v>
      </c>
      <c r="R1970" s="324"/>
      <c r="S1970" s="324" t="s">
        <v>19</v>
      </c>
      <c r="T1970" s="528">
        <v>7</v>
      </c>
      <c r="U1970" s="324">
        <f>E1970/220*60</f>
        <v>0</v>
      </c>
      <c r="V1970" s="676"/>
      <c r="W1970" s="528"/>
      <c r="X1970" s="529"/>
      <c r="Y1970" s="323"/>
      <c r="Z1970" s="312">
        <f t="shared" si="750"/>
        <v>0</v>
      </c>
      <c r="AA1970" s="316">
        <f t="shared" si="741"/>
        <v>0.25</v>
      </c>
    </row>
    <row r="1971" spans="1:27" ht="51.75" outlineLevel="2" thickBot="1" x14ac:dyDescent="0.45">
      <c r="A1971" s="319" t="s">
        <v>723</v>
      </c>
      <c r="B1971" s="320" t="s">
        <v>1036</v>
      </c>
      <c r="C1971" s="586">
        <f>C193+C421+C649</f>
        <v>0</v>
      </c>
      <c r="D1971" s="550">
        <f>C1971*22</f>
        <v>0</v>
      </c>
      <c r="E1971" s="456">
        <f>D1971*0.2</f>
        <v>0</v>
      </c>
      <c r="F1971" s="358">
        <f>E1971*1.03*0.82/147</f>
        <v>0</v>
      </c>
      <c r="G1971" s="548">
        <f t="shared" si="748"/>
        <v>0</v>
      </c>
      <c r="H1971" s="358" t="s">
        <v>18</v>
      </c>
      <c r="I1971" s="548">
        <f t="shared" si="749"/>
        <v>0</v>
      </c>
      <c r="J1971" s="358" t="s">
        <v>19</v>
      </c>
      <c r="K1971" s="358"/>
      <c r="L1971" s="358"/>
      <c r="M1971" s="358">
        <f>F1971*5250/3456</f>
        <v>0</v>
      </c>
      <c r="N1971" s="358"/>
      <c r="O1971" s="358"/>
      <c r="P1971" s="358"/>
      <c r="Q1971" s="358" t="s">
        <v>18</v>
      </c>
      <c r="R1971" s="358"/>
      <c r="S1971" s="358" t="s">
        <v>19</v>
      </c>
      <c r="T1971" s="528">
        <v>7</v>
      </c>
      <c r="U1971" s="324">
        <f>E1971/220*60</f>
        <v>0</v>
      </c>
      <c r="V1971" s="676"/>
      <c r="W1971" s="528"/>
      <c r="X1971" s="529"/>
      <c r="Y1971" s="323"/>
      <c r="Z1971" s="312">
        <f t="shared" si="750"/>
        <v>0</v>
      </c>
      <c r="AA1971" s="316">
        <f t="shared" si="741"/>
        <v>0.25</v>
      </c>
    </row>
    <row r="1972" spans="1:27" ht="51.75" outlineLevel="2" thickBot="1" x14ac:dyDescent="0.45">
      <c r="A1972" s="319" t="s">
        <v>723</v>
      </c>
      <c r="B1972" s="320" t="s">
        <v>1001</v>
      </c>
      <c r="C1972" s="586">
        <f>C194+C422+C650</f>
        <v>0</v>
      </c>
      <c r="D1972" s="551">
        <f>C1972*22</f>
        <v>0</v>
      </c>
      <c r="E1972" s="456">
        <f>D1972*0.2</f>
        <v>0</v>
      </c>
      <c r="F1972" s="358">
        <f>E1972*1.03*0.82/147</f>
        <v>0</v>
      </c>
      <c r="G1972" s="548">
        <f t="shared" si="748"/>
        <v>0</v>
      </c>
      <c r="H1972" s="358" t="s">
        <v>18</v>
      </c>
      <c r="I1972" s="548">
        <f t="shared" si="749"/>
        <v>0</v>
      </c>
      <c r="J1972" s="358" t="s">
        <v>19</v>
      </c>
      <c r="K1972" s="358"/>
      <c r="L1972" s="358"/>
      <c r="M1972" s="358">
        <f>F1972*5250/3456</f>
        <v>0</v>
      </c>
      <c r="N1972" s="358"/>
      <c r="O1972" s="358"/>
      <c r="P1972" s="358"/>
      <c r="Q1972" s="358" t="s">
        <v>18</v>
      </c>
      <c r="R1972" s="358"/>
      <c r="S1972" s="358" t="s">
        <v>19</v>
      </c>
      <c r="T1972" s="528">
        <v>7</v>
      </c>
      <c r="U1972" s="324">
        <f>E1972/220*60</f>
        <v>0</v>
      </c>
      <c r="V1972" s="676"/>
      <c r="W1972" s="528"/>
      <c r="X1972" s="529"/>
      <c r="Y1972" s="323"/>
      <c r="Z1972" s="312">
        <f t="shared" si="750"/>
        <v>0</v>
      </c>
      <c r="AA1972" s="316">
        <f t="shared" si="741"/>
        <v>0.25</v>
      </c>
    </row>
    <row r="1973" spans="1:27" ht="77.25" outlineLevel="2" thickBot="1" x14ac:dyDescent="0.45">
      <c r="A1973" s="319" t="s">
        <v>723</v>
      </c>
      <c r="B1973" s="320" t="s">
        <v>796</v>
      </c>
      <c r="C1973" s="528">
        <f>C195+C423+C651</f>
        <v>0</v>
      </c>
      <c r="D1973" s="551">
        <f>C1973*8</f>
        <v>0</v>
      </c>
      <c r="E1973" s="456">
        <f>D1973*0.25</f>
        <v>0</v>
      </c>
      <c r="F1973" s="358">
        <f>E1973*1.015*0.72/147</f>
        <v>0</v>
      </c>
      <c r="G1973" s="548">
        <f t="shared" si="748"/>
        <v>0</v>
      </c>
      <c r="H1973" s="358" t="s">
        <v>18</v>
      </c>
      <c r="I1973" s="548">
        <f t="shared" si="749"/>
        <v>0</v>
      </c>
      <c r="J1973" s="358" t="s">
        <v>19</v>
      </c>
      <c r="K1973" s="358"/>
      <c r="L1973" s="358"/>
      <c r="M1973" s="552">
        <f>(F1973*6447/3456)</f>
        <v>0</v>
      </c>
      <c r="N1973" s="324"/>
      <c r="O1973" s="324"/>
      <c r="P1973" s="324"/>
      <c r="Q1973" s="324" t="s">
        <v>18</v>
      </c>
      <c r="R1973" s="324"/>
      <c r="S1973" s="324" t="s">
        <v>19</v>
      </c>
      <c r="T1973" s="528">
        <v>7</v>
      </c>
      <c r="U1973" s="324">
        <f>E1973/259*60</f>
        <v>0</v>
      </c>
      <c r="V1973" s="676"/>
      <c r="W1973" s="528"/>
      <c r="X1973" s="529"/>
      <c r="Y1973" s="323"/>
      <c r="Z1973" s="312">
        <f t="shared" si="750"/>
        <v>0</v>
      </c>
      <c r="AA1973" s="316">
        <f t="shared" si="741"/>
        <v>0.25</v>
      </c>
    </row>
    <row r="1974" spans="1:27" ht="77.25" outlineLevel="2" thickBot="1" x14ac:dyDescent="0.45">
      <c r="A1974" s="319" t="s">
        <v>723</v>
      </c>
      <c r="B1974" s="320" t="s">
        <v>797</v>
      </c>
      <c r="C1974" s="528">
        <f>C196+C424+C652</f>
        <v>0</v>
      </c>
      <c r="D1974" s="551">
        <f>C1974*8</f>
        <v>0</v>
      </c>
      <c r="E1974" s="456">
        <f>D1974*0.25</f>
        <v>0</v>
      </c>
      <c r="F1974" s="358">
        <f>E1974*1.015*0.72/147</f>
        <v>0</v>
      </c>
      <c r="G1974" s="548">
        <f t="shared" si="748"/>
        <v>0</v>
      </c>
      <c r="H1974" s="358" t="s">
        <v>18</v>
      </c>
      <c r="I1974" s="548">
        <f t="shared" si="749"/>
        <v>0</v>
      </c>
      <c r="J1974" s="358" t="s">
        <v>19</v>
      </c>
      <c r="K1974" s="358"/>
      <c r="L1974" s="358"/>
      <c r="M1974" s="552">
        <f>(F1974*6447/3456)</f>
        <v>0</v>
      </c>
      <c r="N1974" s="324"/>
      <c r="O1974" s="324"/>
      <c r="P1974" s="324"/>
      <c r="Q1974" s="324" t="s">
        <v>18</v>
      </c>
      <c r="R1974" s="324"/>
      <c r="S1974" s="324" t="s">
        <v>19</v>
      </c>
      <c r="T1974" s="528">
        <v>7</v>
      </c>
      <c r="U1974" s="324">
        <f>E1974/259*60</f>
        <v>0</v>
      </c>
      <c r="V1974" s="676"/>
      <c r="W1974" s="528"/>
      <c r="X1974" s="529"/>
      <c r="Y1974" s="323"/>
      <c r="Z1974" s="312">
        <f t="shared" si="750"/>
        <v>0</v>
      </c>
      <c r="AA1974" s="316">
        <f t="shared" si="741"/>
        <v>0.25</v>
      </c>
    </row>
    <row r="1975" spans="1:27" ht="51.75" outlineLevel="2" thickBot="1" x14ac:dyDescent="0.45">
      <c r="A1975" s="319" t="s">
        <v>723</v>
      </c>
      <c r="B1975" s="363" t="s">
        <v>683</v>
      </c>
      <c r="C1975" s="586">
        <f>C197+C425+C653</f>
        <v>0</v>
      </c>
      <c r="D1975" s="548">
        <f>C1975*10</f>
        <v>0</v>
      </c>
      <c r="E1975" s="456">
        <f>D1975*0.2</f>
        <v>0</v>
      </c>
      <c r="F1975" s="358">
        <f>E1975*1.03*0.82/147</f>
        <v>0</v>
      </c>
      <c r="G1975" s="548">
        <f t="shared" si="748"/>
        <v>0</v>
      </c>
      <c r="H1975" s="358" t="s">
        <v>18</v>
      </c>
      <c r="I1975" s="548">
        <f t="shared" si="749"/>
        <v>0</v>
      </c>
      <c r="J1975" s="358" t="s">
        <v>19</v>
      </c>
      <c r="K1975" s="358"/>
      <c r="L1975" s="358"/>
      <c r="M1975" s="358">
        <f>(F1975*8750/3456)</f>
        <v>0</v>
      </c>
      <c r="N1975" s="324"/>
      <c r="O1975" s="324"/>
      <c r="P1975" s="324"/>
      <c r="Q1975" s="324" t="s">
        <v>18</v>
      </c>
      <c r="R1975" s="324"/>
      <c r="S1975" s="324" t="s">
        <v>19</v>
      </c>
      <c r="T1975" s="528">
        <v>7</v>
      </c>
      <c r="U1975" s="324">
        <f>E1975/220*60</f>
        <v>0</v>
      </c>
      <c r="V1975" s="676"/>
      <c r="W1975" s="528"/>
      <c r="X1975" s="529"/>
      <c r="Y1975" s="323"/>
      <c r="Z1975" s="312">
        <f t="shared" si="750"/>
        <v>0</v>
      </c>
      <c r="AA1975" s="316">
        <f>G1975/3.3+0.25</f>
        <v>0.25</v>
      </c>
    </row>
    <row r="1976" spans="1:27" s="728" customFormat="1" ht="77.25" outlineLevel="2" thickBot="1" x14ac:dyDescent="0.45">
      <c r="A1976" s="636" t="s">
        <v>723</v>
      </c>
      <c r="B1976" s="634" t="s">
        <v>1040</v>
      </c>
      <c r="C1976" s="720">
        <f>C206+C434+C663</f>
        <v>0</v>
      </c>
      <c r="D1976" s="720">
        <f>C1976*12</f>
        <v>0</v>
      </c>
      <c r="E1976" s="721">
        <f>D1976*0.25</f>
        <v>0</v>
      </c>
      <c r="F1976" s="722">
        <f>E1976*1.03*0.729/147</f>
        <v>0</v>
      </c>
      <c r="G1976" s="720">
        <f t="shared" si="748"/>
        <v>0</v>
      </c>
      <c r="H1976" s="722" t="s">
        <v>18</v>
      </c>
      <c r="I1976" s="720">
        <f t="shared" si="749"/>
        <v>0</v>
      </c>
      <c r="J1976" s="722" t="s">
        <v>19</v>
      </c>
      <c r="K1976" s="722"/>
      <c r="L1976" s="722"/>
      <c r="M1976" s="722">
        <f>(F1976*7840/3456)</f>
        <v>0</v>
      </c>
      <c r="N1976" s="722"/>
      <c r="O1976" s="722"/>
      <c r="P1976" s="722"/>
      <c r="Q1976" s="722" t="s">
        <v>18</v>
      </c>
      <c r="R1976" s="722"/>
      <c r="S1976" s="722" t="s">
        <v>19</v>
      </c>
      <c r="T1976" s="720">
        <v>7</v>
      </c>
      <c r="U1976" s="324">
        <f>E1976/390*60</f>
        <v>0</v>
      </c>
      <c r="V1976" s="724"/>
      <c r="W1976" s="720"/>
      <c r="X1976" s="725"/>
      <c r="Y1976" s="736"/>
      <c r="Z1976" s="727">
        <f t="shared" si="750"/>
        <v>0</v>
      </c>
      <c r="AA1976" s="815">
        <f t="shared" si="741"/>
        <v>0.25</v>
      </c>
    </row>
    <row r="1977" spans="1:27" ht="77.25" outlineLevel="2" thickBot="1" x14ac:dyDescent="0.45">
      <c r="A1977" s="319" t="s">
        <v>723</v>
      </c>
      <c r="B1977" s="634" t="s">
        <v>767</v>
      </c>
      <c r="C1977" s="586">
        <f t="shared" ref="C1977:C1982" si="751">C198+C426+C654</f>
        <v>0</v>
      </c>
      <c r="D1977" s="548">
        <f>C1977*10</f>
        <v>0</v>
      </c>
      <c r="E1977" s="456">
        <f>D1977*0.2</f>
        <v>0</v>
      </c>
      <c r="F1977" s="358">
        <f>E1977*1.015*0.72/147</f>
        <v>0</v>
      </c>
      <c r="G1977" s="548">
        <f t="shared" si="748"/>
        <v>0</v>
      </c>
      <c r="H1977" s="358" t="s">
        <v>18</v>
      </c>
      <c r="I1977" s="548">
        <f t="shared" si="749"/>
        <v>0</v>
      </c>
      <c r="J1977" s="358" t="s">
        <v>19</v>
      </c>
      <c r="K1977" s="358"/>
      <c r="L1977" s="358"/>
      <c r="M1977" s="358">
        <f>(F1977*8070/3456)</f>
        <v>0</v>
      </c>
      <c r="N1977" s="324"/>
      <c r="O1977" s="324"/>
      <c r="P1977" s="324"/>
      <c r="Q1977" s="324" t="s">
        <v>18</v>
      </c>
      <c r="R1977" s="324"/>
      <c r="S1977" s="324" t="s">
        <v>19</v>
      </c>
      <c r="T1977" s="528">
        <v>2</v>
      </c>
      <c r="U1977" s="324">
        <f t="shared" ref="U1977:U1991" si="752">E1977/220*60</f>
        <v>0</v>
      </c>
      <c r="V1977" s="676"/>
      <c r="W1977" s="528"/>
      <c r="X1977" s="529"/>
      <c r="Y1977" s="323"/>
      <c r="Z1977" s="312">
        <f t="shared" si="750"/>
        <v>0</v>
      </c>
      <c r="AA1977" s="316">
        <f t="shared" si="741"/>
        <v>0.25</v>
      </c>
    </row>
    <row r="1978" spans="1:27" ht="77.25" outlineLevel="2" thickBot="1" x14ac:dyDescent="0.45">
      <c r="A1978" s="319" t="s">
        <v>723</v>
      </c>
      <c r="B1978" s="320" t="s">
        <v>768</v>
      </c>
      <c r="C1978" s="586">
        <f t="shared" si="751"/>
        <v>0</v>
      </c>
      <c r="D1978" s="548">
        <f>C1978*10</f>
        <v>0</v>
      </c>
      <c r="E1978" s="456">
        <f>D1978*0.2</f>
        <v>0</v>
      </c>
      <c r="F1978" s="358">
        <f>E1978*1.015*0.72/147</f>
        <v>0</v>
      </c>
      <c r="G1978" s="548">
        <f t="shared" si="748"/>
        <v>0</v>
      </c>
      <c r="H1978" s="358" t="s">
        <v>18</v>
      </c>
      <c r="I1978" s="548">
        <f t="shared" si="749"/>
        <v>0</v>
      </c>
      <c r="J1978" s="358" t="s">
        <v>19</v>
      </c>
      <c r="K1978" s="358"/>
      <c r="L1978" s="358"/>
      <c r="M1978" s="358">
        <f>(F1978*8070/3456)</f>
        <v>0</v>
      </c>
      <c r="N1978" s="324"/>
      <c r="O1978" s="324"/>
      <c r="P1978" s="324"/>
      <c r="Q1978" s="324" t="s">
        <v>18</v>
      </c>
      <c r="R1978" s="324"/>
      <c r="S1978" s="324" t="s">
        <v>19</v>
      </c>
      <c r="T1978" s="528">
        <v>2</v>
      </c>
      <c r="U1978" s="324">
        <f t="shared" si="752"/>
        <v>0</v>
      </c>
      <c r="V1978" s="676"/>
      <c r="W1978" s="528"/>
      <c r="X1978" s="529"/>
      <c r="Y1978" s="323"/>
      <c r="Z1978" s="312">
        <f t="shared" si="750"/>
        <v>0</v>
      </c>
      <c r="AA1978" s="316">
        <f t="shared" si="741"/>
        <v>0.25</v>
      </c>
    </row>
    <row r="1979" spans="1:27" ht="77.25" outlineLevel="2" thickBot="1" x14ac:dyDescent="0.45">
      <c r="A1979" s="319" t="s">
        <v>723</v>
      </c>
      <c r="B1979" s="320" t="s">
        <v>627</v>
      </c>
      <c r="C1979" s="586">
        <f t="shared" si="751"/>
        <v>0</v>
      </c>
      <c r="D1979" s="548">
        <f>C1979*18</f>
        <v>0</v>
      </c>
      <c r="E1979" s="456">
        <f>D1979*0.2</f>
        <v>0</v>
      </c>
      <c r="F1979" s="358">
        <f>E1979*1.05*0.8/140</f>
        <v>0</v>
      </c>
      <c r="G1979" s="548">
        <f t="shared" si="748"/>
        <v>0</v>
      </c>
      <c r="H1979" s="358" t="s">
        <v>18</v>
      </c>
      <c r="I1979" s="548">
        <f t="shared" si="749"/>
        <v>0</v>
      </c>
      <c r="J1979" s="358" t="s">
        <v>19</v>
      </c>
      <c r="K1979" s="358"/>
      <c r="L1979" s="358"/>
      <c r="M1979" s="358">
        <f>F1979*5111/3456</f>
        <v>0</v>
      </c>
      <c r="N1979" s="324"/>
      <c r="O1979" s="324"/>
      <c r="P1979" s="324"/>
      <c r="Q1979" s="324" t="s">
        <v>18</v>
      </c>
      <c r="R1979" s="324"/>
      <c r="S1979" s="324" t="s">
        <v>19</v>
      </c>
      <c r="T1979" s="528">
        <v>7</v>
      </c>
      <c r="U1979" s="324">
        <f t="shared" si="752"/>
        <v>0</v>
      </c>
      <c r="V1979" s="676"/>
      <c r="W1979" s="528"/>
      <c r="X1979" s="529"/>
      <c r="Y1979" s="360" t="s">
        <v>1029</v>
      </c>
      <c r="Z1979" s="312">
        <f t="shared" si="750"/>
        <v>0</v>
      </c>
      <c r="AA1979" s="316">
        <f t="shared" si="741"/>
        <v>0.25</v>
      </c>
    </row>
    <row r="1980" spans="1:27" ht="77.25" outlineLevel="2" thickBot="1" x14ac:dyDescent="0.45">
      <c r="A1980" s="319" t="s">
        <v>723</v>
      </c>
      <c r="B1980" s="364" t="s">
        <v>694</v>
      </c>
      <c r="C1980" s="586">
        <f t="shared" si="751"/>
        <v>0</v>
      </c>
      <c r="D1980" s="548">
        <f>C1980*10</f>
        <v>0</v>
      </c>
      <c r="E1980" s="456">
        <f>D1980*0.25</f>
        <v>0</v>
      </c>
      <c r="F1980" s="358">
        <f>E1980*1.03*0.81/147</f>
        <v>0</v>
      </c>
      <c r="G1980" s="548">
        <f t="shared" si="748"/>
        <v>0</v>
      </c>
      <c r="H1980" s="358" t="s">
        <v>18</v>
      </c>
      <c r="I1980" s="548">
        <f t="shared" si="749"/>
        <v>0</v>
      </c>
      <c r="J1980" s="358" t="s">
        <v>19</v>
      </c>
      <c r="K1980" s="358"/>
      <c r="L1980" s="358"/>
      <c r="M1980" s="358">
        <f>(F1980*8820/3456)</f>
        <v>0</v>
      </c>
      <c r="N1980" s="324"/>
      <c r="O1980" s="324"/>
      <c r="P1980" s="324"/>
      <c r="Q1980" s="324" t="s">
        <v>18</v>
      </c>
      <c r="R1980" s="324"/>
      <c r="S1980" s="324" t="s">
        <v>19</v>
      </c>
      <c r="T1980" s="528">
        <v>7</v>
      </c>
      <c r="U1980" s="324">
        <f t="shared" si="752"/>
        <v>0</v>
      </c>
      <c r="V1980" s="676"/>
      <c r="W1980" s="528"/>
      <c r="X1980" s="529"/>
      <c r="Y1980" s="323"/>
      <c r="Z1980" s="312">
        <f t="shared" si="750"/>
        <v>0</v>
      </c>
      <c r="AA1980" s="316">
        <f t="shared" si="741"/>
        <v>0.25</v>
      </c>
    </row>
    <row r="1981" spans="1:27" ht="77.25" outlineLevel="2" thickBot="1" x14ac:dyDescent="0.45">
      <c r="A1981" s="319" t="s">
        <v>723</v>
      </c>
      <c r="B1981" s="364" t="s">
        <v>1068</v>
      </c>
      <c r="C1981" s="586">
        <f t="shared" si="751"/>
        <v>0</v>
      </c>
      <c r="D1981" s="528">
        <f>C1981*10</f>
        <v>0</v>
      </c>
      <c r="E1981" s="460">
        <f>D1981*0.25</f>
        <v>0</v>
      </c>
      <c r="F1981" s="324">
        <f>E1981*1.03*0.81/147</f>
        <v>0</v>
      </c>
      <c r="G1981" s="528">
        <f>INT(M1981)</f>
        <v>0</v>
      </c>
      <c r="H1981" s="324" t="s">
        <v>18</v>
      </c>
      <c r="I1981" s="528">
        <f>(M1981-G1981)*64</f>
        <v>0</v>
      </c>
      <c r="J1981" s="324" t="s">
        <v>19</v>
      </c>
      <c r="K1981" s="324"/>
      <c r="L1981" s="324"/>
      <c r="M1981" s="324">
        <f>(F1981*8820/3456)</f>
        <v>0</v>
      </c>
      <c r="N1981" s="324"/>
      <c r="O1981" s="324"/>
      <c r="P1981" s="324"/>
      <c r="Q1981" s="324" t="s">
        <v>18</v>
      </c>
      <c r="R1981" s="324"/>
      <c r="S1981" s="324" t="s">
        <v>19</v>
      </c>
      <c r="T1981" s="528">
        <v>7</v>
      </c>
      <c r="U1981" s="324">
        <f>E1981/220*60</f>
        <v>0</v>
      </c>
      <c r="V1981" s="676"/>
      <c r="W1981" s="528"/>
      <c r="X1981" s="529"/>
      <c r="Y1981" s="323"/>
      <c r="Z1981" s="312">
        <f t="shared" ref="Z1981:Z1988" si="753">E1981</f>
        <v>0</v>
      </c>
      <c r="AA1981" s="316">
        <f>G1981/2.8+0.25</f>
        <v>0.25</v>
      </c>
    </row>
    <row r="1982" spans="1:27" ht="77.25" outlineLevel="2" thickBot="1" x14ac:dyDescent="0.45">
      <c r="A1982" s="319" t="s">
        <v>723</v>
      </c>
      <c r="B1982" s="364" t="s">
        <v>1072</v>
      </c>
      <c r="C1982" s="586">
        <f t="shared" si="751"/>
        <v>0</v>
      </c>
      <c r="D1982" s="528">
        <f>C1982*10</f>
        <v>0</v>
      </c>
      <c r="E1982" s="460">
        <f>D1982*0.25</f>
        <v>0</v>
      </c>
      <c r="F1982" s="324">
        <f>E1982*1.03*0.81/147</f>
        <v>0</v>
      </c>
      <c r="G1982" s="528">
        <f>INT(M1982)</f>
        <v>0</v>
      </c>
      <c r="H1982" s="324" t="s">
        <v>18</v>
      </c>
      <c r="I1982" s="528">
        <f>(M1982-G1982)*64</f>
        <v>0</v>
      </c>
      <c r="J1982" s="324" t="s">
        <v>19</v>
      </c>
      <c r="K1982" s="324"/>
      <c r="L1982" s="324"/>
      <c r="M1982" s="324">
        <f>(F1982*8820/3456)</f>
        <v>0</v>
      </c>
      <c r="N1982" s="324"/>
      <c r="O1982" s="324"/>
      <c r="P1982" s="324"/>
      <c r="Q1982" s="324" t="s">
        <v>18</v>
      </c>
      <c r="R1982" s="324"/>
      <c r="S1982" s="324" t="s">
        <v>19</v>
      </c>
      <c r="T1982" s="528">
        <v>7</v>
      </c>
      <c r="U1982" s="324">
        <f>E1982/220*60</f>
        <v>0</v>
      </c>
      <c r="V1982" s="676"/>
      <c r="W1982" s="528"/>
      <c r="X1982" s="529"/>
      <c r="Y1982" s="323"/>
      <c r="Z1982" s="312">
        <f t="shared" si="753"/>
        <v>0</v>
      </c>
      <c r="AA1982" s="316">
        <f>G1982/2.8+0.25</f>
        <v>0.25</v>
      </c>
    </row>
    <row r="1983" spans="1:27" ht="51.75" outlineLevel="2" thickBot="1" x14ac:dyDescent="0.45">
      <c r="A1983" s="319" t="s">
        <v>723</v>
      </c>
      <c r="B1983" s="320" t="s">
        <v>880</v>
      </c>
      <c r="C1983" s="528">
        <f>C211+C439+C669</f>
        <v>0</v>
      </c>
      <c r="D1983" s="550">
        <f>C1983*18</f>
        <v>0</v>
      </c>
      <c r="E1983" s="358">
        <f>D1983*0.24</f>
        <v>0</v>
      </c>
      <c r="F1983" s="358">
        <f>E1983*0.81/147</f>
        <v>0</v>
      </c>
      <c r="G1983" s="548">
        <f t="shared" si="748"/>
        <v>0</v>
      </c>
      <c r="H1983" s="358" t="s">
        <v>18</v>
      </c>
      <c r="I1983" s="548">
        <f t="shared" si="749"/>
        <v>0</v>
      </c>
      <c r="J1983" s="358" t="s">
        <v>19</v>
      </c>
      <c r="K1983" s="358"/>
      <c r="L1983" s="358"/>
      <c r="M1983" s="358">
        <f>F1983*6125/3456</f>
        <v>0</v>
      </c>
      <c r="N1983" s="358"/>
      <c r="O1983" s="358"/>
      <c r="P1983" s="358"/>
      <c r="Q1983" s="358" t="s">
        <v>18</v>
      </c>
      <c r="R1983" s="358"/>
      <c r="S1983" s="358" t="s">
        <v>19</v>
      </c>
      <c r="T1983" s="528">
        <v>7</v>
      </c>
      <c r="U1983" s="324">
        <f t="shared" si="752"/>
        <v>0</v>
      </c>
      <c r="V1983" s="676"/>
      <c r="W1983" s="528"/>
      <c r="X1983" s="529"/>
      <c r="Y1983" s="323"/>
      <c r="Z1983" s="312">
        <f t="shared" si="753"/>
        <v>0</v>
      </c>
      <c r="AA1983" s="316">
        <f t="shared" si="741"/>
        <v>0.25</v>
      </c>
    </row>
    <row r="1984" spans="1:27" ht="102.75" outlineLevel="2" thickBot="1" x14ac:dyDescent="0.45">
      <c r="A1984" s="319" t="s">
        <v>723</v>
      </c>
      <c r="B1984" s="362" t="s">
        <v>1027</v>
      </c>
      <c r="C1984" s="528">
        <f>C213+C441+C671</f>
        <v>0</v>
      </c>
      <c r="D1984" s="567">
        <f>C1984*7</f>
        <v>0</v>
      </c>
      <c r="E1984" s="460">
        <f>D1984*0.36</f>
        <v>0</v>
      </c>
      <c r="F1984" s="324">
        <f>E1984*1.03*0.8/147</f>
        <v>0</v>
      </c>
      <c r="G1984" s="528">
        <f>INT(M1984)</f>
        <v>0</v>
      </c>
      <c r="H1984" s="324" t="s">
        <v>18</v>
      </c>
      <c r="I1984" s="528">
        <f>(M1984-G1984)*64</f>
        <v>0</v>
      </c>
      <c r="J1984" s="324" t="s">
        <v>19</v>
      </c>
      <c r="K1984" s="324"/>
      <c r="L1984" s="324"/>
      <c r="M1984" s="324">
        <f>F1984*6000/3456</f>
        <v>0</v>
      </c>
      <c r="N1984" s="324"/>
      <c r="O1984" s="324"/>
      <c r="P1984" s="324"/>
      <c r="Q1984" s="324" t="s">
        <v>18</v>
      </c>
      <c r="R1984" s="324"/>
      <c r="S1984" s="324" t="s">
        <v>19</v>
      </c>
      <c r="T1984" s="528">
        <v>7</v>
      </c>
      <c r="U1984" s="324">
        <f>E1984/220*60</f>
        <v>0</v>
      </c>
      <c r="V1984" s="676"/>
      <c r="W1984" s="528"/>
      <c r="X1984" s="529"/>
      <c r="Y1984" s="323"/>
      <c r="Z1984" s="312">
        <f t="shared" si="753"/>
        <v>0</v>
      </c>
      <c r="AA1984" s="316">
        <f>G1984/2.8+0.25</f>
        <v>0.25</v>
      </c>
    </row>
    <row r="1985" spans="1:27" ht="51.75" outlineLevel="1" thickBot="1" x14ac:dyDescent="0.45">
      <c r="A1985" s="319" t="s">
        <v>723</v>
      </c>
      <c r="B1985" s="362" t="s">
        <v>909</v>
      </c>
      <c r="C1985" s="528">
        <f>C214+C442+C672</f>
        <v>0</v>
      </c>
      <c r="D1985" s="550">
        <f>C1985*12</f>
        <v>0</v>
      </c>
      <c r="E1985" s="358">
        <f>D1985*0.36</f>
        <v>0</v>
      </c>
      <c r="F1985" s="358">
        <f>E1985*1.03*0.8/147</f>
        <v>0</v>
      </c>
      <c r="G1985" s="548">
        <f>INT(M1985)</f>
        <v>0</v>
      </c>
      <c r="H1985" s="358" t="s">
        <v>18</v>
      </c>
      <c r="I1985" s="548">
        <f>(M1985-G1985)*64</f>
        <v>0</v>
      </c>
      <c r="J1985" s="358" t="s">
        <v>19</v>
      </c>
      <c r="K1985" s="358"/>
      <c r="L1985" s="358"/>
      <c r="M1985" s="358">
        <f>F1985*6000/3456</f>
        <v>0</v>
      </c>
      <c r="N1985" s="358"/>
      <c r="O1985" s="358"/>
      <c r="P1985" s="358"/>
      <c r="Q1985" s="358" t="s">
        <v>18</v>
      </c>
      <c r="R1985" s="358"/>
      <c r="S1985" s="358" t="s">
        <v>19</v>
      </c>
      <c r="T1985" s="528">
        <v>7</v>
      </c>
      <c r="U1985" s="324">
        <f>E1985/220*60</f>
        <v>0</v>
      </c>
      <c r="V1985" s="676"/>
      <c r="W1985" s="528"/>
      <c r="X1985" s="529"/>
      <c r="Y1985" s="323"/>
      <c r="Z1985" s="312">
        <f t="shared" si="753"/>
        <v>0</v>
      </c>
      <c r="AA1985" s="316">
        <f>G1985/2.8+0.25</f>
        <v>0.25</v>
      </c>
    </row>
    <row r="1986" spans="1:27" ht="51.75" outlineLevel="1" thickBot="1" x14ac:dyDescent="0.45">
      <c r="A1986" s="319" t="s">
        <v>723</v>
      </c>
      <c r="B1986" s="362" t="s">
        <v>1004</v>
      </c>
      <c r="C1986" s="528">
        <f>C215+C443+C673</f>
        <v>0</v>
      </c>
      <c r="D1986" s="567">
        <f>C1986*14</f>
        <v>0</v>
      </c>
      <c r="E1986" s="324">
        <f>D1986*0.36</f>
        <v>0</v>
      </c>
      <c r="F1986" s="324">
        <f>E1986*1.03*0.8/147</f>
        <v>0</v>
      </c>
      <c r="G1986" s="528">
        <f>INT(M1986)</f>
        <v>0</v>
      </c>
      <c r="H1986" s="324" t="s">
        <v>18</v>
      </c>
      <c r="I1986" s="528">
        <f>(M1986-G1986)*64</f>
        <v>0</v>
      </c>
      <c r="J1986" s="324" t="s">
        <v>19</v>
      </c>
      <c r="K1986" s="324"/>
      <c r="L1986" s="324"/>
      <c r="M1986" s="324">
        <f>F1986*6000/3456</f>
        <v>0</v>
      </c>
      <c r="N1986" s="324"/>
      <c r="O1986" s="324"/>
      <c r="P1986" s="324"/>
      <c r="Q1986" s="324" t="s">
        <v>18</v>
      </c>
      <c r="R1986" s="324"/>
      <c r="S1986" s="324" t="s">
        <v>19</v>
      </c>
      <c r="T1986" s="528">
        <v>7</v>
      </c>
      <c r="U1986" s="324">
        <f>E1986/220*60</f>
        <v>0</v>
      </c>
      <c r="V1986" s="676"/>
      <c r="W1986" s="528"/>
      <c r="X1986" s="529"/>
      <c r="Y1986" s="323"/>
      <c r="Z1986" s="312">
        <f t="shared" si="753"/>
        <v>0</v>
      </c>
      <c r="AA1986" s="316">
        <f>G1986/2.8+0.25</f>
        <v>0.25</v>
      </c>
    </row>
    <row r="1987" spans="1:27" ht="77.25" outlineLevel="1" thickBot="1" x14ac:dyDescent="0.45">
      <c r="A1987" s="319" t="s">
        <v>723</v>
      </c>
      <c r="B1987" s="369" t="s">
        <v>1015</v>
      </c>
      <c r="C1987" s="528">
        <f>C217+C447+C677</f>
        <v>0</v>
      </c>
      <c r="D1987" s="528">
        <f>C1987*12</f>
        <v>0</v>
      </c>
      <c r="E1987" s="460">
        <f>D1987*0.5</f>
        <v>0</v>
      </c>
      <c r="F1987" s="324">
        <f>E1987*1.03*0.82/147</f>
        <v>0</v>
      </c>
      <c r="G1987" s="537">
        <f>INT(M1987)</f>
        <v>0</v>
      </c>
      <c r="H1987" s="354" t="s">
        <v>18</v>
      </c>
      <c r="I1987" s="537">
        <f>(M1987-G1987)*64</f>
        <v>0</v>
      </c>
      <c r="J1987" s="354" t="s">
        <v>19</v>
      </c>
      <c r="K1987" s="324"/>
      <c r="L1987" s="324"/>
      <c r="M1987" s="324">
        <f>(F1987*5250/3456)</f>
        <v>0</v>
      </c>
      <c r="N1987" s="324"/>
      <c r="O1987" s="324"/>
      <c r="P1987" s="324"/>
      <c r="Q1987" s="324" t="s">
        <v>18</v>
      </c>
      <c r="R1987" s="324"/>
      <c r="S1987" s="324" t="s">
        <v>19</v>
      </c>
      <c r="T1987" s="528">
        <v>7</v>
      </c>
      <c r="U1987" s="324">
        <f>E1987/324*60</f>
        <v>0</v>
      </c>
      <c r="V1987" s="676"/>
      <c r="W1987" s="528"/>
      <c r="X1987" s="529"/>
      <c r="Y1987" s="323"/>
      <c r="Z1987" s="312">
        <f t="shared" si="753"/>
        <v>0</v>
      </c>
      <c r="AA1987" s="316">
        <f>G1987/2.8+0.25</f>
        <v>0.25</v>
      </c>
    </row>
    <row r="1988" spans="1:27" ht="84.75" customHeight="1" outlineLevel="1" thickBot="1" x14ac:dyDescent="0.45">
      <c r="A1988" s="319" t="s">
        <v>723</v>
      </c>
      <c r="B1988" s="369" t="s">
        <v>928</v>
      </c>
      <c r="C1988" s="528">
        <f>C218+C448+C678</f>
        <v>0</v>
      </c>
      <c r="D1988" s="548">
        <f>C1988*12</f>
        <v>0</v>
      </c>
      <c r="E1988" s="456">
        <f>D1988*0.6</f>
        <v>0</v>
      </c>
      <c r="F1988" s="358">
        <f>E1988*1.03*0.82/147</f>
        <v>0</v>
      </c>
      <c r="G1988" s="549">
        <f>INT(M1988)</f>
        <v>0</v>
      </c>
      <c r="H1988" s="359" t="s">
        <v>18</v>
      </c>
      <c r="I1988" s="549">
        <f>(M1988-G1988)*64</f>
        <v>0</v>
      </c>
      <c r="J1988" s="359" t="s">
        <v>19</v>
      </c>
      <c r="K1988" s="358"/>
      <c r="L1988" s="358"/>
      <c r="M1988" s="358">
        <f>(F1988*5250/3456)</f>
        <v>0</v>
      </c>
      <c r="N1988" s="358"/>
      <c r="O1988" s="358"/>
      <c r="P1988" s="358"/>
      <c r="Q1988" s="358" t="s">
        <v>18</v>
      </c>
      <c r="R1988" s="358"/>
      <c r="S1988" s="358" t="s">
        <v>19</v>
      </c>
      <c r="T1988" s="528">
        <v>7</v>
      </c>
      <c r="U1988" s="324">
        <f>E1988/324*60</f>
        <v>0</v>
      </c>
      <c r="V1988" s="676"/>
      <c r="W1988" s="528"/>
      <c r="X1988" s="529"/>
      <c r="Y1988" s="323"/>
      <c r="Z1988" s="312">
        <f t="shared" si="753"/>
        <v>0</v>
      </c>
      <c r="AA1988" s="316">
        <f>G1988/2.8+0.25</f>
        <v>0.25</v>
      </c>
    </row>
    <row r="1989" spans="1:27" ht="52.5" outlineLevel="2" thickBot="1" x14ac:dyDescent="0.45">
      <c r="A1989" s="319" t="s">
        <v>723</v>
      </c>
      <c r="B1989" s="320" t="s">
        <v>951</v>
      </c>
      <c r="C1989" s="586">
        <f>C204+C432+C660</f>
        <v>0</v>
      </c>
      <c r="D1989" s="551">
        <f>C1989*18</f>
        <v>0</v>
      </c>
      <c r="E1989" s="456">
        <f>D1989*0.2</f>
        <v>0</v>
      </c>
      <c r="F1989" s="358">
        <f>E1989*1.03*0.82/147</f>
        <v>0</v>
      </c>
      <c r="G1989" s="548">
        <f t="shared" si="748"/>
        <v>0</v>
      </c>
      <c r="H1989" s="358" t="s">
        <v>18</v>
      </c>
      <c r="I1989" s="548">
        <f t="shared" si="749"/>
        <v>0</v>
      </c>
      <c r="J1989" s="358" t="s">
        <v>19</v>
      </c>
      <c r="K1989" s="358"/>
      <c r="L1989" s="358"/>
      <c r="M1989" s="358">
        <f>F1989*5250/3456</f>
        <v>0</v>
      </c>
      <c r="N1989" s="324"/>
      <c r="O1989" s="324"/>
      <c r="P1989" s="324"/>
      <c r="Q1989" s="324" t="s">
        <v>18</v>
      </c>
      <c r="R1989" s="324"/>
      <c r="S1989" s="324" t="s">
        <v>19</v>
      </c>
      <c r="T1989" s="528">
        <v>7</v>
      </c>
      <c r="U1989" s="324">
        <f t="shared" si="752"/>
        <v>0</v>
      </c>
      <c r="V1989" s="676"/>
      <c r="W1989" s="528"/>
      <c r="X1989" s="529"/>
      <c r="Y1989" s="323"/>
      <c r="Z1989" s="312">
        <f t="shared" si="750"/>
        <v>0</v>
      </c>
      <c r="AA1989" s="316">
        <f t="shared" si="741"/>
        <v>0.25</v>
      </c>
    </row>
    <row r="1990" spans="1:27" ht="78" outlineLevel="2" thickBot="1" x14ac:dyDescent="0.45">
      <c r="A1990" s="319" t="s">
        <v>723</v>
      </c>
      <c r="B1990" s="320" t="s">
        <v>952</v>
      </c>
      <c r="C1990" s="586">
        <f>C205+C433+C661</f>
        <v>0</v>
      </c>
      <c r="D1990" s="551">
        <f>C1990*18</f>
        <v>0</v>
      </c>
      <c r="E1990" s="456">
        <f>D1990*0.2</f>
        <v>0</v>
      </c>
      <c r="F1990" s="358">
        <f>E1990*1.03*0.729/147</f>
        <v>0</v>
      </c>
      <c r="G1990" s="548">
        <f t="shared" si="748"/>
        <v>0</v>
      </c>
      <c r="H1990" s="358" t="s">
        <v>18</v>
      </c>
      <c r="I1990" s="548">
        <f t="shared" si="749"/>
        <v>0</v>
      </c>
      <c r="J1990" s="358" t="s">
        <v>19</v>
      </c>
      <c r="K1990" s="358"/>
      <c r="L1990" s="358"/>
      <c r="M1990" s="358">
        <f>F1990*5880/3456</f>
        <v>0</v>
      </c>
      <c r="N1990" s="324"/>
      <c r="O1990" s="324"/>
      <c r="P1990" s="324"/>
      <c r="Q1990" s="324" t="s">
        <v>18</v>
      </c>
      <c r="R1990" s="324"/>
      <c r="S1990" s="324" t="s">
        <v>19</v>
      </c>
      <c r="T1990" s="528">
        <v>7</v>
      </c>
      <c r="U1990" s="324">
        <f t="shared" si="752"/>
        <v>0</v>
      </c>
      <c r="V1990" s="676"/>
      <c r="W1990" s="528"/>
      <c r="X1990" s="529"/>
      <c r="Y1990" s="323"/>
      <c r="Z1990" s="312">
        <f t="shared" si="750"/>
        <v>0</v>
      </c>
      <c r="AA1990" s="316">
        <f t="shared" si="741"/>
        <v>0.25</v>
      </c>
    </row>
    <row r="1991" spans="1:27" ht="78" outlineLevel="2" thickBot="1" x14ac:dyDescent="0.45">
      <c r="A1991" s="319" t="s">
        <v>723</v>
      </c>
      <c r="B1991" s="343" t="s">
        <v>953</v>
      </c>
      <c r="C1991" s="587">
        <f>C207+C435+C662</f>
        <v>0</v>
      </c>
      <c r="D1991" s="551">
        <f>C1991*18</f>
        <v>0</v>
      </c>
      <c r="E1991" s="456">
        <f>D1991*0.2</f>
        <v>0</v>
      </c>
      <c r="F1991" s="358">
        <f>E1991*1.03*0.729/147</f>
        <v>0</v>
      </c>
      <c r="G1991" s="548">
        <f t="shared" si="748"/>
        <v>0</v>
      </c>
      <c r="H1991" s="358" t="s">
        <v>18</v>
      </c>
      <c r="I1991" s="548">
        <f t="shared" si="749"/>
        <v>0</v>
      </c>
      <c r="J1991" s="358" t="s">
        <v>19</v>
      </c>
      <c r="K1991" s="358"/>
      <c r="L1991" s="358"/>
      <c r="M1991" s="358">
        <f>F1991*5880/3456</f>
        <v>0</v>
      </c>
      <c r="N1991" s="324"/>
      <c r="O1991" s="324"/>
      <c r="P1991" s="324"/>
      <c r="Q1991" s="324" t="s">
        <v>18</v>
      </c>
      <c r="R1991" s="324"/>
      <c r="S1991" s="324" t="s">
        <v>19</v>
      </c>
      <c r="T1991" s="528">
        <v>7</v>
      </c>
      <c r="U1991" s="324">
        <f t="shared" si="752"/>
        <v>0</v>
      </c>
      <c r="V1991" s="676"/>
      <c r="W1991" s="528"/>
      <c r="X1991" s="529"/>
      <c r="Y1991" s="323"/>
      <c r="Z1991" s="312">
        <f t="shared" si="750"/>
        <v>0</v>
      </c>
      <c r="AA1991" s="316">
        <f t="shared" si="741"/>
        <v>0.25</v>
      </c>
    </row>
    <row r="1992" spans="1:27" ht="77.25" thickBot="1" x14ac:dyDescent="0.45">
      <c r="A1992" s="319" t="s">
        <v>723</v>
      </c>
      <c r="B1992" s="886" t="s">
        <v>1225</v>
      </c>
      <c r="C1992" s="528">
        <f>C219+C449+C679</f>
        <v>0</v>
      </c>
      <c r="D1992" s="528">
        <f>C1992*10</f>
        <v>0</v>
      </c>
      <c r="E1992" s="460">
        <f>D1992*0.3</f>
        <v>0</v>
      </c>
      <c r="F1992" s="324">
        <f>E1992*1.03*0.82/147</f>
        <v>0</v>
      </c>
      <c r="G1992" s="537">
        <f>INT(M1992)</f>
        <v>0</v>
      </c>
      <c r="H1992" s="354"/>
      <c r="I1992" s="537">
        <f>(M1992-G1992)*64</f>
        <v>0</v>
      </c>
      <c r="J1992" s="354"/>
      <c r="K1992" s="324"/>
      <c r="L1992" s="324"/>
      <c r="M1992" s="324">
        <f>(F1992*4900/2880)</f>
        <v>0</v>
      </c>
      <c r="N1992" s="324"/>
      <c r="O1992" s="324"/>
      <c r="P1992" s="324"/>
      <c r="Q1992" s="324"/>
      <c r="R1992" s="324"/>
      <c r="S1992" s="324"/>
      <c r="T1992" s="528">
        <v>2</v>
      </c>
      <c r="U1992" s="324"/>
      <c r="V1992" s="676"/>
      <c r="W1992" s="528"/>
      <c r="X1992" s="529"/>
      <c r="Y1992" s="323"/>
      <c r="Z1992" s="312">
        <f>E1992</f>
        <v>0</v>
      </c>
      <c r="AA1992" s="316">
        <f>G1992/2.8+0.25</f>
        <v>0.25</v>
      </c>
    </row>
    <row r="1993" spans="1:27" outlineLevel="2" thickBot="1" x14ac:dyDescent="0.45">
      <c r="A1993" s="329"/>
      <c r="B1993" s="344"/>
      <c r="C1993" s="588"/>
      <c r="D1993" s="589"/>
      <c r="E1993" s="460"/>
      <c r="F1993" s="324"/>
      <c r="G1993" s="528"/>
      <c r="H1993" s="324"/>
      <c r="I1993" s="528"/>
      <c r="J1993" s="324"/>
      <c r="K1993" s="324"/>
      <c r="L1993" s="324"/>
      <c r="M1993" s="324"/>
      <c r="N1993" s="324"/>
      <c r="O1993" s="324"/>
      <c r="P1993" s="324"/>
      <c r="Q1993" s="324"/>
      <c r="R1993" s="324"/>
      <c r="S1993" s="324"/>
      <c r="T1993" s="528"/>
      <c r="U1993" s="324"/>
      <c r="V1993" s="676"/>
      <c r="W1993" s="528"/>
      <c r="X1993" s="529"/>
      <c r="Y1993" s="323"/>
    </row>
    <row r="1994" spans="1:27" outlineLevel="2" thickBot="1" x14ac:dyDescent="0.45">
      <c r="A1994" s="329"/>
      <c r="B1994" s="344"/>
      <c r="C1994" s="588"/>
      <c r="D1994" s="589"/>
      <c r="E1994" s="460"/>
      <c r="F1994" s="324"/>
      <c r="G1994" s="528"/>
      <c r="H1994" s="324"/>
      <c r="I1994" s="528"/>
      <c r="J1994" s="324"/>
      <c r="K1994" s="324"/>
      <c r="L1994" s="324"/>
      <c r="M1994" s="324"/>
      <c r="N1994" s="324"/>
      <c r="O1994" s="324"/>
      <c r="P1994" s="324"/>
      <c r="Q1994" s="324"/>
      <c r="R1994" s="324"/>
      <c r="S1994" s="324"/>
      <c r="T1994" s="528"/>
      <c r="U1994" s="324"/>
      <c r="V1994" s="676"/>
      <c r="W1994" s="528"/>
      <c r="X1994" s="529"/>
      <c r="Y1994" s="323"/>
    </row>
    <row r="1995" spans="1:27" ht="53.25" outlineLevel="2" thickBot="1" x14ac:dyDescent="0.45">
      <c r="A1995" s="319"/>
      <c r="B1995" s="394" t="s">
        <v>695</v>
      </c>
      <c r="C1995" s="537"/>
      <c r="D1995" s="537"/>
      <c r="E1995" s="496"/>
      <c r="F1995" s="354"/>
      <c r="G1995" s="537"/>
      <c r="H1995" s="354"/>
      <c r="I1995" s="537"/>
      <c r="J1995" s="354"/>
      <c r="K1995" s="354"/>
      <c r="L1995" s="354"/>
      <c r="M1995" s="354"/>
      <c r="N1995" s="354"/>
      <c r="O1995" s="354"/>
      <c r="P1995" s="354"/>
      <c r="Q1995" s="354"/>
      <c r="R1995" s="354"/>
      <c r="S1995" s="354"/>
      <c r="T1995" s="537"/>
      <c r="U1995" s="354"/>
      <c r="V1995" s="682" t="s">
        <v>696</v>
      </c>
      <c r="W1995" s="537"/>
      <c r="X1995" s="540"/>
      <c r="Y1995" s="323"/>
    </row>
    <row r="1996" spans="1:27" outlineLevel="2" thickBot="1" x14ac:dyDescent="0.45">
      <c r="A1996" s="319"/>
      <c r="B1996" s="364"/>
      <c r="C1996" s="528"/>
      <c r="D1996" s="528"/>
      <c r="E1996" s="460"/>
      <c r="F1996" s="324"/>
      <c r="G1996" s="528"/>
      <c r="H1996" s="324"/>
      <c r="I1996" s="528"/>
      <c r="J1996" s="324"/>
      <c r="K1996" s="324"/>
      <c r="L1996" s="324"/>
      <c r="M1996" s="324"/>
      <c r="N1996" s="324"/>
      <c r="O1996" s="324"/>
      <c r="P1996" s="324"/>
      <c r="Q1996" s="324"/>
      <c r="R1996" s="324"/>
      <c r="S1996" s="324"/>
      <c r="T1996" s="528"/>
      <c r="U1996" s="324"/>
      <c r="V1996" s="676"/>
      <c r="W1996" s="528"/>
      <c r="X1996" s="529"/>
      <c r="Y1996" s="323"/>
    </row>
    <row r="1997" spans="1:27" outlineLevel="2" thickBot="1" x14ac:dyDescent="0.45">
      <c r="A1997" s="319"/>
      <c r="B1997" s="364"/>
      <c r="C1997" s="528"/>
      <c r="D1997" s="528"/>
      <c r="E1997" s="460"/>
      <c r="F1997" s="324"/>
      <c r="G1997" s="528"/>
      <c r="H1997" s="324"/>
      <c r="I1997" s="528"/>
      <c r="J1997" s="324"/>
      <c r="K1997" s="324"/>
      <c r="L1997" s="324"/>
      <c r="M1997" s="324"/>
      <c r="N1997" s="324"/>
      <c r="O1997" s="324"/>
      <c r="P1997" s="324"/>
      <c r="Q1997" s="324"/>
      <c r="R1997" s="324"/>
      <c r="S1997" s="324"/>
      <c r="T1997" s="528"/>
      <c r="U1997" s="324"/>
      <c r="V1997" s="676"/>
      <c r="W1997" s="528"/>
      <c r="X1997" s="529"/>
      <c r="Y1997" s="323"/>
    </row>
    <row r="1998" spans="1:27" outlineLevel="2" thickBot="1" x14ac:dyDescent="0.45">
      <c r="A1998" s="829"/>
      <c r="B1998" s="304" t="s">
        <v>36</v>
      </c>
      <c r="C1998" s="499"/>
      <c r="D1998" s="499"/>
      <c r="E1998" s="503">
        <f>E2000*0.00405</f>
        <v>0</v>
      </c>
      <c r="F1998" s="544"/>
      <c r="G1998" s="528"/>
      <c r="H1998" s="324"/>
      <c r="I1998" s="528"/>
      <c r="J1998" s="324"/>
      <c r="K1998" s="324"/>
      <c r="L1998" s="324"/>
      <c r="M1998" s="324"/>
      <c r="N1998" s="324"/>
      <c r="O1998" s="324"/>
      <c r="P1998" s="324"/>
      <c r="Q1998" s="324"/>
      <c r="R1998" s="324"/>
      <c r="S1998" s="324"/>
      <c r="T1998" s="528"/>
      <c r="U1998" s="324"/>
      <c r="V1998" s="676"/>
      <c r="W1998" s="528"/>
      <c r="X1998" s="529"/>
      <c r="Y1998" s="323"/>
    </row>
    <row r="1999" spans="1:27" outlineLevel="2" thickBot="1" x14ac:dyDescent="0.45">
      <c r="A1999" s="319"/>
      <c r="B1999" s="382" t="s">
        <v>147</v>
      </c>
      <c r="C1999" s="537"/>
      <c r="D1999" s="537"/>
      <c r="E1999" s="496">
        <f>SUM(E1935:E1992)+(C1925+C1926)</f>
        <v>12000</v>
      </c>
      <c r="F1999" s="324"/>
      <c r="G1999" s="528"/>
      <c r="H1999" s="324"/>
      <c r="I1999" s="528"/>
      <c r="J1999" s="324"/>
      <c r="K1999" s="324"/>
      <c r="L1999" s="324"/>
      <c r="M1999" s="324"/>
      <c r="N1999" s="324"/>
      <c r="O1999" s="324"/>
      <c r="P1999" s="324"/>
      <c r="Q1999" s="324"/>
      <c r="R1999" s="324"/>
      <c r="S1999" s="324"/>
      <c r="T1999" s="528"/>
      <c r="U1999" s="324"/>
      <c r="V1999" s="676"/>
      <c r="W1999" s="528"/>
      <c r="X1999" s="529"/>
      <c r="Y1999" s="323"/>
    </row>
    <row r="2000" spans="1:27" outlineLevel="2" thickBot="1" x14ac:dyDescent="0.45">
      <c r="A2000" s="356"/>
      <c r="B2000" s="382" t="s">
        <v>709</v>
      </c>
      <c r="C2000" s="537"/>
      <c r="D2000" s="537"/>
      <c r="E2000" s="496">
        <f>SUM(E1919:E1932)-(C1925+C1926)</f>
        <v>0</v>
      </c>
      <c r="F2000" s="324"/>
      <c r="G2000" s="528"/>
      <c r="H2000" s="324"/>
      <c r="I2000" s="528"/>
      <c r="J2000" s="324"/>
      <c r="K2000" s="324"/>
      <c r="L2000" s="324"/>
      <c r="M2000" s="324"/>
      <c r="N2000" s="324"/>
      <c r="O2000" s="324"/>
      <c r="P2000" s="324"/>
      <c r="Q2000" s="324"/>
      <c r="R2000" s="324"/>
      <c r="S2000" s="324"/>
      <c r="T2000" s="528"/>
      <c r="U2000" s="324"/>
      <c r="V2000" s="676"/>
      <c r="W2000" s="528"/>
      <c r="X2000" s="529"/>
      <c r="Y2000" s="323"/>
    </row>
    <row r="2001" spans="1:27" outlineLevel="2" thickBot="1" x14ac:dyDescent="0.45">
      <c r="A2001" s="356"/>
      <c r="B2001" s="304" t="s">
        <v>1055</v>
      </c>
      <c r="C2001" s="590"/>
      <c r="D2001" s="590"/>
      <c r="E2001" s="504">
        <f>E1999*1.5%</f>
        <v>180</v>
      </c>
      <c r="F2001" s="399"/>
      <c r="G2001" s="572"/>
      <c r="H2001" s="399"/>
      <c r="I2001" s="572"/>
      <c r="J2001" s="399"/>
      <c r="K2001" s="399"/>
      <c r="L2001" s="399"/>
      <c r="M2001" s="399"/>
      <c r="N2001" s="399"/>
      <c r="O2001" s="399"/>
      <c r="P2001" s="399"/>
      <c r="Q2001" s="399"/>
      <c r="R2001" s="399"/>
      <c r="S2001" s="399"/>
      <c r="T2001" s="572"/>
      <c r="U2001" s="399"/>
      <c r="V2001" s="694"/>
      <c r="W2001" s="572"/>
      <c r="X2001" s="399"/>
      <c r="Y2001" s="396"/>
    </row>
    <row r="2002" spans="1:27" outlineLevel="1" thickBot="1" x14ac:dyDescent="0.45">
      <c r="A2002" s="319"/>
      <c r="B2002" s="357"/>
      <c r="C2002" s="539"/>
      <c r="D2002" s="539"/>
      <c r="E2002" s="502"/>
      <c r="F2002" s="333"/>
      <c r="G2002" s="539"/>
      <c r="H2002" s="333"/>
      <c r="I2002" s="539"/>
      <c r="J2002" s="333"/>
      <c r="K2002" s="333"/>
      <c r="L2002" s="333"/>
      <c r="M2002" s="333"/>
      <c r="N2002" s="333"/>
      <c r="O2002" s="333"/>
      <c r="P2002" s="333"/>
      <c r="Q2002" s="333"/>
      <c r="R2002" s="333"/>
      <c r="S2002" s="333"/>
      <c r="T2002" s="539"/>
      <c r="U2002" s="333"/>
      <c r="V2002" s="681"/>
      <c r="W2002" s="539"/>
      <c r="X2002" s="333"/>
      <c r="Y2002" s="323"/>
    </row>
    <row r="2003" spans="1:27" outlineLevel="1" thickBot="1" x14ac:dyDescent="0.45">
      <c r="A2003" s="319"/>
      <c r="B2003" s="357"/>
      <c r="C2003" s="539"/>
      <c r="D2003" s="539"/>
      <c r="E2003" s="502"/>
      <c r="F2003" s="333"/>
      <c r="G2003" s="539"/>
      <c r="H2003" s="333"/>
      <c r="I2003" s="539"/>
      <c r="J2003" s="333"/>
      <c r="K2003" s="333"/>
      <c r="L2003" s="333"/>
      <c r="M2003" s="333"/>
      <c r="N2003" s="333"/>
      <c r="O2003" s="333"/>
      <c r="P2003" s="333"/>
      <c r="Q2003" s="333"/>
      <c r="R2003" s="333"/>
      <c r="S2003" s="333"/>
      <c r="T2003" s="539"/>
      <c r="U2003" s="333"/>
      <c r="V2003" s="681"/>
      <c r="W2003" s="539"/>
      <c r="X2003" s="333"/>
      <c r="Y2003" s="323"/>
    </row>
    <row r="2004" spans="1:27" thickBot="1" x14ac:dyDescent="0.45">
      <c r="A2004" s="829"/>
      <c r="B2004" s="305" t="s">
        <v>777</v>
      </c>
      <c r="C2004" s="559"/>
      <c r="D2004" s="559"/>
      <c r="E2004" s="510"/>
      <c r="F2004" s="471"/>
      <c r="G2004" s="559"/>
      <c r="H2004" s="471"/>
      <c r="I2004" s="559"/>
      <c r="J2004" s="471"/>
      <c r="K2004" s="471"/>
      <c r="L2004" s="471"/>
      <c r="M2004" s="471"/>
      <c r="N2004" s="471"/>
      <c r="O2004" s="471"/>
      <c r="P2004" s="471"/>
      <c r="Q2004" s="471"/>
      <c r="R2004" s="471"/>
      <c r="S2004" s="471"/>
      <c r="T2004" s="559"/>
      <c r="U2004" s="471"/>
      <c r="V2004" s="687"/>
      <c r="W2004" s="471"/>
      <c r="X2004" s="471"/>
      <c r="Y2004" s="373"/>
      <c r="AA2004" s="391" t="s">
        <v>679</v>
      </c>
    </row>
    <row r="2005" spans="1:27" thickBot="1" x14ac:dyDescent="0.45">
      <c r="A2005" s="830"/>
      <c r="B2005" s="395" t="s">
        <v>294</v>
      </c>
      <c r="C2005" s="528"/>
      <c r="D2005" s="528"/>
      <c r="E2005" s="460"/>
      <c r="F2005" s="324"/>
      <c r="G2005" s="528"/>
      <c r="H2005" s="324"/>
      <c r="I2005" s="528"/>
      <c r="J2005" s="324"/>
      <c r="K2005" s="324"/>
      <c r="L2005" s="324"/>
      <c r="M2005" s="324"/>
      <c r="N2005" s="324"/>
      <c r="O2005" s="324"/>
      <c r="P2005" s="324"/>
      <c r="Q2005" s="324"/>
      <c r="R2005" s="324"/>
      <c r="S2005" s="324"/>
      <c r="T2005" s="528"/>
      <c r="U2005" s="324"/>
      <c r="V2005" s="676"/>
      <c r="W2005" s="324"/>
      <c r="X2005" s="529"/>
      <c r="Y2005" s="323"/>
      <c r="Z2005" s="407" t="s">
        <v>814</v>
      </c>
    </row>
    <row r="2006" spans="1:27" ht="77.25" outlineLevel="1" thickBot="1" x14ac:dyDescent="0.45">
      <c r="A2006" s="319" t="s">
        <v>778</v>
      </c>
      <c r="B2006" s="462" t="s">
        <v>983</v>
      </c>
      <c r="C2006" s="525">
        <f t="shared" ref="C2006:C2011" si="754">C2187</f>
        <v>0</v>
      </c>
      <c r="D2006" s="526">
        <f t="shared" ref="D2006:D2011" si="755">C2006*5</f>
        <v>0</v>
      </c>
      <c r="E2006" s="527">
        <f t="shared" ref="E2006:E2011" si="756">D2006*0.5</f>
        <v>0</v>
      </c>
      <c r="F2006" s="463">
        <f t="shared" ref="F2006:F2011" si="757">E2006*0.76*1.034/20</f>
        <v>0</v>
      </c>
      <c r="G2006" s="526">
        <f t="shared" ref="G2006:G2013" si="758">INT(M2006)</f>
        <v>0</v>
      </c>
      <c r="H2006" s="463" t="s">
        <v>18</v>
      </c>
      <c r="I2006" s="526">
        <f t="shared" ref="I2006:I2013" si="759">(M2006-G2006)*64</f>
        <v>0</v>
      </c>
      <c r="J2006" s="463" t="s">
        <v>19</v>
      </c>
      <c r="K2006" s="463"/>
      <c r="L2006" s="463"/>
      <c r="M2006" s="463">
        <f t="shared" ref="M2006:M2011" si="760">F2006*1008/8064</f>
        <v>0</v>
      </c>
      <c r="N2006" s="463"/>
      <c r="O2006" s="463"/>
      <c r="P2006" s="463"/>
      <c r="Q2006" s="321" t="s">
        <v>18</v>
      </c>
      <c r="R2006" s="321"/>
      <c r="S2006" s="321" t="s">
        <v>19</v>
      </c>
      <c r="T2006" s="528">
        <v>4</v>
      </c>
      <c r="U2006" s="324">
        <f t="shared" ref="U2006:U2011" si="761">E2006/272*60</f>
        <v>0</v>
      </c>
      <c r="V2006" s="676"/>
      <c r="W2006" s="528"/>
      <c r="X2006" s="529"/>
      <c r="Y2006" s="323"/>
      <c r="Z2006" s="312">
        <f t="shared" ref="Z2006:Z2028" si="762">E2006</f>
        <v>0</v>
      </c>
      <c r="AA2006" s="416">
        <f t="shared" ref="AA2006:AA2013" si="763">SUM(Z2006/80+0.25)</f>
        <v>0.25</v>
      </c>
    </row>
    <row r="2007" spans="1:27" ht="77.25" outlineLevel="1" thickBot="1" x14ac:dyDescent="0.45">
      <c r="A2007" s="319" t="s">
        <v>778</v>
      </c>
      <c r="B2007" s="462" t="s">
        <v>984</v>
      </c>
      <c r="C2007" s="525">
        <f t="shared" si="754"/>
        <v>0</v>
      </c>
      <c r="D2007" s="526">
        <f t="shared" si="755"/>
        <v>0</v>
      </c>
      <c r="E2007" s="527">
        <f t="shared" si="756"/>
        <v>0</v>
      </c>
      <c r="F2007" s="463">
        <f t="shared" si="757"/>
        <v>0</v>
      </c>
      <c r="G2007" s="526">
        <f t="shared" si="758"/>
        <v>0</v>
      </c>
      <c r="H2007" s="463" t="s">
        <v>18</v>
      </c>
      <c r="I2007" s="526">
        <f t="shared" si="759"/>
        <v>0</v>
      </c>
      <c r="J2007" s="463" t="s">
        <v>19</v>
      </c>
      <c r="K2007" s="463"/>
      <c r="L2007" s="463"/>
      <c r="M2007" s="463">
        <f t="shared" si="760"/>
        <v>0</v>
      </c>
      <c r="N2007" s="463"/>
      <c r="O2007" s="463"/>
      <c r="P2007" s="463"/>
      <c r="Q2007" s="321" t="s">
        <v>18</v>
      </c>
      <c r="R2007" s="321"/>
      <c r="S2007" s="321" t="s">
        <v>19</v>
      </c>
      <c r="T2007" s="528">
        <v>4</v>
      </c>
      <c r="U2007" s="324">
        <f t="shared" si="761"/>
        <v>0</v>
      </c>
      <c r="V2007" s="676"/>
      <c r="W2007" s="528"/>
      <c r="X2007" s="529"/>
      <c r="Y2007" s="323"/>
      <c r="Z2007" s="312">
        <f t="shared" si="762"/>
        <v>0</v>
      </c>
      <c r="AA2007" s="416">
        <f t="shared" si="763"/>
        <v>0.25</v>
      </c>
    </row>
    <row r="2008" spans="1:27" ht="77.25" outlineLevel="1" thickBot="1" x14ac:dyDescent="0.45">
      <c r="A2008" s="319" t="s">
        <v>778</v>
      </c>
      <c r="B2008" s="462" t="s">
        <v>985</v>
      </c>
      <c r="C2008" s="525">
        <f t="shared" si="754"/>
        <v>0</v>
      </c>
      <c r="D2008" s="526">
        <f t="shared" si="755"/>
        <v>0</v>
      </c>
      <c r="E2008" s="527">
        <f t="shared" si="756"/>
        <v>0</v>
      </c>
      <c r="F2008" s="463">
        <f t="shared" si="757"/>
        <v>0</v>
      </c>
      <c r="G2008" s="526">
        <f t="shared" si="758"/>
        <v>0</v>
      </c>
      <c r="H2008" s="463" t="s">
        <v>18</v>
      </c>
      <c r="I2008" s="526">
        <f t="shared" si="759"/>
        <v>0</v>
      </c>
      <c r="J2008" s="463" t="s">
        <v>19</v>
      </c>
      <c r="K2008" s="463"/>
      <c r="L2008" s="463"/>
      <c r="M2008" s="463">
        <f t="shared" si="760"/>
        <v>0</v>
      </c>
      <c r="N2008" s="463"/>
      <c r="O2008" s="463"/>
      <c r="P2008" s="463"/>
      <c r="Q2008" s="321" t="s">
        <v>18</v>
      </c>
      <c r="R2008" s="321"/>
      <c r="S2008" s="321" t="s">
        <v>19</v>
      </c>
      <c r="T2008" s="528">
        <v>4</v>
      </c>
      <c r="U2008" s="324">
        <f t="shared" si="761"/>
        <v>0</v>
      </c>
      <c r="V2008" s="676"/>
      <c r="W2008" s="528"/>
      <c r="X2008" s="529"/>
      <c r="Y2008" s="323"/>
      <c r="Z2008" s="312">
        <f t="shared" si="762"/>
        <v>0</v>
      </c>
      <c r="AA2008" s="416">
        <f t="shared" si="763"/>
        <v>0.25</v>
      </c>
    </row>
    <row r="2009" spans="1:27" ht="102.75" thickBot="1" x14ac:dyDescent="0.45">
      <c r="A2009" s="319" t="s">
        <v>778</v>
      </c>
      <c r="B2009" s="462" t="s">
        <v>1018</v>
      </c>
      <c r="C2009" s="525">
        <f t="shared" si="754"/>
        <v>0</v>
      </c>
      <c r="D2009" s="526">
        <f t="shared" si="755"/>
        <v>0</v>
      </c>
      <c r="E2009" s="527">
        <f t="shared" si="756"/>
        <v>0</v>
      </c>
      <c r="F2009" s="463">
        <f t="shared" si="757"/>
        <v>0</v>
      </c>
      <c r="G2009" s="526">
        <f t="shared" si="758"/>
        <v>0</v>
      </c>
      <c r="H2009" s="463" t="s">
        <v>18</v>
      </c>
      <c r="I2009" s="526">
        <f t="shared" si="759"/>
        <v>0</v>
      </c>
      <c r="J2009" s="463" t="s">
        <v>19</v>
      </c>
      <c r="K2009" s="463"/>
      <c r="L2009" s="463"/>
      <c r="M2009" s="463">
        <f t="shared" si="760"/>
        <v>0</v>
      </c>
      <c r="N2009" s="463"/>
      <c r="O2009" s="463"/>
      <c r="P2009" s="463"/>
      <c r="Q2009" s="321" t="s">
        <v>18</v>
      </c>
      <c r="R2009" s="321"/>
      <c r="S2009" s="321" t="s">
        <v>19</v>
      </c>
      <c r="T2009" s="528">
        <v>4</v>
      </c>
      <c r="U2009" s="324">
        <f t="shared" si="761"/>
        <v>0</v>
      </c>
      <c r="V2009" s="676"/>
      <c r="W2009" s="528"/>
      <c r="X2009" s="529"/>
      <c r="Y2009" s="360"/>
      <c r="Z2009" s="312">
        <f t="shared" si="762"/>
        <v>0</v>
      </c>
      <c r="AA2009" s="416">
        <f t="shared" si="763"/>
        <v>0.25</v>
      </c>
    </row>
    <row r="2010" spans="1:27" ht="102.75" thickBot="1" x14ac:dyDescent="0.45">
      <c r="A2010" s="319" t="s">
        <v>778</v>
      </c>
      <c r="B2010" s="462" t="s">
        <v>1019</v>
      </c>
      <c r="C2010" s="525">
        <f t="shared" si="754"/>
        <v>0</v>
      </c>
      <c r="D2010" s="526">
        <f t="shared" si="755"/>
        <v>0</v>
      </c>
      <c r="E2010" s="527">
        <f t="shared" si="756"/>
        <v>0</v>
      </c>
      <c r="F2010" s="463">
        <f t="shared" si="757"/>
        <v>0</v>
      </c>
      <c r="G2010" s="526">
        <f t="shared" si="758"/>
        <v>0</v>
      </c>
      <c r="H2010" s="463" t="s">
        <v>18</v>
      </c>
      <c r="I2010" s="526">
        <f t="shared" si="759"/>
        <v>0</v>
      </c>
      <c r="J2010" s="463" t="s">
        <v>19</v>
      </c>
      <c r="K2010" s="463"/>
      <c r="L2010" s="463"/>
      <c r="M2010" s="463">
        <f t="shared" si="760"/>
        <v>0</v>
      </c>
      <c r="N2010" s="463"/>
      <c r="O2010" s="463"/>
      <c r="P2010" s="463"/>
      <c r="Q2010" s="321" t="s">
        <v>18</v>
      </c>
      <c r="R2010" s="321"/>
      <c r="S2010" s="321" t="s">
        <v>19</v>
      </c>
      <c r="T2010" s="528">
        <v>4</v>
      </c>
      <c r="U2010" s="324">
        <f t="shared" si="761"/>
        <v>0</v>
      </c>
      <c r="V2010" s="676"/>
      <c r="W2010" s="528"/>
      <c r="X2010" s="529"/>
      <c r="Y2010" s="360"/>
      <c r="Z2010" s="312">
        <f t="shared" si="762"/>
        <v>0</v>
      </c>
      <c r="AA2010" s="416">
        <f t="shared" si="763"/>
        <v>0.25</v>
      </c>
    </row>
    <row r="2011" spans="1:27" ht="102.75" thickBot="1" x14ac:dyDescent="0.45">
      <c r="A2011" s="319" t="s">
        <v>778</v>
      </c>
      <c r="B2011" s="462" t="s">
        <v>1020</v>
      </c>
      <c r="C2011" s="525">
        <f t="shared" si="754"/>
        <v>0</v>
      </c>
      <c r="D2011" s="526">
        <f t="shared" si="755"/>
        <v>0</v>
      </c>
      <c r="E2011" s="527">
        <f t="shared" si="756"/>
        <v>0</v>
      </c>
      <c r="F2011" s="463">
        <f t="shared" si="757"/>
        <v>0</v>
      </c>
      <c r="G2011" s="526">
        <f t="shared" si="758"/>
        <v>0</v>
      </c>
      <c r="H2011" s="463" t="s">
        <v>18</v>
      </c>
      <c r="I2011" s="526">
        <f t="shared" si="759"/>
        <v>0</v>
      </c>
      <c r="J2011" s="463" t="s">
        <v>19</v>
      </c>
      <c r="K2011" s="463"/>
      <c r="L2011" s="463"/>
      <c r="M2011" s="463">
        <f t="shared" si="760"/>
        <v>0</v>
      </c>
      <c r="N2011" s="463"/>
      <c r="O2011" s="463"/>
      <c r="P2011" s="463"/>
      <c r="Q2011" s="321" t="s">
        <v>18</v>
      </c>
      <c r="R2011" s="321"/>
      <c r="S2011" s="321" t="s">
        <v>19</v>
      </c>
      <c r="T2011" s="528">
        <v>4</v>
      </c>
      <c r="U2011" s="324">
        <f t="shared" si="761"/>
        <v>0</v>
      </c>
      <c r="V2011" s="676"/>
      <c r="W2011" s="528"/>
      <c r="X2011" s="529"/>
      <c r="Y2011" s="360"/>
      <c r="Z2011" s="312">
        <f t="shared" si="762"/>
        <v>0</v>
      </c>
      <c r="AA2011" s="416">
        <f t="shared" si="763"/>
        <v>0.25</v>
      </c>
    </row>
    <row r="2012" spans="1:27" ht="77.25" thickBot="1" x14ac:dyDescent="0.45">
      <c r="A2012" s="319" t="s">
        <v>778</v>
      </c>
      <c r="B2012" s="320" t="s">
        <v>986</v>
      </c>
      <c r="C2012" s="528">
        <f>C2194</f>
        <v>0</v>
      </c>
      <c r="D2012" s="533">
        <f>C2012*12</f>
        <v>0</v>
      </c>
      <c r="E2012" s="534">
        <f>D2012*0.25</f>
        <v>0</v>
      </c>
      <c r="F2012" s="321">
        <f>E2012*0.8*1/20</f>
        <v>0</v>
      </c>
      <c r="G2012" s="533">
        <f t="shared" si="758"/>
        <v>0</v>
      </c>
      <c r="H2012" s="321" t="s">
        <v>18</v>
      </c>
      <c r="I2012" s="533">
        <f t="shared" si="759"/>
        <v>0</v>
      </c>
      <c r="J2012" s="321" t="s">
        <v>19</v>
      </c>
      <c r="K2012" s="321"/>
      <c r="L2012" s="321"/>
      <c r="M2012" s="321">
        <f>F2012*2016/16128</f>
        <v>0</v>
      </c>
      <c r="N2012" s="321"/>
      <c r="O2012" s="321"/>
      <c r="P2012" s="321"/>
      <c r="Q2012" s="321" t="s">
        <v>18</v>
      </c>
      <c r="R2012" s="321"/>
      <c r="S2012" s="321" t="s">
        <v>19</v>
      </c>
      <c r="T2012" s="528">
        <v>4</v>
      </c>
      <c r="U2012" s="324"/>
      <c r="V2012" s="676"/>
      <c r="W2012" s="528"/>
      <c r="X2012" s="529"/>
      <c r="Y2012" s="323"/>
      <c r="Z2012" s="312">
        <f t="shared" si="762"/>
        <v>0</v>
      </c>
      <c r="AA2012" s="416">
        <f t="shared" si="763"/>
        <v>0.25</v>
      </c>
    </row>
    <row r="2013" spans="1:27" ht="77.25" thickBot="1" x14ac:dyDescent="0.45">
      <c r="A2013" s="319" t="s">
        <v>778</v>
      </c>
      <c r="B2013" s="320" t="s">
        <v>987</v>
      </c>
      <c r="C2013" s="528">
        <f>C2195</f>
        <v>0</v>
      </c>
      <c r="D2013" s="533">
        <f>C2013*12</f>
        <v>0</v>
      </c>
      <c r="E2013" s="534">
        <f>D2013*0.25</f>
        <v>0</v>
      </c>
      <c r="F2013" s="321">
        <f>E2013*0.8*1/20</f>
        <v>0</v>
      </c>
      <c r="G2013" s="533">
        <f t="shared" si="758"/>
        <v>0</v>
      </c>
      <c r="H2013" s="321" t="s">
        <v>18</v>
      </c>
      <c r="I2013" s="533">
        <f t="shared" si="759"/>
        <v>0</v>
      </c>
      <c r="J2013" s="321" t="s">
        <v>19</v>
      </c>
      <c r="K2013" s="321"/>
      <c r="L2013" s="321"/>
      <c r="M2013" s="321">
        <f>F2013*2016/16128</f>
        <v>0</v>
      </c>
      <c r="N2013" s="321"/>
      <c r="O2013" s="321"/>
      <c r="P2013" s="321"/>
      <c r="Q2013" s="321" t="s">
        <v>18</v>
      </c>
      <c r="R2013" s="321"/>
      <c r="S2013" s="321" t="s">
        <v>19</v>
      </c>
      <c r="T2013" s="528">
        <v>4</v>
      </c>
      <c r="U2013" s="324"/>
      <c r="V2013" s="676"/>
      <c r="W2013" s="528"/>
      <c r="X2013" s="529"/>
      <c r="Y2013" s="323"/>
      <c r="Z2013" s="312">
        <f t="shared" si="762"/>
        <v>0</v>
      </c>
      <c r="AA2013" s="416">
        <f t="shared" si="763"/>
        <v>0.25</v>
      </c>
    </row>
    <row r="2014" spans="1:27" ht="77.25" thickBot="1" x14ac:dyDescent="0.45">
      <c r="A2014" s="319" t="s">
        <v>778</v>
      </c>
      <c r="B2014" s="320" t="s">
        <v>609</v>
      </c>
      <c r="C2014" s="586">
        <f>C1919</f>
        <v>0</v>
      </c>
      <c r="D2014" s="533"/>
      <c r="E2014" s="534">
        <f t="shared" ref="E2014:E2019" si="764">C2014*2</f>
        <v>0</v>
      </c>
      <c r="F2014" s="321">
        <f t="shared" ref="F2014:F2019" si="765">E2014*0.76*1.034/20</f>
        <v>0</v>
      </c>
      <c r="G2014" s="533">
        <f t="shared" ref="G2014:G2029" si="766">INT(M2014)</f>
        <v>0</v>
      </c>
      <c r="H2014" s="321" t="s">
        <v>18</v>
      </c>
      <c r="I2014" s="533">
        <f t="shared" ref="I2014:I2029" si="767">(M2014-G2014)*64</f>
        <v>0</v>
      </c>
      <c r="J2014" s="321" t="s">
        <v>19</v>
      </c>
      <c r="K2014" s="324"/>
      <c r="L2014" s="324"/>
      <c r="M2014" s="321">
        <f>F2014*1008/8064</f>
        <v>0</v>
      </c>
      <c r="N2014" s="324"/>
      <c r="O2014" s="324"/>
      <c r="P2014" s="324"/>
      <c r="Q2014" s="324" t="s">
        <v>18</v>
      </c>
      <c r="R2014" s="324"/>
      <c r="S2014" s="324" t="s">
        <v>19</v>
      </c>
      <c r="T2014" s="528">
        <v>4</v>
      </c>
      <c r="U2014" s="324">
        <f t="shared" ref="U2014:U2025" si="768">E2014/272*60</f>
        <v>0</v>
      </c>
      <c r="V2014" s="676"/>
      <c r="W2014" s="528"/>
      <c r="X2014" s="529"/>
      <c r="Y2014" s="323"/>
      <c r="Z2014" s="312">
        <f t="shared" si="762"/>
        <v>0</v>
      </c>
      <c r="AA2014" s="415">
        <f t="shared" ref="AA2014:AA2019" si="769">SUM(Z2014/103+0.25)</f>
        <v>0.25</v>
      </c>
    </row>
    <row r="2015" spans="1:27" ht="77.25" thickBot="1" x14ac:dyDescent="0.45">
      <c r="A2015" s="319" t="s">
        <v>778</v>
      </c>
      <c r="B2015" s="320" t="s">
        <v>610</v>
      </c>
      <c r="C2015" s="586">
        <f>C1920</f>
        <v>0</v>
      </c>
      <c r="D2015" s="533"/>
      <c r="E2015" s="534">
        <f t="shared" si="764"/>
        <v>0</v>
      </c>
      <c r="F2015" s="321">
        <f t="shared" si="765"/>
        <v>0</v>
      </c>
      <c r="G2015" s="533">
        <f t="shared" si="766"/>
        <v>0</v>
      </c>
      <c r="H2015" s="321" t="s">
        <v>18</v>
      </c>
      <c r="I2015" s="533">
        <f t="shared" si="767"/>
        <v>0</v>
      </c>
      <c r="J2015" s="321" t="s">
        <v>19</v>
      </c>
      <c r="K2015" s="324"/>
      <c r="L2015" s="324"/>
      <c r="M2015" s="321">
        <f>F2015*1008/8064</f>
        <v>0</v>
      </c>
      <c r="N2015" s="324"/>
      <c r="O2015" s="324"/>
      <c r="P2015" s="324"/>
      <c r="Q2015" s="324" t="s">
        <v>18</v>
      </c>
      <c r="R2015" s="324"/>
      <c r="S2015" s="324" t="s">
        <v>19</v>
      </c>
      <c r="T2015" s="528">
        <v>4</v>
      </c>
      <c r="U2015" s="324">
        <f t="shared" si="768"/>
        <v>0</v>
      </c>
      <c r="V2015" s="676"/>
      <c r="W2015" s="528"/>
      <c r="X2015" s="529"/>
      <c r="Y2015" s="323"/>
      <c r="Z2015" s="312">
        <f t="shared" si="762"/>
        <v>0</v>
      </c>
      <c r="AA2015" s="415">
        <f t="shared" si="769"/>
        <v>0.25</v>
      </c>
    </row>
    <row r="2016" spans="1:27" thickBot="1" x14ac:dyDescent="0.45">
      <c r="A2016" s="319" t="s">
        <v>778</v>
      </c>
      <c r="B2016" s="320" t="s">
        <v>742</v>
      </c>
      <c r="C2016" s="586">
        <f>C1921</f>
        <v>0</v>
      </c>
      <c r="D2016" s="533"/>
      <c r="E2016" s="534">
        <f t="shared" si="764"/>
        <v>0</v>
      </c>
      <c r="F2016" s="321">
        <f t="shared" si="765"/>
        <v>0</v>
      </c>
      <c r="G2016" s="533">
        <f t="shared" si="766"/>
        <v>0</v>
      </c>
      <c r="H2016" s="321" t="s">
        <v>18</v>
      </c>
      <c r="I2016" s="533">
        <f t="shared" si="767"/>
        <v>0</v>
      </c>
      <c r="J2016" s="321" t="s">
        <v>19</v>
      </c>
      <c r="K2016" s="324"/>
      <c r="L2016" s="324"/>
      <c r="M2016" s="321">
        <f>F2016*1008/8064</f>
        <v>0</v>
      </c>
      <c r="N2016" s="324"/>
      <c r="O2016" s="324"/>
      <c r="P2016" s="324"/>
      <c r="Q2016" s="324" t="s">
        <v>18</v>
      </c>
      <c r="R2016" s="324"/>
      <c r="S2016" s="324" t="s">
        <v>19</v>
      </c>
      <c r="T2016" s="528">
        <v>4</v>
      </c>
      <c r="U2016" s="324">
        <f t="shared" si="768"/>
        <v>0</v>
      </c>
      <c r="V2016" s="676"/>
      <c r="W2016" s="528"/>
      <c r="X2016" s="529"/>
      <c r="Y2016" s="323"/>
      <c r="Z2016" s="312">
        <f t="shared" si="762"/>
        <v>0</v>
      </c>
      <c r="AA2016" s="415">
        <f t="shared" si="769"/>
        <v>0.25</v>
      </c>
    </row>
    <row r="2017" spans="1:28" ht="77.25" thickBot="1" x14ac:dyDescent="0.45">
      <c r="A2017" s="319" t="s">
        <v>778</v>
      </c>
      <c r="B2017" s="320" t="s">
        <v>1080</v>
      </c>
      <c r="C2017" s="586">
        <f>C2193</f>
        <v>0</v>
      </c>
      <c r="D2017" s="533"/>
      <c r="E2017" s="534">
        <f>C2017*2</f>
        <v>0</v>
      </c>
      <c r="F2017" s="321">
        <f>E2017*0.76*1.034/20</f>
        <v>0</v>
      </c>
      <c r="G2017" s="533">
        <f>INT(M2017)</f>
        <v>0</v>
      </c>
      <c r="H2017" s="321" t="s">
        <v>18</v>
      </c>
      <c r="I2017" s="533">
        <f>(M2017-G2017)*64</f>
        <v>0</v>
      </c>
      <c r="J2017" s="321" t="s">
        <v>19</v>
      </c>
      <c r="K2017" s="324"/>
      <c r="L2017" s="324"/>
      <c r="M2017" s="321">
        <f>F2017*1008/8064</f>
        <v>0</v>
      </c>
      <c r="N2017" s="324"/>
      <c r="O2017" s="324"/>
      <c r="P2017" s="324"/>
      <c r="Q2017" s="324" t="s">
        <v>18</v>
      </c>
      <c r="R2017" s="324"/>
      <c r="S2017" s="324" t="s">
        <v>19</v>
      </c>
      <c r="T2017" s="528">
        <v>4</v>
      </c>
      <c r="U2017" s="324">
        <f>E2017/272*60</f>
        <v>0</v>
      </c>
      <c r="V2017" s="676"/>
      <c r="W2017" s="528"/>
      <c r="X2017" s="529"/>
      <c r="Y2017" s="323"/>
      <c r="Z2017" s="312">
        <f>E2017</f>
        <v>0</v>
      </c>
      <c r="AA2017" s="316">
        <f>SUM(Z2017/80+0.25)</f>
        <v>0.25</v>
      </c>
    </row>
    <row r="2018" spans="1:28" ht="51.75" thickBot="1" x14ac:dyDescent="0.45">
      <c r="A2018" s="319" t="s">
        <v>778</v>
      </c>
      <c r="B2018" s="320" t="s">
        <v>611</v>
      </c>
      <c r="C2018" s="586">
        <f>C1923</f>
        <v>0</v>
      </c>
      <c r="D2018" s="533"/>
      <c r="E2018" s="534">
        <f t="shared" si="764"/>
        <v>0</v>
      </c>
      <c r="F2018" s="321">
        <f t="shared" si="765"/>
        <v>0</v>
      </c>
      <c r="G2018" s="533">
        <f t="shared" si="766"/>
        <v>0</v>
      </c>
      <c r="H2018" s="321" t="s">
        <v>18</v>
      </c>
      <c r="I2018" s="533">
        <f t="shared" si="767"/>
        <v>0</v>
      </c>
      <c r="J2018" s="321" t="s">
        <v>19</v>
      </c>
      <c r="K2018" s="324"/>
      <c r="L2018" s="324"/>
      <c r="M2018" s="321">
        <f>F2018*1008/8064</f>
        <v>0</v>
      </c>
      <c r="N2018" s="324"/>
      <c r="O2018" s="324"/>
      <c r="P2018" s="324"/>
      <c r="Q2018" s="324" t="s">
        <v>18</v>
      </c>
      <c r="R2018" s="324"/>
      <c r="S2018" s="324" t="s">
        <v>19</v>
      </c>
      <c r="T2018" s="528">
        <v>4</v>
      </c>
      <c r="U2018" s="324">
        <f t="shared" si="768"/>
        <v>0</v>
      </c>
      <c r="V2018" s="676"/>
      <c r="W2018" s="528"/>
      <c r="X2018" s="529"/>
      <c r="Y2018" s="323"/>
      <c r="Z2018" s="312">
        <f t="shared" si="762"/>
        <v>0</v>
      </c>
      <c r="AA2018" s="415">
        <f t="shared" si="769"/>
        <v>0.25</v>
      </c>
    </row>
    <row r="2019" spans="1:28" ht="51.75" thickBot="1" x14ac:dyDescent="0.45">
      <c r="A2019" s="319" t="s">
        <v>778</v>
      </c>
      <c r="B2019" s="320" t="s">
        <v>612</v>
      </c>
      <c r="C2019" s="586">
        <f>C1924</f>
        <v>0</v>
      </c>
      <c r="D2019" s="528"/>
      <c r="E2019" s="460">
        <f t="shared" si="764"/>
        <v>0</v>
      </c>
      <c r="F2019" s="324">
        <f t="shared" si="765"/>
        <v>0</v>
      </c>
      <c r="G2019" s="528">
        <f t="shared" si="766"/>
        <v>0</v>
      </c>
      <c r="H2019" s="324" t="s">
        <v>18</v>
      </c>
      <c r="I2019" s="528">
        <f t="shared" si="767"/>
        <v>0</v>
      </c>
      <c r="J2019" s="324" t="s">
        <v>19</v>
      </c>
      <c r="K2019" s="324"/>
      <c r="L2019" s="324"/>
      <c r="M2019" s="324">
        <f>F2019*2016/16128</f>
        <v>0</v>
      </c>
      <c r="N2019" s="324"/>
      <c r="O2019" s="324"/>
      <c r="P2019" s="324"/>
      <c r="Q2019" s="324" t="s">
        <v>18</v>
      </c>
      <c r="R2019" s="324"/>
      <c r="S2019" s="324" t="s">
        <v>19</v>
      </c>
      <c r="T2019" s="528">
        <v>4</v>
      </c>
      <c r="U2019" s="324">
        <f t="shared" si="768"/>
        <v>0</v>
      </c>
      <c r="V2019" s="676"/>
      <c r="W2019" s="528"/>
      <c r="X2019" s="529"/>
      <c r="Y2019" s="323"/>
      <c r="Z2019" s="312">
        <f t="shared" si="762"/>
        <v>0</v>
      </c>
      <c r="AA2019" s="415">
        <f t="shared" si="769"/>
        <v>0.25</v>
      </c>
    </row>
    <row r="2020" spans="1:28" s="453" customFormat="1" ht="51.75" thickBot="1" x14ac:dyDescent="0.45">
      <c r="A2020" s="319" t="s">
        <v>778</v>
      </c>
      <c r="B2020" s="480" t="s">
        <v>1044</v>
      </c>
      <c r="C2020" s="525">
        <f>C1925</f>
        <v>0</v>
      </c>
      <c r="D2020" s="626"/>
      <c r="E2020" s="358">
        <f>C2020*2</f>
        <v>0</v>
      </c>
      <c r="F2020" s="627">
        <f>E2020*1.03*0.82/147</f>
        <v>0</v>
      </c>
      <c r="G2020" s="628">
        <f>INT(M2020)</f>
        <v>0</v>
      </c>
      <c r="H2020" s="359"/>
      <c r="I2020" s="628">
        <f t="shared" si="767"/>
        <v>0</v>
      </c>
      <c r="J2020" s="629" t="s">
        <v>19</v>
      </c>
      <c r="K2020" s="630"/>
      <c r="L2020" s="630"/>
      <c r="M2020" s="627">
        <f>F2020*147/0.46/64</f>
        <v>0</v>
      </c>
      <c r="N2020" s="631"/>
      <c r="O2020" s="631"/>
      <c r="P2020" s="631"/>
      <c r="Q2020" s="324" t="s">
        <v>18</v>
      </c>
      <c r="R2020" s="324"/>
      <c r="S2020" s="324" t="s">
        <v>19</v>
      </c>
      <c r="T2020" s="528">
        <v>4</v>
      </c>
      <c r="U2020" s="461"/>
      <c r="V2020" s="688"/>
      <c r="W2020" s="525"/>
      <c r="X2020" s="560"/>
      <c r="Y2020" s="360"/>
      <c r="Z2020" s="312">
        <f t="shared" si="762"/>
        <v>0</v>
      </c>
      <c r="AA2020" s="316">
        <f>E2020/150+0.25</f>
        <v>0.25</v>
      </c>
      <c r="AB2020" s="310"/>
    </row>
    <row r="2021" spans="1:28" s="453" customFormat="1" ht="77.25" thickBot="1" x14ac:dyDescent="0.45">
      <c r="A2021" s="319" t="s">
        <v>778</v>
      </c>
      <c r="B2021" s="480" t="s">
        <v>1060</v>
      </c>
      <c r="C2021" s="525">
        <f>C2091</f>
        <v>0</v>
      </c>
      <c r="D2021" s="626"/>
      <c r="E2021" s="358">
        <f>C2021*2</f>
        <v>0</v>
      </c>
      <c r="F2021" s="627">
        <f>E2021*1.03*0.85/147</f>
        <v>0</v>
      </c>
      <c r="G2021" s="628">
        <f>INT(M2021)</f>
        <v>0</v>
      </c>
      <c r="H2021" s="359"/>
      <c r="I2021" s="628">
        <f t="shared" si="767"/>
        <v>0</v>
      </c>
      <c r="J2021" s="629"/>
      <c r="K2021" s="630"/>
      <c r="L2021" s="630"/>
      <c r="M2021" s="627">
        <f>F2021*147/0.57/64</f>
        <v>0</v>
      </c>
      <c r="N2021" s="631"/>
      <c r="O2021" s="631"/>
      <c r="P2021" s="631"/>
      <c r="Q2021" s="324" t="s">
        <v>18</v>
      </c>
      <c r="R2021" s="324"/>
      <c r="S2021" s="324" t="s">
        <v>19</v>
      </c>
      <c r="T2021" s="528">
        <v>4</v>
      </c>
      <c r="U2021" s="461"/>
      <c r="V2021" s="688"/>
      <c r="W2021" s="525"/>
      <c r="X2021" s="560"/>
      <c r="Y2021" s="451"/>
      <c r="Z2021" s="312">
        <f t="shared" si="762"/>
        <v>0</v>
      </c>
      <c r="AA2021" s="316">
        <f>SUM(Z2021/140.7+0.25)</f>
        <v>0.25</v>
      </c>
      <c r="AB2021" s="310" t="s">
        <v>1059</v>
      </c>
    </row>
    <row r="2022" spans="1:28" s="453" customFormat="1" ht="51.75" thickBot="1" x14ac:dyDescent="0.45">
      <c r="A2022" s="319" t="s">
        <v>778</v>
      </c>
      <c r="B2022" s="480" t="s">
        <v>1084</v>
      </c>
      <c r="C2022" s="525">
        <f>C1926</f>
        <v>0</v>
      </c>
      <c r="D2022" s="626"/>
      <c r="E2022" s="358">
        <f>C2022*0.4</f>
        <v>0</v>
      </c>
      <c r="F2022" s="627">
        <f>E2022*1.03*0.82/147</f>
        <v>0</v>
      </c>
      <c r="G2022" s="628">
        <f>INT(M2022)</f>
        <v>0</v>
      </c>
      <c r="H2022" s="359"/>
      <c r="I2022" s="628">
        <f>(M2022-G2022)*64</f>
        <v>0</v>
      </c>
      <c r="J2022" s="629" t="s">
        <v>19</v>
      </c>
      <c r="K2022" s="630"/>
      <c r="L2022" s="630"/>
      <c r="M2022" s="627">
        <f>F2022*147/0.46/64</f>
        <v>0</v>
      </c>
      <c r="N2022" s="631"/>
      <c r="O2022" s="631"/>
      <c r="P2022" s="631"/>
      <c r="Q2022" s="324" t="s">
        <v>18</v>
      </c>
      <c r="R2022" s="324"/>
      <c r="S2022" s="324" t="s">
        <v>19</v>
      </c>
      <c r="T2022" s="528">
        <v>4</v>
      </c>
      <c r="U2022" s="461"/>
      <c r="V2022" s="688"/>
      <c r="W2022" s="525"/>
      <c r="X2022" s="560"/>
      <c r="Y2022" s="360"/>
      <c r="Z2022" s="312">
        <f>E2022</f>
        <v>0</v>
      </c>
      <c r="AA2022" s="316">
        <f>E2022/150+0.25</f>
        <v>0.25</v>
      </c>
      <c r="AB2022" s="310"/>
    </row>
    <row r="2023" spans="1:28" s="453" customFormat="1" ht="77.25" thickBot="1" x14ac:dyDescent="0.45">
      <c r="A2023" s="319" t="s">
        <v>778</v>
      </c>
      <c r="B2023" s="480" t="s">
        <v>1083</v>
      </c>
      <c r="C2023" s="525">
        <f>C2092</f>
        <v>0</v>
      </c>
      <c r="D2023" s="626"/>
      <c r="E2023" s="358">
        <f>C2023*0.4</f>
        <v>0</v>
      </c>
      <c r="F2023" s="627">
        <f>E2023*1.03*0.85/147</f>
        <v>0</v>
      </c>
      <c r="G2023" s="628">
        <f>INT(M2023)</f>
        <v>0</v>
      </c>
      <c r="H2023" s="359"/>
      <c r="I2023" s="628">
        <f>(M2023-G2023)*64</f>
        <v>0</v>
      </c>
      <c r="J2023" s="629"/>
      <c r="K2023" s="630"/>
      <c r="L2023" s="630"/>
      <c r="M2023" s="627">
        <f>F2023*147/0.57/64</f>
        <v>0</v>
      </c>
      <c r="N2023" s="631"/>
      <c r="O2023" s="631"/>
      <c r="P2023" s="631"/>
      <c r="Q2023" s="324" t="s">
        <v>18</v>
      </c>
      <c r="R2023" s="324"/>
      <c r="S2023" s="324" t="s">
        <v>19</v>
      </c>
      <c r="T2023" s="528">
        <v>4</v>
      </c>
      <c r="U2023" s="461"/>
      <c r="V2023" s="688"/>
      <c r="W2023" s="525"/>
      <c r="X2023" s="560"/>
      <c r="Y2023" s="451"/>
      <c r="Z2023" s="312">
        <f>E2023</f>
        <v>0</v>
      </c>
      <c r="AA2023" s="316">
        <f>SUM(Z2023/140.7+0.25)</f>
        <v>0.25</v>
      </c>
      <c r="AB2023" s="310" t="s">
        <v>1059</v>
      </c>
    </row>
    <row r="2024" spans="1:28" s="327" customFormat="1" ht="53.25" thickBot="1" x14ac:dyDescent="0.45">
      <c r="A2024" s="319" t="s">
        <v>778</v>
      </c>
      <c r="B2024" s="325" t="s">
        <v>816</v>
      </c>
      <c r="C2024" s="586">
        <f>C1927</f>
        <v>0</v>
      </c>
      <c r="D2024" s="535">
        <f>C2024*10</f>
        <v>0</v>
      </c>
      <c r="E2024" s="534">
        <f>D2024*0.35</f>
        <v>0</v>
      </c>
      <c r="F2024" s="321">
        <f>E2024*0.8*1/20</f>
        <v>0</v>
      </c>
      <c r="G2024" s="533">
        <f>INT(M2024)</f>
        <v>0</v>
      </c>
      <c r="H2024" s="321" t="s">
        <v>18</v>
      </c>
      <c r="I2024" s="533">
        <f>(M2024-G2024)*64</f>
        <v>0</v>
      </c>
      <c r="J2024" s="321" t="s">
        <v>19</v>
      </c>
      <c r="K2024" s="321"/>
      <c r="L2024" s="321"/>
      <c r="M2024" s="321">
        <f>F2024*2016/16128</f>
        <v>0</v>
      </c>
      <c r="N2024" s="321"/>
      <c r="O2024" s="321"/>
      <c r="P2024" s="321"/>
      <c r="Q2024" s="321" t="s">
        <v>18</v>
      </c>
      <c r="R2024" s="321"/>
      <c r="S2024" s="321" t="s">
        <v>19</v>
      </c>
      <c r="T2024" s="533">
        <v>4</v>
      </c>
      <c r="U2024" s="321">
        <f>E2024/272*60</f>
        <v>0</v>
      </c>
      <c r="V2024" s="683"/>
      <c r="W2024" s="533"/>
      <c r="X2024" s="321"/>
      <c r="Y2024" s="326"/>
      <c r="Z2024" s="312">
        <f t="shared" si="762"/>
        <v>0</v>
      </c>
      <c r="AA2024" s="415">
        <f>SUM(Z2024/180+0.25)</f>
        <v>0.25</v>
      </c>
    </row>
    <row r="2025" spans="1:28" ht="77.25" thickBot="1" x14ac:dyDescent="0.45">
      <c r="A2025" s="319" t="s">
        <v>778</v>
      </c>
      <c r="B2025" s="320" t="s">
        <v>1039</v>
      </c>
      <c r="C2025" s="586">
        <f>C1928</f>
        <v>0</v>
      </c>
      <c r="D2025" s="533">
        <f>C2025*16</f>
        <v>0</v>
      </c>
      <c r="E2025" s="534">
        <f>D2025*0.25</f>
        <v>0</v>
      </c>
      <c r="F2025" s="321">
        <f>E2025*0.8*1/20</f>
        <v>0</v>
      </c>
      <c r="G2025" s="533">
        <f t="shared" si="766"/>
        <v>0</v>
      </c>
      <c r="H2025" s="321" t="s">
        <v>18</v>
      </c>
      <c r="I2025" s="533">
        <f t="shared" si="767"/>
        <v>0</v>
      </c>
      <c r="J2025" s="321" t="s">
        <v>19</v>
      </c>
      <c r="K2025" s="324"/>
      <c r="L2025" s="324"/>
      <c r="M2025" s="321">
        <f>F2025*2016/16128</f>
        <v>0</v>
      </c>
      <c r="N2025" s="324"/>
      <c r="O2025" s="324"/>
      <c r="P2025" s="324"/>
      <c r="Q2025" s="324" t="s">
        <v>18</v>
      </c>
      <c r="R2025" s="324"/>
      <c r="S2025" s="324" t="s">
        <v>19</v>
      </c>
      <c r="T2025" s="528">
        <v>4</v>
      </c>
      <c r="U2025" s="324">
        <f t="shared" si="768"/>
        <v>0</v>
      </c>
      <c r="V2025" s="676"/>
      <c r="W2025" s="528"/>
      <c r="X2025" s="529"/>
      <c r="Y2025" s="323"/>
      <c r="Z2025" s="312">
        <f t="shared" si="762"/>
        <v>0</v>
      </c>
      <c r="AA2025" s="415">
        <f>SUM(Z2025/180+0.25)</f>
        <v>0.25</v>
      </c>
    </row>
    <row r="2026" spans="1:28" ht="77.25" thickBot="1" x14ac:dyDescent="0.45">
      <c r="A2026" s="319" t="s">
        <v>778</v>
      </c>
      <c r="B2026" s="320" t="s">
        <v>1005</v>
      </c>
      <c r="C2026" s="528">
        <f>C2086</f>
        <v>0</v>
      </c>
      <c r="D2026" s="530">
        <f>C2026*1</f>
        <v>0</v>
      </c>
      <c r="E2026" s="546">
        <f>D2026*0.65</f>
        <v>0</v>
      </c>
      <c r="F2026" s="546">
        <f>E2026*1.03*0.87/19.3</f>
        <v>0</v>
      </c>
      <c r="G2026" s="639">
        <f>INT(M2026)</f>
        <v>0</v>
      </c>
      <c r="H2026" s="546" t="s">
        <v>18</v>
      </c>
      <c r="I2026" s="639">
        <f>(M2026-G2026)*64</f>
        <v>0</v>
      </c>
      <c r="J2026" s="546" t="s">
        <v>19</v>
      </c>
      <c r="K2026" s="546"/>
      <c r="L2026" s="546"/>
      <c r="M2026" s="546">
        <f>(F2026*877/2880)</f>
        <v>0</v>
      </c>
      <c r="N2026" s="546"/>
      <c r="O2026" s="324"/>
      <c r="P2026" s="324"/>
      <c r="Q2026" s="324" t="s">
        <v>18</v>
      </c>
      <c r="R2026" s="324"/>
      <c r="S2026" s="324" t="s">
        <v>19</v>
      </c>
      <c r="T2026" s="528">
        <v>5</v>
      </c>
      <c r="U2026" s="324">
        <f>E2026/259*60</f>
        <v>0</v>
      </c>
      <c r="V2026" s="676"/>
      <c r="W2026" s="528"/>
      <c r="X2026" s="529"/>
      <c r="Y2026" s="323"/>
      <c r="Z2026" s="312">
        <f t="shared" si="762"/>
        <v>0</v>
      </c>
      <c r="AA2026" s="415">
        <f>SUM(Z2026/103+0.25)</f>
        <v>0.25</v>
      </c>
      <c r="AB2026" s="352"/>
    </row>
    <row r="2027" spans="1:28" ht="77.25" thickBot="1" x14ac:dyDescent="0.45">
      <c r="A2027" s="319" t="s">
        <v>778</v>
      </c>
      <c r="B2027" s="708" t="s">
        <v>1079</v>
      </c>
      <c r="C2027" s="586">
        <f>C1929</f>
        <v>0</v>
      </c>
      <c r="D2027" s="533">
        <f>C2027*7</f>
        <v>0</v>
      </c>
      <c r="E2027" s="321">
        <f>D2027*0.2</f>
        <v>0</v>
      </c>
      <c r="F2027" s="321">
        <f>E2027*10/225</f>
        <v>0</v>
      </c>
      <c r="G2027" s="533">
        <f>INT(M2027)</f>
        <v>0</v>
      </c>
      <c r="H2027" s="321" t="s">
        <v>18</v>
      </c>
      <c r="I2027" s="533">
        <f>(M2027-G2027)*64</f>
        <v>0</v>
      </c>
      <c r="J2027" s="321" t="s">
        <v>19</v>
      </c>
      <c r="K2027" s="324"/>
      <c r="L2027" s="324"/>
      <c r="M2027" s="321">
        <f>F2027*1008/8064</f>
        <v>0</v>
      </c>
      <c r="N2027" s="324"/>
      <c r="O2027" s="324"/>
      <c r="P2027" s="324"/>
      <c r="Q2027" s="324" t="s">
        <v>18</v>
      </c>
      <c r="R2027" s="324"/>
      <c r="S2027" s="324" t="s">
        <v>19</v>
      </c>
      <c r="T2027" s="528">
        <v>4</v>
      </c>
      <c r="U2027" s="324">
        <f>E2027/272*60</f>
        <v>0</v>
      </c>
      <c r="V2027" s="676"/>
      <c r="W2027" s="528"/>
      <c r="X2027" s="529"/>
      <c r="Y2027" s="323"/>
      <c r="Z2027" s="312">
        <f t="shared" si="762"/>
        <v>0</v>
      </c>
      <c r="AA2027" s="415">
        <f>SUM(Z2027/180+0.25)</f>
        <v>0.25</v>
      </c>
    </row>
    <row r="2028" spans="1:28" ht="77.25" thickBot="1" x14ac:dyDescent="0.45">
      <c r="A2028" s="319" t="s">
        <v>778</v>
      </c>
      <c r="B2028" s="320" t="s">
        <v>613</v>
      </c>
      <c r="C2028" s="586">
        <f>C1930</f>
        <v>0</v>
      </c>
      <c r="D2028" s="528">
        <f>C2028*20</f>
        <v>0</v>
      </c>
      <c r="E2028" s="460">
        <f>D2028*0.2</f>
        <v>0</v>
      </c>
      <c r="F2028" s="324">
        <f>E2028*0.8*1.01/20</f>
        <v>0</v>
      </c>
      <c r="G2028" s="528">
        <f t="shared" si="766"/>
        <v>0</v>
      </c>
      <c r="H2028" s="324" t="s">
        <v>18</v>
      </c>
      <c r="I2028" s="528">
        <f t="shared" si="767"/>
        <v>0</v>
      </c>
      <c r="J2028" s="324" t="s">
        <v>19</v>
      </c>
      <c r="K2028" s="324"/>
      <c r="L2028" s="324"/>
      <c r="M2028" s="324">
        <f>F2028*1008/8064</f>
        <v>0</v>
      </c>
      <c r="N2028" s="324"/>
      <c r="O2028" s="324"/>
      <c r="P2028" s="324"/>
      <c r="Q2028" s="324" t="s">
        <v>18</v>
      </c>
      <c r="R2028" s="324"/>
      <c r="S2028" s="324" t="s">
        <v>19</v>
      </c>
      <c r="T2028" s="528">
        <v>4</v>
      </c>
      <c r="U2028" s="324">
        <f>E2028/207*60</f>
        <v>0</v>
      </c>
      <c r="V2028" s="676"/>
      <c r="W2028" s="528"/>
      <c r="X2028" s="529"/>
      <c r="Y2028" s="323"/>
      <c r="Z2028" s="312">
        <f t="shared" si="762"/>
        <v>0</v>
      </c>
      <c r="AA2028" s="415">
        <f>SUM(Z2028/180+0.25)</f>
        <v>0.25</v>
      </c>
    </row>
    <row r="2029" spans="1:28" ht="77.25" thickBot="1" x14ac:dyDescent="0.45">
      <c r="A2029" s="319" t="s">
        <v>778</v>
      </c>
      <c r="B2029" s="320" t="s">
        <v>894</v>
      </c>
      <c r="C2029" s="528">
        <f>C2087</f>
        <v>0</v>
      </c>
      <c r="D2029" s="532">
        <f>C2029*12</f>
        <v>0</v>
      </c>
      <c r="E2029" s="472">
        <f>D2029*0.27</f>
        <v>0</v>
      </c>
      <c r="F2029" s="472">
        <f>E2029*1.03*0.87/19.3</f>
        <v>0</v>
      </c>
      <c r="G2029" s="531">
        <f t="shared" si="766"/>
        <v>0</v>
      </c>
      <c r="H2029" s="472" t="s">
        <v>18</v>
      </c>
      <c r="I2029" s="531">
        <f t="shared" si="767"/>
        <v>0</v>
      </c>
      <c r="J2029" s="472" t="s">
        <v>19</v>
      </c>
      <c r="K2029" s="472"/>
      <c r="L2029" s="472"/>
      <c r="M2029" s="472">
        <f>(F2029*877/2880)</f>
        <v>0</v>
      </c>
      <c r="N2029" s="472"/>
      <c r="O2029" s="461"/>
      <c r="P2029" s="461"/>
      <c r="Q2029" s="461" t="s">
        <v>18</v>
      </c>
      <c r="R2029" s="461"/>
      <c r="S2029" s="461" t="s">
        <v>19</v>
      </c>
      <c r="T2029" s="568">
        <v>7</v>
      </c>
      <c r="U2029" s="324">
        <f>E2029/259*60</f>
        <v>0</v>
      </c>
      <c r="V2029" s="676"/>
      <c r="W2029" s="528"/>
      <c r="X2029" s="529"/>
      <c r="Y2029" s="323"/>
      <c r="Z2029" s="312">
        <f>E2029/1.134</f>
        <v>0</v>
      </c>
      <c r="AA2029" s="316">
        <f>SUM(E2029/321.6+0.25)</f>
        <v>0.25</v>
      </c>
      <c r="AB2029" s="352" t="s">
        <v>852</v>
      </c>
    </row>
    <row r="2030" spans="1:28" outlineLevel="1" thickBot="1" x14ac:dyDescent="0.45">
      <c r="A2030" s="319"/>
      <c r="B2030" s="332" t="s">
        <v>295</v>
      </c>
      <c r="C2030" s="528"/>
      <c r="D2030" s="528"/>
      <c r="E2030" s="460"/>
      <c r="F2030" s="324"/>
      <c r="G2030" s="528"/>
      <c r="H2030" s="324"/>
      <c r="I2030" s="528"/>
      <c r="J2030" s="324"/>
      <c r="K2030" s="324"/>
      <c r="L2030" s="324"/>
      <c r="M2030" s="324"/>
      <c r="N2030" s="324"/>
      <c r="O2030" s="324"/>
      <c r="P2030" s="324"/>
      <c r="Q2030" s="324"/>
      <c r="R2030" s="324"/>
      <c r="S2030" s="324"/>
      <c r="T2030" s="528"/>
      <c r="U2030" s="324"/>
      <c r="V2030" s="676"/>
      <c r="W2030" s="528"/>
      <c r="X2030" s="529"/>
      <c r="Y2030" s="323"/>
      <c r="AA2030" s="415"/>
    </row>
    <row r="2031" spans="1:28" outlineLevel="1" thickBot="1" x14ac:dyDescent="0.45">
      <c r="A2031" s="319" t="s">
        <v>778</v>
      </c>
      <c r="B2031" s="337" t="s">
        <v>616</v>
      </c>
      <c r="C2031" s="586">
        <f>C2210</f>
        <v>0</v>
      </c>
      <c r="D2031" s="528"/>
      <c r="E2031" s="460">
        <f>C2031*4</f>
        <v>0</v>
      </c>
      <c r="F2031" s="324">
        <f>E2031*0.91*1.03/21</f>
        <v>0</v>
      </c>
      <c r="G2031" s="528">
        <f>INT(M2031)</f>
        <v>0</v>
      </c>
      <c r="H2031" s="324" t="s">
        <v>18</v>
      </c>
      <c r="I2031" s="528">
        <f>(M2031-G2031)*64</f>
        <v>0</v>
      </c>
      <c r="J2031" s="324" t="s">
        <v>19</v>
      </c>
      <c r="K2031" s="324"/>
      <c r="L2031" s="324"/>
      <c r="M2031" s="324">
        <f>F2031*1890/16128</f>
        <v>0</v>
      </c>
      <c r="N2031" s="324"/>
      <c r="O2031" s="324"/>
      <c r="P2031" s="324"/>
      <c r="Q2031" s="324" t="s">
        <v>18</v>
      </c>
      <c r="R2031" s="324"/>
      <c r="S2031" s="324" t="s">
        <v>19</v>
      </c>
      <c r="T2031" s="528">
        <v>4</v>
      </c>
      <c r="U2031" s="324">
        <f>E2031/272*60</f>
        <v>0</v>
      </c>
      <c r="V2031" s="676"/>
      <c r="W2031" s="528"/>
      <c r="X2031" s="529"/>
      <c r="Y2031" s="323"/>
      <c r="Z2031" s="312">
        <f>E2031</f>
        <v>0</v>
      </c>
      <c r="AA2031" s="415">
        <f>SUM(Z2031/103+0.25)</f>
        <v>0.25</v>
      </c>
    </row>
    <row r="2032" spans="1:28" outlineLevel="1" thickBot="1" x14ac:dyDescent="0.45">
      <c r="A2032" s="319" t="s">
        <v>778</v>
      </c>
      <c r="B2032" s="338" t="s">
        <v>617</v>
      </c>
      <c r="C2032" s="586">
        <f>C2211</f>
        <v>0</v>
      </c>
      <c r="D2032" s="528"/>
      <c r="E2032" s="460">
        <f>C2032*4</f>
        <v>0</v>
      </c>
      <c r="F2032" s="324">
        <f>E2032*0.91*1.03/21</f>
        <v>0</v>
      </c>
      <c r="G2032" s="528">
        <f>INT(M2032)</f>
        <v>0</v>
      </c>
      <c r="H2032" s="324" t="s">
        <v>18</v>
      </c>
      <c r="I2032" s="528">
        <f>(M2032-G2032)*64</f>
        <v>0</v>
      </c>
      <c r="J2032" s="324" t="s">
        <v>19</v>
      </c>
      <c r="K2032" s="324"/>
      <c r="L2032" s="324"/>
      <c r="M2032" s="324">
        <f>F2032*1890/16128</f>
        <v>0</v>
      </c>
      <c r="N2032" s="324"/>
      <c r="O2032" s="324"/>
      <c r="P2032" s="324"/>
      <c r="Q2032" s="324" t="s">
        <v>18</v>
      </c>
      <c r="R2032" s="324"/>
      <c r="S2032" s="324" t="s">
        <v>19</v>
      </c>
      <c r="T2032" s="528">
        <v>4</v>
      </c>
      <c r="U2032" s="324">
        <f>E2032/272*60</f>
        <v>0</v>
      </c>
      <c r="V2032" s="676"/>
      <c r="W2032" s="528"/>
      <c r="X2032" s="529"/>
      <c r="Y2032" s="323"/>
      <c r="Z2032" s="312">
        <f>E2032</f>
        <v>0</v>
      </c>
      <c r="AA2032" s="415">
        <f>SUM(Z2032/103+0.25)</f>
        <v>0.25</v>
      </c>
    </row>
    <row r="2033" spans="1:27" outlineLevel="1" collapsed="1" thickBot="1" x14ac:dyDescent="0.45">
      <c r="A2033" s="319"/>
      <c r="B2033" s="305" t="s">
        <v>623</v>
      </c>
      <c r="C2033" s="539"/>
      <c r="D2033" s="539"/>
      <c r="E2033" s="502"/>
      <c r="F2033" s="333"/>
      <c r="G2033" s="539"/>
      <c r="H2033" s="333"/>
      <c r="I2033" s="539"/>
      <c r="J2033" s="333"/>
      <c r="K2033" s="333"/>
      <c r="L2033" s="333"/>
      <c r="M2033" s="333"/>
      <c r="N2033" s="333"/>
      <c r="O2033" s="333"/>
      <c r="P2033" s="333"/>
      <c r="Q2033" s="333"/>
      <c r="R2033" s="333"/>
      <c r="S2033" s="333"/>
      <c r="T2033" s="539"/>
      <c r="U2033" s="333"/>
      <c r="V2033" s="681"/>
      <c r="W2033" s="333"/>
      <c r="X2033" s="333"/>
      <c r="Y2033" s="374"/>
      <c r="AA2033" s="415"/>
    </row>
    <row r="2034" spans="1:27" ht="77.25" outlineLevel="1" thickBot="1" x14ac:dyDescent="0.45">
      <c r="A2034" s="319" t="s">
        <v>778</v>
      </c>
      <c r="B2034" s="320" t="s">
        <v>624</v>
      </c>
      <c r="C2034" s="586">
        <f>C2085</f>
        <v>0</v>
      </c>
      <c r="D2034" s="530">
        <f>C2034*10</f>
        <v>0</v>
      </c>
      <c r="E2034" s="460">
        <f>D2034*0.2</f>
        <v>0</v>
      </c>
      <c r="F2034" s="324">
        <f>E2034*0.97*0.8/19.6</f>
        <v>0</v>
      </c>
      <c r="G2034" s="528">
        <f>INT(M2034)</f>
        <v>0</v>
      </c>
      <c r="H2034" s="324" t="s">
        <v>18</v>
      </c>
      <c r="I2034" s="528">
        <f>(M2034-G2034)*64</f>
        <v>0</v>
      </c>
      <c r="J2034" s="324" t="s">
        <v>19</v>
      </c>
      <c r="K2034" s="324"/>
      <c r="L2034" s="324"/>
      <c r="M2034" s="324">
        <f>(F2034*1087/3456)</f>
        <v>0</v>
      </c>
      <c r="N2034" s="324"/>
      <c r="O2034" s="324"/>
      <c r="P2034" s="324"/>
      <c r="Q2034" s="324" t="s">
        <v>18</v>
      </c>
      <c r="R2034" s="324"/>
      <c r="S2034" s="324" t="s">
        <v>19</v>
      </c>
      <c r="T2034" s="528">
        <v>5</v>
      </c>
      <c r="U2034" s="324">
        <f>E2034/259*60</f>
        <v>0</v>
      </c>
      <c r="V2034" s="676"/>
      <c r="W2034" s="528"/>
      <c r="X2034" s="529"/>
      <c r="Y2034" s="323"/>
      <c r="Z2034" s="312">
        <f>E2034</f>
        <v>0</v>
      </c>
      <c r="AA2034" s="415">
        <f>SUM(Z2034/260+0.25)</f>
        <v>0.25</v>
      </c>
    </row>
    <row r="2035" spans="1:27" ht="77.25" outlineLevel="1" thickBot="1" x14ac:dyDescent="0.45">
      <c r="A2035" s="319" t="s">
        <v>778</v>
      </c>
      <c r="B2035" s="320" t="s">
        <v>625</v>
      </c>
      <c r="C2035" s="586">
        <f>C1939</f>
        <v>0</v>
      </c>
      <c r="D2035" s="530">
        <f>C2035*10</f>
        <v>0</v>
      </c>
      <c r="E2035" s="460">
        <f>D2035*0.2</f>
        <v>0</v>
      </c>
      <c r="F2035" s="324">
        <f>E2035*0.97*0.8/19.6</f>
        <v>0</v>
      </c>
      <c r="G2035" s="528">
        <f>INT(M2035)</f>
        <v>0</v>
      </c>
      <c r="H2035" s="324" t="s">
        <v>18</v>
      </c>
      <c r="I2035" s="528">
        <f>(M2035-G2035)*64</f>
        <v>0</v>
      </c>
      <c r="J2035" s="324" t="s">
        <v>19</v>
      </c>
      <c r="K2035" s="324"/>
      <c r="L2035" s="324"/>
      <c r="M2035" s="324">
        <f>(F2035*1087/3456)</f>
        <v>0</v>
      </c>
      <c r="N2035" s="324"/>
      <c r="O2035" s="324"/>
      <c r="P2035" s="324"/>
      <c r="Q2035" s="324" t="s">
        <v>18</v>
      </c>
      <c r="R2035" s="324"/>
      <c r="S2035" s="324" t="s">
        <v>19</v>
      </c>
      <c r="T2035" s="528">
        <v>5</v>
      </c>
      <c r="U2035" s="324">
        <f>E2035/259*60</f>
        <v>0</v>
      </c>
      <c r="V2035" s="676"/>
      <c r="W2035" s="528"/>
      <c r="X2035" s="529"/>
      <c r="Y2035" s="323"/>
      <c r="Z2035" s="312">
        <f>E2035</f>
        <v>0</v>
      </c>
      <c r="AA2035" s="415">
        <f>SUM(Z2035/260+0.25)</f>
        <v>0.25</v>
      </c>
    </row>
    <row r="2036" spans="1:27" ht="77.25" outlineLevel="1" thickBot="1" x14ac:dyDescent="0.45">
      <c r="A2036" s="319" t="s">
        <v>778</v>
      </c>
      <c r="B2036" s="343" t="s">
        <v>626</v>
      </c>
      <c r="C2036" s="586">
        <f>C1940</f>
        <v>0</v>
      </c>
      <c r="D2036" s="530">
        <f>C2036*10</f>
        <v>0</v>
      </c>
      <c r="E2036" s="460">
        <f>D2036*0.2</f>
        <v>0</v>
      </c>
      <c r="F2036" s="324">
        <f>E2036*0.97*0.8/19.6</f>
        <v>0</v>
      </c>
      <c r="G2036" s="528">
        <f>INT(M2036)</f>
        <v>0</v>
      </c>
      <c r="H2036" s="324" t="s">
        <v>18</v>
      </c>
      <c r="I2036" s="528">
        <f>(M2036-G2036)*64</f>
        <v>0</v>
      </c>
      <c r="J2036" s="324" t="s">
        <v>19</v>
      </c>
      <c r="K2036" s="324"/>
      <c r="L2036" s="324"/>
      <c r="M2036" s="324">
        <f>(F2036*1087/3456)</f>
        <v>0</v>
      </c>
      <c r="N2036" s="324"/>
      <c r="O2036" s="324"/>
      <c r="P2036" s="324"/>
      <c r="Q2036" s="324" t="s">
        <v>18</v>
      </c>
      <c r="R2036" s="324"/>
      <c r="S2036" s="324" t="s">
        <v>19</v>
      </c>
      <c r="T2036" s="528">
        <v>5</v>
      </c>
      <c r="U2036" s="324">
        <f>E2036/259*60</f>
        <v>0</v>
      </c>
      <c r="V2036" s="676"/>
      <c r="W2036" s="528"/>
      <c r="X2036" s="529"/>
      <c r="Y2036" s="323"/>
      <c r="Z2036" s="312">
        <f>E2036</f>
        <v>0</v>
      </c>
      <c r="AA2036" s="415">
        <f>SUM(Z2036/260+0.25)</f>
        <v>0.25</v>
      </c>
    </row>
    <row r="2037" spans="1:27" thickBot="1" x14ac:dyDescent="0.45">
      <c r="A2037" s="829"/>
      <c r="B2037" s="302" t="s">
        <v>289</v>
      </c>
      <c r="C2037" s="347"/>
      <c r="D2037" s="347"/>
      <c r="E2037" s="494"/>
      <c r="F2037" s="348"/>
      <c r="G2037" s="347"/>
      <c r="H2037" s="348"/>
      <c r="I2037" s="347"/>
      <c r="J2037" s="348"/>
      <c r="K2037" s="348"/>
      <c r="L2037" s="348"/>
      <c r="M2037" s="348"/>
      <c r="N2037" s="348"/>
      <c r="O2037" s="348"/>
      <c r="P2037" s="348"/>
      <c r="Q2037" s="348"/>
      <c r="R2037" s="348"/>
      <c r="S2037" s="348"/>
      <c r="T2037" s="347"/>
      <c r="U2037" s="348"/>
      <c r="V2037" s="356"/>
      <c r="W2037" s="348"/>
      <c r="X2037" s="495"/>
      <c r="Y2037" s="349"/>
      <c r="AA2037" s="415"/>
    </row>
    <row r="2038" spans="1:27" thickBot="1" x14ac:dyDescent="0.45">
      <c r="A2038" s="830"/>
      <c r="B2038" s="332" t="s">
        <v>285</v>
      </c>
      <c r="C2038" s="347"/>
      <c r="D2038" s="347"/>
      <c r="E2038" s="494"/>
      <c r="F2038" s="348"/>
      <c r="G2038" s="347"/>
      <c r="H2038" s="348"/>
      <c r="I2038" s="347"/>
      <c r="J2038" s="348"/>
      <c r="K2038" s="348"/>
      <c r="L2038" s="348"/>
      <c r="M2038" s="348"/>
      <c r="N2038" s="348"/>
      <c r="O2038" s="348"/>
      <c r="P2038" s="348"/>
      <c r="Q2038" s="348"/>
      <c r="R2038" s="348"/>
      <c r="S2038" s="348"/>
      <c r="T2038" s="347"/>
      <c r="U2038" s="348"/>
      <c r="V2038" s="356"/>
      <c r="W2038" s="348"/>
      <c r="X2038" s="495"/>
      <c r="Y2038" s="357"/>
      <c r="AA2038" s="415"/>
    </row>
    <row r="2039" spans="1:27" thickBot="1" x14ac:dyDescent="0.45">
      <c r="A2039" s="830"/>
      <c r="B2039" s="332" t="s">
        <v>299</v>
      </c>
      <c r="C2039" s="347"/>
      <c r="D2039" s="347"/>
      <c r="E2039" s="494"/>
      <c r="F2039" s="348"/>
      <c r="G2039" s="347"/>
      <c r="H2039" s="348"/>
      <c r="I2039" s="347"/>
      <c r="J2039" s="348"/>
      <c r="K2039" s="348"/>
      <c r="L2039" s="348"/>
      <c r="M2039" s="348"/>
      <c r="N2039" s="348"/>
      <c r="O2039" s="348"/>
      <c r="P2039" s="348"/>
      <c r="Q2039" s="348"/>
      <c r="R2039" s="348"/>
      <c r="S2039" s="348"/>
      <c r="T2039" s="347"/>
      <c r="U2039" s="348"/>
      <c r="V2039" s="356"/>
      <c r="W2039" s="348"/>
      <c r="X2039" s="495"/>
      <c r="Y2039" s="357"/>
      <c r="AA2039" s="415"/>
    </row>
    <row r="2040" spans="1:27" ht="102.75" thickBot="1" x14ac:dyDescent="0.45">
      <c r="A2040" s="319" t="s">
        <v>778</v>
      </c>
      <c r="B2040" s="320" t="s">
        <v>783</v>
      </c>
      <c r="C2040" s="586">
        <f>C1943</f>
        <v>0</v>
      </c>
      <c r="D2040" s="530"/>
      <c r="E2040" s="456">
        <f t="shared" ref="E2040:E2047" si="770">C2040*4</f>
        <v>0</v>
      </c>
      <c r="F2040" s="358">
        <f>E2040*1.01*0.72/147</f>
        <v>0</v>
      </c>
      <c r="G2040" s="548">
        <f t="shared" ref="G2040:G2046" si="771">INT(M2040)</f>
        <v>0</v>
      </c>
      <c r="H2040" s="358" t="s">
        <v>18</v>
      </c>
      <c r="I2040" s="548">
        <f t="shared" ref="I2040:I2046" si="772">(M2040-G2040)*64</f>
        <v>0</v>
      </c>
      <c r="J2040" s="358" t="s">
        <v>19</v>
      </c>
      <c r="K2040" s="358"/>
      <c r="L2040" s="358"/>
      <c r="M2040" s="358">
        <f>(F2040*6035/3456)</f>
        <v>0</v>
      </c>
      <c r="N2040" s="324"/>
      <c r="O2040" s="324"/>
      <c r="P2040" s="324"/>
      <c r="Q2040" s="324" t="s">
        <v>18</v>
      </c>
      <c r="R2040" s="324"/>
      <c r="S2040" s="324" t="s">
        <v>19</v>
      </c>
      <c r="T2040" s="528">
        <v>4</v>
      </c>
      <c r="U2040" s="324">
        <f>E2040/324*60</f>
        <v>0</v>
      </c>
      <c r="V2040" s="676"/>
      <c r="W2040" s="528"/>
      <c r="X2040" s="529"/>
      <c r="Y2040" s="323"/>
      <c r="Z2040" s="312">
        <f t="shared" ref="Z2040:Z2061" si="773">E2040</f>
        <v>0</v>
      </c>
      <c r="AA2040" s="391">
        <f>SUM(Z2040/226+0.25)</f>
        <v>0.25</v>
      </c>
    </row>
    <row r="2041" spans="1:27" ht="77.25" thickBot="1" x14ac:dyDescent="0.45">
      <c r="A2041" s="319" t="s">
        <v>778</v>
      </c>
      <c r="B2041" s="320" t="s">
        <v>784</v>
      </c>
      <c r="C2041" s="586">
        <f>C1638</f>
        <v>0</v>
      </c>
      <c r="D2041" s="530"/>
      <c r="E2041" s="456">
        <f t="shared" si="770"/>
        <v>0</v>
      </c>
      <c r="F2041" s="358">
        <f>E2041*1.01*0.72/147</f>
        <v>0</v>
      </c>
      <c r="G2041" s="548">
        <f t="shared" si="771"/>
        <v>0</v>
      </c>
      <c r="H2041" s="358" t="s">
        <v>18</v>
      </c>
      <c r="I2041" s="548">
        <f t="shared" si="772"/>
        <v>0</v>
      </c>
      <c r="J2041" s="358" t="s">
        <v>19</v>
      </c>
      <c r="K2041" s="358"/>
      <c r="L2041" s="358"/>
      <c r="M2041" s="358">
        <f>(F2041*6035/3456)</f>
        <v>0</v>
      </c>
      <c r="N2041" s="324"/>
      <c r="O2041" s="324"/>
      <c r="P2041" s="324"/>
      <c r="Q2041" s="324" t="s">
        <v>18</v>
      </c>
      <c r="R2041" s="324"/>
      <c r="S2041" s="324" t="s">
        <v>19</v>
      </c>
      <c r="T2041" s="528">
        <v>4</v>
      </c>
      <c r="U2041" s="324">
        <f>E2041/324*60</f>
        <v>0</v>
      </c>
      <c r="V2041" s="676"/>
      <c r="W2041" s="528"/>
      <c r="X2041" s="529"/>
      <c r="Y2041" s="323"/>
      <c r="Z2041" s="312">
        <f t="shared" si="773"/>
        <v>0</v>
      </c>
      <c r="AA2041" s="391">
        <f>SUM(Z2041/226+0.25)</f>
        <v>0.25</v>
      </c>
    </row>
    <row r="2042" spans="1:27" ht="77.25" thickBot="1" x14ac:dyDescent="0.45">
      <c r="A2042" s="319" t="s">
        <v>778</v>
      </c>
      <c r="B2042" s="320" t="s">
        <v>744</v>
      </c>
      <c r="C2042" s="586">
        <f>C1945+C1639</f>
        <v>0</v>
      </c>
      <c r="D2042" s="528"/>
      <c r="E2042" s="456">
        <f t="shared" si="770"/>
        <v>0</v>
      </c>
      <c r="F2042" s="358">
        <f>E2042*1.01*0.72/147</f>
        <v>0</v>
      </c>
      <c r="G2042" s="548">
        <f t="shared" si="771"/>
        <v>0</v>
      </c>
      <c r="H2042" s="358" t="s">
        <v>18</v>
      </c>
      <c r="I2042" s="548">
        <f t="shared" si="772"/>
        <v>0</v>
      </c>
      <c r="J2042" s="358" t="s">
        <v>19</v>
      </c>
      <c r="K2042" s="358"/>
      <c r="L2042" s="358"/>
      <c r="M2042" s="358">
        <f>(F2042*6035/3456)</f>
        <v>0</v>
      </c>
      <c r="N2042" s="324"/>
      <c r="O2042" s="324"/>
      <c r="P2042" s="324"/>
      <c r="Q2042" s="324" t="s">
        <v>18</v>
      </c>
      <c r="R2042" s="324"/>
      <c r="S2042" s="324" t="s">
        <v>19</v>
      </c>
      <c r="T2042" s="528">
        <v>4</v>
      </c>
      <c r="U2042" s="324">
        <f>E2042/324*60</f>
        <v>0</v>
      </c>
      <c r="V2042" s="676"/>
      <c r="W2042" s="528"/>
      <c r="X2042" s="529"/>
      <c r="Y2042" s="323"/>
      <c r="Z2042" s="312">
        <f t="shared" si="773"/>
        <v>0</v>
      </c>
      <c r="AA2042" s="391">
        <f>SUM(Z2042/226+0.25)</f>
        <v>0.25</v>
      </c>
    </row>
    <row r="2043" spans="1:27" ht="77.25" thickBot="1" x14ac:dyDescent="0.45">
      <c r="A2043" s="319" t="s">
        <v>778</v>
      </c>
      <c r="B2043" s="320" t="s">
        <v>746</v>
      </c>
      <c r="C2043" s="586">
        <f>C1947+C1641</f>
        <v>3000</v>
      </c>
      <c r="D2043" s="528"/>
      <c r="E2043" s="456">
        <f t="shared" si="770"/>
        <v>12000</v>
      </c>
      <c r="F2043" s="358">
        <f>E2043*1.01*0.72/147</f>
        <v>59.363265306122443</v>
      </c>
      <c r="G2043" s="548">
        <f t="shared" si="771"/>
        <v>103</v>
      </c>
      <c r="H2043" s="358" t="s">
        <v>18</v>
      </c>
      <c r="I2043" s="548">
        <f t="shared" si="772"/>
        <v>42.394557823128707</v>
      </c>
      <c r="J2043" s="358" t="s">
        <v>19</v>
      </c>
      <c r="K2043" s="358"/>
      <c r="L2043" s="358"/>
      <c r="M2043" s="358">
        <f>(F2043*6035/3456)</f>
        <v>103.66241496598639</v>
      </c>
      <c r="N2043" s="324"/>
      <c r="O2043" s="324"/>
      <c r="P2043" s="324"/>
      <c r="Q2043" s="324" t="s">
        <v>18</v>
      </c>
      <c r="R2043" s="324"/>
      <c r="S2043" s="324" t="s">
        <v>19</v>
      </c>
      <c r="T2043" s="528">
        <v>4</v>
      </c>
      <c r="U2043" s="324">
        <f>E2043/259*60</f>
        <v>2779.9227799227801</v>
      </c>
      <c r="V2043" s="676"/>
      <c r="W2043" s="528"/>
      <c r="X2043" s="529"/>
      <c r="Y2043" s="323"/>
      <c r="Z2043" s="312">
        <f t="shared" si="773"/>
        <v>12000</v>
      </c>
      <c r="AA2043" s="391">
        <f t="shared" ref="AA2043:AA2052" si="774">SUM(Z2043/226+0.25)</f>
        <v>53.347345132743364</v>
      </c>
    </row>
    <row r="2044" spans="1:27" ht="77.25" thickBot="1" x14ac:dyDescent="0.45">
      <c r="A2044" s="319" t="s">
        <v>778</v>
      </c>
      <c r="B2044" s="320" t="s">
        <v>749</v>
      </c>
      <c r="C2044" s="586">
        <f>C1644</f>
        <v>0</v>
      </c>
      <c r="D2044" s="528"/>
      <c r="E2044" s="456">
        <f t="shared" si="770"/>
        <v>0</v>
      </c>
      <c r="F2044" s="358">
        <f>E2044*1.03*0.82/147</f>
        <v>0</v>
      </c>
      <c r="G2044" s="548">
        <f t="shared" si="771"/>
        <v>0</v>
      </c>
      <c r="H2044" s="358" t="s">
        <v>18</v>
      </c>
      <c r="I2044" s="548">
        <f t="shared" si="772"/>
        <v>0</v>
      </c>
      <c r="J2044" s="358" t="s">
        <v>19</v>
      </c>
      <c r="K2044" s="358"/>
      <c r="L2044" s="358"/>
      <c r="M2044" s="358">
        <f>(F2044*5547/3456)</f>
        <v>0</v>
      </c>
      <c r="N2044" s="324"/>
      <c r="O2044" s="324"/>
      <c r="P2044" s="324"/>
      <c r="Q2044" s="324" t="s">
        <v>18</v>
      </c>
      <c r="R2044" s="324"/>
      <c r="S2044" s="324" t="s">
        <v>19</v>
      </c>
      <c r="T2044" s="528">
        <v>4</v>
      </c>
      <c r="U2044" s="324">
        <f t="shared" ref="U2044:U2052" si="775">E2044/324*60</f>
        <v>0</v>
      </c>
      <c r="V2044" s="676"/>
      <c r="W2044" s="528"/>
      <c r="X2044" s="529"/>
      <c r="Y2044" s="323"/>
      <c r="Z2044" s="312">
        <f t="shared" si="773"/>
        <v>0</v>
      </c>
      <c r="AA2044" s="391">
        <f t="shared" si="774"/>
        <v>0.25</v>
      </c>
    </row>
    <row r="2045" spans="1:27" ht="77.25" thickBot="1" x14ac:dyDescent="0.45">
      <c r="A2045" s="319" t="s">
        <v>778</v>
      </c>
      <c r="B2045" s="320" t="s">
        <v>1149</v>
      </c>
      <c r="C2045" s="586">
        <f>C1645</f>
        <v>0</v>
      </c>
      <c r="D2045" s="528"/>
      <c r="E2045" s="456">
        <f t="shared" si="770"/>
        <v>0</v>
      </c>
      <c r="F2045" s="358">
        <f>E2045*1.03*0.82/147</f>
        <v>0</v>
      </c>
      <c r="G2045" s="548">
        <f t="shared" si="771"/>
        <v>0</v>
      </c>
      <c r="H2045" s="358" t="s">
        <v>18</v>
      </c>
      <c r="I2045" s="548">
        <f t="shared" si="772"/>
        <v>0</v>
      </c>
      <c r="J2045" s="358" t="s">
        <v>19</v>
      </c>
      <c r="K2045" s="358"/>
      <c r="L2045" s="358"/>
      <c r="M2045" s="358">
        <f>(F2045*5547/3456)</f>
        <v>0</v>
      </c>
      <c r="N2045" s="324"/>
      <c r="O2045" s="324"/>
      <c r="P2045" s="324"/>
      <c r="Q2045" s="324" t="s">
        <v>18</v>
      </c>
      <c r="R2045" s="324"/>
      <c r="S2045" s="324" t="s">
        <v>19</v>
      </c>
      <c r="T2045" s="528">
        <v>4</v>
      </c>
      <c r="U2045" s="324">
        <f t="shared" si="775"/>
        <v>0</v>
      </c>
      <c r="V2045" s="676"/>
      <c r="W2045" s="528"/>
      <c r="X2045" s="529"/>
      <c r="Y2045" s="323"/>
      <c r="Z2045" s="312">
        <f t="shared" si="773"/>
        <v>0</v>
      </c>
      <c r="AA2045" s="391">
        <f t="shared" si="774"/>
        <v>0.25</v>
      </c>
    </row>
    <row r="2046" spans="1:27" ht="77.25" outlineLevel="1" thickBot="1" x14ac:dyDescent="0.45">
      <c r="A2046" s="319" t="s">
        <v>778</v>
      </c>
      <c r="B2046" s="799" t="s">
        <v>1209</v>
      </c>
      <c r="C2046" s="586">
        <f>C1646</f>
        <v>0</v>
      </c>
      <c r="D2046" s="528"/>
      <c r="E2046" s="456">
        <f t="shared" si="770"/>
        <v>0</v>
      </c>
      <c r="F2046" s="358">
        <f>E2046*1.03*0.82/147</f>
        <v>0</v>
      </c>
      <c r="G2046" s="548">
        <f t="shared" si="771"/>
        <v>0</v>
      </c>
      <c r="H2046" s="358" t="s">
        <v>18</v>
      </c>
      <c r="I2046" s="548">
        <f t="shared" si="772"/>
        <v>0</v>
      </c>
      <c r="J2046" s="358" t="s">
        <v>19</v>
      </c>
      <c r="K2046" s="358"/>
      <c r="L2046" s="358"/>
      <c r="M2046" s="358">
        <f>(F2046*5547/3456)</f>
        <v>0</v>
      </c>
      <c r="N2046" s="324"/>
      <c r="O2046" s="324"/>
      <c r="P2046" s="324"/>
      <c r="Q2046" s="324" t="s">
        <v>18</v>
      </c>
      <c r="R2046" s="324"/>
      <c r="S2046" s="324" t="s">
        <v>19</v>
      </c>
      <c r="T2046" s="528">
        <v>4</v>
      </c>
      <c r="U2046" s="324">
        <f>E2046/324*60</f>
        <v>0</v>
      </c>
      <c r="V2046" s="676"/>
      <c r="W2046" s="528"/>
      <c r="X2046" s="529"/>
      <c r="Y2046" s="323"/>
      <c r="Z2046" s="312">
        <f t="shared" si="773"/>
        <v>0</v>
      </c>
      <c r="AA2046" s="391">
        <f>SUM(Z2046/226+0.25)</f>
        <v>0.25</v>
      </c>
    </row>
    <row r="2047" spans="1:27" ht="102.75" thickBot="1" x14ac:dyDescent="0.45">
      <c r="A2047" s="319" t="s">
        <v>778</v>
      </c>
      <c r="B2047" s="320" t="s">
        <v>751</v>
      </c>
      <c r="C2047" s="586">
        <f>C1647</f>
        <v>0</v>
      </c>
      <c r="D2047" s="528"/>
      <c r="E2047" s="456">
        <f t="shared" si="770"/>
        <v>0</v>
      </c>
      <c r="F2047" s="358">
        <f>E2047*1.01*0.72/147</f>
        <v>0</v>
      </c>
      <c r="G2047" s="548">
        <f t="shared" ref="G2047:G2059" si="776">INT(M2047)</f>
        <v>0</v>
      </c>
      <c r="H2047" s="358" t="s">
        <v>18</v>
      </c>
      <c r="I2047" s="548">
        <f t="shared" ref="I2047:I2059" si="777">(M2047-G2047)*64</f>
        <v>0</v>
      </c>
      <c r="J2047" s="358" t="s">
        <v>19</v>
      </c>
      <c r="K2047" s="358"/>
      <c r="L2047" s="358"/>
      <c r="M2047" s="358">
        <f>(F2047*6035/3456)</f>
        <v>0</v>
      </c>
      <c r="N2047" s="324"/>
      <c r="O2047" s="324"/>
      <c r="P2047" s="324"/>
      <c r="Q2047" s="324" t="s">
        <v>18</v>
      </c>
      <c r="R2047" s="324"/>
      <c r="S2047" s="324" t="s">
        <v>19</v>
      </c>
      <c r="T2047" s="528">
        <v>4</v>
      </c>
      <c r="U2047" s="324">
        <f t="shared" si="775"/>
        <v>0</v>
      </c>
      <c r="V2047" s="676"/>
      <c r="W2047" s="528"/>
      <c r="X2047" s="529"/>
      <c r="Y2047" s="323"/>
      <c r="Z2047" s="312">
        <f t="shared" si="773"/>
        <v>0</v>
      </c>
      <c r="AA2047" s="391">
        <f t="shared" si="774"/>
        <v>0.25</v>
      </c>
    </row>
    <row r="2048" spans="1:27" ht="77.25" thickBot="1" x14ac:dyDescent="0.45">
      <c r="A2048" s="319" t="s">
        <v>778</v>
      </c>
      <c r="B2048" s="344" t="s">
        <v>879</v>
      </c>
      <c r="C2048" s="586">
        <f>C1649</f>
        <v>0</v>
      </c>
      <c r="D2048" s="528"/>
      <c r="E2048" s="457">
        <f>C2048*3</f>
        <v>0</v>
      </c>
      <c r="F2048" s="358">
        <f>E2048*1.03*0.82/147</f>
        <v>0</v>
      </c>
      <c r="G2048" s="549">
        <f>INT(M2048)</f>
        <v>0</v>
      </c>
      <c r="H2048" s="359" t="s">
        <v>18</v>
      </c>
      <c r="I2048" s="549">
        <f>(M2048-G2048)*64</f>
        <v>0</v>
      </c>
      <c r="J2048" s="359" t="s">
        <v>19</v>
      </c>
      <c r="K2048" s="358"/>
      <c r="L2048" s="358"/>
      <c r="M2048" s="358">
        <f>(F2048*5547/3456)</f>
        <v>0</v>
      </c>
      <c r="N2048" s="324"/>
      <c r="O2048" s="324"/>
      <c r="P2048" s="324"/>
      <c r="Q2048" s="324" t="s">
        <v>18</v>
      </c>
      <c r="R2048" s="324"/>
      <c r="S2048" s="324" t="s">
        <v>19</v>
      </c>
      <c r="T2048" s="528">
        <v>4</v>
      </c>
      <c r="U2048" s="324">
        <f t="shared" si="775"/>
        <v>0</v>
      </c>
      <c r="V2048" s="676"/>
      <c r="W2048" s="528"/>
      <c r="X2048" s="529"/>
      <c r="Y2048" s="323"/>
      <c r="Z2048" s="312">
        <f t="shared" si="773"/>
        <v>0</v>
      </c>
      <c r="AA2048" s="391">
        <f t="shared" si="774"/>
        <v>0.25</v>
      </c>
    </row>
    <row r="2049" spans="1:29" ht="77.25" thickBot="1" x14ac:dyDescent="0.45">
      <c r="A2049" s="319" t="s">
        <v>778</v>
      </c>
      <c r="B2049" s="320" t="s">
        <v>761</v>
      </c>
      <c r="C2049" s="586">
        <f>C2096</f>
        <v>0</v>
      </c>
      <c r="D2049" s="528"/>
      <c r="E2049" s="456">
        <f>C2049*4</f>
        <v>0</v>
      </c>
      <c r="F2049" s="358">
        <f>E2049*1.03*0.84/147</f>
        <v>0</v>
      </c>
      <c r="G2049" s="548">
        <f>INT(M2049)</f>
        <v>0</v>
      </c>
      <c r="H2049" s="358" t="s">
        <v>18</v>
      </c>
      <c r="I2049" s="548">
        <f>(M2049-G2049)*64</f>
        <v>0</v>
      </c>
      <c r="J2049" s="358" t="s">
        <v>19</v>
      </c>
      <c r="K2049" s="358"/>
      <c r="L2049" s="358"/>
      <c r="M2049" s="358">
        <f>(F2049*5547/3456)</f>
        <v>0</v>
      </c>
      <c r="N2049" s="324"/>
      <c r="O2049" s="324"/>
      <c r="P2049" s="324"/>
      <c r="Q2049" s="324" t="s">
        <v>18</v>
      </c>
      <c r="R2049" s="324"/>
      <c r="S2049" s="324" t="s">
        <v>19</v>
      </c>
      <c r="T2049" s="528">
        <v>4</v>
      </c>
      <c r="U2049" s="324">
        <f t="shared" si="775"/>
        <v>0</v>
      </c>
      <c r="V2049" s="676"/>
      <c r="W2049" s="528"/>
      <c r="X2049" s="529"/>
      <c r="Y2049" s="323"/>
      <c r="Z2049" s="312">
        <f t="shared" si="773"/>
        <v>0</v>
      </c>
      <c r="AA2049" s="391">
        <f t="shared" si="774"/>
        <v>0.25</v>
      </c>
    </row>
    <row r="2050" spans="1:29" ht="77.25" thickBot="1" x14ac:dyDescent="0.45">
      <c r="A2050" s="319" t="s">
        <v>778</v>
      </c>
      <c r="B2050" s="361" t="s">
        <v>755</v>
      </c>
      <c r="C2050" s="586">
        <f>C2097</f>
        <v>0</v>
      </c>
      <c r="D2050" s="528"/>
      <c r="E2050" s="456">
        <f>C2050*4</f>
        <v>0</v>
      </c>
      <c r="F2050" s="358">
        <f>E2050*1.01*0.756/147</f>
        <v>0</v>
      </c>
      <c r="G2050" s="548">
        <f>INT(M2050)</f>
        <v>0</v>
      </c>
      <c r="H2050" s="358" t="s">
        <v>18</v>
      </c>
      <c r="I2050" s="548">
        <f>(M2050-G2050)*64</f>
        <v>0</v>
      </c>
      <c r="J2050" s="358" t="s">
        <v>19</v>
      </c>
      <c r="K2050" s="358"/>
      <c r="L2050" s="358"/>
      <c r="M2050" s="358">
        <f>(F2050*6035/3456)</f>
        <v>0</v>
      </c>
      <c r="N2050" s="324"/>
      <c r="O2050" s="324"/>
      <c r="P2050" s="324"/>
      <c r="Q2050" s="324" t="s">
        <v>18</v>
      </c>
      <c r="R2050" s="324"/>
      <c r="S2050" s="324" t="s">
        <v>19</v>
      </c>
      <c r="T2050" s="528">
        <v>4</v>
      </c>
      <c r="U2050" s="324">
        <f t="shared" si="775"/>
        <v>0</v>
      </c>
      <c r="V2050" s="676"/>
      <c r="W2050" s="528"/>
      <c r="X2050" s="529"/>
      <c r="Y2050" s="323"/>
      <c r="Z2050" s="312">
        <f t="shared" si="773"/>
        <v>0</v>
      </c>
      <c r="AA2050" s="391">
        <f t="shared" si="774"/>
        <v>0.25</v>
      </c>
    </row>
    <row r="2051" spans="1:29" ht="77.25" thickBot="1" x14ac:dyDescent="0.45">
      <c r="A2051" s="319" t="s">
        <v>778</v>
      </c>
      <c r="B2051" s="320" t="s">
        <v>758</v>
      </c>
      <c r="C2051" s="586">
        <f>C2100</f>
        <v>0</v>
      </c>
      <c r="D2051" s="528"/>
      <c r="E2051" s="456">
        <f>C2051*4</f>
        <v>0</v>
      </c>
      <c r="F2051" s="358">
        <f>E2051*1.03*0.84/147</f>
        <v>0</v>
      </c>
      <c r="G2051" s="548">
        <f t="shared" si="776"/>
        <v>0</v>
      </c>
      <c r="H2051" s="358" t="s">
        <v>18</v>
      </c>
      <c r="I2051" s="548">
        <f t="shared" si="777"/>
        <v>0</v>
      </c>
      <c r="J2051" s="358" t="s">
        <v>19</v>
      </c>
      <c r="K2051" s="358"/>
      <c r="L2051" s="358"/>
      <c r="M2051" s="358">
        <f>(F2051*5068/3456)</f>
        <v>0</v>
      </c>
      <c r="N2051" s="324"/>
      <c r="O2051" s="324"/>
      <c r="P2051" s="324"/>
      <c r="Q2051" s="324" t="s">
        <v>18</v>
      </c>
      <c r="R2051" s="324"/>
      <c r="S2051" s="324" t="s">
        <v>19</v>
      </c>
      <c r="T2051" s="528">
        <v>4</v>
      </c>
      <c r="U2051" s="324">
        <f t="shared" si="775"/>
        <v>0</v>
      </c>
      <c r="V2051" s="676"/>
      <c r="W2051" s="528"/>
      <c r="X2051" s="529"/>
      <c r="Y2051" s="323"/>
      <c r="Z2051" s="312">
        <f t="shared" si="773"/>
        <v>0</v>
      </c>
      <c r="AA2051" s="391">
        <f t="shared" si="774"/>
        <v>0.25</v>
      </c>
    </row>
    <row r="2052" spans="1:29" ht="77.25" thickBot="1" x14ac:dyDescent="0.45">
      <c r="A2052" s="319" t="s">
        <v>778</v>
      </c>
      <c r="B2052" s="320" t="s">
        <v>1008</v>
      </c>
      <c r="C2052" s="528">
        <f>C2103</f>
        <v>0</v>
      </c>
      <c r="D2052" s="528"/>
      <c r="E2052" s="460">
        <f>C2052*2</f>
        <v>0</v>
      </c>
      <c r="F2052" s="324">
        <f>E2052*1.03*0.84/147</f>
        <v>0</v>
      </c>
      <c r="G2052" s="537">
        <f t="shared" si="776"/>
        <v>0</v>
      </c>
      <c r="H2052" s="354" t="s">
        <v>18</v>
      </c>
      <c r="I2052" s="537">
        <f t="shared" si="777"/>
        <v>0</v>
      </c>
      <c r="J2052" s="354" t="s">
        <v>19</v>
      </c>
      <c r="K2052" s="324"/>
      <c r="L2052" s="324"/>
      <c r="M2052" s="324">
        <f>(F2052*5068/3456)</f>
        <v>0</v>
      </c>
      <c r="N2052" s="324"/>
      <c r="O2052" s="324"/>
      <c r="P2052" s="324"/>
      <c r="Q2052" s="324" t="s">
        <v>18</v>
      </c>
      <c r="R2052" s="324"/>
      <c r="S2052" s="324" t="s">
        <v>19</v>
      </c>
      <c r="T2052" s="528">
        <v>4</v>
      </c>
      <c r="U2052" s="324">
        <f t="shared" si="775"/>
        <v>0</v>
      </c>
      <c r="V2052" s="676"/>
      <c r="W2052" s="528"/>
      <c r="X2052" s="529"/>
      <c r="Y2052" s="323"/>
      <c r="Z2052" s="312">
        <f t="shared" si="773"/>
        <v>0</v>
      </c>
      <c r="AA2052" s="391">
        <f t="shared" si="774"/>
        <v>0.25</v>
      </c>
    </row>
    <row r="2053" spans="1:29" ht="77.25" thickBot="1" x14ac:dyDescent="0.45">
      <c r="A2053" s="319" t="s">
        <v>778</v>
      </c>
      <c r="B2053" s="362" t="s">
        <v>1009</v>
      </c>
      <c r="C2053" s="639">
        <f>C1965</f>
        <v>0</v>
      </c>
      <c r="D2053" s="528"/>
      <c r="E2053" s="460">
        <f>C2053*2</f>
        <v>0</v>
      </c>
      <c r="F2053" s="324">
        <f>E2053*1.03*0.82/147</f>
        <v>0</v>
      </c>
      <c r="G2053" s="537">
        <f t="shared" si="776"/>
        <v>0</v>
      </c>
      <c r="H2053" s="354" t="s">
        <v>18</v>
      </c>
      <c r="I2053" s="537">
        <f t="shared" si="777"/>
        <v>0</v>
      </c>
      <c r="J2053" s="354" t="s">
        <v>19</v>
      </c>
      <c r="K2053" s="324"/>
      <c r="L2053" s="324"/>
      <c r="M2053" s="324">
        <f>(F2053*5547/3456)</f>
        <v>0</v>
      </c>
      <c r="N2053" s="324"/>
      <c r="O2053" s="324"/>
      <c r="P2053" s="324"/>
      <c r="Q2053" s="324" t="s">
        <v>18</v>
      </c>
      <c r="R2053" s="324"/>
      <c r="S2053" s="324" t="s">
        <v>19</v>
      </c>
      <c r="T2053" s="528">
        <v>4</v>
      </c>
      <c r="U2053" s="324">
        <f t="shared" ref="U2053:U2062" si="778">E2053/324*60</f>
        <v>0</v>
      </c>
      <c r="V2053" s="685"/>
      <c r="W2053" s="528"/>
      <c r="X2053" s="529"/>
      <c r="Y2053" s="323"/>
      <c r="Z2053" s="312">
        <f t="shared" si="773"/>
        <v>0</v>
      </c>
      <c r="AA2053" s="391">
        <f>SUM(Z2053/226+0.25)</f>
        <v>0.25</v>
      </c>
    </row>
    <row r="2054" spans="1:29" ht="77.25" thickBot="1" x14ac:dyDescent="0.45">
      <c r="A2054" s="319" t="s">
        <v>778</v>
      </c>
      <c r="B2054" s="802" t="s">
        <v>1043</v>
      </c>
      <c r="C2054" s="528">
        <f>C1966</f>
        <v>0</v>
      </c>
      <c r="D2054" s="528"/>
      <c r="E2054" s="460">
        <f>C2054*2</f>
        <v>0</v>
      </c>
      <c r="F2054" s="324">
        <f>E2054*1.03*0.82/147</f>
        <v>0</v>
      </c>
      <c r="G2054" s="537">
        <f>INT(M2054)</f>
        <v>0</v>
      </c>
      <c r="H2054" s="354" t="s">
        <v>18</v>
      </c>
      <c r="I2054" s="537">
        <f>(M2054-G2054)*64</f>
        <v>0</v>
      </c>
      <c r="J2054" s="354" t="s">
        <v>19</v>
      </c>
      <c r="K2054" s="324"/>
      <c r="L2054" s="324"/>
      <c r="M2054" s="324">
        <f>(F2054*5547/3456)</f>
        <v>0</v>
      </c>
      <c r="N2054" s="324"/>
      <c r="O2054" s="324"/>
      <c r="P2054" s="324"/>
      <c r="Q2054" s="324" t="s">
        <v>18</v>
      </c>
      <c r="R2054" s="324"/>
      <c r="S2054" s="324" t="s">
        <v>19</v>
      </c>
      <c r="T2054" s="528">
        <v>4</v>
      </c>
      <c r="U2054" s="324">
        <f t="shared" si="778"/>
        <v>0</v>
      </c>
      <c r="V2054" s="685"/>
      <c r="W2054" s="528"/>
      <c r="X2054" s="529"/>
      <c r="Y2054" s="323"/>
      <c r="Z2054" s="312">
        <f>E2054</f>
        <v>0</v>
      </c>
      <c r="AA2054" s="391">
        <f>SUM(Z2054/226+0.25)</f>
        <v>0.25</v>
      </c>
    </row>
    <row r="2055" spans="1:29" ht="77.25" thickBot="1" x14ac:dyDescent="0.45">
      <c r="A2055" s="319" t="s">
        <v>778</v>
      </c>
      <c r="B2055" s="320" t="s">
        <v>1010</v>
      </c>
      <c r="C2055" s="528">
        <f>C1963</f>
        <v>0</v>
      </c>
      <c r="D2055" s="528"/>
      <c r="E2055" s="460">
        <f>C2055*2</f>
        <v>0</v>
      </c>
      <c r="F2055" s="324">
        <f>E2055*1.01*0.72/147</f>
        <v>0</v>
      </c>
      <c r="G2055" s="528">
        <f t="shared" si="776"/>
        <v>0</v>
      </c>
      <c r="H2055" s="324" t="s">
        <v>18</v>
      </c>
      <c r="I2055" s="528">
        <f t="shared" si="777"/>
        <v>0</v>
      </c>
      <c r="J2055" s="324" t="s">
        <v>19</v>
      </c>
      <c r="K2055" s="324"/>
      <c r="L2055" s="324"/>
      <c r="M2055" s="324">
        <f>(F2055*6035/3456)</f>
        <v>0</v>
      </c>
      <c r="N2055" s="324"/>
      <c r="O2055" s="324"/>
      <c r="P2055" s="324"/>
      <c r="Q2055" s="324" t="s">
        <v>18</v>
      </c>
      <c r="R2055" s="324"/>
      <c r="S2055" s="324" t="s">
        <v>19</v>
      </c>
      <c r="T2055" s="528">
        <v>4</v>
      </c>
      <c r="U2055" s="324">
        <f t="shared" si="778"/>
        <v>0</v>
      </c>
      <c r="V2055" s="685"/>
      <c r="W2055" s="528"/>
      <c r="X2055" s="529"/>
      <c r="Y2055" s="323"/>
      <c r="Z2055" s="312">
        <f t="shared" si="773"/>
        <v>0</v>
      </c>
      <c r="AA2055" s="391">
        <f>SUM(Z2055/226+0.25)</f>
        <v>0.25</v>
      </c>
    </row>
    <row r="2056" spans="1:29" ht="77.25" thickBot="1" x14ac:dyDescent="0.45">
      <c r="A2056" s="319" t="s">
        <v>778</v>
      </c>
      <c r="B2056" s="320" t="s">
        <v>1011</v>
      </c>
      <c r="C2056" s="528">
        <f>C1964</f>
        <v>0</v>
      </c>
      <c r="D2056" s="528"/>
      <c r="E2056" s="460">
        <f>C2056*2</f>
        <v>0</v>
      </c>
      <c r="F2056" s="324">
        <f>E2056*1.01*0.72/147</f>
        <v>0</v>
      </c>
      <c r="G2056" s="528">
        <f t="shared" si="776"/>
        <v>0</v>
      </c>
      <c r="H2056" s="324" t="s">
        <v>18</v>
      </c>
      <c r="I2056" s="528">
        <f t="shared" si="777"/>
        <v>0</v>
      </c>
      <c r="J2056" s="324" t="s">
        <v>19</v>
      </c>
      <c r="K2056" s="324"/>
      <c r="L2056" s="324"/>
      <c r="M2056" s="324">
        <f>(F2056*6035/3456)</f>
        <v>0</v>
      </c>
      <c r="N2056" s="324"/>
      <c r="O2056" s="324"/>
      <c r="P2056" s="324"/>
      <c r="Q2056" s="324" t="s">
        <v>18</v>
      </c>
      <c r="R2056" s="324"/>
      <c r="S2056" s="324" t="s">
        <v>19</v>
      </c>
      <c r="T2056" s="528">
        <v>4</v>
      </c>
      <c r="U2056" s="324">
        <f t="shared" si="778"/>
        <v>0</v>
      </c>
      <c r="V2056" s="685"/>
      <c r="W2056" s="528"/>
      <c r="X2056" s="529"/>
      <c r="Y2056" s="323"/>
      <c r="Z2056" s="312">
        <f t="shared" si="773"/>
        <v>0</v>
      </c>
      <c r="AA2056" s="391">
        <f>SUM(Z2056/226+0.25)</f>
        <v>0.25</v>
      </c>
    </row>
    <row r="2057" spans="1:29" ht="77.25" thickBot="1" x14ac:dyDescent="0.45">
      <c r="A2057" s="319" t="s">
        <v>778</v>
      </c>
      <c r="B2057" s="799" t="s">
        <v>1186</v>
      </c>
      <c r="C2057" s="586">
        <f>C2101</f>
        <v>0</v>
      </c>
      <c r="D2057" s="528"/>
      <c r="E2057" s="456">
        <f>C2057*1.7</f>
        <v>0</v>
      </c>
      <c r="F2057" s="324">
        <f>E2057*1.03*0.84/147</f>
        <v>0</v>
      </c>
      <c r="G2057" s="548">
        <f t="shared" si="776"/>
        <v>0</v>
      </c>
      <c r="H2057" s="358" t="s">
        <v>18</v>
      </c>
      <c r="I2057" s="548">
        <f t="shared" si="777"/>
        <v>0</v>
      </c>
      <c r="J2057" s="358" t="s">
        <v>19</v>
      </c>
      <c r="K2057" s="358"/>
      <c r="L2057" s="358"/>
      <c r="M2057" s="358">
        <f>(F2057*5068/3456)</f>
        <v>0</v>
      </c>
      <c r="N2057" s="324"/>
      <c r="O2057" s="324"/>
      <c r="P2057" s="324"/>
      <c r="Q2057" s="324" t="s">
        <v>18</v>
      </c>
      <c r="R2057" s="324"/>
      <c r="S2057" s="324" t="s">
        <v>19</v>
      </c>
      <c r="T2057" s="528">
        <v>4</v>
      </c>
      <c r="U2057" s="324">
        <f t="shared" si="778"/>
        <v>0</v>
      </c>
      <c r="V2057" s="676"/>
      <c r="W2057" s="528"/>
      <c r="X2057" s="529"/>
      <c r="Y2057" s="323"/>
      <c r="Z2057" s="312">
        <f t="shared" si="773"/>
        <v>0</v>
      </c>
      <c r="AA2057" s="391">
        <f>SUM(Z2057/226+0.25)</f>
        <v>0.25</v>
      </c>
    </row>
    <row r="2058" spans="1:29" ht="77.25" outlineLevel="1" thickBot="1" x14ac:dyDescent="0.45">
      <c r="A2058" s="319" t="s">
        <v>778</v>
      </c>
      <c r="B2058" s="320" t="s">
        <v>895</v>
      </c>
      <c r="C2058" s="528">
        <f>C1650</f>
        <v>0</v>
      </c>
      <c r="D2058" s="528"/>
      <c r="E2058" s="456">
        <f>C2058*1.7</f>
        <v>0</v>
      </c>
      <c r="F2058" s="358">
        <f>E2058*1.03*0.82/147</f>
        <v>0</v>
      </c>
      <c r="G2058" s="549">
        <f t="shared" si="776"/>
        <v>0</v>
      </c>
      <c r="H2058" s="359" t="s">
        <v>18</v>
      </c>
      <c r="I2058" s="549">
        <f t="shared" si="777"/>
        <v>0</v>
      </c>
      <c r="J2058" s="359" t="s">
        <v>19</v>
      </c>
      <c r="K2058" s="358"/>
      <c r="L2058" s="358"/>
      <c r="M2058" s="358">
        <f>(F2058*5547/3456)</f>
        <v>0</v>
      </c>
      <c r="N2058" s="358"/>
      <c r="O2058" s="358"/>
      <c r="P2058" s="358"/>
      <c r="Q2058" s="358" t="s">
        <v>18</v>
      </c>
      <c r="R2058" s="358"/>
      <c r="S2058" s="358" t="s">
        <v>19</v>
      </c>
      <c r="T2058" s="528">
        <v>4</v>
      </c>
      <c r="U2058" s="324">
        <f t="shared" si="778"/>
        <v>0</v>
      </c>
      <c r="V2058" s="685"/>
      <c r="W2058" s="528"/>
      <c r="X2058" s="529"/>
      <c r="Y2058" s="323"/>
      <c r="Z2058" s="312">
        <f t="shared" si="773"/>
        <v>0</v>
      </c>
      <c r="AA2058" s="316">
        <f>SUM(Z2058/609.8+0.25)</f>
        <v>0.25</v>
      </c>
    </row>
    <row r="2059" spans="1:29" ht="77.25" thickBot="1" x14ac:dyDescent="0.45">
      <c r="A2059" s="319" t="s">
        <v>778</v>
      </c>
      <c r="B2059" s="799" t="s">
        <v>1185</v>
      </c>
      <c r="C2059" s="528">
        <f>C1957</f>
        <v>0</v>
      </c>
      <c r="D2059" s="528"/>
      <c r="E2059" s="456">
        <f>C2059*1.7</f>
        <v>0</v>
      </c>
      <c r="F2059" s="358">
        <f>E2059*1.03*0.82/147</f>
        <v>0</v>
      </c>
      <c r="G2059" s="549">
        <f t="shared" si="776"/>
        <v>0</v>
      </c>
      <c r="H2059" s="359" t="s">
        <v>18</v>
      </c>
      <c r="I2059" s="549">
        <f t="shared" si="777"/>
        <v>0</v>
      </c>
      <c r="J2059" s="359" t="s">
        <v>19</v>
      </c>
      <c r="K2059" s="358"/>
      <c r="L2059" s="358"/>
      <c r="M2059" s="358">
        <f>(F2059*5547/3456)</f>
        <v>0</v>
      </c>
      <c r="N2059" s="358"/>
      <c r="O2059" s="358"/>
      <c r="P2059" s="358"/>
      <c r="Q2059" s="358" t="s">
        <v>18</v>
      </c>
      <c r="R2059" s="358"/>
      <c r="S2059" s="358" t="s">
        <v>19</v>
      </c>
      <c r="T2059" s="528">
        <v>4</v>
      </c>
      <c r="U2059" s="324">
        <f t="shared" si="778"/>
        <v>0</v>
      </c>
      <c r="V2059" s="685"/>
      <c r="W2059" s="528"/>
      <c r="X2059" s="529"/>
      <c r="Y2059" s="323"/>
      <c r="Z2059" s="312">
        <f t="shared" si="773"/>
        <v>0</v>
      </c>
      <c r="AA2059" s="316">
        <f>SUM(Z2059/226+0.25)</f>
        <v>0.25</v>
      </c>
    </row>
    <row r="2060" spans="1:29" ht="77.25" thickBot="1" x14ac:dyDescent="0.45">
      <c r="A2060" s="319" t="s">
        <v>778</v>
      </c>
      <c r="B2060" s="799" t="s">
        <v>1187</v>
      </c>
      <c r="C2060" s="586">
        <f>C1958</f>
        <v>0</v>
      </c>
      <c r="D2060" s="528"/>
      <c r="E2060" s="456">
        <f>C2060*1.7</f>
        <v>0</v>
      </c>
      <c r="F2060" s="358">
        <f>E2060*1.01*0.72/147</f>
        <v>0</v>
      </c>
      <c r="G2060" s="548">
        <f>INT(M2060)</f>
        <v>0</v>
      </c>
      <c r="H2060" s="358" t="s">
        <v>18</v>
      </c>
      <c r="I2060" s="548">
        <f>(M2060-G2060)*64</f>
        <v>0</v>
      </c>
      <c r="J2060" s="358" t="s">
        <v>19</v>
      </c>
      <c r="K2060" s="358"/>
      <c r="L2060" s="358"/>
      <c r="M2060" s="358">
        <f>(F2060*6035/3456)</f>
        <v>0</v>
      </c>
      <c r="N2060" s="324"/>
      <c r="O2060" s="324"/>
      <c r="P2060" s="324"/>
      <c r="Q2060" s="324" t="s">
        <v>18</v>
      </c>
      <c r="R2060" s="324"/>
      <c r="S2060" s="324" t="s">
        <v>19</v>
      </c>
      <c r="T2060" s="528">
        <v>4</v>
      </c>
      <c r="U2060" s="324">
        <f t="shared" si="778"/>
        <v>0</v>
      </c>
      <c r="V2060" s="676"/>
      <c r="W2060" s="528"/>
      <c r="X2060" s="529"/>
      <c r="Y2060" s="323"/>
      <c r="Z2060" s="312">
        <f t="shared" si="773"/>
        <v>0</v>
      </c>
      <c r="AA2060" s="391">
        <f>SUM(Z2060/226+0.25)</f>
        <v>0.25</v>
      </c>
    </row>
    <row r="2061" spans="1:29" ht="77.25" thickBot="1" x14ac:dyDescent="0.45">
      <c r="A2061" s="319" t="s">
        <v>778</v>
      </c>
      <c r="B2061" s="799" t="s">
        <v>896</v>
      </c>
      <c r="C2061" s="528">
        <f>C1959</f>
        <v>0</v>
      </c>
      <c r="D2061" s="528"/>
      <c r="E2061" s="456">
        <f>C2061*1.2</f>
        <v>0</v>
      </c>
      <c r="F2061" s="358">
        <f>E2061*1.01*0.72/147</f>
        <v>0</v>
      </c>
      <c r="G2061" s="548">
        <f>INT(M2061)</f>
        <v>0</v>
      </c>
      <c r="H2061" s="358" t="s">
        <v>18</v>
      </c>
      <c r="I2061" s="548">
        <f>(M2061-G2061)*64</f>
        <v>0</v>
      </c>
      <c r="J2061" s="358" t="s">
        <v>19</v>
      </c>
      <c r="K2061" s="358"/>
      <c r="L2061" s="358"/>
      <c r="M2061" s="358">
        <f>(F2061*6035/3456)</f>
        <v>0</v>
      </c>
      <c r="N2061" s="358"/>
      <c r="O2061" s="358"/>
      <c r="P2061" s="358"/>
      <c r="Q2061" s="358" t="s">
        <v>18</v>
      </c>
      <c r="R2061" s="358"/>
      <c r="S2061" s="358" t="s">
        <v>19</v>
      </c>
      <c r="T2061" s="528">
        <v>4</v>
      </c>
      <c r="U2061" s="324">
        <f t="shared" si="778"/>
        <v>0</v>
      </c>
      <c r="V2061" s="685"/>
      <c r="W2061" s="528"/>
      <c r="X2061" s="529"/>
      <c r="Y2061" s="323"/>
      <c r="Z2061" s="312">
        <f t="shared" si="773"/>
        <v>0</v>
      </c>
      <c r="AA2061" s="391">
        <f>SUM(Z2061/226+0.25)</f>
        <v>0.25</v>
      </c>
      <c r="AB2061" s="310">
        <f>E2061/1.21</f>
        <v>0</v>
      </c>
      <c r="AC2061" s="643"/>
    </row>
    <row r="2062" spans="1:29" ht="77.25" thickBot="1" x14ac:dyDescent="0.45">
      <c r="A2062" s="319" t="s">
        <v>778</v>
      </c>
      <c r="B2062" s="799" t="s">
        <v>1082</v>
      </c>
      <c r="C2062" s="528">
        <f>C1960</f>
        <v>0</v>
      </c>
      <c r="D2062" s="528"/>
      <c r="E2062" s="460">
        <f>C2062*1.2</f>
        <v>0</v>
      </c>
      <c r="F2062" s="324">
        <f>E2062*1.01*0.72/147</f>
        <v>0</v>
      </c>
      <c r="G2062" s="528">
        <f>INT(M2062)</f>
        <v>0</v>
      </c>
      <c r="H2062" s="324" t="s">
        <v>18</v>
      </c>
      <c r="I2062" s="528">
        <f>(M2062-G2062)*64</f>
        <v>0</v>
      </c>
      <c r="J2062" s="324" t="s">
        <v>19</v>
      </c>
      <c r="K2062" s="324"/>
      <c r="L2062" s="324"/>
      <c r="M2062" s="324">
        <f>(F2062*6035/3456)</f>
        <v>0</v>
      </c>
      <c r="N2062" s="324"/>
      <c r="O2062" s="324"/>
      <c r="P2062" s="324"/>
      <c r="Q2062" s="324" t="s">
        <v>18</v>
      </c>
      <c r="R2062" s="324"/>
      <c r="S2062" s="324" t="s">
        <v>19</v>
      </c>
      <c r="T2062" s="528">
        <v>7</v>
      </c>
      <c r="U2062" s="324">
        <f t="shared" si="778"/>
        <v>0</v>
      </c>
      <c r="V2062" s="685"/>
      <c r="W2062" s="528"/>
      <c r="X2062" s="529"/>
      <c r="Y2062" s="323"/>
      <c r="Z2062" s="312">
        <f>E2062</f>
        <v>0</v>
      </c>
      <c r="AA2062" s="391">
        <f>SUM(Z2062/226+0.25)</f>
        <v>0.25</v>
      </c>
      <c r="AB2062" s="310">
        <f>E2062/1.21</f>
        <v>0</v>
      </c>
      <c r="AC2062" s="643"/>
    </row>
    <row r="2063" spans="1:29" thickBot="1" x14ac:dyDescent="0.45">
      <c r="A2063" s="830"/>
      <c r="B2063" s="332" t="s">
        <v>286</v>
      </c>
      <c r="C2063" s="347"/>
      <c r="D2063" s="347"/>
      <c r="E2063" s="494"/>
      <c r="F2063" s="348"/>
      <c r="G2063" s="347"/>
      <c r="H2063" s="348"/>
      <c r="I2063" s="347"/>
      <c r="J2063" s="348"/>
      <c r="K2063" s="348"/>
      <c r="L2063" s="348"/>
      <c r="M2063" s="348"/>
      <c r="N2063" s="348"/>
      <c r="O2063" s="348"/>
      <c r="P2063" s="348"/>
      <c r="Q2063" s="348"/>
      <c r="R2063" s="348"/>
      <c r="S2063" s="348"/>
      <c r="T2063" s="347"/>
      <c r="U2063" s="348"/>
      <c r="V2063" s="356"/>
      <c r="W2063" s="348"/>
      <c r="X2063" s="495"/>
      <c r="Y2063" s="357"/>
      <c r="AA2063" s="391"/>
    </row>
    <row r="2064" spans="1:29" ht="77.25" thickBot="1" x14ac:dyDescent="0.45">
      <c r="A2064" s="319" t="s">
        <v>778</v>
      </c>
      <c r="B2064" s="369" t="s">
        <v>971</v>
      </c>
      <c r="C2064" s="528">
        <f>C1662</f>
        <v>0</v>
      </c>
      <c r="D2064" s="548"/>
      <c r="E2064" s="456">
        <f>C2064*0.3</f>
        <v>0</v>
      </c>
      <c r="F2064" s="358">
        <f>E2064*1.03*0.82/147</f>
        <v>0</v>
      </c>
      <c r="G2064" s="549">
        <f t="shared" ref="G2064:G2072" si="779">INT(M2064)</f>
        <v>0</v>
      </c>
      <c r="H2064" s="359" t="s">
        <v>18</v>
      </c>
      <c r="I2064" s="549">
        <f t="shared" ref="I2064:I2072" si="780">(M2064-G2064)*64</f>
        <v>0</v>
      </c>
      <c r="J2064" s="359" t="s">
        <v>19</v>
      </c>
      <c r="K2064" s="358"/>
      <c r="L2064" s="358"/>
      <c r="M2064" s="358">
        <f>(F2064*5547/3456)</f>
        <v>0</v>
      </c>
      <c r="N2064" s="461"/>
      <c r="O2064" s="461"/>
      <c r="P2064" s="461"/>
      <c r="Q2064" s="358" t="s">
        <v>18</v>
      </c>
      <c r="R2064" s="358"/>
      <c r="S2064" s="358" t="s">
        <v>19</v>
      </c>
      <c r="T2064" s="528">
        <v>7</v>
      </c>
      <c r="U2064" s="324">
        <f>E2064/324*60</f>
        <v>0</v>
      </c>
      <c r="V2064" s="676"/>
      <c r="W2064" s="528"/>
      <c r="X2064" s="529"/>
      <c r="Y2064" s="323"/>
      <c r="Z2064" s="312">
        <f t="shared" ref="Z2064:Z2072" si="781">E2064</f>
        <v>0</v>
      </c>
      <c r="AA2064" s="316">
        <f>SUM(Z2064/226+0.25)</f>
        <v>0.25</v>
      </c>
    </row>
    <row r="2065" spans="1:27" ht="77.25" thickBot="1" x14ac:dyDescent="0.45">
      <c r="A2065" s="319" t="s">
        <v>778</v>
      </c>
      <c r="B2065" s="886" t="s">
        <v>1225</v>
      </c>
      <c r="C2065" s="528">
        <f>C1663</f>
        <v>0</v>
      </c>
      <c r="D2065" s="528">
        <f>C2065*10</f>
        <v>0</v>
      </c>
      <c r="E2065" s="460">
        <f>D2065*0.3</f>
        <v>0</v>
      </c>
      <c r="F2065" s="324">
        <f>E2065*1.03*0.82/147</f>
        <v>0</v>
      </c>
      <c r="G2065" s="537">
        <f>INT(M2065)</f>
        <v>0</v>
      </c>
      <c r="H2065" s="354"/>
      <c r="I2065" s="537">
        <f>(M2065-G2065)*64</f>
        <v>0</v>
      </c>
      <c r="J2065" s="354"/>
      <c r="K2065" s="324"/>
      <c r="L2065" s="324"/>
      <c r="M2065" s="324">
        <f>(F2065*4900/2880)</f>
        <v>0</v>
      </c>
      <c r="N2065" s="324"/>
      <c r="O2065" s="324"/>
      <c r="P2065" s="324"/>
      <c r="Q2065" s="324"/>
      <c r="R2065" s="324"/>
      <c r="S2065" s="324"/>
      <c r="T2065" s="528">
        <v>4</v>
      </c>
      <c r="U2065" s="324"/>
      <c r="V2065" s="676"/>
      <c r="W2065" s="528"/>
      <c r="X2065" s="529"/>
      <c r="Y2065" s="323"/>
      <c r="Z2065" s="312">
        <f>E2065</f>
        <v>0</v>
      </c>
      <c r="AA2065" s="316">
        <f>SUM(Z2065/226+0.25)</f>
        <v>0.25</v>
      </c>
    </row>
    <row r="2066" spans="1:27" ht="77.25" thickBot="1" x14ac:dyDescent="0.45">
      <c r="A2066" s="319" t="s">
        <v>778</v>
      </c>
      <c r="B2066" s="369" t="s">
        <v>967</v>
      </c>
      <c r="C2066" s="528">
        <f>C1664</f>
        <v>0</v>
      </c>
      <c r="D2066" s="548"/>
      <c r="E2066" s="456">
        <f>C2066*0.3</f>
        <v>0</v>
      </c>
      <c r="F2066" s="358">
        <f>E2066*1.03*0.82/147</f>
        <v>0</v>
      </c>
      <c r="G2066" s="549">
        <f t="shared" si="779"/>
        <v>0</v>
      </c>
      <c r="H2066" s="359" t="s">
        <v>18</v>
      </c>
      <c r="I2066" s="549">
        <f t="shared" si="780"/>
        <v>0</v>
      </c>
      <c r="J2066" s="359" t="s">
        <v>19</v>
      </c>
      <c r="K2066" s="358"/>
      <c r="L2066" s="358"/>
      <c r="M2066" s="358">
        <f>(F2066*5547/3456)</f>
        <v>0</v>
      </c>
      <c r="N2066" s="461"/>
      <c r="O2066" s="461"/>
      <c r="P2066" s="461"/>
      <c r="Q2066" s="358" t="s">
        <v>18</v>
      </c>
      <c r="R2066" s="358"/>
      <c r="S2066" s="358" t="s">
        <v>19</v>
      </c>
      <c r="T2066" s="528">
        <v>7</v>
      </c>
      <c r="U2066" s="324">
        <f>E2066/324*60</f>
        <v>0</v>
      </c>
      <c r="V2066" s="676"/>
      <c r="W2066" s="528"/>
      <c r="X2066" s="529"/>
      <c r="Y2066" s="323"/>
      <c r="Z2066" s="312">
        <f t="shared" si="781"/>
        <v>0</v>
      </c>
      <c r="AA2066" s="316">
        <f>SUM(F2066/599+0.25)</f>
        <v>0.25</v>
      </c>
    </row>
    <row r="2067" spans="1:27" ht="77.25" thickBot="1" x14ac:dyDescent="0.45">
      <c r="A2067" s="319" t="s">
        <v>778</v>
      </c>
      <c r="B2067" s="369" t="s">
        <v>968</v>
      </c>
      <c r="C2067" s="528">
        <f>C1665</f>
        <v>0</v>
      </c>
      <c r="D2067" s="548"/>
      <c r="E2067" s="456">
        <f>C2067*0.3</f>
        <v>0</v>
      </c>
      <c r="F2067" s="358">
        <f>E2067*1.03*0.72/147</f>
        <v>0</v>
      </c>
      <c r="G2067" s="548">
        <f t="shared" si="779"/>
        <v>0</v>
      </c>
      <c r="H2067" s="358" t="s">
        <v>18</v>
      </c>
      <c r="I2067" s="548">
        <f t="shared" si="780"/>
        <v>0</v>
      </c>
      <c r="J2067" s="358" t="s">
        <v>19</v>
      </c>
      <c r="K2067" s="358"/>
      <c r="L2067" s="358"/>
      <c r="M2067" s="358">
        <f>(F2067*6035/3456)</f>
        <v>0</v>
      </c>
      <c r="N2067" s="461"/>
      <c r="O2067" s="461"/>
      <c r="P2067" s="461"/>
      <c r="Q2067" s="358" t="s">
        <v>18</v>
      </c>
      <c r="R2067" s="358"/>
      <c r="S2067" s="358" t="s">
        <v>19</v>
      </c>
      <c r="T2067" s="528">
        <v>7</v>
      </c>
      <c r="U2067" s="324">
        <f>E2067/324*60</f>
        <v>0</v>
      </c>
      <c r="V2067" s="676"/>
      <c r="W2067" s="528"/>
      <c r="X2067" s="529"/>
      <c r="Y2067" s="323"/>
      <c r="Z2067" s="312">
        <f t="shared" si="781"/>
        <v>0</v>
      </c>
      <c r="AA2067" s="316">
        <f>SUM(Z2067/226+0.25)</f>
        <v>0.25</v>
      </c>
    </row>
    <row r="2068" spans="1:27" ht="77.25" thickBot="1" x14ac:dyDescent="0.45">
      <c r="A2068" s="319" t="s">
        <v>778</v>
      </c>
      <c r="B2068" s="343" t="s">
        <v>1141</v>
      </c>
      <c r="C2068" s="528">
        <f>C1666</f>
        <v>0</v>
      </c>
      <c r="D2068" s="548"/>
      <c r="E2068" s="456">
        <f>C2068*0.3</f>
        <v>0</v>
      </c>
      <c r="F2068" s="358">
        <f>E2068*1.03*0.72/147</f>
        <v>0</v>
      </c>
      <c r="G2068" s="548">
        <f t="shared" si="779"/>
        <v>0</v>
      </c>
      <c r="H2068" s="358" t="s">
        <v>18</v>
      </c>
      <c r="I2068" s="548">
        <f t="shared" si="780"/>
        <v>0</v>
      </c>
      <c r="J2068" s="358" t="s">
        <v>19</v>
      </c>
      <c r="K2068" s="358"/>
      <c r="L2068" s="358"/>
      <c r="M2068" s="358">
        <f>(F2068*6035/3456)</f>
        <v>0</v>
      </c>
      <c r="N2068" s="461"/>
      <c r="O2068" s="461"/>
      <c r="P2068" s="461"/>
      <c r="Q2068" s="358" t="s">
        <v>18</v>
      </c>
      <c r="R2068" s="358"/>
      <c r="S2068" s="358" t="s">
        <v>19</v>
      </c>
      <c r="T2068" s="528">
        <v>7</v>
      </c>
      <c r="U2068" s="324">
        <f>E2068/324*60</f>
        <v>0</v>
      </c>
      <c r="V2068" s="676"/>
      <c r="W2068" s="528"/>
      <c r="X2068" s="529"/>
      <c r="Y2068" s="323"/>
      <c r="Z2068" s="312">
        <f t="shared" si="781"/>
        <v>0</v>
      </c>
      <c r="AA2068" s="316">
        <f>SUM(Z2068/226+0.25)</f>
        <v>0.25</v>
      </c>
    </row>
    <row r="2069" spans="1:27" ht="102.75" thickBot="1" x14ac:dyDescent="0.45">
      <c r="A2069" s="319" t="s">
        <v>778</v>
      </c>
      <c r="B2069" s="320" t="s">
        <v>969</v>
      </c>
      <c r="C2069" s="528">
        <f>C2105</f>
        <v>0</v>
      </c>
      <c r="D2069" s="548"/>
      <c r="E2069" s="456">
        <f>C2069*0.3</f>
        <v>0</v>
      </c>
      <c r="F2069" s="358">
        <f>E2069*1.03*0.84/147</f>
        <v>0</v>
      </c>
      <c r="G2069" s="549">
        <f t="shared" si="779"/>
        <v>0</v>
      </c>
      <c r="H2069" s="359" t="s">
        <v>18</v>
      </c>
      <c r="I2069" s="549">
        <f t="shared" si="780"/>
        <v>0</v>
      </c>
      <c r="J2069" s="359" t="s">
        <v>19</v>
      </c>
      <c r="K2069" s="358"/>
      <c r="L2069" s="358"/>
      <c r="M2069" s="358">
        <f>(F2069*5547/3456)</f>
        <v>0</v>
      </c>
      <c r="N2069" s="461"/>
      <c r="O2069" s="461"/>
      <c r="P2069" s="461"/>
      <c r="Q2069" s="324" t="s">
        <v>18</v>
      </c>
      <c r="R2069" s="324"/>
      <c r="S2069" s="324" t="s">
        <v>19</v>
      </c>
      <c r="T2069" s="528">
        <v>7</v>
      </c>
      <c r="U2069" s="324">
        <f>E2069/324*60</f>
        <v>0</v>
      </c>
      <c r="V2069" s="676"/>
      <c r="W2069" s="528"/>
      <c r="X2069" s="529"/>
      <c r="Y2069" s="323"/>
      <c r="Z2069" s="312">
        <f t="shared" si="781"/>
        <v>0</v>
      </c>
      <c r="AA2069" s="316">
        <f>SUM(Z2069/226+0.25)</f>
        <v>0.25</v>
      </c>
    </row>
    <row r="2070" spans="1:27" s="728" customFormat="1" ht="77.25" outlineLevel="1" thickBot="1" x14ac:dyDescent="0.45">
      <c r="A2070" s="636" t="s">
        <v>778</v>
      </c>
      <c r="B2070" s="634" t="s">
        <v>764</v>
      </c>
      <c r="C2070" s="729">
        <f>C1680</f>
        <v>0</v>
      </c>
      <c r="D2070" s="720">
        <f>C2070*10</f>
        <v>0</v>
      </c>
      <c r="E2070" s="721">
        <f>D2070*0.2</f>
        <v>0</v>
      </c>
      <c r="F2070" s="722">
        <f>E2070*1.015*0.72/147</f>
        <v>0</v>
      </c>
      <c r="G2070" s="720">
        <f t="shared" si="779"/>
        <v>0</v>
      </c>
      <c r="H2070" s="722" t="s">
        <v>18</v>
      </c>
      <c r="I2070" s="720">
        <f t="shared" si="780"/>
        <v>0</v>
      </c>
      <c r="J2070" s="722" t="s">
        <v>19</v>
      </c>
      <c r="K2070" s="722"/>
      <c r="L2070" s="722"/>
      <c r="M2070" s="722">
        <f>(F2070*8070/3456)</f>
        <v>0</v>
      </c>
      <c r="N2070" s="722"/>
      <c r="O2070" s="722"/>
      <c r="P2070" s="722"/>
      <c r="Q2070" s="722" t="s">
        <v>18</v>
      </c>
      <c r="R2070" s="722"/>
      <c r="S2070" s="722" t="s">
        <v>19</v>
      </c>
      <c r="T2070" s="720">
        <v>5</v>
      </c>
      <c r="U2070" s="722">
        <f>E2070/259*60</f>
        <v>0</v>
      </c>
      <c r="V2070" s="724"/>
      <c r="W2070" s="720"/>
      <c r="X2070" s="725"/>
      <c r="Y2070" s="736"/>
      <c r="Z2070" s="727">
        <f t="shared" si="781"/>
        <v>0</v>
      </c>
      <c r="AA2070" s="815">
        <f>SUM(Z2070/226+0.25)</f>
        <v>0.25</v>
      </c>
    </row>
    <row r="2071" spans="1:27" s="728" customFormat="1" ht="77.25" outlineLevel="1" thickBot="1" x14ac:dyDescent="0.45">
      <c r="A2071" s="636" t="s">
        <v>778</v>
      </c>
      <c r="B2071" s="634" t="s">
        <v>760</v>
      </c>
      <c r="C2071" s="729">
        <f>C1681</f>
        <v>0</v>
      </c>
      <c r="D2071" s="720">
        <f>C2071*10</f>
        <v>0</v>
      </c>
      <c r="E2071" s="721">
        <f>D2071*0.2</f>
        <v>0</v>
      </c>
      <c r="F2071" s="722">
        <f>E2071*1.015*0.72/147</f>
        <v>0</v>
      </c>
      <c r="G2071" s="720">
        <f t="shared" si="779"/>
        <v>0</v>
      </c>
      <c r="H2071" s="722" t="s">
        <v>18</v>
      </c>
      <c r="I2071" s="720">
        <f t="shared" si="780"/>
        <v>0</v>
      </c>
      <c r="J2071" s="722" t="s">
        <v>19</v>
      </c>
      <c r="K2071" s="722"/>
      <c r="L2071" s="722"/>
      <c r="M2071" s="722">
        <f>(F2071*8070/3456)</f>
        <v>0</v>
      </c>
      <c r="N2071" s="722"/>
      <c r="O2071" s="722"/>
      <c r="P2071" s="722"/>
      <c r="Q2071" s="722" t="s">
        <v>18</v>
      </c>
      <c r="R2071" s="722"/>
      <c r="S2071" s="722" t="s">
        <v>19</v>
      </c>
      <c r="T2071" s="720">
        <v>4</v>
      </c>
      <c r="U2071" s="722">
        <f>E2071/259*60</f>
        <v>0</v>
      </c>
      <c r="V2071" s="724"/>
      <c r="W2071" s="720"/>
      <c r="X2071" s="725"/>
      <c r="Y2071" s="736"/>
      <c r="Z2071" s="727">
        <f t="shared" si="781"/>
        <v>0</v>
      </c>
      <c r="AA2071" s="815">
        <f>SUM(Z2071/226+0.25)</f>
        <v>0.25</v>
      </c>
    </row>
    <row r="2072" spans="1:27" s="728" customFormat="1" ht="77.25" outlineLevel="1" thickBot="1" x14ac:dyDescent="0.45">
      <c r="A2072" s="636" t="s">
        <v>778</v>
      </c>
      <c r="B2072" s="672" t="s">
        <v>750</v>
      </c>
      <c r="C2072" s="827">
        <f>C1956</f>
        <v>0</v>
      </c>
      <c r="D2072" s="720">
        <f>C2072*144</f>
        <v>0</v>
      </c>
      <c r="E2072" s="721">
        <f>D2072*0.025</f>
        <v>0</v>
      </c>
      <c r="F2072" s="722">
        <f>E2072*1.008*0.72/147</f>
        <v>0</v>
      </c>
      <c r="G2072" s="720">
        <f t="shared" si="779"/>
        <v>0</v>
      </c>
      <c r="H2072" s="722" t="s">
        <v>18</v>
      </c>
      <c r="I2072" s="720">
        <f t="shared" si="780"/>
        <v>0</v>
      </c>
      <c r="J2072" s="722" t="s">
        <v>19</v>
      </c>
      <c r="K2072" s="722"/>
      <c r="L2072" s="722"/>
      <c r="M2072" s="722">
        <f>(F2072*8166/3456)</f>
        <v>0</v>
      </c>
      <c r="N2072" s="722"/>
      <c r="O2072" s="722"/>
      <c r="P2072" s="722"/>
      <c r="Q2072" s="722" t="s">
        <v>18</v>
      </c>
      <c r="R2072" s="722"/>
      <c r="S2072" s="722" t="s">
        <v>19</v>
      </c>
      <c r="T2072" s="720">
        <v>7</v>
      </c>
      <c r="U2072" s="722">
        <f>E2072/324*60</f>
        <v>0</v>
      </c>
      <c r="V2072" s="724"/>
      <c r="W2072" s="720"/>
      <c r="X2072" s="725"/>
      <c r="Y2072" s="736"/>
      <c r="Z2072" s="727">
        <f t="shared" si="781"/>
        <v>0</v>
      </c>
      <c r="AA2072" s="825">
        <f>SUM(Z2072/136.8+0.25)</f>
        <v>0.25</v>
      </c>
    </row>
    <row r="2073" spans="1:27" thickBot="1" x14ac:dyDescent="0.45">
      <c r="A2073" s="329"/>
      <c r="B2073" s="344"/>
      <c r="C2073" s="588"/>
      <c r="D2073" s="536"/>
      <c r="E2073" s="460"/>
      <c r="F2073" s="324"/>
      <c r="G2073" s="528"/>
      <c r="H2073" s="324"/>
      <c r="I2073" s="528"/>
      <c r="J2073" s="324"/>
      <c r="K2073" s="324"/>
      <c r="L2073" s="324"/>
      <c r="M2073" s="324"/>
      <c r="N2073" s="324"/>
      <c r="O2073" s="324"/>
      <c r="P2073" s="324"/>
      <c r="Q2073" s="324"/>
      <c r="R2073" s="324"/>
      <c r="S2073" s="324"/>
      <c r="T2073" s="528"/>
      <c r="U2073" s="324"/>
      <c r="V2073" s="676"/>
      <c r="W2073" s="528"/>
      <c r="X2073" s="529"/>
      <c r="Y2073" s="323"/>
      <c r="AA2073" s="416"/>
    </row>
    <row r="2074" spans="1:27" thickBot="1" x14ac:dyDescent="0.45">
      <c r="A2074" s="329"/>
      <c r="B2074" s="344"/>
      <c r="C2074" s="588"/>
      <c r="D2074" s="536"/>
      <c r="E2074" s="460"/>
      <c r="F2074" s="324"/>
      <c r="G2074" s="528"/>
      <c r="H2074" s="324"/>
      <c r="I2074" s="528"/>
      <c r="J2074" s="324"/>
      <c r="K2074" s="324"/>
      <c r="L2074" s="324"/>
      <c r="M2074" s="324"/>
      <c r="N2074" s="324"/>
      <c r="O2074" s="324"/>
      <c r="P2074" s="324"/>
      <c r="Q2074" s="324"/>
      <c r="R2074" s="324"/>
      <c r="S2074" s="324"/>
      <c r="T2074" s="528"/>
      <c r="U2074" s="324"/>
      <c r="V2074" s="676"/>
      <c r="W2074" s="528"/>
      <c r="X2074" s="529"/>
      <c r="Y2074" s="323"/>
      <c r="AA2074" s="416"/>
    </row>
    <row r="2075" spans="1:27" ht="53.25" thickBot="1" x14ac:dyDescent="0.45">
      <c r="A2075" s="319"/>
      <c r="B2075" s="394" t="s">
        <v>695</v>
      </c>
      <c r="C2075" s="537"/>
      <c r="D2075" s="537"/>
      <c r="E2075" s="496"/>
      <c r="F2075" s="354"/>
      <c r="G2075" s="537"/>
      <c r="H2075" s="354"/>
      <c r="I2075" s="537"/>
      <c r="J2075" s="354"/>
      <c r="K2075" s="354"/>
      <c r="L2075" s="354"/>
      <c r="M2075" s="354"/>
      <c r="N2075" s="354"/>
      <c r="O2075" s="354"/>
      <c r="P2075" s="354"/>
      <c r="Q2075" s="354"/>
      <c r="R2075" s="354"/>
      <c r="S2075" s="354"/>
      <c r="T2075" s="537"/>
      <c r="U2075" s="354"/>
      <c r="V2075" s="682" t="s">
        <v>697</v>
      </c>
      <c r="W2075" s="537"/>
      <c r="X2075" s="540"/>
      <c r="Y2075" s="323"/>
    </row>
    <row r="2076" spans="1:27" thickBot="1" x14ac:dyDescent="0.45">
      <c r="A2076" s="319"/>
      <c r="B2076" s="346"/>
      <c r="C2076" s="528"/>
      <c r="D2076" s="528"/>
      <c r="E2076" s="460"/>
      <c r="F2076" s="324"/>
      <c r="G2076" s="528"/>
      <c r="H2076" s="324"/>
      <c r="I2076" s="528"/>
      <c r="J2076" s="324"/>
      <c r="K2076" s="324"/>
      <c r="L2076" s="324"/>
      <c r="M2076" s="324"/>
      <c r="N2076" s="324"/>
      <c r="O2076" s="324"/>
      <c r="P2076" s="324"/>
      <c r="Q2076" s="324"/>
      <c r="R2076" s="324"/>
      <c r="S2076" s="324"/>
      <c r="T2076" s="528"/>
      <c r="U2076" s="324"/>
      <c r="V2076" s="676"/>
      <c r="W2076" s="528"/>
      <c r="X2076" s="529"/>
      <c r="Y2076" s="323"/>
    </row>
    <row r="2077" spans="1:27" thickBot="1" x14ac:dyDescent="0.45">
      <c r="A2077" s="319"/>
      <c r="B2077" s="346"/>
      <c r="C2077" s="528"/>
      <c r="D2077" s="528"/>
      <c r="E2077" s="460"/>
      <c r="F2077" s="324"/>
      <c r="G2077" s="528"/>
      <c r="H2077" s="324"/>
      <c r="I2077" s="528"/>
      <c r="J2077" s="324"/>
      <c r="K2077" s="324"/>
      <c r="L2077" s="324"/>
      <c r="M2077" s="324"/>
      <c r="N2077" s="324"/>
      <c r="O2077" s="324"/>
      <c r="P2077" s="324"/>
      <c r="Q2077" s="324"/>
      <c r="R2077" s="324"/>
      <c r="S2077" s="324"/>
      <c r="T2077" s="528"/>
      <c r="U2077" s="324"/>
      <c r="V2077" s="676"/>
      <c r="W2077" s="528"/>
      <c r="X2077" s="529"/>
      <c r="Y2077" s="323"/>
    </row>
    <row r="2078" spans="1:27" thickBot="1" x14ac:dyDescent="0.45">
      <c r="A2078" s="319"/>
      <c r="B2078" s="332" t="s">
        <v>147</v>
      </c>
      <c r="C2078" s="537"/>
      <c r="D2078" s="537"/>
      <c r="E2078" s="496">
        <f>SUM(E2034:E2072)+(C2020+C2021+C2022+C2023)</f>
        <v>12000</v>
      </c>
      <c r="F2078" s="324"/>
      <c r="G2078" s="528"/>
      <c r="H2078" s="324"/>
      <c r="I2078" s="528"/>
      <c r="J2078" s="324"/>
      <c r="K2078" s="324"/>
      <c r="L2078" s="324"/>
      <c r="M2078" s="324"/>
      <c r="N2078" s="324"/>
      <c r="O2078" s="324"/>
      <c r="P2078" s="324"/>
      <c r="Q2078" s="324"/>
      <c r="R2078" s="324"/>
      <c r="S2078" s="324"/>
      <c r="T2078" s="528"/>
      <c r="U2078" s="324"/>
      <c r="V2078" s="676"/>
      <c r="W2078" s="528"/>
      <c r="X2078" s="529"/>
      <c r="Y2078" s="323"/>
    </row>
    <row r="2079" spans="1:27" thickBot="1" x14ac:dyDescent="0.45">
      <c r="A2079" s="319"/>
      <c r="B2079" s="332" t="s">
        <v>709</v>
      </c>
      <c r="C2079" s="537"/>
      <c r="D2079" s="537"/>
      <c r="E2079" s="496">
        <f>SUM(E2006:E2029)-(C2020+C2021+C2022+C2023)</f>
        <v>0</v>
      </c>
      <c r="F2079" s="324"/>
      <c r="G2079" s="528"/>
      <c r="H2079" s="324"/>
      <c r="I2079" s="528"/>
      <c r="J2079" s="324"/>
      <c r="K2079" s="324"/>
      <c r="L2079" s="324"/>
      <c r="M2079" s="324"/>
      <c r="N2079" s="324"/>
      <c r="O2079" s="324"/>
      <c r="P2079" s="324"/>
      <c r="Q2079" s="324"/>
      <c r="R2079" s="324"/>
      <c r="S2079" s="324"/>
      <c r="T2079" s="528"/>
      <c r="U2079" s="324"/>
      <c r="V2079" s="676"/>
      <c r="W2079" s="528"/>
      <c r="X2079" s="529"/>
      <c r="Y2079" s="323"/>
    </row>
    <row r="2080" spans="1:27" thickBot="1" x14ac:dyDescent="0.45">
      <c r="A2080" s="319"/>
      <c r="B2080" s="332" t="s">
        <v>706</v>
      </c>
      <c r="C2080" s="537"/>
      <c r="D2080" s="537"/>
      <c r="E2080" s="496">
        <f>SUM(E2031:E2032)</f>
        <v>0</v>
      </c>
      <c r="F2080" s="324"/>
      <c r="G2080" s="528"/>
      <c r="H2080" s="324"/>
      <c r="I2080" s="528"/>
      <c r="J2080" s="324"/>
      <c r="K2080" s="324"/>
      <c r="L2080" s="324"/>
      <c r="M2080" s="324"/>
      <c r="N2080" s="324"/>
      <c r="O2080" s="324"/>
      <c r="P2080" s="324"/>
      <c r="Q2080" s="324"/>
      <c r="R2080" s="324"/>
      <c r="S2080" s="324"/>
      <c r="T2080" s="528"/>
      <c r="U2080" s="324"/>
      <c r="V2080" s="676"/>
      <c r="W2080" s="528"/>
      <c r="X2080" s="529"/>
      <c r="Y2080" s="323"/>
    </row>
    <row r="2081" spans="1:28" thickBot="1" x14ac:dyDescent="0.45">
      <c r="A2081" s="319"/>
      <c r="B2081" s="319"/>
      <c r="C2081" s="528"/>
      <c r="D2081" s="528"/>
      <c r="E2081" s="460"/>
      <c r="F2081" s="324"/>
      <c r="G2081" s="528"/>
      <c r="H2081" s="324"/>
      <c r="I2081" s="528"/>
      <c r="J2081" s="324"/>
      <c r="K2081" s="324"/>
      <c r="L2081" s="324"/>
      <c r="M2081" s="324"/>
      <c r="N2081" s="324"/>
      <c r="O2081" s="324"/>
      <c r="P2081" s="324"/>
      <c r="Q2081" s="324"/>
      <c r="R2081" s="324"/>
      <c r="S2081" s="324"/>
      <c r="T2081" s="528"/>
      <c r="U2081" s="324"/>
      <c r="V2081" s="676"/>
      <c r="W2081" s="528"/>
      <c r="X2081" s="529"/>
      <c r="Y2081" s="323"/>
    </row>
    <row r="2082" spans="1:28" thickBot="1" x14ac:dyDescent="0.45">
      <c r="A2082" s="319"/>
      <c r="B2082" s="319"/>
      <c r="C2082" s="528"/>
      <c r="D2082" s="528"/>
      <c r="E2082" s="460"/>
      <c r="F2082" s="324"/>
      <c r="G2082" s="528"/>
      <c r="H2082" s="324"/>
      <c r="I2082" s="528"/>
      <c r="J2082" s="324"/>
      <c r="K2082" s="324"/>
      <c r="L2082" s="324"/>
      <c r="M2082" s="324"/>
      <c r="N2082" s="324"/>
      <c r="O2082" s="324"/>
      <c r="P2082" s="324"/>
      <c r="Q2082" s="324"/>
      <c r="R2082" s="324"/>
      <c r="S2082" s="324"/>
      <c r="T2082" s="528"/>
      <c r="U2082" s="324"/>
      <c r="V2082" s="676"/>
      <c r="W2082" s="528"/>
      <c r="X2082" s="529"/>
      <c r="Y2082" s="323"/>
    </row>
    <row r="2083" spans="1:28" thickBot="1" x14ac:dyDescent="0.45">
      <c r="A2083" s="319"/>
      <c r="B2083" s="305" t="s">
        <v>133</v>
      </c>
      <c r="C2083" s="539"/>
      <c r="D2083" s="539"/>
      <c r="E2083" s="502"/>
      <c r="F2083" s="333"/>
      <c r="G2083" s="539"/>
      <c r="H2083" s="333"/>
      <c r="I2083" s="539"/>
      <c r="J2083" s="333"/>
      <c r="K2083" s="333"/>
      <c r="L2083" s="333"/>
      <c r="M2083" s="333"/>
      <c r="N2083" s="333"/>
      <c r="O2083" s="333"/>
      <c r="P2083" s="333"/>
      <c r="Q2083" s="333"/>
      <c r="R2083" s="333"/>
      <c r="S2083" s="333"/>
      <c r="T2083" s="539"/>
      <c r="U2083" s="333"/>
      <c r="V2083" s="681"/>
      <c r="W2083" s="333"/>
      <c r="X2083" s="333"/>
      <c r="Y2083" s="374"/>
      <c r="AA2083" s="391" t="s">
        <v>676</v>
      </c>
    </row>
    <row r="2084" spans="1:28" thickBot="1" x14ac:dyDescent="0.45">
      <c r="A2084" s="319"/>
      <c r="B2084" s="305" t="s">
        <v>623</v>
      </c>
      <c r="C2084" s="539"/>
      <c r="D2084" s="539"/>
      <c r="E2084" s="502"/>
      <c r="F2084" s="333"/>
      <c r="G2084" s="539"/>
      <c r="H2084" s="333"/>
      <c r="I2084" s="539"/>
      <c r="J2084" s="333"/>
      <c r="K2084" s="333"/>
      <c r="L2084" s="333"/>
      <c r="M2084" s="333"/>
      <c r="N2084" s="333"/>
      <c r="O2084" s="333"/>
      <c r="P2084" s="333"/>
      <c r="Q2084" s="333"/>
      <c r="R2084" s="333"/>
      <c r="S2084" s="333"/>
      <c r="T2084" s="539"/>
      <c r="U2084" s="333"/>
      <c r="V2084" s="681"/>
      <c r="W2084" s="333"/>
      <c r="X2084" s="333"/>
      <c r="Y2084" s="374"/>
    </row>
    <row r="2085" spans="1:28" ht="77.25" outlineLevel="1" thickBot="1" x14ac:dyDescent="0.45">
      <c r="A2085" s="319" t="s">
        <v>724</v>
      </c>
      <c r="B2085" s="320" t="s">
        <v>624</v>
      </c>
      <c r="C2085" s="586">
        <f>C140+C364+C592</f>
        <v>0</v>
      </c>
      <c r="D2085" s="530">
        <f>C2085*10</f>
        <v>0</v>
      </c>
      <c r="E2085" s="460">
        <f>D2085*0.2</f>
        <v>0</v>
      </c>
      <c r="F2085" s="324">
        <f>E2085*0.97*0.8/19.6</f>
        <v>0</v>
      </c>
      <c r="G2085" s="528">
        <f>INT(M2085)</f>
        <v>0</v>
      </c>
      <c r="H2085" s="324" t="s">
        <v>18</v>
      </c>
      <c r="I2085" s="528">
        <f>(M2085-G2085)*64</f>
        <v>0</v>
      </c>
      <c r="J2085" s="324" t="s">
        <v>19</v>
      </c>
      <c r="K2085" s="324"/>
      <c r="L2085" s="324"/>
      <c r="M2085" s="324">
        <f>(F2085*1087/3456)</f>
        <v>0</v>
      </c>
      <c r="N2085" s="324"/>
      <c r="O2085" s="324"/>
      <c r="P2085" s="324"/>
      <c r="Q2085" s="324" t="s">
        <v>18</v>
      </c>
      <c r="R2085" s="324"/>
      <c r="S2085" s="324" t="s">
        <v>19</v>
      </c>
      <c r="T2085" s="528">
        <v>3</v>
      </c>
      <c r="U2085" s="324">
        <f>E2085/259*60</f>
        <v>0</v>
      </c>
      <c r="V2085" s="676"/>
      <c r="W2085" s="528"/>
      <c r="X2085" s="529"/>
      <c r="Y2085" s="360" t="s">
        <v>1224</v>
      </c>
      <c r="Z2085" s="312">
        <f>E2085</f>
        <v>0</v>
      </c>
      <c r="AA2085" s="316">
        <f>SUM(Z2085/156+0.25)</f>
        <v>0.25</v>
      </c>
    </row>
    <row r="2086" spans="1:28" ht="77.25" thickBot="1" x14ac:dyDescent="0.45">
      <c r="A2086" s="319" t="s">
        <v>724</v>
      </c>
      <c r="B2086" s="320" t="s">
        <v>1005</v>
      </c>
      <c r="C2086" s="528">
        <f>C2230</f>
        <v>0</v>
      </c>
      <c r="D2086" s="530">
        <f>C2086*1</f>
        <v>0</v>
      </c>
      <c r="E2086" s="546">
        <f>D2086*0.65</f>
        <v>0</v>
      </c>
      <c r="F2086" s="546">
        <f>E2086*1.03*0.87/19.3</f>
        <v>0</v>
      </c>
      <c r="G2086" s="639">
        <f>INT(M2086)</f>
        <v>0</v>
      </c>
      <c r="H2086" s="546" t="s">
        <v>18</v>
      </c>
      <c r="I2086" s="639">
        <f>(M2086-G2086)*64</f>
        <v>0</v>
      </c>
      <c r="J2086" s="546" t="s">
        <v>19</v>
      </c>
      <c r="K2086" s="546"/>
      <c r="L2086" s="546"/>
      <c r="M2086" s="546">
        <f>(F2086*877/2880)</f>
        <v>0</v>
      </c>
      <c r="N2086" s="546"/>
      <c r="O2086" s="324"/>
      <c r="P2086" s="324"/>
      <c r="Q2086" s="324" t="s">
        <v>18</v>
      </c>
      <c r="R2086" s="324"/>
      <c r="S2086" s="324" t="s">
        <v>19</v>
      </c>
      <c r="T2086" s="528">
        <v>5</v>
      </c>
      <c r="U2086" s="324">
        <f>E2086/259*60</f>
        <v>0</v>
      </c>
      <c r="V2086" s="676"/>
      <c r="W2086" s="528"/>
      <c r="X2086" s="529"/>
      <c r="Y2086" s="360" t="s">
        <v>1224</v>
      </c>
      <c r="Z2086" s="312">
        <f>E2086</f>
        <v>0</v>
      </c>
      <c r="AA2086" s="316">
        <f>SUM(E2086/321.6+0.25)</f>
        <v>0.25</v>
      </c>
      <c r="AB2086" s="352"/>
    </row>
    <row r="2087" spans="1:28" ht="77.25" thickBot="1" x14ac:dyDescent="0.45">
      <c r="A2087" s="319" t="s">
        <v>724</v>
      </c>
      <c r="B2087" s="320" t="s">
        <v>894</v>
      </c>
      <c r="C2087" s="528">
        <f>C2229</f>
        <v>0</v>
      </c>
      <c r="D2087" s="532">
        <f>C2087*12</f>
        <v>0</v>
      </c>
      <c r="E2087" s="472">
        <f>D2087*0.27</f>
        <v>0</v>
      </c>
      <c r="F2087" s="472">
        <f>E2087*1.03*0.87/19.3</f>
        <v>0</v>
      </c>
      <c r="G2087" s="531">
        <f>INT(M2087)</f>
        <v>0</v>
      </c>
      <c r="H2087" s="472" t="s">
        <v>18</v>
      </c>
      <c r="I2087" s="531">
        <f>(M2087-G2087)*64</f>
        <v>0</v>
      </c>
      <c r="J2087" s="472" t="s">
        <v>19</v>
      </c>
      <c r="K2087" s="472"/>
      <c r="L2087" s="472"/>
      <c r="M2087" s="472">
        <f>(F2087*877/2880)</f>
        <v>0</v>
      </c>
      <c r="N2087" s="472"/>
      <c r="O2087" s="461"/>
      <c r="P2087" s="461"/>
      <c r="Q2087" s="461" t="s">
        <v>18</v>
      </c>
      <c r="R2087" s="461"/>
      <c r="S2087" s="461" t="s">
        <v>19</v>
      </c>
      <c r="T2087" s="568">
        <v>3</v>
      </c>
      <c r="U2087" s="324">
        <f>E2087/259*60</f>
        <v>0</v>
      </c>
      <c r="V2087" s="676"/>
      <c r="W2087" s="528"/>
      <c r="X2087" s="529"/>
      <c r="Y2087" s="360" t="s">
        <v>1224</v>
      </c>
      <c r="Z2087" s="312">
        <f>E2087</f>
        <v>0</v>
      </c>
      <c r="AA2087" s="316">
        <f>SUM(E2087/321.6+0.25)</f>
        <v>0.25</v>
      </c>
      <c r="AB2087" s="352"/>
    </row>
    <row r="2088" spans="1:28" thickBot="1" x14ac:dyDescent="0.45">
      <c r="A2088" s="829"/>
      <c r="B2088" s="302" t="s">
        <v>289</v>
      </c>
      <c r="C2088" s="347"/>
      <c r="D2088" s="347"/>
      <c r="E2088" s="494"/>
      <c r="F2088" s="348"/>
      <c r="G2088" s="347"/>
      <c r="H2088" s="348"/>
      <c r="I2088" s="347"/>
      <c r="J2088" s="348"/>
      <c r="K2088" s="348"/>
      <c r="L2088" s="348"/>
      <c r="M2088" s="348"/>
      <c r="N2088" s="348"/>
      <c r="O2088" s="348"/>
      <c r="P2088" s="348"/>
      <c r="Q2088" s="348"/>
      <c r="R2088" s="348"/>
      <c r="S2088" s="348"/>
      <c r="T2088" s="347"/>
      <c r="U2088" s="348"/>
      <c r="V2088" s="356"/>
      <c r="W2088" s="348"/>
      <c r="X2088" s="495"/>
      <c r="Y2088" s="349"/>
    </row>
    <row r="2089" spans="1:28" thickBot="1" x14ac:dyDescent="0.45">
      <c r="A2089" s="830"/>
      <c r="B2089" s="332" t="s">
        <v>285</v>
      </c>
      <c r="C2089" s="347"/>
      <c r="D2089" s="347"/>
      <c r="E2089" s="494"/>
      <c r="F2089" s="348"/>
      <c r="G2089" s="347"/>
      <c r="H2089" s="348"/>
      <c r="I2089" s="347"/>
      <c r="J2089" s="348"/>
      <c r="K2089" s="348"/>
      <c r="L2089" s="348"/>
      <c r="M2089" s="348"/>
      <c r="N2089" s="348"/>
      <c r="O2089" s="348"/>
      <c r="P2089" s="348"/>
      <c r="Q2089" s="348"/>
      <c r="R2089" s="348"/>
      <c r="S2089" s="348"/>
      <c r="T2089" s="347"/>
      <c r="U2089" s="348"/>
      <c r="V2089" s="356"/>
      <c r="W2089" s="348"/>
      <c r="X2089" s="495"/>
      <c r="Y2089" s="357"/>
    </row>
    <row r="2090" spans="1:28" thickBot="1" x14ac:dyDescent="0.45">
      <c r="A2090" s="830"/>
      <c r="B2090" s="332" t="s">
        <v>299</v>
      </c>
      <c r="C2090" s="347"/>
      <c r="D2090" s="347"/>
      <c r="E2090" s="494"/>
      <c r="F2090" s="348"/>
      <c r="G2090" s="347"/>
      <c r="H2090" s="348"/>
      <c r="I2090" s="347"/>
      <c r="J2090" s="348"/>
      <c r="K2090" s="348"/>
      <c r="L2090" s="348"/>
      <c r="M2090" s="348"/>
      <c r="N2090" s="348"/>
      <c r="O2090" s="348"/>
      <c r="P2090" s="348"/>
      <c r="Q2090" s="348"/>
      <c r="R2090" s="348"/>
      <c r="S2090" s="348"/>
      <c r="T2090" s="347"/>
      <c r="U2090" s="348"/>
      <c r="V2090" s="356"/>
      <c r="W2090" s="348"/>
      <c r="X2090" s="495"/>
      <c r="Y2090" s="357"/>
    </row>
    <row r="2091" spans="1:28" s="453" customFormat="1" ht="129.75" thickBot="1" x14ac:dyDescent="0.45">
      <c r="A2091" s="319" t="s">
        <v>724</v>
      </c>
      <c r="B2091" s="480" t="s">
        <v>1046</v>
      </c>
      <c r="C2091" s="525">
        <f>C610+C382+C158</f>
        <v>0</v>
      </c>
      <c r="D2091" s="626"/>
      <c r="E2091" s="358">
        <f>C2091*2</f>
        <v>0</v>
      </c>
      <c r="F2091" s="627">
        <f>E2091*1.03*0.85/147</f>
        <v>0</v>
      </c>
      <c r="G2091" s="628">
        <f t="shared" ref="G2091:G2097" si="782">INT(M2091)</f>
        <v>0</v>
      </c>
      <c r="H2091" s="359"/>
      <c r="I2091" s="628">
        <f t="shared" ref="I2091:I2097" si="783">(M2091-G2091)*64</f>
        <v>0</v>
      </c>
      <c r="J2091" s="629"/>
      <c r="K2091" s="630"/>
      <c r="L2091" s="630"/>
      <c r="M2091" s="627">
        <f>F2091*147/0.57/64</f>
        <v>0</v>
      </c>
      <c r="N2091" s="631"/>
      <c r="O2091" s="631"/>
      <c r="P2091" s="631"/>
      <c r="Q2091" s="324" t="s">
        <v>18</v>
      </c>
      <c r="R2091" s="324"/>
      <c r="S2091" s="324" t="s">
        <v>19</v>
      </c>
      <c r="T2091" s="528">
        <v>9</v>
      </c>
      <c r="U2091" s="461"/>
      <c r="V2091" s="688"/>
      <c r="W2091" s="525"/>
      <c r="X2091" s="560"/>
      <c r="Y2091" s="451"/>
      <c r="Z2091" s="312">
        <f t="shared" ref="Z2091:Z2106" si="784">E2091</f>
        <v>0</v>
      </c>
      <c r="AA2091" s="316">
        <f>SUM(Z2091/140.7+0.25)</f>
        <v>0.25</v>
      </c>
      <c r="AB2091" s="310" t="s">
        <v>1059</v>
      </c>
    </row>
    <row r="2092" spans="1:28" s="453" customFormat="1" ht="129.75" thickBot="1" x14ac:dyDescent="0.45">
      <c r="A2092" s="319" t="s">
        <v>724</v>
      </c>
      <c r="B2092" s="480" t="s">
        <v>1085</v>
      </c>
      <c r="C2092" s="525">
        <f>C612+C160+C384</f>
        <v>0</v>
      </c>
      <c r="D2092" s="626"/>
      <c r="E2092" s="358">
        <f>C2092*0.4</f>
        <v>0</v>
      </c>
      <c r="F2092" s="627">
        <f>E2092*1.03*0.85/147</f>
        <v>0</v>
      </c>
      <c r="G2092" s="628">
        <f t="shared" si="782"/>
        <v>0</v>
      </c>
      <c r="H2092" s="359"/>
      <c r="I2092" s="628">
        <f t="shared" si="783"/>
        <v>0</v>
      </c>
      <c r="J2092" s="629"/>
      <c r="K2092" s="630"/>
      <c r="L2092" s="630"/>
      <c r="M2092" s="627">
        <f>F2092*147/0.57/64</f>
        <v>0</v>
      </c>
      <c r="N2092" s="631"/>
      <c r="O2092" s="631"/>
      <c r="P2092" s="631"/>
      <c r="Q2092" s="324" t="s">
        <v>18</v>
      </c>
      <c r="R2092" s="324"/>
      <c r="S2092" s="324" t="s">
        <v>19</v>
      </c>
      <c r="T2092" s="528">
        <v>9</v>
      </c>
      <c r="U2092" s="461"/>
      <c r="V2092" s="688"/>
      <c r="W2092" s="525"/>
      <c r="X2092" s="560"/>
      <c r="Y2092" s="451"/>
      <c r="Z2092" s="312">
        <f>E2092</f>
        <v>0</v>
      </c>
      <c r="AA2092" s="316">
        <f>SUM(Z2092/140.7+0.25)</f>
        <v>0.25</v>
      </c>
      <c r="AB2092" s="310" t="s">
        <v>1059</v>
      </c>
    </row>
    <row r="2093" spans="1:28" ht="77.25" thickBot="1" x14ac:dyDescent="0.45">
      <c r="A2093" s="319" t="s">
        <v>724</v>
      </c>
      <c r="B2093" s="320" t="s">
        <v>859</v>
      </c>
      <c r="C2093" s="528">
        <f>C214+C444+C674</f>
        <v>0</v>
      </c>
      <c r="D2093" s="551">
        <f>C2093*18</f>
        <v>0</v>
      </c>
      <c r="E2093" s="456">
        <f>D2093*0.18</f>
        <v>0</v>
      </c>
      <c r="F2093" s="358">
        <f>E2093*0.84/147</f>
        <v>0</v>
      </c>
      <c r="G2093" s="548">
        <f t="shared" si="782"/>
        <v>0</v>
      </c>
      <c r="H2093" s="358" t="s">
        <v>18</v>
      </c>
      <c r="I2093" s="548">
        <f t="shared" si="783"/>
        <v>0</v>
      </c>
      <c r="J2093" s="358" t="s">
        <v>19</v>
      </c>
      <c r="K2093" s="358"/>
      <c r="L2093" s="358"/>
      <c r="M2093" s="358">
        <f>F2093*5880/3456</f>
        <v>0</v>
      </c>
      <c r="N2093" s="324"/>
      <c r="O2093" s="324"/>
      <c r="P2093" s="324"/>
      <c r="Q2093" s="324" t="s">
        <v>18</v>
      </c>
      <c r="R2093" s="324"/>
      <c r="S2093" s="324" t="s">
        <v>19</v>
      </c>
      <c r="T2093" s="528">
        <v>8</v>
      </c>
      <c r="U2093" s="324">
        <f>E2093/220*60</f>
        <v>0</v>
      </c>
      <c r="V2093" s="676"/>
      <c r="W2093" s="528"/>
      <c r="X2093" s="529"/>
      <c r="Y2093" s="323"/>
      <c r="Z2093" s="312">
        <f t="shared" si="784"/>
        <v>0</v>
      </c>
      <c r="AA2093" s="316">
        <f>SUM(Z2093/240+0.25)</f>
        <v>0.25</v>
      </c>
    </row>
    <row r="2094" spans="1:28" ht="77.25" thickBot="1" x14ac:dyDescent="0.45">
      <c r="A2094" s="319" t="s">
        <v>724</v>
      </c>
      <c r="B2094" s="320" t="s">
        <v>1032</v>
      </c>
      <c r="C2094" s="528">
        <f>C215+C445+C675</f>
        <v>0</v>
      </c>
      <c r="D2094" s="530">
        <f>C2094*22</f>
        <v>0</v>
      </c>
      <c r="E2094" s="460">
        <f>D2094*0.18</f>
        <v>0</v>
      </c>
      <c r="F2094" s="324">
        <f>E2094*0.84/147</f>
        <v>0</v>
      </c>
      <c r="G2094" s="528">
        <f t="shared" si="782"/>
        <v>0</v>
      </c>
      <c r="H2094" s="324" t="s">
        <v>18</v>
      </c>
      <c r="I2094" s="528">
        <f t="shared" si="783"/>
        <v>0</v>
      </c>
      <c r="J2094" s="324" t="s">
        <v>19</v>
      </c>
      <c r="K2094" s="324"/>
      <c r="L2094" s="324"/>
      <c r="M2094" s="324">
        <f>F2094*5880/3456</f>
        <v>0</v>
      </c>
      <c r="N2094" s="324"/>
      <c r="O2094" s="324"/>
      <c r="P2094" s="324"/>
      <c r="Q2094" s="324" t="s">
        <v>18</v>
      </c>
      <c r="R2094" s="324"/>
      <c r="S2094" s="324" t="s">
        <v>19</v>
      </c>
      <c r="T2094" s="528">
        <v>8</v>
      </c>
      <c r="U2094" s="324">
        <f>E2094/220*60</f>
        <v>0</v>
      </c>
      <c r="V2094" s="676"/>
      <c r="W2094" s="528"/>
      <c r="X2094" s="529"/>
      <c r="Y2094" s="323"/>
      <c r="Z2094" s="312">
        <f>E2094</f>
        <v>0</v>
      </c>
      <c r="AA2094" s="316">
        <f>SUM(Z2094/240+0.25)</f>
        <v>0.25</v>
      </c>
    </row>
    <row r="2095" spans="1:28" ht="51.75" thickBot="1" x14ac:dyDescent="0.45">
      <c r="A2095" s="319" t="s">
        <v>724</v>
      </c>
      <c r="B2095" s="320" t="s">
        <v>753</v>
      </c>
      <c r="C2095" s="586">
        <f t="shared" ref="C2095:C2101" si="785">C172+C400+C628</f>
        <v>0</v>
      </c>
      <c r="D2095" s="528"/>
      <c r="E2095" s="456">
        <f>C2095*2.5</f>
        <v>0</v>
      </c>
      <c r="F2095" s="358">
        <f>E2095*1.03*0.84/147</f>
        <v>0</v>
      </c>
      <c r="G2095" s="548">
        <f t="shared" si="782"/>
        <v>0</v>
      </c>
      <c r="H2095" s="358" t="s">
        <v>18</v>
      </c>
      <c r="I2095" s="548">
        <f t="shared" si="783"/>
        <v>0</v>
      </c>
      <c r="J2095" s="358" t="s">
        <v>19</v>
      </c>
      <c r="K2095" s="358"/>
      <c r="L2095" s="358"/>
      <c r="M2095" s="358">
        <f>(F2095*5547/3456)</f>
        <v>0</v>
      </c>
      <c r="N2095" s="324"/>
      <c r="O2095" s="324"/>
      <c r="P2095" s="324"/>
      <c r="Q2095" s="324" t="s">
        <v>18</v>
      </c>
      <c r="R2095" s="324"/>
      <c r="S2095" s="324" t="s">
        <v>19</v>
      </c>
      <c r="T2095" s="528">
        <v>9</v>
      </c>
      <c r="U2095" s="324">
        <f t="shared" ref="U2095:U2100" si="786">E2095/324*60</f>
        <v>0</v>
      </c>
      <c r="V2095" s="676"/>
      <c r="W2095" s="528"/>
      <c r="X2095" s="529"/>
      <c r="Y2095" s="323"/>
      <c r="Z2095" s="312">
        <f t="shared" si="784"/>
        <v>0</v>
      </c>
      <c r="AA2095" s="316">
        <f t="shared" ref="AA2095:AA2105" si="787">SUM(Z2095/321.6+0.25)</f>
        <v>0.25</v>
      </c>
    </row>
    <row r="2096" spans="1:28" ht="77.25" thickBot="1" x14ac:dyDescent="0.45">
      <c r="A2096" s="319" t="s">
        <v>724</v>
      </c>
      <c r="B2096" s="320" t="s">
        <v>761</v>
      </c>
      <c r="C2096" s="586">
        <f t="shared" si="785"/>
        <v>0</v>
      </c>
      <c r="D2096" s="528"/>
      <c r="E2096" s="456">
        <f>C2096*4</f>
        <v>0</v>
      </c>
      <c r="F2096" s="358">
        <f>E2096*1.03*0.84/147</f>
        <v>0</v>
      </c>
      <c r="G2096" s="548">
        <f t="shared" si="782"/>
        <v>0</v>
      </c>
      <c r="H2096" s="358" t="s">
        <v>18</v>
      </c>
      <c r="I2096" s="548">
        <f t="shared" si="783"/>
        <v>0</v>
      </c>
      <c r="J2096" s="358" t="s">
        <v>19</v>
      </c>
      <c r="K2096" s="358"/>
      <c r="L2096" s="358"/>
      <c r="M2096" s="358">
        <f>(F2096*5547/3456)</f>
        <v>0</v>
      </c>
      <c r="N2096" s="324"/>
      <c r="O2096" s="324"/>
      <c r="P2096" s="324"/>
      <c r="Q2096" s="324" t="s">
        <v>18</v>
      </c>
      <c r="R2096" s="324"/>
      <c r="S2096" s="324" t="s">
        <v>19</v>
      </c>
      <c r="T2096" s="528">
        <v>2</v>
      </c>
      <c r="U2096" s="324">
        <f t="shared" si="786"/>
        <v>0</v>
      </c>
      <c r="V2096" s="676"/>
      <c r="W2096" s="528"/>
      <c r="X2096" s="529"/>
      <c r="Y2096" s="323"/>
      <c r="Z2096" s="312">
        <f t="shared" si="784"/>
        <v>0</v>
      </c>
      <c r="AA2096" s="316">
        <f t="shared" si="787"/>
        <v>0.25</v>
      </c>
    </row>
    <row r="2097" spans="1:27" ht="77.25" thickBot="1" x14ac:dyDescent="0.45">
      <c r="A2097" s="319" t="s">
        <v>724</v>
      </c>
      <c r="B2097" s="361" t="s">
        <v>755</v>
      </c>
      <c r="C2097" s="586">
        <f t="shared" si="785"/>
        <v>0</v>
      </c>
      <c r="D2097" s="528"/>
      <c r="E2097" s="456">
        <f>C2097*4</f>
        <v>0</v>
      </c>
      <c r="F2097" s="358">
        <f>E2097*1.01*0.756/147</f>
        <v>0</v>
      </c>
      <c r="G2097" s="548">
        <f t="shared" si="782"/>
        <v>0</v>
      </c>
      <c r="H2097" s="358" t="s">
        <v>18</v>
      </c>
      <c r="I2097" s="548">
        <f t="shared" si="783"/>
        <v>0</v>
      </c>
      <c r="J2097" s="358" t="s">
        <v>19</v>
      </c>
      <c r="K2097" s="358"/>
      <c r="L2097" s="358"/>
      <c r="M2097" s="358">
        <f>(F2097*6035/3456)</f>
        <v>0</v>
      </c>
      <c r="N2097" s="324"/>
      <c r="O2097" s="324"/>
      <c r="P2097" s="324"/>
      <c r="Q2097" s="324" t="s">
        <v>18</v>
      </c>
      <c r="R2097" s="324"/>
      <c r="S2097" s="324" t="s">
        <v>19</v>
      </c>
      <c r="T2097" s="528">
        <v>2</v>
      </c>
      <c r="U2097" s="324">
        <f>E2097/324*60</f>
        <v>0</v>
      </c>
      <c r="V2097" s="676"/>
      <c r="W2097" s="528"/>
      <c r="X2097" s="529"/>
      <c r="Y2097" s="323"/>
      <c r="Z2097" s="312">
        <f t="shared" si="784"/>
        <v>0</v>
      </c>
      <c r="AA2097" s="316">
        <f t="shared" si="787"/>
        <v>0.25</v>
      </c>
    </row>
    <row r="2098" spans="1:27" ht="77.25" thickBot="1" x14ac:dyDescent="0.45">
      <c r="A2098" s="319" t="s">
        <v>724</v>
      </c>
      <c r="B2098" s="320" t="s">
        <v>756</v>
      </c>
      <c r="C2098" s="586">
        <f t="shared" si="785"/>
        <v>0</v>
      </c>
      <c r="D2098" s="528"/>
      <c r="E2098" s="456">
        <f>C2098*2.5</f>
        <v>0</v>
      </c>
      <c r="F2098" s="358">
        <f>E2098*1.01*0.756/147</f>
        <v>0</v>
      </c>
      <c r="G2098" s="548">
        <f t="shared" ref="G2098:G2106" si="788">INT(M2098)</f>
        <v>0</v>
      </c>
      <c r="H2098" s="358" t="s">
        <v>18</v>
      </c>
      <c r="I2098" s="548">
        <f t="shared" ref="I2098:I2106" si="789">(M2098-G2098)*64</f>
        <v>0</v>
      </c>
      <c r="J2098" s="358" t="s">
        <v>19</v>
      </c>
      <c r="K2098" s="358"/>
      <c r="L2098" s="358"/>
      <c r="M2098" s="358">
        <f>(F2098*6035/3456)</f>
        <v>0</v>
      </c>
      <c r="N2098" s="324"/>
      <c r="O2098" s="324"/>
      <c r="P2098" s="324"/>
      <c r="Q2098" s="324" t="s">
        <v>18</v>
      </c>
      <c r="R2098" s="324"/>
      <c r="S2098" s="324" t="s">
        <v>19</v>
      </c>
      <c r="T2098" s="528">
        <v>9</v>
      </c>
      <c r="U2098" s="324">
        <f>E2098/324*60</f>
        <v>0</v>
      </c>
      <c r="V2098" s="676"/>
      <c r="W2098" s="528"/>
      <c r="X2098" s="529"/>
      <c r="Y2098" s="323"/>
      <c r="Z2098" s="312">
        <f t="shared" si="784"/>
        <v>0</v>
      </c>
      <c r="AA2098" s="316">
        <f t="shared" si="787"/>
        <v>0.25</v>
      </c>
    </row>
    <row r="2099" spans="1:27" ht="77.25" thickBot="1" x14ac:dyDescent="0.45">
      <c r="A2099" s="319" t="s">
        <v>724</v>
      </c>
      <c r="B2099" s="320" t="s">
        <v>757</v>
      </c>
      <c r="C2099" s="586">
        <f t="shared" si="785"/>
        <v>0</v>
      </c>
      <c r="D2099" s="528"/>
      <c r="E2099" s="456">
        <f>C2099*2.5</f>
        <v>0</v>
      </c>
      <c r="F2099" s="358">
        <f>E2099*1.01*0.756/147</f>
        <v>0</v>
      </c>
      <c r="G2099" s="548">
        <f t="shared" si="788"/>
        <v>0</v>
      </c>
      <c r="H2099" s="358" t="s">
        <v>18</v>
      </c>
      <c r="I2099" s="548">
        <f t="shared" si="789"/>
        <v>0</v>
      </c>
      <c r="J2099" s="358" t="s">
        <v>19</v>
      </c>
      <c r="K2099" s="358"/>
      <c r="L2099" s="358"/>
      <c r="M2099" s="358">
        <f>(F2099*6035/3456)</f>
        <v>0</v>
      </c>
      <c r="N2099" s="324"/>
      <c r="O2099" s="324"/>
      <c r="P2099" s="324"/>
      <c r="Q2099" s="324" t="s">
        <v>18</v>
      </c>
      <c r="R2099" s="324"/>
      <c r="S2099" s="324" t="s">
        <v>19</v>
      </c>
      <c r="T2099" s="528">
        <v>9</v>
      </c>
      <c r="U2099" s="324">
        <f>E2099/324*60</f>
        <v>0</v>
      </c>
      <c r="V2099" s="676"/>
      <c r="W2099" s="528"/>
      <c r="X2099" s="529"/>
      <c r="Y2099" s="323"/>
      <c r="Z2099" s="312">
        <f t="shared" si="784"/>
        <v>0</v>
      </c>
      <c r="AA2099" s="316">
        <f t="shared" si="787"/>
        <v>0.25</v>
      </c>
    </row>
    <row r="2100" spans="1:27" ht="77.25" thickBot="1" x14ac:dyDescent="0.45">
      <c r="A2100" s="319" t="s">
        <v>724</v>
      </c>
      <c r="B2100" s="320" t="s">
        <v>763</v>
      </c>
      <c r="C2100" s="586">
        <f t="shared" si="785"/>
        <v>0</v>
      </c>
      <c r="D2100" s="528"/>
      <c r="E2100" s="456">
        <f>C2100*4</f>
        <v>0</v>
      </c>
      <c r="F2100" s="358">
        <f>E2100*1.03*0.84/147</f>
        <v>0</v>
      </c>
      <c r="G2100" s="548">
        <f t="shared" si="788"/>
        <v>0</v>
      </c>
      <c r="H2100" s="358" t="s">
        <v>18</v>
      </c>
      <c r="I2100" s="548">
        <f t="shared" si="789"/>
        <v>0</v>
      </c>
      <c r="J2100" s="358" t="s">
        <v>19</v>
      </c>
      <c r="K2100" s="358"/>
      <c r="L2100" s="358"/>
      <c r="M2100" s="358">
        <f>(F2100*5068/3456)</f>
        <v>0</v>
      </c>
      <c r="N2100" s="324"/>
      <c r="O2100" s="324"/>
      <c r="P2100" s="324"/>
      <c r="Q2100" s="324" t="s">
        <v>18</v>
      </c>
      <c r="R2100" s="324"/>
      <c r="S2100" s="324" t="s">
        <v>19</v>
      </c>
      <c r="T2100" s="528">
        <v>2</v>
      </c>
      <c r="U2100" s="324">
        <f t="shared" si="786"/>
        <v>0</v>
      </c>
      <c r="V2100" s="676"/>
      <c r="W2100" s="528"/>
      <c r="X2100" s="529"/>
      <c r="Y2100" s="323"/>
      <c r="Z2100" s="312">
        <f t="shared" si="784"/>
        <v>0</v>
      </c>
      <c r="AA2100" s="316">
        <f t="shared" si="787"/>
        <v>0.25</v>
      </c>
    </row>
    <row r="2101" spans="1:27" ht="77.25" thickBot="1" x14ac:dyDescent="0.45">
      <c r="A2101" s="319" t="s">
        <v>724</v>
      </c>
      <c r="B2101" s="799" t="s">
        <v>1186</v>
      </c>
      <c r="C2101" s="586">
        <f t="shared" si="785"/>
        <v>0</v>
      </c>
      <c r="D2101" s="528"/>
      <c r="E2101" s="456">
        <f>C2101*1.7</f>
        <v>0</v>
      </c>
      <c r="F2101" s="324">
        <f>E2101*1.03*0.84/147</f>
        <v>0</v>
      </c>
      <c r="G2101" s="548">
        <f t="shared" si="788"/>
        <v>0</v>
      </c>
      <c r="H2101" s="358" t="s">
        <v>18</v>
      </c>
      <c r="I2101" s="548">
        <f t="shared" si="789"/>
        <v>0</v>
      </c>
      <c r="J2101" s="358" t="s">
        <v>19</v>
      </c>
      <c r="K2101" s="358"/>
      <c r="L2101" s="358"/>
      <c r="M2101" s="358">
        <f>(F2101*5068/3456)</f>
        <v>0</v>
      </c>
      <c r="N2101" s="324"/>
      <c r="O2101" s="324"/>
      <c r="P2101" s="324"/>
      <c r="Q2101" s="324" t="s">
        <v>18</v>
      </c>
      <c r="R2101" s="324"/>
      <c r="S2101" s="324" t="s">
        <v>19</v>
      </c>
      <c r="T2101" s="528">
        <v>2</v>
      </c>
      <c r="U2101" s="324">
        <f t="shared" ref="U2101:U2106" si="790">E2101/324*60</f>
        <v>0</v>
      </c>
      <c r="V2101" s="676"/>
      <c r="W2101" s="528"/>
      <c r="X2101" s="529"/>
      <c r="Y2101" s="323"/>
      <c r="Z2101" s="312">
        <f t="shared" si="784"/>
        <v>0</v>
      </c>
      <c r="AA2101" s="316">
        <f t="shared" si="787"/>
        <v>0.25</v>
      </c>
    </row>
    <row r="2102" spans="1:27" ht="51.75" thickBot="1" x14ac:dyDescent="0.45">
      <c r="A2102" s="319" t="s">
        <v>724</v>
      </c>
      <c r="B2102" s="320" t="s">
        <v>898</v>
      </c>
      <c r="C2102" s="586">
        <f>C179+C417+C645</f>
        <v>0</v>
      </c>
      <c r="D2102" s="525"/>
      <c r="E2102" s="456">
        <f>C2102*1</f>
        <v>0</v>
      </c>
      <c r="F2102" s="358">
        <f>E2102*1.03*0.84/147</f>
        <v>0</v>
      </c>
      <c r="G2102" s="549">
        <f t="shared" si="788"/>
        <v>0</v>
      </c>
      <c r="H2102" s="359" t="s">
        <v>18</v>
      </c>
      <c r="I2102" s="549">
        <f t="shared" si="789"/>
        <v>0</v>
      </c>
      <c r="J2102" s="359" t="s">
        <v>19</v>
      </c>
      <c r="K2102" s="358"/>
      <c r="L2102" s="358"/>
      <c r="M2102" s="358">
        <f>(F2102*6391/2880)</f>
        <v>0</v>
      </c>
      <c r="N2102" s="461"/>
      <c r="O2102" s="461"/>
      <c r="P2102" s="324"/>
      <c r="Q2102" s="324" t="s">
        <v>18</v>
      </c>
      <c r="R2102" s="324"/>
      <c r="S2102" s="324" t="s">
        <v>19</v>
      </c>
      <c r="T2102" s="528">
        <v>9</v>
      </c>
      <c r="U2102" s="324">
        <f t="shared" si="790"/>
        <v>0</v>
      </c>
      <c r="V2102" s="676"/>
      <c r="W2102" s="528"/>
      <c r="X2102" s="529"/>
      <c r="Y2102" s="323"/>
      <c r="Z2102" s="312">
        <f t="shared" si="784"/>
        <v>0</v>
      </c>
      <c r="AA2102" s="316">
        <f t="shared" si="787"/>
        <v>0.25</v>
      </c>
    </row>
    <row r="2103" spans="1:27" ht="77.25" thickBot="1" x14ac:dyDescent="0.45">
      <c r="A2103" s="319" t="s">
        <v>724</v>
      </c>
      <c r="B2103" s="320" t="s">
        <v>1008</v>
      </c>
      <c r="C2103" s="528">
        <f>C190+C418+C646</f>
        <v>0</v>
      </c>
      <c r="D2103" s="528"/>
      <c r="E2103" s="460">
        <f>C2103*2</f>
        <v>0</v>
      </c>
      <c r="F2103" s="324">
        <f>E2103*1.03*0.84/147</f>
        <v>0</v>
      </c>
      <c r="G2103" s="537">
        <f t="shared" si="788"/>
        <v>0</v>
      </c>
      <c r="H2103" s="354" t="s">
        <v>18</v>
      </c>
      <c r="I2103" s="537">
        <f t="shared" si="789"/>
        <v>0</v>
      </c>
      <c r="J2103" s="354" t="s">
        <v>19</v>
      </c>
      <c r="K2103" s="324"/>
      <c r="L2103" s="324"/>
      <c r="M2103" s="324">
        <f>(F2103*5068/3456)</f>
        <v>0</v>
      </c>
      <c r="N2103" s="324"/>
      <c r="O2103" s="324"/>
      <c r="P2103" s="324"/>
      <c r="Q2103" s="324" t="s">
        <v>18</v>
      </c>
      <c r="R2103" s="324"/>
      <c r="S2103" s="324" t="s">
        <v>19</v>
      </c>
      <c r="T2103" s="528">
        <v>2</v>
      </c>
      <c r="U2103" s="324">
        <f t="shared" si="790"/>
        <v>0</v>
      </c>
      <c r="V2103" s="676"/>
      <c r="W2103" s="528"/>
      <c r="X2103" s="529"/>
      <c r="Y2103" s="323"/>
      <c r="Z2103" s="312">
        <f t="shared" si="784"/>
        <v>0</v>
      </c>
      <c r="AA2103" s="316">
        <f t="shared" si="787"/>
        <v>0.25</v>
      </c>
    </row>
    <row r="2104" spans="1:27" ht="77.25" thickBot="1" x14ac:dyDescent="0.45">
      <c r="A2104" s="319" t="s">
        <v>724</v>
      </c>
      <c r="B2104" s="320" t="s">
        <v>899</v>
      </c>
      <c r="C2104" s="586">
        <f>C191+C419+C647</f>
        <v>0</v>
      </c>
      <c r="D2104" s="528"/>
      <c r="E2104" s="456">
        <f>C2104*1</f>
        <v>0</v>
      </c>
      <c r="F2104" s="358">
        <f>E2104*1.01*0.756/147</f>
        <v>0</v>
      </c>
      <c r="G2104" s="548">
        <f t="shared" si="788"/>
        <v>0</v>
      </c>
      <c r="H2104" s="358" t="s">
        <v>18</v>
      </c>
      <c r="I2104" s="548">
        <f t="shared" si="789"/>
        <v>0</v>
      </c>
      <c r="J2104" s="358" t="s">
        <v>19</v>
      </c>
      <c r="K2104" s="358"/>
      <c r="L2104" s="358"/>
      <c r="M2104" s="358">
        <f>(F2104*6035/3456)</f>
        <v>0</v>
      </c>
      <c r="N2104" s="324"/>
      <c r="O2104" s="324"/>
      <c r="P2104" s="324"/>
      <c r="Q2104" s="324" t="s">
        <v>18</v>
      </c>
      <c r="R2104" s="324"/>
      <c r="S2104" s="324" t="s">
        <v>19</v>
      </c>
      <c r="T2104" s="528">
        <v>9</v>
      </c>
      <c r="U2104" s="324">
        <f t="shared" si="790"/>
        <v>0</v>
      </c>
      <c r="V2104" s="676"/>
      <c r="W2104" s="528"/>
      <c r="X2104" s="529"/>
      <c r="Y2104" s="323"/>
      <c r="Z2104" s="312">
        <f t="shared" si="784"/>
        <v>0</v>
      </c>
      <c r="AA2104" s="316">
        <f t="shared" si="787"/>
        <v>0.25</v>
      </c>
    </row>
    <row r="2105" spans="1:27" ht="102.75" thickBot="1" x14ac:dyDescent="0.45">
      <c r="A2105" s="319" t="s">
        <v>724</v>
      </c>
      <c r="B2105" s="320" t="s">
        <v>969</v>
      </c>
      <c r="C2105" s="528">
        <f>C220+C450+C680</f>
        <v>0</v>
      </c>
      <c r="D2105" s="548"/>
      <c r="E2105" s="456">
        <f>C2105*0.3</f>
        <v>0</v>
      </c>
      <c r="F2105" s="358">
        <f>E2105*1.03*0.84/147</f>
        <v>0</v>
      </c>
      <c r="G2105" s="549">
        <f>INT(M2105)</f>
        <v>0</v>
      </c>
      <c r="H2105" s="359" t="s">
        <v>18</v>
      </c>
      <c r="I2105" s="549">
        <f>(M2105-G2105)*64</f>
        <v>0</v>
      </c>
      <c r="J2105" s="359" t="s">
        <v>19</v>
      </c>
      <c r="K2105" s="358"/>
      <c r="L2105" s="358"/>
      <c r="M2105" s="358">
        <f>(F2105*5547/3456)</f>
        <v>0</v>
      </c>
      <c r="N2105" s="461"/>
      <c r="O2105" s="461"/>
      <c r="P2105" s="461"/>
      <c r="Q2105" s="324" t="s">
        <v>18</v>
      </c>
      <c r="R2105" s="324"/>
      <c r="S2105" s="324" t="s">
        <v>19</v>
      </c>
      <c r="T2105" s="528">
        <v>2</v>
      </c>
      <c r="U2105" s="324">
        <f t="shared" si="790"/>
        <v>0</v>
      </c>
      <c r="V2105" s="676"/>
      <c r="W2105" s="528"/>
      <c r="X2105" s="529"/>
      <c r="Y2105" s="323"/>
      <c r="Z2105" s="312">
        <f t="shared" si="784"/>
        <v>0</v>
      </c>
      <c r="AA2105" s="316">
        <f t="shared" si="787"/>
        <v>0.25</v>
      </c>
    </row>
    <row r="2106" spans="1:27" ht="102.75" thickBot="1" x14ac:dyDescent="0.45">
      <c r="A2106" s="319" t="s">
        <v>724</v>
      </c>
      <c r="B2106" s="343" t="s">
        <v>906</v>
      </c>
      <c r="C2106" s="528">
        <f>C216+C446+C676</f>
        <v>0</v>
      </c>
      <c r="D2106" s="548">
        <f>C2106*12</f>
        <v>0</v>
      </c>
      <c r="E2106" s="456">
        <f>D2106*0.5</f>
        <v>0</v>
      </c>
      <c r="F2106" s="358">
        <f>E2106*1.037*0.756/147</f>
        <v>0</v>
      </c>
      <c r="G2106" s="548">
        <f t="shared" si="788"/>
        <v>0</v>
      </c>
      <c r="H2106" s="358" t="s">
        <v>18</v>
      </c>
      <c r="I2106" s="548">
        <f t="shared" si="789"/>
        <v>0</v>
      </c>
      <c r="J2106" s="358" t="s">
        <v>19</v>
      </c>
      <c r="K2106" s="358"/>
      <c r="L2106" s="358"/>
      <c r="M2106" s="358">
        <f>(F2106*6760/3456)</f>
        <v>0</v>
      </c>
      <c r="N2106" s="324"/>
      <c r="O2106" s="324"/>
      <c r="P2106" s="324"/>
      <c r="Q2106" s="324" t="s">
        <v>18</v>
      </c>
      <c r="R2106" s="324"/>
      <c r="S2106" s="324" t="s">
        <v>19</v>
      </c>
      <c r="T2106" s="528">
        <v>5</v>
      </c>
      <c r="U2106" s="324">
        <f t="shared" si="790"/>
        <v>0</v>
      </c>
      <c r="V2106" s="676"/>
      <c r="W2106" s="528"/>
      <c r="X2106" s="529"/>
      <c r="Y2106" s="323"/>
      <c r="Z2106" s="312">
        <f t="shared" si="784"/>
        <v>0</v>
      </c>
      <c r="AA2106" s="316">
        <f>SUM(E2106/321.6+0.25)</f>
        <v>0.25</v>
      </c>
    </row>
    <row r="2107" spans="1:27" thickBot="1" x14ac:dyDescent="0.45">
      <c r="A2107" s="329"/>
      <c r="B2107" s="344"/>
      <c r="C2107" s="536"/>
      <c r="D2107" s="528"/>
      <c r="E2107" s="460"/>
      <c r="F2107" s="324"/>
      <c r="G2107" s="528"/>
      <c r="H2107" s="324"/>
      <c r="I2107" s="528"/>
      <c r="J2107" s="324"/>
      <c r="K2107" s="324"/>
      <c r="L2107" s="324"/>
      <c r="M2107" s="324"/>
      <c r="N2107" s="324"/>
      <c r="O2107" s="324"/>
      <c r="P2107" s="324"/>
      <c r="Q2107" s="324"/>
      <c r="R2107" s="324"/>
      <c r="S2107" s="324"/>
      <c r="T2107" s="528"/>
      <c r="U2107" s="324"/>
      <c r="V2107" s="676"/>
      <c r="W2107" s="528"/>
      <c r="X2107" s="529"/>
      <c r="Y2107" s="323"/>
    </row>
    <row r="2108" spans="1:27" thickBot="1" x14ac:dyDescent="0.45">
      <c r="A2108" s="329"/>
      <c r="B2108" s="344"/>
      <c r="C2108" s="536"/>
      <c r="D2108" s="528"/>
      <c r="E2108" s="460"/>
      <c r="F2108" s="324"/>
      <c r="G2108" s="528"/>
      <c r="H2108" s="324"/>
      <c r="I2108" s="528"/>
      <c r="J2108" s="324"/>
      <c r="K2108" s="324"/>
      <c r="L2108" s="324"/>
      <c r="M2108" s="324"/>
      <c r="N2108" s="324"/>
      <c r="O2108" s="324"/>
      <c r="P2108" s="324"/>
      <c r="Q2108" s="324"/>
      <c r="R2108" s="324"/>
      <c r="S2108" s="324"/>
      <c r="T2108" s="528"/>
      <c r="U2108" s="324"/>
      <c r="V2108" s="676"/>
      <c r="W2108" s="528"/>
      <c r="X2108" s="529"/>
      <c r="Y2108" s="323"/>
    </row>
    <row r="2109" spans="1:27" ht="53.25" thickBot="1" x14ac:dyDescent="0.45">
      <c r="A2109" s="319"/>
      <c r="B2109" s="401" t="s">
        <v>695</v>
      </c>
      <c r="C2109" s="537"/>
      <c r="D2109" s="537"/>
      <c r="E2109" s="496"/>
      <c r="F2109" s="354"/>
      <c r="G2109" s="537"/>
      <c r="H2109" s="354"/>
      <c r="I2109" s="537"/>
      <c r="J2109" s="354"/>
      <c r="K2109" s="354"/>
      <c r="L2109" s="354"/>
      <c r="M2109" s="354"/>
      <c r="N2109" s="354"/>
      <c r="O2109" s="354"/>
      <c r="P2109" s="354"/>
      <c r="Q2109" s="354"/>
      <c r="R2109" s="354"/>
      <c r="S2109" s="354"/>
      <c r="T2109" s="537"/>
      <c r="U2109" s="354"/>
      <c r="V2109" s="682" t="s">
        <v>696</v>
      </c>
      <c r="W2109" s="537"/>
      <c r="X2109" s="540"/>
      <c r="Y2109" s="323"/>
    </row>
    <row r="2110" spans="1:27" thickBot="1" x14ac:dyDescent="0.45">
      <c r="A2110" s="329"/>
      <c r="B2110" s="344"/>
      <c r="C2110" s="539"/>
      <c r="D2110" s="539"/>
      <c r="E2110" s="502"/>
      <c r="F2110" s="333"/>
      <c r="G2110" s="539"/>
      <c r="H2110" s="333"/>
      <c r="I2110" s="539"/>
      <c r="J2110" s="333"/>
      <c r="K2110" s="333"/>
      <c r="L2110" s="333"/>
      <c r="M2110" s="333"/>
      <c r="N2110" s="333"/>
      <c r="O2110" s="333"/>
      <c r="P2110" s="333"/>
      <c r="Q2110" s="333"/>
      <c r="R2110" s="333"/>
      <c r="S2110" s="333"/>
      <c r="T2110" s="539"/>
      <c r="U2110" s="333"/>
      <c r="V2110" s="681"/>
      <c r="W2110" s="539"/>
      <c r="X2110" s="333"/>
      <c r="Y2110" s="323"/>
    </row>
    <row r="2111" spans="1:27" thickBot="1" x14ac:dyDescent="0.45">
      <c r="A2111" s="319"/>
      <c r="B2111" s="346"/>
      <c r="C2111" s="539"/>
      <c r="D2111" s="539"/>
      <c r="E2111" s="502"/>
      <c r="F2111" s="333"/>
      <c r="G2111" s="539"/>
      <c r="H2111" s="333"/>
      <c r="I2111" s="539"/>
      <c r="J2111" s="333"/>
      <c r="K2111" s="333"/>
      <c r="L2111" s="333"/>
      <c r="M2111" s="333"/>
      <c r="N2111" s="333"/>
      <c r="O2111" s="333"/>
      <c r="P2111" s="333"/>
      <c r="Q2111" s="333"/>
      <c r="R2111" s="333"/>
      <c r="S2111" s="333"/>
      <c r="T2111" s="539"/>
      <c r="U2111" s="333"/>
      <c r="V2111" s="681"/>
      <c r="W2111" s="539"/>
      <c r="X2111" s="333"/>
      <c r="Y2111" s="323"/>
    </row>
    <row r="2112" spans="1:27" thickBot="1" x14ac:dyDescent="0.45">
      <c r="A2112" s="319"/>
      <c r="B2112" s="382" t="s">
        <v>147</v>
      </c>
      <c r="C2112" s="559"/>
      <c r="D2112" s="559"/>
      <c r="E2112" s="510">
        <f>E2085+E2093+E2094+E2095+E2096+E2097+E2098+E2099+E2100+E2101+E2102+E2103+E2104+E2105+E2106+E2091+E2092</f>
        <v>0</v>
      </c>
      <c r="F2112" s="333"/>
      <c r="G2112" s="539"/>
      <c r="H2112" s="333"/>
      <c r="I2112" s="539"/>
      <c r="J2112" s="333"/>
      <c r="K2112" s="333"/>
      <c r="L2112" s="333"/>
      <c r="M2112" s="333"/>
      <c r="N2112" s="333"/>
      <c r="O2112" s="333"/>
      <c r="P2112" s="333"/>
      <c r="Q2112" s="333"/>
      <c r="R2112" s="333"/>
      <c r="S2112" s="333"/>
      <c r="T2112" s="539"/>
      <c r="U2112" s="333"/>
      <c r="V2112" s="681"/>
      <c r="W2112" s="539"/>
      <c r="X2112" s="333"/>
      <c r="Y2112" s="323"/>
    </row>
    <row r="2113" spans="1:27" thickBot="1" x14ac:dyDescent="0.45">
      <c r="A2113" s="356"/>
      <c r="B2113" s="304" t="s">
        <v>1055</v>
      </c>
      <c r="C2113" s="590"/>
      <c r="D2113" s="590"/>
      <c r="E2113" s="504">
        <f>(E2112)*1.5%</f>
        <v>0</v>
      </c>
      <c r="F2113" s="399"/>
      <c r="G2113" s="572"/>
      <c r="H2113" s="399"/>
      <c r="I2113" s="572"/>
      <c r="J2113" s="399"/>
      <c r="K2113" s="399"/>
      <c r="L2113" s="399"/>
      <c r="M2113" s="399"/>
      <c r="N2113" s="399"/>
      <c r="O2113" s="399"/>
      <c r="P2113" s="399"/>
      <c r="Q2113" s="399"/>
      <c r="R2113" s="399"/>
      <c r="S2113" s="399"/>
      <c r="T2113" s="572"/>
      <c r="U2113" s="399"/>
      <c r="V2113" s="694"/>
      <c r="W2113" s="572"/>
      <c r="X2113" s="399"/>
      <c r="Y2113" s="396"/>
    </row>
    <row r="2114" spans="1:27" thickBot="1" x14ac:dyDescent="0.45">
      <c r="A2114" s="319"/>
      <c r="B2114" s="357"/>
      <c r="C2114" s="539"/>
      <c r="D2114" s="539"/>
      <c r="E2114" s="502"/>
      <c r="F2114" s="333"/>
      <c r="G2114" s="539"/>
      <c r="H2114" s="333"/>
      <c r="I2114" s="539"/>
      <c r="J2114" s="333"/>
      <c r="K2114" s="333"/>
      <c r="L2114" s="333"/>
      <c r="M2114" s="333"/>
      <c r="N2114" s="333"/>
      <c r="O2114" s="333"/>
      <c r="P2114" s="333"/>
      <c r="Q2114" s="333"/>
      <c r="R2114" s="333"/>
      <c r="S2114" s="333"/>
      <c r="T2114" s="539"/>
      <c r="U2114" s="333"/>
      <c r="V2114" s="681"/>
      <c r="W2114" s="539"/>
      <c r="X2114" s="333"/>
      <c r="Y2114" s="323"/>
    </row>
    <row r="2115" spans="1:27" thickBot="1" x14ac:dyDescent="0.45">
      <c r="A2115" s="319"/>
      <c r="B2115" s="357"/>
      <c r="C2115" s="539"/>
      <c r="D2115" s="539"/>
      <c r="E2115" s="502"/>
      <c r="F2115" s="333"/>
      <c r="G2115" s="539"/>
      <c r="H2115" s="333"/>
      <c r="I2115" s="539"/>
      <c r="J2115" s="333"/>
      <c r="K2115" s="333"/>
      <c r="L2115" s="333"/>
      <c r="M2115" s="333"/>
      <c r="N2115" s="333"/>
      <c r="O2115" s="333"/>
      <c r="P2115" s="333"/>
      <c r="Q2115" s="333"/>
      <c r="R2115" s="333"/>
      <c r="S2115" s="333"/>
      <c r="T2115" s="539"/>
      <c r="U2115" s="333"/>
      <c r="V2115" s="681"/>
      <c r="W2115" s="539"/>
      <c r="X2115" s="333"/>
      <c r="Y2115" s="400"/>
    </row>
    <row r="2116" spans="1:27" thickBot="1" x14ac:dyDescent="0.45">
      <c r="A2116" s="829"/>
      <c r="B2116" s="303" t="s">
        <v>139</v>
      </c>
      <c r="C2116" s="537"/>
      <c r="D2116" s="537"/>
      <c r="E2116" s="496"/>
      <c r="F2116" s="354"/>
      <c r="G2116" s="537"/>
      <c r="H2116" s="354"/>
      <c r="I2116" s="537"/>
      <c r="J2116" s="354"/>
      <c r="K2116" s="354"/>
      <c r="L2116" s="354"/>
      <c r="M2116" s="354"/>
      <c r="N2116" s="354"/>
      <c r="O2116" s="354"/>
      <c r="P2116" s="354"/>
      <c r="Q2116" s="354"/>
      <c r="R2116" s="354"/>
      <c r="S2116" s="354"/>
      <c r="T2116" s="537"/>
      <c r="U2116" s="354"/>
      <c r="V2116" s="682"/>
      <c r="W2116" s="354"/>
      <c r="X2116" s="540"/>
      <c r="Y2116" s="301"/>
      <c r="AA2116" s="391" t="s">
        <v>679</v>
      </c>
    </row>
    <row r="2117" spans="1:27" thickBot="1" x14ac:dyDescent="0.45">
      <c r="A2117" s="830"/>
      <c r="B2117" s="395" t="s">
        <v>294</v>
      </c>
      <c r="C2117" s="528"/>
      <c r="D2117" s="528"/>
      <c r="E2117" s="460"/>
      <c r="F2117" s="324"/>
      <c r="G2117" s="528"/>
      <c r="H2117" s="324"/>
      <c r="I2117" s="528"/>
      <c r="J2117" s="324"/>
      <c r="K2117" s="324"/>
      <c r="L2117" s="324"/>
      <c r="M2117" s="324"/>
      <c r="N2117" s="324"/>
      <c r="O2117" s="324"/>
      <c r="P2117" s="324"/>
      <c r="Q2117" s="324"/>
      <c r="R2117" s="324"/>
      <c r="S2117" s="324"/>
      <c r="T2117" s="528"/>
      <c r="U2117" s="324"/>
      <c r="V2117" s="676"/>
      <c r="W2117" s="324"/>
      <c r="X2117" s="529"/>
      <c r="Y2117" s="323"/>
    </row>
    <row r="2118" spans="1:27" ht="77.25" outlineLevel="1" thickBot="1" x14ac:dyDescent="0.45">
      <c r="A2118" s="319" t="s">
        <v>729</v>
      </c>
      <c r="B2118" s="462" t="s">
        <v>983</v>
      </c>
      <c r="C2118" s="525">
        <f t="shared" ref="C2118:C2123" si="791">C2187</f>
        <v>0</v>
      </c>
      <c r="D2118" s="526">
        <f t="shared" ref="D2118:D2123" si="792">C2118*5</f>
        <v>0</v>
      </c>
      <c r="E2118" s="527">
        <f t="shared" ref="E2118:E2123" si="793">D2118*0.5</f>
        <v>0</v>
      </c>
      <c r="F2118" s="463">
        <f t="shared" ref="F2118:F2123" si="794">E2118*0.76*1.034/20</f>
        <v>0</v>
      </c>
      <c r="G2118" s="526">
        <f t="shared" ref="G2118:G2125" si="795">INT(M2118)</f>
        <v>0</v>
      </c>
      <c r="H2118" s="463" t="s">
        <v>18</v>
      </c>
      <c r="I2118" s="526">
        <f t="shared" ref="I2118:I2125" si="796">(M2118-G2118)*64</f>
        <v>0</v>
      </c>
      <c r="J2118" s="463" t="s">
        <v>19</v>
      </c>
      <c r="K2118" s="463"/>
      <c r="L2118" s="463"/>
      <c r="M2118" s="463">
        <f t="shared" ref="M2118:M2123" si="797">F2118*1008/8064</f>
        <v>0</v>
      </c>
      <c r="N2118" s="463"/>
      <c r="O2118" s="463"/>
      <c r="P2118" s="463"/>
      <c r="Q2118" s="321" t="s">
        <v>18</v>
      </c>
      <c r="R2118" s="321"/>
      <c r="S2118" s="321" t="s">
        <v>19</v>
      </c>
      <c r="T2118" s="528">
        <v>4</v>
      </c>
      <c r="U2118" s="324">
        <f t="shared" ref="U2118:U2123" si="798">E2118/272*60</f>
        <v>0</v>
      </c>
      <c r="V2118" s="676"/>
      <c r="W2118" s="528"/>
      <c r="X2118" s="529"/>
      <c r="Y2118" s="323"/>
      <c r="Z2118" s="312">
        <f t="shared" ref="Z2118:Z2140" si="799">E2118</f>
        <v>0</v>
      </c>
      <c r="AA2118" s="416">
        <f t="shared" ref="AA2118:AA2123" si="800">SUM(Z2118/80+0.25)</f>
        <v>0.25</v>
      </c>
    </row>
    <row r="2119" spans="1:27" ht="77.25" outlineLevel="1" thickBot="1" x14ac:dyDescent="0.45">
      <c r="A2119" s="319" t="s">
        <v>729</v>
      </c>
      <c r="B2119" s="462" t="s">
        <v>984</v>
      </c>
      <c r="C2119" s="525">
        <f t="shared" si="791"/>
        <v>0</v>
      </c>
      <c r="D2119" s="526">
        <f t="shared" si="792"/>
        <v>0</v>
      </c>
      <c r="E2119" s="527">
        <f t="shared" si="793"/>
        <v>0</v>
      </c>
      <c r="F2119" s="463">
        <f t="shared" si="794"/>
        <v>0</v>
      </c>
      <c r="G2119" s="526">
        <f t="shared" si="795"/>
        <v>0</v>
      </c>
      <c r="H2119" s="463" t="s">
        <v>18</v>
      </c>
      <c r="I2119" s="526">
        <f t="shared" si="796"/>
        <v>0</v>
      </c>
      <c r="J2119" s="463" t="s">
        <v>19</v>
      </c>
      <c r="K2119" s="463"/>
      <c r="L2119" s="463"/>
      <c r="M2119" s="463">
        <f t="shared" si="797"/>
        <v>0</v>
      </c>
      <c r="N2119" s="463"/>
      <c r="O2119" s="463"/>
      <c r="P2119" s="463"/>
      <c r="Q2119" s="321" t="s">
        <v>18</v>
      </c>
      <c r="R2119" s="321"/>
      <c r="S2119" s="321" t="s">
        <v>19</v>
      </c>
      <c r="T2119" s="528">
        <v>4</v>
      </c>
      <c r="U2119" s="324">
        <f t="shared" si="798"/>
        <v>0</v>
      </c>
      <c r="V2119" s="676"/>
      <c r="W2119" s="528"/>
      <c r="X2119" s="529"/>
      <c r="Y2119" s="323"/>
      <c r="Z2119" s="312">
        <f t="shared" si="799"/>
        <v>0</v>
      </c>
      <c r="AA2119" s="416">
        <f t="shared" si="800"/>
        <v>0.25</v>
      </c>
    </row>
    <row r="2120" spans="1:27" ht="77.25" outlineLevel="1" thickBot="1" x14ac:dyDescent="0.45">
      <c r="A2120" s="319" t="s">
        <v>729</v>
      </c>
      <c r="B2120" s="462" t="s">
        <v>985</v>
      </c>
      <c r="C2120" s="525">
        <f t="shared" si="791"/>
        <v>0</v>
      </c>
      <c r="D2120" s="526">
        <f t="shared" si="792"/>
        <v>0</v>
      </c>
      <c r="E2120" s="527">
        <f t="shared" si="793"/>
        <v>0</v>
      </c>
      <c r="F2120" s="463">
        <f t="shared" si="794"/>
        <v>0</v>
      </c>
      <c r="G2120" s="526">
        <f t="shared" si="795"/>
        <v>0</v>
      </c>
      <c r="H2120" s="463" t="s">
        <v>18</v>
      </c>
      <c r="I2120" s="526">
        <f t="shared" si="796"/>
        <v>0</v>
      </c>
      <c r="J2120" s="463" t="s">
        <v>19</v>
      </c>
      <c r="K2120" s="463"/>
      <c r="L2120" s="463"/>
      <c r="M2120" s="463">
        <f t="shared" si="797"/>
        <v>0</v>
      </c>
      <c r="N2120" s="463"/>
      <c r="O2120" s="463"/>
      <c r="P2120" s="463"/>
      <c r="Q2120" s="321" t="s">
        <v>18</v>
      </c>
      <c r="R2120" s="321"/>
      <c r="S2120" s="321" t="s">
        <v>19</v>
      </c>
      <c r="T2120" s="528">
        <v>4</v>
      </c>
      <c r="U2120" s="324">
        <f t="shared" si="798"/>
        <v>0</v>
      </c>
      <c r="V2120" s="676"/>
      <c r="W2120" s="528"/>
      <c r="X2120" s="529"/>
      <c r="Y2120" s="323"/>
      <c r="Z2120" s="312">
        <f t="shared" si="799"/>
        <v>0</v>
      </c>
      <c r="AA2120" s="416">
        <f t="shared" si="800"/>
        <v>0.25</v>
      </c>
    </row>
    <row r="2121" spans="1:27" ht="102.75" thickBot="1" x14ac:dyDescent="0.45">
      <c r="A2121" s="319" t="s">
        <v>729</v>
      </c>
      <c r="B2121" s="462" t="s">
        <v>1018</v>
      </c>
      <c r="C2121" s="525">
        <f t="shared" si="791"/>
        <v>0</v>
      </c>
      <c r="D2121" s="526">
        <f t="shared" si="792"/>
        <v>0</v>
      </c>
      <c r="E2121" s="527">
        <f t="shared" si="793"/>
        <v>0</v>
      </c>
      <c r="F2121" s="463">
        <f t="shared" si="794"/>
        <v>0</v>
      </c>
      <c r="G2121" s="526">
        <f t="shared" si="795"/>
        <v>0</v>
      </c>
      <c r="H2121" s="463" t="s">
        <v>18</v>
      </c>
      <c r="I2121" s="526">
        <f t="shared" si="796"/>
        <v>0</v>
      </c>
      <c r="J2121" s="463" t="s">
        <v>19</v>
      </c>
      <c r="K2121" s="463"/>
      <c r="L2121" s="463"/>
      <c r="M2121" s="463">
        <f t="shared" si="797"/>
        <v>0</v>
      </c>
      <c r="N2121" s="463"/>
      <c r="O2121" s="463"/>
      <c r="P2121" s="463"/>
      <c r="Q2121" s="321" t="s">
        <v>18</v>
      </c>
      <c r="R2121" s="321"/>
      <c r="S2121" s="321" t="s">
        <v>19</v>
      </c>
      <c r="T2121" s="528">
        <v>4</v>
      </c>
      <c r="U2121" s="324">
        <f t="shared" si="798"/>
        <v>0</v>
      </c>
      <c r="V2121" s="676"/>
      <c r="W2121" s="528"/>
      <c r="X2121" s="529"/>
      <c r="Y2121" s="360"/>
      <c r="Z2121" s="312">
        <f t="shared" si="799"/>
        <v>0</v>
      </c>
      <c r="AA2121" s="416">
        <f t="shared" si="800"/>
        <v>0.25</v>
      </c>
    </row>
    <row r="2122" spans="1:27" ht="102.75" thickBot="1" x14ac:dyDescent="0.45">
      <c r="A2122" s="319" t="s">
        <v>729</v>
      </c>
      <c r="B2122" s="462" t="s">
        <v>1019</v>
      </c>
      <c r="C2122" s="525">
        <f t="shared" si="791"/>
        <v>0</v>
      </c>
      <c r="D2122" s="526">
        <f t="shared" si="792"/>
        <v>0</v>
      </c>
      <c r="E2122" s="527">
        <f t="shared" si="793"/>
        <v>0</v>
      </c>
      <c r="F2122" s="463">
        <f t="shared" si="794"/>
        <v>0</v>
      </c>
      <c r="G2122" s="526">
        <f t="shared" si="795"/>
        <v>0</v>
      </c>
      <c r="H2122" s="463" t="s">
        <v>18</v>
      </c>
      <c r="I2122" s="526">
        <f t="shared" si="796"/>
        <v>0</v>
      </c>
      <c r="J2122" s="463" t="s">
        <v>19</v>
      </c>
      <c r="K2122" s="463"/>
      <c r="L2122" s="463"/>
      <c r="M2122" s="463">
        <f t="shared" si="797"/>
        <v>0</v>
      </c>
      <c r="N2122" s="463"/>
      <c r="O2122" s="463"/>
      <c r="P2122" s="463"/>
      <c r="Q2122" s="321" t="s">
        <v>18</v>
      </c>
      <c r="R2122" s="321"/>
      <c r="S2122" s="321" t="s">
        <v>19</v>
      </c>
      <c r="T2122" s="528">
        <v>4</v>
      </c>
      <c r="U2122" s="324">
        <f t="shared" si="798"/>
        <v>0</v>
      </c>
      <c r="V2122" s="676"/>
      <c r="W2122" s="528"/>
      <c r="X2122" s="529"/>
      <c r="Y2122" s="360"/>
      <c r="Z2122" s="312">
        <f t="shared" si="799"/>
        <v>0</v>
      </c>
      <c r="AA2122" s="416">
        <f t="shared" si="800"/>
        <v>0.25</v>
      </c>
    </row>
    <row r="2123" spans="1:27" ht="102.75" thickBot="1" x14ac:dyDescent="0.45">
      <c r="A2123" s="319" t="s">
        <v>729</v>
      </c>
      <c r="B2123" s="462" t="s">
        <v>1020</v>
      </c>
      <c r="C2123" s="525">
        <f t="shared" si="791"/>
        <v>0</v>
      </c>
      <c r="D2123" s="526">
        <f t="shared" si="792"/>
        <v>0</v>
      </c>
      <c r="E2123" s="527">
        <f t="shared" si="793"/>
        <v>0</v>
      </c>
      <c r="F2123" s="463">
        <f t="shared" si="794"/>
        <v>0</v>
      </c>
      <c r="G2123" s="526">
        <f t="shared" si="795"/>
        <v>0</v>
      </c>
      <c r="H2123" s="463" t="s">
        <v>18</v>
      </c>
      <c r="I2123" s="526">
        <f t="shared" si="796"/>
        <v>0</v>
      </c>
      <c r="J2123" s="463" t="s">
        <v>19</v>
      </c>
      <c r="K2123" s="463"/>
      <c r="L2123" s="463"/>
      <c r="M2123" s="463">
        <f t="shared" si="797"/>
        <v>0</v>
      </c>
      <c r="N2123" s="463"/>
      <c r="O2123" s="463"/>
      <c r="P2123" s="463"/>
      <c r="Q2123" s="321" t="s">
        <v>18</v>
      </c>
      <c r="R2123" s="321"/>
      <c r="S2123" s="321" t="s">
        <v>19</v>
      </c>
      <c r="T2123" s="528">
        <v>4</v>
      </c>
      <c r="U2123" s="324">
        <f t="shared" si="798"/>
        <v>0</v>
      </c>
      <c r="V2123" s="676"/>
      <c r="W2123" s="528"/>
      <c r="X2123" s="529"/>
      <c r="Y2123" s="360"/>
      <c r="Z2123" s="312">
        <f t="shared" si="799"/>
        <v>0</v>
      </c>
      <c r="AA2123" s="416">
        <f t="shared" si="800"/>
        <v>0.25</v>
      </c>
    </row>
    <row r="2124" spans="1:27" ht="77.25" thickBot="1" x14ac:dyDescent="0.45">
      <c r="A2124" s="319" t="s">
        <v>729</v>
      </c>
      <c r="B2124" s="320" t="s">
        <v>986</v>
      </c>
      <c r="C2124" s="528">
        <f>C2194</f>
        <v>0</v>
      </c>
      <c r="D2124" s="533">
        <f>C2124*12</f>
        <v>0</v>
      </c>
      <c r="E2124" s="534">
        <f>D2124*0.25</f>
        <v>0</v>
      </c>
      <c r="F2124" s="321">
        <f>E2124*0.8*1/20</f>
        <v>0</v>
      </c>
      <c r="G2124" s="533">
        <f t="shared" si="795"/>
        <v>0</v>
      </c>
      <c r="H2124" s="321" t="s">
        <v>18</v>
      </c>
      <c r="I2124" s="533">
        <f t="shared" si="796"/>
        <v>0</v>
      </c>
      <c r="J2124" s="321" t="s">
        <v>19</v>
      </c>
      <c r="K2124" s="321"/>
      <c r="L2124" s="321"/>
      <c r="M2124" s="321">
        <f>F2124*2016/16128</f>
        <v>0</v>
      </c>
      <c r="N2124" s="321"/>
      <c r="O2124" s="321"/>
      <c r="P2124" s="321"/>
      <c r="Q2124" s="321" t="s">
        <v>18</v>
      </c>
      <c r="R2124" s="321"/>
      <c r="S2124" s="321" t="s">
        <v>19</v>
      </c>
      <c r="T2124" s="528">
        <v>4</v>
      </c>
      <c r="U2124" s="324"/>
      <c r="V2124" s="676"/>
      <c r="W2124" s="528"/>
      <c r="X2124" s="529"/>
      <c r="Y2124" s="323"/>
      <c r="Z2124" s="312">
        <f t="shared" si="799"/>
        <v>0</v>
      </c>
      <c r="AA2124" s="416">
        <f>SUM(Z2124/80+0.25)</f>
        <v>0.25</v>
      </c>
    </row>
    <row r="2125" spans="1:27" ht="77.25" thickBot="1" x14ac:dyDescent="0.45">
      <c r="A2125" s="319" t="s">
        <v>729</v>
      </c>
      <c r="B2125" s="320" t="s">
        <v>987</v>
      </c>
      <c r="C2125" s="528">
        <f>C2195</f>
        <v>0</v>
      </c>
      <c r="D2125" s="533">
        <f>C2125*12</f>
        <v>0</v>
      </c>
      <c r="E2125" s="534">
        <f>D2125*0.25</f>
        <v>0</v>
      </c>
      <c r="F2125" s="321">
        <f>E2125*0.8*1/20</f>
        <v>0</v>
      </c>
      <c r="G2125" s="533">
        <f t="shared" si="795"/>
        <v>0</v>
      </c>
      <c r="H2125" s="321" t="s">
        <v>18</v>
      </c>
      <c r="I2125" s="533">
        <f t="shared" si="796"/>
        <v>0</v>
      </c>
      <c r="J2125" s="321" t="s">
        <v>19</v>
      </c>
      <c r="K2125" s="321"/>
      <c r="L2125" s="321"/>
      <c r="M2125" s="321">
        <f>F2125*2016/16128</f>
        <v>0</v>
      </c>
      <c r="N2125" s="321"/>
      <c r="O2125" s="321"/>
      <c r="P2125" s="321"/>
      <c r="Q2125" s="321" t="s">
        <v>18</v>
      </c>
      <c r="R2125" s="321"/>
      <c r="S2125" s="321" t="s">
        <v>19</v>
      </c>
      <c r="T2125" s="528">
        <v>4</v>
      </c>
      <c r="U2125" s="324"/>
      <c r="V2125" s="676"/>
      <c r="W2125" s="528"/>
      <c r="X2125" s="529"/>
      <c r="Y2125" s="323"/>
      <c r="Z2125" s="312">
        <f t="shared" si="799"/>
        <v>0</v>
      </c>
      <c r="AA2125" s="416">
        <f>SUM(Z2125/80+0.25)</f>
        <v>0.25</v>
      </c>
    </row>
    <row r="2126" spans="1:27" ht="77.25" thickBot="1" x14ac:dyDescent="0.45">
      <c r="A2126" s="319" t="s">
        <v>729</v>
      </c>
      <c r="B2126" s="320" t="s">
        <v>609</v>
      </c>
      <c r="C2126" s="586">
        <f>C1919</f>
        <v>0</v>
      </c>
      <c r="D2126" s="533"/>
      <c r="E2126" s="534">
        <f t="shared" ref="E2126:E2131" si="801">C2126*2</f>
        <v>0</v>
      </c>
      <c r="F2126" s="321">
        <f t="shared" ref="F2126:F2131" si="802">E2126*0.76*1.034/20</f>
        <v>0</v>
      </c>
      <c r="G2126" s="533">
        <f t="shared" ref="G2126:G2131" si="803">INT(M2126)</f>
        <v>0</v>
      </c>
      <c r="H2126" s="321" t="s">
        <v>18</v>
      </c>
      <c r="I2126" s="533">
        <f t="shared" ref="I2126:I2133" si="804">(M2126-G2126)*64</f>
        <v>0</v>
      </c>
      <c r="J2126" s="321" t="s">
        <v>19</v>
      </c>
      <c r="K2126" s="324"/>
      <c r="L2126" s="324"/>
      <c r="M2126" s="321">
        <f>F2126*1008/8064</f>
        <v>0</v>
      </c>
      <c r="N2126" s="324"/>
      <c r="O2126" s="324"/>
      <c r="P2126" s="324"/>
      <c r="Q2126" s="324" t="s">
        <v>18</v>
      </c>
      <c r="R2126" s="324"/>
      <c r="S2126" s="324" t="s">
        <v>19</v>
      </c>
      <c r="T2126" s="528">
        <v>4</v>
      </c>
      <c r="U2126" s="324">
        <f>E2126/272*60</f>
        <v>0</v>
      </c>
      <c r="V2126" s="676"/>
      <c r="W2126" s="528"/>
      <c r="X2126" s="529"/>
      <c r="Y2126" s="323"/>
      <c r="Z2126" s="312">
        <f t="shared" si="799"/>
        <v>0</v>
      </c>
      <c r="AA2126" s="316">
        <f>SUM(Z2126/103+0.25)</f>
        <v>0.25</v>
      </c>
    </row>
    <row r="2127" spans="1:27" ht="77.25" thickBot="1" x14ac:dyDescent="0.45">
      <c r="A2127" s="319" t="s">
        <v>729</v>
      </c>
      <c r="B2127" s="320" t="s">
        <v>610</v>
      </c>
      <c r="C2127" s="586">
        <f>C1920</f>
        <v>0</v>
      </c>
      <c r="D2127" s="533"/>
      <c r="E2127" s="534">
        <f t="shared" si="801"/>
        <v>0</v>
      </c>
      <c r="F2127" s="321">
        <f t="shared" si="802"/>
        <v>0</v>
      </c>
      <c r="G2127" s="533">
        <f t="shared" si="803"/>
        <v>0</v>
      </c>
      <c r="H2127" s="321" t="s">
        <v>18</v>
      </c>
      <c r="I2127" s="533">
        <f t="shared" si="804"/>
        <v>0</v>
      </c>
      <c r="J2127" s="321" t="s">
        <v>19</v>
      </c>
      <c r="K2127" s="324"/>
      <c r="L2127" s="324"/>
      <c r="M2127" s="321">
        <f>F2127*1008/8064</f>
        <v>0</v>
      </c>
      <c r="N2127" s="324"/>
      <c r="O2127" s="324"/>
      <c r="P2127" s="324"/>
      <c r="Q2127" s="324" t="s">
        <v>18</v>
      </c>
      <c r="R2127" s="324"/>
      <c r="S2127" s="324" t="s">
        <v>19</v>
      </c>
      <c r="T2127" s="528">
        <v>4</v>
      </c>
      <c r="U2127" s="324">
        <f>E2127/272*60</f>
        <v>0</v>
      </c>
      <c r="V2127" s="676"/>
      <c r="W2127" s="528"/>
      <c r="X2127" s="529"/>
      <c r="Y2127" s="323"/>
      <c r="Z2127" s="312">
        <f t="shared" si="799"/>
        <v>0</v>
      </c>
      <c r="AA2127" s="316">
        <f>SUM(Z2127/103+0.25)</f>
        <v>0.25</v>
      </c>
    </row>
    <row r="2128" spans="1:27" thickBot="1" x14ac:dyDescent="0.45">
      <c r="A2128" s="319" t="s">
        <v>729</v>
      </c>
      <c r="B2128" s="320" t="s">
        <v>742</v>
      </c>
      <c r="C2128" s="586">
        <f>C1921</f>
        <v>0</v>
      </c>
      <c r="D2128" s="533"/>
      <c r="E2128" s="534">
        <f t="shared" si="801"/>
        <v>0</v>
      </c>
      <c r="F2128" s="321">
        <f t="shared" si="802"/>
        <v>0</v>
      </c>
      <c r="G2128" s="533">
        <f t="shared" si="803"/>
        <v>0</v>
      </c>
      <c r="H2128" s="321" t="s">
        <v>18</v>
      </c>
      <c r="I2128" s="533">
        <f t="shared" si="804"/>
        <v>0</v>
      </c>
      <c r="J2128" s="321" t="s">
        <v>19</v>
      </c>
      <c r="K2128" s="324"/>
      <c r="L2128" s="324"/>
      <c r="M2128" s="321">
        <f>F2128*1008/8064</f>
        <v>0</v>
      </c>
      <c r="N2128" s="324"/>
      <c r="O2128" s="324"/>
      <c r="P2128" s="324"/>
      <c r="Q2128" s="324" t="s">
        <v>18</v>
      </c>
      <c r="R2128" s="324"/>
      <c r="S2128" s="324" t="s">
        <v>19</v>
      </c>
      <c r="T2128" s="528">
        <v>4</v>
      </c>
      <c r="U2128" s="324">
        <f>E2128/272*60</f>
        <v>0</v>
      </c>
      <c r="V2128" s="676"/>
      <c r="W2128" s="528"/>
      <c r="X2128" s="529"/>
      <c r="Y2128" s="323"/>
      <c r="Z2128" s="312">
        <f t="shared" si="799"/>
        <v>0</v>
      </c>
      <c r="AA2128" s="316">
        <f>SUM(Z2128/103+0.25)</f>
        <v>0.25</v>
      </c>
    </row>
    <row r="2129" spans="1:28" ht="77.25" thickBot="1" x14ac:dyDescent="0.45">
      <c r="A2129" s="319" t="s">
        <v>729</v>
      </c>
      <c r="B2129" s="320" t="s">
        <v>1080</v>
      </c>
      <c r="C2129" s="586">
        <f>C2193</f>
        <v>0</v>
      </c>
      <c r="D2129" s="533"/>
      <c r="E2129" s="534">
        <f>C2129*2</f>
        <v>0</v>
      </c>
      <c r="F2129" s="321">
        <f>E2129*0.76*1.034/20</f>
        <v>0</v>
      </c>
      <c r="G2129" s="533">
        <f>INT(M2129)</f>
        <v>0</v>
      </c>
      <c r="H2129" s="321" t="s">
        <v>18</v>
      </c>
      <c r="I2129" s="533">
        <f>(M2129-G2129)*64</f>
        <v>0</v>
      </c>
      <c r="J2129" s="321" t="s">
        <v>19</v>
      </c>
      <c r="K2129" s="324"/>
      <c r="L2129" s="324"/>
      <c r="M2129" s="321">
        <f>F2129*1008/8064</f>
        <v>0</v>
      </c>
      <c r="N2129" s="324"/>
      <c r="O2129" s="324"/>
      <c r="P2129" s="324"/>
      <c r="Q2129" s="324" t="s">
        <v>18</v>
      </c>
      <c r="R2129" s="324"/>
      <c r="S2129" s="324" t="s">
        <v>19</v>
      </c>
      <c r="T2129" s="528">
        <v>4</v>
      </c>
      <c r="U2129" s="324">
        <f>E2129/272*60</f>
        <v>0</v>
      </c>
      <c r="V2129" s="676"/>
      <c r="W2129" s="528"/>
      <c r="X2129" s="529"/>
      <c r="Y2129" s="323"/>
      <c r="Z2129" s="312">
        <f>E2129</f>
        <v>0</v>
      </c>
      <c r="AA2129" s="316">
        <f>SUM(Z2129/80+0.25)</f>
        <v>0.25</v>
      </c>
    </row>
    <row r="2130" spans="1:28" ht="51.75" thickBot="1" x14ac:dyDescent="0.45">
      <c r="A2130" s="319" t="s">
        <v>729</v>
      </c>
      <c r="B2130" s="320" t="s">
        <v>611</v>
      </c>
      <c r="C2130" s="586">
        <f>C1923</f>
        <v>0</v>
      </c>
      <c r="D2130" s="533"/>
      <c r="E2130" s="534">
        <f t="shared" si="801"/>
        <v>0</v>
      </c>
      <c r="F2130" s="321">
        <f t="shared" si="802"/>
        <v>0</v>
      </c>
      <c r="G2130" s="533">
        <f t="shared" si="803"/>
        <v>0</v>
      </c>
      <c r="H2130" s="321" t="s">
        <v>18</v>
      </c>
      <c r="I2130" s="533">
        <f t="shared" si="804"/>
        <v>0</v>
      </c>
      <c r="J2130" s="321" t="s">
        <v>19</v>
      </c>
      <c r="K2130" s="324"/>
      <c r="L2130" s="324"/>
      <c r="M2130" s="321">
        <f>F2130*1008/8064</f>
        <v>0</v>
      </c>
      <c r="N2130" s="324"/>
      <c r="O2130" s="324"/>
      <c r="P2130" s="324"/>
      <c r="Q2130" s="324" t="s">
        <v>18</v>
      </c>
      <c r="R2130" s="324"/>
      <c r="S2130" s="324" t="s">
        <v>19</v>
      </c>
      <c r="T2130" s="528">
        <v>4</v>
      </c>
      <c r="U2130" s="324">
        <f>E2130/272*60</f>
        <v>0</v>
      </c>
      <c r="V2130" s="676"/>
      <c r="W2130" s="528"/>
      <c r="X2130" s="529"/>
      <c r="Y2130" s="323"/>
      <c r="Z2130" s="312">
        <f t="shared" si="799"/>
        <v>0</v>
      </c>
      <c r="AA2130" s="316">
        <f>SUM(Z2130/103+0.25)</f>
        <v>0.25</v>
      </c>
    </row>
    <row r="2131" spans="1:28" ht="51.75" thickBot="1" x14ac:dyDescent="0.45">
      <c r="A2131" s="319" t="s">
        <v>729</v>
      </c>
      <c r="B2131" s="320" t="s">
        <v>612</v>
      </c>
      <c r="C2131" s="586">
        <f>C1924</f>
        <v>0</v>
      </c>
      <c r="D2131" s="528"/>
      <c r="E2131" s="460">
        <f t="shared" si="801"/>
        <v>0</v>
      </c>
      <c r="F2131" s="324">
        <f t="shared" si="802"/>
        <v>0</v>
      </c>
      <c r="G2131" s="528">
        <f t="shared" si="803"/>
        <v>0</v>
      </c>
      <c r="H2131" s="324" t="s">
        <v>18</v>
      </c>
      <c r="I2131" s="528">
        <f t="shared" si="804"/>
        <v>0</v>
      </c>
      <c r="J2131" s="324" t="s">
        <v>19</v>
      </c>
      <c r="K2131" s="324"/>
      <c r="L2131" s="324"/>
      <c r="M2131" s="324">
        <f>F2131*2016/16128</f>
        <v>0</v>
      </c>
      <c r="N2131" s="324"/>
      <c r="O2131" s="324"/>
      <c r="P2131" s="324"/>
      <c r="Q2131" s="324" t="s">
        <v>18</v>
      </c>
      <c r="R2131" s="324"/>
      <c r="S2131" s="324" t="s">
        <v>19</v>
      </c>
      <c r="T2131" s="528">
        <v>4</v>
      </c>
      <c r="U2131" s="333"/>
      <c r="V2131" s="676"/>
      <c r="W2131" s="528"/>
      <c r="X2131" s="529"/>
      <c r="Y2131" s="323"/>
      <c r="Z2131" s="312">
        <f t="shared" si="799"/>
        <v>0</v>
      </c>
      <c r="AA2131" s="316">
        <f>SUM(Z2131/103+0.25)</f>
        <v>0.25</v>
      </c>
    </row>
    <row r="2132" spans="1:28" s="453" customFormat="1" ht="51.75" thickBot="1" x14ac:dyDescent="0.45">
      <c r="A2132" s="319" t="s">
        <v>729</v>
      </c>
      <c r="B2132" s="487" t="s">
        <v>1044</v>
      </c>
      <c r="C2132" s="525">
        <f>C1925+C1635</f>
        <v>0</v>
      </c>
      <c r="D2132" s="626"/>
      <c r="E2132" s="358">
        <f>C2132*2</f>
        <v>0</v>
      </c>
      <c r="F2132" s="627">
        <f>E2132*1.03*0.82/147</f>
        <v>0</v>
      </c>
      <c r="G2132" s="628">
        <f t="shared" ref="G2132:G2141" si="805">INT(M2132)</f>
        <v>0</v>
      </c>
      <c r="H2132" s="359"/>
      <c r="I2132" s="628">
        <f t="shared" si="804"/>
        <v>0</v>
      </c>
      <c r="J2132" s="629" t="s">
        <v>19</v>
      </c>
      <c r="K2132" s="630"/>
      <c r="L2132" s="630"/>
      <c r="M2132" s="627">
        <f>F2132*147/0.46/64</f>
        <v>0</v>
      </c>
      <c r="N2132" s="631"/>
      <c r="O2132" s="631"/>
      <c r="P2132" s="631"/>
      <c r="Q2132" s="324" t="s">
        <v>18</v>
      </c>
      <c r="R2132" s="324"/>
      <c r="S2132" s="324" t="s">
        <v>19</v>
      </c>
      <c r="T2132" s="528">
        <v>4</v>
      </c>
      <c r="U2132" s="461"/>
      <c r="V2132" s="688"/>
      <c r="W2132" s="525"/>
      <c r="X2132" s="560"/>
      <c r="Y2132" s="360"/>
      <c r="Z2132" s="312">
        <f t="shared" si="799"/>
        <v>0</v>
      </c>
      <c r="AA2132" s="316">
        <f>E2132/150+0.25</f>
        <v>0.25</v>
      </c>
      <c r="AB2132" s="310"/>
    </row>
    <row r="2133" spans="1:28" s="453" customFormat="1" ht="77.25" thickBot="1" x14ac:dyDescent="0.45">
      <c r="A2133" s="319" t="s">
        <v>729</v>
      </c>
      <c r="B2133" s="487" t="s">
        <v>1060</v>
      </c>
      <c r="C2133" s="525">
        <f>C2091</f>
        <v>0</v>
      </c>
      <c r="D2133" s="626"/>
      <c r="E2133" s="358">
        <f>C2133*2</f>
        <v>0</v>
      </c>
      <c r="F2133" s="627">
        <f>E2133*1.03*0.85/147</f>
        <v>0</v>
      </c>
      <c r="G2133" s="628">
        <f t="shared" si="805"/>
        <v>0</v>
      </c>
      <c r="H2133" s="359"/>
      <c r="I2133" s="628">
        <f t="shared" si="804"/>
        <v>0</v>
      </c>
      <c r="J2133" s="629"/>
      <c r="K2133" s="630"/>
      <c r="L2133" s="630"/>
      <c r="M2133" s="627">
        <f>F2133*147/0.57/64</f>
        <v>0</v>
      </c>
      <c r="N2133" s="631"/>
      <c r="O2133" s="631"/>
      <c r="P2133" s="631"/>
      <c r="Q2133" s="324" t="s">
        <v>18</v>
      </c>
      <c r="R2133" s="324"/>
      <c r="S2133" s="324" t="s">
        <v>19</v>
      </c>
      <c r="T2133" s="528">
        <v>4</v>
      </c>
      <c r="U2133" s="461"/>
      <c r="V2133" s="688"/>
      <c r="W2133" s="525"/>
      <c r="X2133" s="560"/>
      <c r="Y2133" s="451"/>
      <c r="Z2133" s="312">
        <f t="shared" si="799"/>
        <v>0</v>
      </c>
      <c r="AA2133" s="316">
        <f>SUM(Z2133/140.7+0.25)</f>
        <v>0.25</v>
      </c>
      <c r="AB2133" s="310" t="s">
        <v>1059</v>
      </c>
    </row>
    <row r="2134" spans="1:28" s="453" customFormat="1" ht="51.75" thickBot="1" x14ac:dyDescent="0.45">
      <c r="A2134" s="319" t="s">
        <v>729</v>
      </c>
      <c r="B2134" s="487" t="s">
        <v>1084</v>
      </c>
      <c r="C2134" s="525">
        <f>C1636</f>
        <v>0</v>
      </c>
      <c r="D2134" s="626"/>
      <c r="E2134" s="358">
        <f>C2134*0.4</f>
        <v>0</v>
      </c>
      <c r="F2134" s="627">
        <f>E2134*1.03*0.82/147</f>
        <v>0</v>
      </c>
      <c r="G2134" s="628">
        <f t="shared" si="805"/>
        <v>0</v>
      </c>
      <c r="H2134" s="359"/>
      <c r="I2134" s="628">
        <f t="shared" ref="I2134:I2141" si="806">(M2134-G2134)*64</f>
        <v>0</v>
      </c>
      <c r="J2134" s="629" t="s">
        <v>19</v>
      </c>
      <c r="K2134" s="630"/>
      <c r="L2134" s="630"/>
      <c r="M2134" s="627">
        <f>F2134*147/0.46/64</f>
        <v>0</v>
      </c>
      <c r="N2134" s="631"/>
      <c r="O2134" s="631"/>
      <c r="P2134" s="631"/>
      <c r="Q2134" s="324" t="s">
        <v>18</v>
      </c>
      <c r="R2134" s="324"/>
      <c r="S2134" s="324" t="s">
        <v>19</v>
      </c>
      <c r="T2134" s="528">
        <v>4</v>
      </c>
      <c r="U2134" s="461"/>
      <c r="V2134" s="688"/>
      <c r="W2134" s="525"/>
      <c r="X2134" s="560"/>
      <c r="Y2134" s="360"/>
      <c r="Z2134" s="312">
        <f>E2134</f>
        <v>0</v>
      </c>
      <c r="AA2134" s="316">
        <f>E2134/150+0.25</f>
        <v>0.25</v>
      </c>
      <c r="AB2134" s="310"/>
    </row>
    <row r="2135" spans="1:28" s="453" customFormat="1" ht="77.25" thickBot="1" x14ac:dyDescent="0.45">
      <c r="A2135" s="319" t="s">
        <v>729</v>
      </c>
      <c r="B2135" s="487" t="s">
        <v>1083</v>
      </c>
      <c r="C2135" s="525">
        <f>C2092</f>
        <v>0</v>
      </c>
      <c r="D2135" s="626"/>
      <c r="E2135" s="358">
        <f>C2135*0.4</f>
        <v>0</v>
      </c>
      <c r="F2135" s="627">
        <f>E2135*1.03*0.85/147</f>
        <v>0</v>
      </c>
      <c r="G2135" s="628">
        <f t="shared" si="805"/>
        <v>0</v>
      </c>
      <c r="H2135" s="359"/>
      <c r="I2135" s="628">
        <f t="shared" si="806"/>
        <v>0</v>
      </c>
      <c r="J2135" s="629"/>
      <c r="K2135" s="630"/>
      <c r="L2135" s="630"/>
      <c r="M2135" s="627">
        <f>F2135*147/0.57/64</f>
        <v>0</v>
      </c>
      <c r="N2135" s="631"/>
      <c r="O2135" s="631"/>
      <c r="P2135" s="631"/>
      <c r="Q2135" s="324" t="s">
        <v>18</v>
      </c>
      <c r="R2135" s="324"/>
      <c r="S2135" s="324" t="s">
        <v>19</v>
      </c>
      <c r="T2135" s="528">
        <v>4</v>
      </c>
      <c r="U2135" s="461"/>
      <c r="V2135" s="688"/>
      <c r="W2135" s="525"/>
      <c r="X2135" s="560"/>
      <c r="Y2135" s="451"/>
      <c r="Z2135" s="312">
        <f>E2135</f>
        <v>0</v>
      </c>
      <c r="AA2135" s="316">
        <f>SUM(Z2135/140.7+0.25)</f>
        <v>0.25</v>
      </c>
      <c r="AB2135" s="310" t="s">
        <v>1059</v>
      </c>
    </row>
    <row r="2136" spans="1:28" s="327" customFormat="1" ht="53.25" thickBot="1" x14ac:dyDescent="0.45">
      <c r="A2136" s="319" t="s">
        <v>729</v>
      </c>
      <c r="B2136" s="325" t="s">
        <v>816</v>
      </c>
      <c r="C2136" s="528">
        <f>C1927</f>
        <v>0</v>
      </c>
      <c r="D2136" s="535">
        <f>C2136*10</f>
        <v>0</v>
      </c>
      <c r="E2136" s="534">
        <f>D2136*0.35</f>
        <v>0</v>
      </c>
      <c r="F2136" s="321">
        <f>E2136*0.8*1/20</f>
        <v>0</v>
      </c>
      <c r="G2136" s="533">
        <f t="shared" si="805"/>
        <v>0</v>
      </c>
      <c r="H2136" s="321" t="s">
        <v>18</v>
      </c>
      <c r="I2136" s="533">
        <f t="shared" si="806"/>
        <v>0</v>
      </c>
      <c r="J2136" s="321" t="s">
        <v>19</v>
      </c>
      <c r="K2136" s="321"/>
      <c r="L2136" s="321"/>
      <c r="M2136" s="321">
        <f>F2136*2016/16128</f>
        <v>0</v>
      </c>
      <c r="N2136" s="321"/>
      <c r="O2136" s="321"/>
      <c r="P2136" s="321"/>
      <c r="Q2136" s="321" t="s">
        <v>18</v>
      </c>
      <c r="R2136" s="321"/>
      <c r="S2136" s="321" t="s">
        <v>19</v>
      </c>
      <c r="T2136" s="533">
        <v>4</v>
      </c>
      <c r="U2136" s="321">
        <f>E2136/272*60</f>
        <v>0</v>
      </c>
      <c r="V2136" s="683"/>
      <c r="W2136" s="533"/>
      <c r="X2136" s="321"/>
      <c r="Y2136" s="326"/>
      <c r="Z2136" s="312">
        <f t="shared" si="799"/>
        <v>0</v>
      </c>
      <c r="AA2136" s="415">
        <f>SUM(Z2136/180+0.25)</f>
        <v>0.25</v>
      </c>
    </row>
    <row r="2137" spans="1:28" ht="77.25" thickBot="1" x14ac:dyDescent="0.45">
      <c r="A2137" s="319" t="s">
        <v>729</v>
      </c>
      <c r="B2137" s="320" t="s">
        <v>1039</v>
      </c>
      <c r="C2137" s="528">
        <f>C1928</f>
        <v>0</v>
      </c>
      <c r="D2137" s="533">
        <f>C2137*16</f>
        <v>0</v>
      </c>
      <c r="E2137" s="534">
        <f>D2137*0.25</f>
        <v>0</v>
      </c>
      <c r="F2137" s="321">
        <f>E2137*0.8*1/20</f>
        <v>0</v>
      </c>
      <c r="G2137" s="533">
        <f t="shared" si="805"/>
        <v>0</v>
      </c>
      <c r="H2137" s="321" t="s">
        <v>18</v>
      </c>
      <c r="I2137" s="533">
        <f t="shared" si="806"/>
        <v>0</v>
      </c>
      <c r="J2137" s="321" t="s">
        <v>19</v>
      </c>
      <c r="K2137" s="321"/>
      <c r="L2137" s="321"/>
      <c r="M2137" s="321">
        <f>F2137*2016/16128</f>
        <v>0</v>
      </c>
      <c r="N2137" s="321"/>
      <c r="O2137" s="321"/>
      <c r="P2137" s="321"/>
      <c r="Q2137" s="321" t="s">
        <v>18</v>
      </c>
      <c r="R2137" s="321"/>
      <c r="S2137" s="321" t="s">
        <v>19</v>
      </c>
      <c r="T2137" s="528">
        <v>4</v>
      </c>
      <c r="U2137" s="324">
        <f>E2137/272*60</f>
        <v>0</v>
      </c>
      <c r="V2137" s="676"/>
      <c r="W2137" s="528"/>
      <c r="X2137" s="529"/>
      <c r="Y2137" s="323"/>
      <c r="Z2137" s="312">
        <f t="shared" si="799"/>
        <v>0</v>
      </c>
      <c r="AA2137" s="415">
        <f>SUM(Z2137/180+0.25)</f>
        <v>0.25</v>
      </c>
    </row>
    <row r="2138" spans="1:28" ht="77.25" thickBot="1" x14ac:dyDescent="0.45">
      <c r="A2138" s="319" t="s">
        <v>729</v>
      </c>
      <c r="B2138" s="320" t="s">
        <v>1005</v>
      </c>
      <c r="C2138" s="528">
        <f>C2086</f>
        <v>0</v>
      </c>
      <c r="D2138" s="530">
        <f>C2138*1</f>
        <v>0</v>
      </c>
      <c r="E2138" s="546">
        <f>D2138*0.65</f>
        <v>0</v>
      </c>
      <c r="F2138" s="546">
        <f>E2138*1.03*0.87/19.3</f>
        <v>0</v>
      </c>
      <c r="G2138" s="639">
        <f t="shared" si="805"/>
        <v>0</v>
      </c>
      <c r="H2138" s="546" t="s">
        <v>18</v>
      </c>
      <c r="I2138" s="639">
        <f t="shared" si="806"/>
        <v>0</v>
      </c>
      <c r="J2138" s="546" t="s">
        <v>19</v>
      </c>
      <c r="K2138" s="546"/>
      <c r="L2138" s="546"/>
      <c r="M2138" s="546">
        <f>(F2138*877/2880)</f>
        <v>0</v>
      </c>
      <c r="N2138" s="546"/>
      <c r="O2138" s="324"/>
      <c r="P2138" s="324"/>
      <c r="Q2138" s="324" t="s">
        <v>18</v>
      </c>
      <c r="R2138" s="324"/>
      <c r="S2138" s="324" t="s">
        <v>19</v>
      </c>
      <c r="T2138" s="528">
        <v>5</v>
      </c>
      <c r="U2138" s="324">
        <f>E2138/259*60</f>
        <v>0</v>
      </c>
      <c r="V2138" s="676"/>
      <c r="W2138" s="528"/>
      <c r="X2138" s="529"/>
      <c r="Y2138" s="323"/>
      <c r="Z2138" s="312">
        <f t="shared" si="799"/>
        <v>0</v>
      </c>
      <c r="AA2138" s="316">
        <f>SUM(Z2138/103+0.25)</f>
        <v>0.25</v>
      </c>
      <c r="AB2138" s="352"/>
    </row>
    <row r="2139" spans="1:28" ht="77.25" thickBot="1" x14ac:dyDescent="0.45">
      <c r="A2139" s="319" t="s">
        <v>729</v>
      </c>
      <c r="B2139" s="708" t="s">
        <v>1079</v>
      </c>
      <c r="C2139" s="586">
        <f>C1929</f>
        <v>0</v>
      </c>
      <c r="D2139" s="533">
        <f>C2139*7</f>
        <v>0</v>
      </c>
      <c r="E2139" s="321">
        <f>D2139*0.2</f>
        <v>0</v>
      </c>
      <c r="F2139" s="321">
        <f>E2139*10/225</f>
        <v>0</v>
      </c>
      <c r="G2139" s="533">
        <f t="shared" si="805"/>
        <v>0</v>
      </c>
      <c r="H2139" s="321" t="s">
        <v>18</v>
      </c>
      <c r="I2139" s="533">
        <f t="shared" si="806"/>
        <v>0</v>
      </c>
      <c r="J2139" s="321" t="s">
        <v>19</v>
      </c>
      <c r="K2139" s="324"/>
      <c r="L2139" s="324"/>
      <c r="M2139" s="321">
        <f>F2139*1008/8064</f>
        <v>0</v>
      </c>
      <c r="N2139" s="324"/>
      <c r="O2139" s="324"/>
      <c r="P2139" s="324"/>
      <c r="Q2139" s="324" t="s">
        <v>18</v>
      </c>
      <c r="R2139" s="324"/>
      <c r="S2139" s="324" t="s">
        <v>19</v>
      </c>
      <c r="T2139" s="528">
        <v>4</v>
      </c>
      <c r="U2139" s="324">
        <f>E2139/166*60</f>
        <v>0</v>
      </c>
      <c r="V2139" s="676"/>
      <c r="W2139" s="528"/>
      <c r="X2139" s="529"/>
      <c r="Y2139" s="323"/>
      <c r="Z2139" s="312">
        <f t="shared" si="799"/>
        <v>0</v>
      </c>
      <c r="AA2139" s="415">
        <f>SUM(Z2139/180+0.25)</f>
        <v>0.25</v>
      </c>
    </row>
    <row r="2140" spans="1:28" ht="77.25" thickBot="1" x14ac:dyDescent="0.45">
      <c r="A2140" s="319" t="s">
        <v>729</v>
      </c>
      <c r="B2140" s="320" t="s">
        <v>613</v>
      </c>
      <c r="C2140" s="528">
        <f>C1930</f>
        <v>0</v>
      </c>
      <c r="D2140" s="528">
        <f>C2140*20</f>
        <v>0</v>
      </c>
      <c r="E2140" s="460">
        <f>D2140*0.2</f>
        <v>0</v>
      </c>
      <c r="F2140" s="324">
        <f>E2140*0.8*1.01/20</f>
        <v>0</v>
      </c>
      <c r="G2140" s="528">
        <f t="shared" si="805"/>
        <v>0</v>
      </c>
      <c r="H2140" s="324" t="s">
        <v>18</v>
      </c>
      <c r="I2140" s="528">
        <f t="shared" si="806"/>
        <v>0</v>
      </c>
      <c r="J2140" s="324" t="s">
        <v>19</v>
      </c>
      <c r="K2140" s="324"/>
      <c r="L2140" s="324"/>
      <c r="M2140" s="324">
        <f>F2140*1008/8064</f>
        <v>0</v>
      </c>
      <c r="N2140" s="324"/>
      <c r="O2140" s="324"/>
      <c r="P2140" s="324"/>
      <c r="Q2140" s="324" t="s">
        <v>18</v>
      </c>
      <c r="R2140" s="324"/>
      <c r="S2140" s="324" t="s">
        <v>19</v>
      </c>
      <c r="T2140" s="528">
        <v>4</v>
      </c>
      <c r="U2140" s="324">
        <f>E2140/272*60</f>
        <v>0</v>
      </c>
      <c r="V2140" s="676"/>
      <c r="W2140" s="528"/>
      <c r="X2140" s="529"/>
      <c r="Y2140" s="323"/>
      <c r="Z2140" s="312">
        <f t="shared" si="799"/>
        <v>0</v>
      </c>
      <c r="AA2140" s="415">
        <f>SUM(Z2140/180+0.25)</f>
        <v>0.25</v>
      </c>
    </row>
    <row r="2141" spans="1:28" ht="77.25" thickBot="1" x14ac:dyDescent="0.45">
      <c r="A2141" s="319" t="s">
        <v>729</v>
      </c>
      <c r="B2141" s="362" t="s">
        <v>894</v>
      </c>
      <c r="C2141" s="528">
        <f>C2087</f>
        <v>0</v>
      </c>
      <c r="D2141" s="532">
        <f>C2141*12</f>
        <v>0</v>
      </c>
      <c r="E2141" s="472">
        <f>D2141*0.27</f>
        <v>0</v>
      </c>
      <c r="F2141" s="472">
        <f>E2141*1.03*0.87/19.3</f>
        <v>0</v>
      </c>
      <c r="G2141" s="531">
        <f t="shared" si="805"/>
        <v>0</v>
      </c>
      <c r="H2141" s="472" t="s">
        <v>18</v>
      </c>
      <c r="I2141" s="531">
        <f t="shared" si="806"/>
        <v>0</v>
      </c>
      <c r="J2141" s="472" t="s">
        <v>19</v>
      </c>
      <c r="K2141" s="472"/>
      <c r="L2141" s="472"/>
      <c r="M2141" s="472">
        <f>(F2141*877/2880)</f>
        <v>0</v>
      </c>
      <c r="N2141" s="472"/>
      <c r="O2141" s="461"/>
      <c r="P2141" s="461"/>
      <c r="Q2141" s="461" t="s">
        <v>18</v>
      </c>
      <c r="R2141" s="461"/>
      <c r="S2141" s="461" t="s">
        <v>19</v>
      </c>
      <c r="T2141" s="568">
        <v>7</v>
      </c>
      <c r="U2141" s="324">
        <f>E2141/259*60</f>
        <v>0</v>
      </c>
      <c r="V2141" s="676"/>
      <c r="W2141" s="528"/>
      <c r="X2141" s="529"/>
      <c r="Y2141" s="323"/>
      <c r="Z2141" s="312">
        <f>E2141/1.134</f>
        <v>0</v>
      </c>
      <c r="AA2141" s="316">
        <f>SUM(E2141/321.6+0.25)</f>
        <v>0.25</v>
      </c>
      <c r="AB2141" s="352" t="s">
        <v>852</v>
      </c>
    </row>
    <row r="2142" spans="1:28" thickBot="1" x14ac:dyDescent="0.45">
      <c r="A2142" s="829"/>
      <c r="B2142" s="302" t="s">
        <v>289</v>
      </c>
      <c r="C2142" s="347"/>
      <c r="D2142" s="347"/>
      <c r="E2142" s="494"/>
      <c r="F2142" s="348"/>
      <c r="G2142" s="347"/>
      <c r="H2142" s="348"/>
      <c r="I2142" s="347"/>
      <c r="J2142" s="348"/>
      <c r="K2142" s="348"/>
      <c r="L2142" s="348"/>
      <c r="M2142" s="348"/>
      <c r="N2142" s="348"/>
      <c r="O2142" s="348"/>
      <c r="P2142" s="348"/>
      <c r="Q2142" s="348"/>
      <c r="R2142" s="348"/>
      <c r="S2142" s="348"/>
      <c r="T2142" s="347"/>
      <c r="U2142" s="348"/>
      <c r="V2142" s="356"/>
      <c r="W2142" s="348"/>
      <c r="X2142" s="495"/>
      <c r="Y2142" s="349"/>
    </row>
    <row r="2143" spans="1:28" thickBot="1" x14ac:dyDescent="0.45">
      <c r="A2143" s="830"/>
      <c r="B2143" s="332" t="s">
        <v>285</v>
      </c>
      <c r="C2143" s="347"/>
      <c r="D2143" s="347"/>
      <c r="E2143" s="494"/>
      <c r="F2143" s="348"/>
      <c r="G2143" s="347"/>
      <c r="H2143" s="348"/>
      <c r="I2143" s="347"/>
      <c r="J2143" s="348"/>
      <c r="K2143" s="348"/>
      <c r="L2143" s="348"/>
      <c r="M2143" s="348"/>
      <c r="N2143" s="348"/>
      <c r="O2143" s="348"/>
      <c r="P2143" s="348"/>
      <c r="Q2143" s="348"/>
      <c r="R2143" s="348"/>
      <c r="S2143" s="348"/>
      <c r="T2143" s="347"/>
      <c r="U2143" s="348"/>
      <c r="V2143" s="356"/>
      <c r="W2143" s="348"/>
      <c r="X2143" s="495"/>
      <c r="Y2143" s="357"/>
    </row>
    <row r="2144" spans="1:28" thickBot="1" x14ac:dyDescent="0.45">
      <c r="A2144" s="830"/>
      <c r="B2144" s="332" t="s">
        <v>299</v>
      </c>
      <c r="C2144" s="347"/>
      <c r="D2144" s="347"/>
      <c r="E2144" s="494"/>
      <c r="F2144" s="348"/>
      <c r="G2144" s="347"/>
      <c r="H2144" s="348"/>
      <c r="I2144" s="347"/>
      <c r="J2144" s="348"/>
      <c r="K2144" s="348"/>
      <c r="L2144" s="348"/>
      <c r="M2144" s="348"/>
      <c r="N2144" s="348"/>
      <c r="O2144" s="348"/>
      <c r="P2144" s="348"/>
      <c r="Q2144" s="348"/>
      <c r="R2144" s="348"/>
      <c r="S2144" s="348"/>
      <c r="T2144" s="347"/>
      <c r="U2144" s="348"/>
      <c r="V2144" s="356"/>
      <c r="W2144" s="348"/>
      <c r="X2144" s="495"/>
      <c r="Y2144" s="357"/>
    </row>
    <row r="2145" spans="1:27" ht="102.75" thickBot="1" x14ac:dyDescent="0.45">
      <c r="A2145" s="319" t="s">
        <v>729</v>
      </c>
      <c r="B2145" s="320" t="s">
        <v>783</v>
      </c>
      <c r="C2145" s="586">
        <f>C1943</f>
        <v>0</v>
      </c>
      <c r="D2145" s="530"/>
      <c r="E2145" s="456">
        <f t="shared" ref="E2145:E2152" si="807">C2145*4</f>
        <v>0</v>
      </c>
      <c r="F2145" s="358">
        <f>E2145*1.01*0.72/147</f>
        <v>0</v>
      </c>
      <c r="G2145" s="548">
        <f t="shared" ref="G2145:G2174" si="808">INT(M2145)</f>
        <v>0</v>
      </c>
      <c r="H2145" s="358" t="s">
        <v>18</v>
      </c>
      <c r="I2145" s="548">
        <f t="shared" ref="I2145:I2174" si="809">(M2145-G2145)*64</f>
        <v>0</v>
      </c>
      <c r="J2145" s="358" t="s">
        <v>19</v>
      </c>
      <c r="K2145" s="358"/>
      <c r="L2145" s="358"/>
      <c r="M2145" s="358">
        <f>(F2145*6035/3456)</f>
        <v>0</v>
      </c>
      <c r="N2145" s="324"/>
      <c r="O2145" s="324"/>
      <c r="P2145" s="324"/>
      <c r="Q2145" s="324" t="s">
        <v>18</v>
      </c>
      <c r="R2145" s="324"/>
      <c r="S2145" s="324" t="s">
        <v>19</v>
      </c>
      <c r="T2145" s="528">
        <v>4</v>
      </c>
      <c r="U2145" s="324">
        <f t="shared" ref="U2145:U2150" si="810">E2145/324*60</f>
        <v>0</v>
      </c>
      <c r="V2145" s="676"/>
      <c r="W2145" s="528"/>
      <c r="X2145" s="529"/>
      <c r="Y2145" s="323"/>
      <c r="Z2145" s="312">
        <f t="shared" ref="Z2145:Z2172" si="811">E2145</f>
        <v>0</v>
      </c>
      <c r="AA2145" s="316">
        <f>SUM(Z2145/180+0.25)</f>
        <v>0.25</v>
      </c>
    </row>
    <row r="2146" spans="1:27" ht="77.25" thickBot="1" x14ac:dyDescent="0.45">
      <c r="A2146" s="319" t="s">
        <v>729</v>
      </c>
      <c r="B2146" s="320" t="s">
        <v>784</v>
      </c>
      <c r="C2146" s="586">
        <f>C1638</f>
        <v>0</v>
      </c>
      <c r="D2146" s="530"/>
      <c r="E2146" s="456">
        <f t="shared" si="807"/>
        <v>0</v>
      </c>
      <c r="F2146" s="358">
        <f>E2146*1.01*0.72/147</f>
        <v>0</v>
      </c>
      <c r="G2146" s="548">
        <f t="shared" si="808"/>
        <v>0</v>
      </c>
      <c r="H2146" s="358" t="s">
        <v>18</v>
      </c>
      <c r="I2146" s="548">
        <f t="shared" si="809"/>
        <v>0</v>
      </c>
      <c r="J2146" s="358" t="s">
        <v>19</v>
      </c>
      <c r="K2146" s="358"/>
      <c r="L2146" s="358"/>
      <c r="M2146" s="358">
        <f>(F2146*6035/3456)</f>
        <v>0</v>
      </c>
      <c r="N2146" s="324"/>
      <c r="O2146" s="324"/>
      <c r="P2146" s="324"/>
      <c r="Q2146" s="324" t="s">
        <v>18</v>
      </c>
      <c r="R2146" s="324"/>
      <c r="S2146" s="324" t="s">
        <v>19</v>
      </c>
      <c r="T2146" s="528">
        <v>4</v>
      </c>
      <c r="U2146" s="324">
        <f>E2146/324*60</f>
        <v>0</v>
      </c>
      <c r="V2146" s="676"/>
      <c r="W2146" s="528"/>
      <c r="X2146" s="529"/>
      <c r="Y2146" s="323"/>
      <c r="Z2146" s="312">
        <f t="shared" si="811"/>
        <v>0</v>
      </c>
      <c r="AA2146" s="316">
        <f>SUM(Z2146/180+0.25)</f>
        <v>0.25</v>
      </c>
    </row>
    <row r="2147" spans="1:27" ht="77.25" thickBot="1" x14ac:dyDescent="0.45">
      <c r="A2147" s="319" t="s">
        <v>729</v>
      </c>
      <c r="B2147" s="320" t="s">
        <v>744</v>
      </c>
      <c r="C2147" s="586">
        <f>C1945+C1639</f>
        <v>0</v>
      </c>
      <c r="D2147" s="528"/>
      <c r="E2147" s="456">
        <f t="shared" si="807"/>
        <v>0</v>
      </c>
      <c r="F2147" s="358">
        <f>E2147*1.01*0.72/147</f>
        <v>0</v>
      </c>
      <c r="G2147" s="548">
        <f t="shared" si="808"/>
        <v>0</v>
      </c>
      <c r="H2147" s="358" t="s">
        <v>18</v>
      </c>
      <c r="I2147" s="548">
        <f t="shared" si="809"/>
        <v>0</v>
      </c>
      <c r="J2147" s="358" t="s">
        <v>19</v>
      </c>
      <c r="K2147" s="358"/>
      <c r="L2147" s="358"/>
      <c r="M2147" s="358">
        <f>(F2147*6035/3456)</f>
        <v>0</v>
      </c>
      <c r="N2147" s="324"/>
      <c r="O2147" s="324"/>
      <c r="P2147" s="324"/>
      <c r="Q2147" s="324" t="s">
        <v>18</v>
      </c>
      <c r="R2147" s="324"/>
      <c r="S2147" s="324" t="s">
        <v>19</v>
      </c>
      <c r="T2147" s="528">
        <v>4</v>
      </c>
      <c r="U2147" s="324">
        <f>E2147/324*60</f>
        <v>0</v>
      </c>
      <c r="V2147" s="676"/>
      <c r="W2147" s="528"/>
      <c r="X2147" s="529"/>
      <c r="Y2147" s="323"/>
      <c r="Z2147" s="312">
        <f t="shared" si="811"/>
        <v>0</v>
      </c>
      <c r="AA2147" s="316">
        <f>SUM(Z2147/180+0.25)</f>
        <v>0.25</v>
      </c>
    </row>
    <row r="2148" spans="1:27" ht="77.25" thickBot="1" x14ac:dyDescent="0.45">
      <c r="A2148" s="319" t="s">
        <v>729</v>
      </c>
      <c r="B2148" s="320" t="s">
        <v>746</v>
      </c>
      <c r="C2148" s="586">
        <f>C1947+C1641</f>
        <v>3000</v>
      </c>
      <c r="D2148" s="528"/>
      <c r="E2148" s="456">
        <f t="shared" si="807"/>
        <v>12000</v>
      </c>
      <c r="F2148" s="358">
        <f>E2148*1.01*0.72/147</f>
        <v>59.363265306122443</v>
      </c>
      <c r="G2148" s="548">
        <f t="shared" si="808"/>
        <v>103</v>
      </c>
      <c r="H2148" s="358" t="s">
        <v>18</v>
      </c>
      <c r="I2148" s="548">
        <f t="shared" si="809"/>
        <v>42.394557823128707</v>
      </c>
      <c r="J2148" s="358" t="s">
        <v>19</v>
      </c>
      <c r="K2148" s="358"/>
      <c r="L2148" s="358"/>
      <c r="M2148" s="358">
        <f>(F2148*6035/3456)</f>
        <v>103.66241496598639</v>
      </c>
      <c r="N2148" s="324"/>
      <c r="O2148" s="324"/>
      <c r="P2148" s="324"/>
      <c r="Q2148" s="324" t="s">
        <v>18</v>
      </c>
      <c r="R2148" s="324"/>
      <c r="S2148" s="324" t="s">
        <v>19</v>
      </c>
      <c r="T2148" s="528">
        <v>4</v>
      </c>
      <c r="U2148" s="324">
        <f t="shared" si="810"/>
        <v>2222.2222222222222</v>
      </c>
      <c r="V2148" s="685"/>
      <c r="W2148" s="528"/>
      <c r="X2148" s="529"/>
      <c r="Y2148" s="323"/>
      <c r="Z2148" s="312">
        <f t="shared" si="811"/>
        <v>12000</v>
      </c>
      <c r="AA2148" s="316">
        <f t="shared" ref="AA2148:AA2156" si="812">SUM(Z2148/180+0.25)</f>
        <v>66.916666666666671</v>
      </c>
    </row>
    <row r="2149" spans="1:27" ht="77.25" thickBot="1" x14ac:dyDescent="0.45">
      <c r="A2149" s="319" t="s">
        <v>729</v>
      </c>
      <c r="B2149" s="320" t="s">
        <v>749</v>
      </c>
      <c r="C2149" s="586">
        <f>C1644</f>
        <v>0</v>
      </c>
      <c r="D2149" s="528"/>
      <c r="E2149" s="456">
        <f t="shared" si="807"/>
        <v>0</v>
      </c>
      <c r="F2149" s="358">
        <f>E2149*1.03*0.82/147</f>
        <v>0</v>
      </c>
      <c r="G2149" s="548">
        <f t="shared" si="808"/>
        <v>0</v>
      </c>
      <c r="H2149" s="358" t="s">
        <v>18</v>
      </c>
      <c r="I2149" s="548">
        <f t="shared" si="809"/>
        <v>0</v>
      </c>
      <c r="J2149" s="358" t="s">
        <v>19</v>
      </c>
      <c r="K2149" s="358"/>
      <c r="L2149" s="358"/>
      <c r="M2149" s="358">
        <f>(F2149*5547/3456)</f>
        <v>0</v>
      </c>
      <c r="N2149" s="324"/>
      <c r="O2149" s="324"/>
      <c r="P2149" s="324"/>
      <c r="Q2149" s="324" t="s">
        <v>18</v>
      </c>
      <c r="R2149" s="324"/>
      <c r="S2149" s="324" t="s">
        <v>19</v>
      </c>
      <c r="T2149" s="528">
        <v>4</v>
      </c>
      <c r="U2149" s="324">
        <f t="shared" si="810"/>
        <v>0</v>
      </c>
      <c r="V2149" s="676"/>
      <c r="W2149" s="528"/>
      <c r="X2149" s="529"/>
      <c r="Y2149" s="323"/>
      <c r="Z2149" s="312">
        <f t="shared" si="811"/>
        <v>0</v>
      </c>
      <c r="AA2149" s="316">
        <f t="shared" si="812"/>
        <v>0.25</v>
      </c>
    </row>
    <row r="2150" spans="1:27" ht="77.25" thickBot="1" x14ac:dyDescent="0.45">
      <c r="A2150" s="319" t="s">
        <v>729</v>
      </c>
      <c r="B2150" s="320" t="s">
        <v>1149</v>
      </c>
      <c r="C2150" s="586">
        <f>C1645</f>
        <v>0</v>
      </c>
      <c r="D2150" s="528"/>
      <c r="E2150" s="456">
        <f t="shared" si="807"/>
        <v>0</v>
      </c>
      <c r="F2150" s="358">
        <f>E2150*1.03*0.82/147</f>
        <v>0</v>
      </c>
      <c r="G2150" s="548">
        <f t="shared" si="808"/>
        <v>0</v>
      </c>
      <c r="H2150" s="358" t="s">
        <v>18</v>
      </c>
      <c r="I2150" s="548">
        <f t="shared" si="809"/>
        <v>0</v>
      </c>
      <c r="J2150" s="358" t="s">
        <v>19</v>
      </c>
      <c r="K2150" s="358"/>
      <c r="L2150" s="358"/>
      <c r="M2150" s="358">
        <f>(F2150*5547/3456)</f>
        <v>0</v>
      </c>
      <c r="N2150" s="324"/>
      <c r="O2150" s="324"/>
      <c r="P2150" s="324"/>
      <c r="Q2150" s="324" t="s">
        <v>18</v>
      </c>
      <c r="R2150" s="324"/>
      <c r="S2150" s="324" t="s">
        <v>19</v>
      </c>
      <c r="T2150" s="528">
        <v>4</v>
      </c>
      <c r="U2150" s="324">
        <f t="shared" si="810"/>
        <v>0</v>
      </c>
      <c r="V2150" s="676"/>
      <c r="W2150" s="528"/>
      <c r="X2150" s="529"/>
      <c r="Y2150" s="323"/>
      <c r="Z2150" s="312">
        <f t="shared" si="811"/>
        <v>0</v>
      </c>
      <c r="AA2150" s="316">
        <f t="shared" si="812"/>
        <v>0.25</v>
      </c>
    </row>
    <row r="2151" spans="1:27" ht="77.25" outlineLevel="1" thickBot="1" x14ac:dyDescent="0.45">
      <c r="A2151" s="319" t="s">
        <v>729</v>
      </c>
      <c r="B2151" s="799" t="s">
        <v>1209</v>
      </c>
      <c r="C2151" s="586">
        <f>C1646</f>
        <v>0</v>
      </c>
      <c r="D2151" s="528"/>
      <c r="E2151" s="456">
        <f t="shared" si="807"/>
        <v>0</v>
      </c>
      <c r="F2151" s="358">
        <f>E2151*1.03*0.82/147</f>
        <v>0</v>
      </c>
      <c r="G2151" s="548">
        <f t="shared" si="808"/>
        <v>0</v>
      </c>
      <c r="H2151" s="358" t="s">
        <v>18</v>
      </c>
      <c r="I2151" s="548">
        <f t="shared" si="809"/>
        <v>0</v>
      </c>
      <c r="J2151" s="358" t="s">
        <v>19</v>
      </c>
      <c r="K2151" s="358"/>
      <c r="L2151" s="358"/>
      <c r="M2151" s="358">
        <f>(F2151*5547/3456)</f>
        <v>0</v>
      </c>
      <c r="N2151" s="324"/>
      <c r="O2151" s="324"/>
      <c r="P2151" s="324"/>
      <c r="Q2151" s="324" t="s">
        <v>18</v>
      </c>
      <c r="R2151" s="324"/>
      <c r="S2151" s="324" t="s">
        <v>19</v>
      </c>
      <c r="T2151" s="528">
        <v>3</v>
      </c>
      <c r="U2151" s="324">
        <f>E2151/324*60</f>
        <v>0</v>
      </c>
      <c r="V2151" s="676"/>
      <c r="W2151" s="528"/>
      <c r="X2151" s="529"/>
      <c r="Y2151" s="323"/>
      <c r="Z2151" s="312">
        <f t="shared" si="811"/>
        <v>0</v>
      </c>
      <c r="AA2151" s="316">
        <f>SUM(Z2151/180+0.25)</f>
        <v>0.25</v>
      </c>
    </row>
    <row r="2152" spans="1:27" ht="102.75" thickBot="1" x14ac:dyDescent="0.45">
      <c r="A2152" s="319" t="s">
        <v>729</v>
      </c>
      <c r="B2152" s="320" t="s">
        <v>751</v>
      </c>
      <c r="C2152" s="586">
        <f>C1647</f>
        <v>0</v>
      </c>
      <c r="D2152" s="528"/>
      <c r="E2152" s="456">
        <f t="shared" si="807"/>
        <v>0</v>
      </c>
      <c r="F2152" s="358">
        <f>E2152*1.01*0.72/147</f>
        <v>0</v>
      </c>
      <c r="G2152" s="548">
        <f t="shared" si="808"/>
        <v>0</v>
      </c>
      <c r="H2152" s="358" t="s">
        <v>18</v>
      </c>
      <c r="I2152" s="548">
        <f t="shared" si="809"/>
        <v>0</v>
      </c>
      <c r="J2152" s="358" t="s">
        <v>19</v>
      </c>
      <c r="K2152" s="358"/>
      <c r="L2152" s="358"/>
      <c r="M2152" s="358">
        <f>(F2152*6035/3456)</f>
        <v>0</v>
      </c>
      <c r="N2152" s="324"/>
      <c r="O2152" s="324"/>
      <c r="P2152" s="324"/>
      <c r="Q2152" s="324" t="s">
        <v>18</v>
      </c>
      <c r="R2152" s="324"/>
      <c r="S2152" s="324" t="s">
        <v>19</v>
      </c>
      <c r="T2152" s="528">
        <v>4</v>
      </c>
      <c r="U2152" s="324">
        <f>E2152/324*60</f>
        <v>0</v>
      </c>
      <c r="V2152" s="676"/>
      <c r="W2152" s="528"/>
      <c r="X2152" s="529"/>
      <c r="Y2152" s="323"/>
      <c r="Z2152" s="312">
        <f t="shared" si="811"/>
        <v>0</v>
      </c>
      <c r="AA2152" s="316">
        <f t="shared" si="812"/>
        <v>0.25</v>
      </c>
    </row>
    <row r="2153" spans="1:27" ht="77.25" thickBot="1" x14ac:dyDescent="0.45">
      <c r="A2153" s="319" t="s">
        <v>729</v>
      </c>
      <c r="B2153" s="344" t="s">
        <v>879</v>
      </c>
      <c r="C2153" s="586">
        <f>C1955</f>
        <v>0</v>
      </c>
      <c r="D2153" s="528"/>
      <c r="E2153" s="457">
        <f>C2153*3</f>
        <v>0</v>
      </c>
      <c r="F2153" s="358">
        <f>E2153*1.03*0.82/147</f>
        <v>0</v>
      </c>
      <c r="G2153" s="549">
        <f t="shared" si="808"/>
        <v>0</v>
      </c>
      <c r="H2153" s="359" t="s">
        <v>18</v>
      </c>
      <c r="I2153" s="549">
        <f t="shared" si="809"/>
        <v>0</v>
      </c>
      <c r="J2153" s="359" t="s">
        <v>19</v>
      </c>
      <c r="K2153" s="358"/>
      <c r="L2153" s="358"/>
      <c r="M2153" s="358">
        <f>(F2153*5547/3456)</f>
        <v>0</v>
      </c>
      <c r="N2153" s="324"/>
      <c r="O2153" s="324"/>
      <c r="P2153" s="324"/>
      <c r="Q2153" s="324" t="s">
        <v>18</v>
      </c>
      <c r="R2153" s="324"/>
      <c r="S2153" s="324" t="s">
        <v>19</v>
      </c>
      <c r="T2153" s="528">
        <v>4</v>
      </c>
      <c r="U2153" s="324">
        <f>E2153/324*60</f>
        <v>0</v>
      </c>
      <c r="V2153" s="676"/>
      <c r="W2153" s="528"/>
      <c r="X2153" s="529"/>
      <c r="Y2153" s="323"/>
      <c r="Z2153" s="312">
        <f t="shared" si="811"/>
        <v>0</v>
      </c>
      <c r="AA2153" s="316">
        <f t="shared" si="812"/>
        <v>0.25</v>
      </c>
    </row>
    <row r="2154" spans="1:27" ht="77.25" thickBot="1" x14ac:dyDescent="0.45">
      <c r="A2154" s="319" t="s">
        <v>729</v>
      </c>
      <c r="B2154" s="320" t="s">
        <v>761</v>
      </c>
      <c r="C2154" s="586">
        <f>C2096</f>
        <v>0</v>
      </c>
      <c r="D2154" s="528"/>
      <c r="E2154" s="456">
        <f>C2154*4</f>
        <v>0</v>
      </c>
      <c r="F2154" s="358">
        <f>E2154*1.03*0.84/147</f>
        <v>0</v>
      </c>
      <c r="G2154" s="548">
        <f t="shared" si="808"/>
        <v>0</v>
      </c>
      <c r="H2154" s="358" t="s">
        <v>18</v>
      </c>
      <c r="I2154" s="548">
        <f t="shared" si="809"/>
        <v>0</v>
      </c>
      <c r="J2154" s="358" t="s">
        <v>19</v>
      </c>
      <c r="K2154" s="358"/>
      <c r="L2154" s="358"/>
      <c r="M2154" s="358">
        <f>(F2154*5547/3456)</f>
        <v>0</v>
      </c>
      <c r="N2154" s="324"/>
      <c r="O2154" s="324"/>
      <c r="P2154" s="324"/>
      <c r="Q2154" s="324" t="s">
        <v>18</v>
      </c>
      <c r="R2154" s="324"/>
      <c r="S2154" s="324" t="s">
        <v>19</v>
      </c>
      <c r="T2154" s="528">
        <v>4</v>
      </c>
      <c r="U2154" s="324">
        <f>E2154/324*60</f>
        <v>0</v>
      </c>
      <c r="V2154" s="676"/>
      <c r="W2154" s="528"/>
      <c r="X2154" s="529"/>
      <c r="Y2154" s="323"/>
      <c r="Z2154" s="312">
        <f t="shared" si="811"/>
        <v>0</v>
      </c>
      <c r="AA2154" s="316">
        <f t="shared" si="812"/>
        <v>0.25</v>
      </c>
    </row>
    <row r="2155" spans="1:27" ht="77.25" thickBot="1" x14ac:dyDescent="0.45">
      <c r="A2155" s="319" t="s">
        <v>729</v>
      </c>
      <c r="B2155" s="361" t="s">
        <v>755</v>
      </c>
      <c r="C2155" s="586">
        <f>C2097</f>
        <v>0</v>
      </c>
      <c r="D2155" s="528"/>
      <c r="E2155" s="456">
        <f>C2155*4</f>
        <v>0</v>
      </c>
      <c r="F2155" s="358">
        <f>E2155*1.01*0.756/147</f>
        <v>0</v>
      </c>
      <c r="G2155" s="548">
        <f t="shared" si="808"/>
        <v>0</v>
      </c>
      <c r="H2155" s="358" t="s">
        <v>18</v>
      </c>
      <c r="I2155" s="548">
        <f t="shared" si="809"/>
        <v>0</v>
      </c>
      <c r="J2155" s="358" t="s">
        <v>19</v>
      </c>
      <c r="K2155" s="358"/>
      <c r="L2155" s="358"/>
      <c r="M2155" s="358">
        <f>(F2155*6035/3456)</f>
        <v>0</v>
      </c>
      <c r="N2155" s="324"/>
      <c r="O2155" s="324"/>
      <c r="P2155" s="324"/>
      <c r="Q2155" s="324" t="s">
        <v>18</v>
      </c>
      <c r="R2155" s="324"/>
      <c r="S2155" s="324" t="s">
        <v>19</v>
      </c>
      <c r="T2155" s="528">
        <v>4</v>
      </c>
      <c r="U2155" s="324"/>
      <c r="V2155" s="676"/>
      <c r="W2155" s="528"/>
      <c r="X2155" s="529"/>
      <c r="Y2155" s="323"/>
      <c r="Z2155" s="312">
        <f t="shared" si="811"/>
        <v>0</v>
      </c>
      <c r="AA2155" s="316">
        <f t="shared" si="812"/>
        <v>0.25</v>
      </c>
    </row>
    <row r="2156" spans="1:27" ht="77.25" thickBot="1" x14ac:dyDescent="0.45">
      <c r="A2156" s="319" t="s">
        <v>729</v>
      </c>
      <c r="B2156" s="320" t="s">
        <v>758</v>
      </c>
      <c r="C2156" s="586">
        <f>C2100</f>
        <v>0</v>
      </c>
      <c r="D2156" s="528"/>
      <c r="E2156" s="456">
        <f>C2156*4</f>
        <v>0</v>
      </c>
      <c r="F2156" s="358">
        <f>E2156*1.03*0.84/147</f>
        <v>0</v>
      </c>
      <c r="G2156" s="548">
        <f t="shared" si="808"/>
        <v>0</v>
      </c>
      <c r="H2156" s="358" t="s">
        <v>18</v>
      </c>
      <c r="I2156" s="548">
        <f t="shared" si="809"/>
        <v>0</v>
      </c>
      <c r="J2156" s="358" t="s">
        <v>19</v>
      </c>
      <c r="K2156" s="358"/>
      <c r="L2156" s="358"/>
      <c r="M2156" s="358">
        <f>(F2156*5068/3456)</f>
        <v>0</v>
      </c>
      <c r="N2156" s="324"/>
      <c r="O2156" s="324"/>
      <c r="P2156" s="324"/>
      <c r="Q2156" s="324" t="s">
        <v>18</v>
      </c>
      <c r="R2156" s="324"/>
      <c r="S2156" s="324" t="s">
        <v>19</v>
      </c>
      <c r="T2156" s="528">
        <v>4</v>
      </c>
      <c r="U2156" s="324"/>
      <c r="V2156" s="676"/>
      <c r="W2156" s="528"/>
      <c r="X2156" s="529"/>
      <c r="Y2156" s="323"/>
      <c r="Z2156" s="312">
        <f t="shared" si="811"/>
        <v>0</v>
      </c>
      <c r="AA2156" s="316">
        <f t="shared" si="812"/>
        <v>0.25</v>
      </c>
    </row>
    <row r="2157" spans="1:27" s="728" customFormat="1" ht="77.25" outlineLevel="1" thickBot="1" x14ac:dyDescent="0.45">
      <c r="A2157" s="636" t="s">
        <v>729</v>
      </c>
      <c r="B2157" s="634" t="s">
        <v>759</v>
      </c>
      <c r="C2157" s="720">
        <f>C1680</f>
        <v>0</v>
      </c>
      <c r="D2157" s="720">
        <f>C2157*10</f>
        <v>0</v>
      </c>
      <c r="E2157" s="721">
        <f>D2157*0.2</f>
        <v>0</v>
      </c>
      <c r="F2157" s="722">
        <f>E2157*1.015*0.72/147</f>
        <v>0</v>
      </c>
      <c r="G2157" s="720">
        <f t="shared" si="808"/>
        <v>0</v>
      </c>
      <c r="H2157" s="722" t="s">
        <v>18</v>
      </c>
      <c r="I2157" s="720">
        <f t="shared" si="809"/>
        <v>0</v>
      </c>
      <c r="J2157" s="722" t="s">
        <v>19</v>
      </c>
      <c r="K2157" s="722"/>
      <c r="L2157" s="722"/>
      <c r="M2157" s="722">
        <f>(F2157*8070/3456)</f>
        <v>0</v>
      </c>
      <c r="N2157" s="722"/>
      <c r="O2157" s="722"/>
      <c r="P2157" s="722"/>
      <c r="Q2157" s="722" t="s">
        <v>18</v>
      </c>
      <c r="R2157" s="722"/>
      <c r="S2157" s="722" t="s">
        <v>19</v>
      </c>
      <c r="T2157" s="720">
        <v>6</v>
      </c>
      <c r="U2157" s="722">
        <f>E2157/259*60</f>
        <v>0</v>
      </c>
      <c r="V2157" s="724"/>
      <c r="W2157" s="720"/>
      <c r="X2157" s="725"/>
      <c r="Y2157" s="736"/>
      <c r="Z2157" s="727">
        <f t="shared" si="811"/>
        <v>0</v>
      </c>
      <c r="AA2157" s="815">
        <f>SUM(Z2157/115+0.25)</f>
        <v>0.25</v>
      </c>
    </row>
    <row r="2158" spans="1:27" s="728" customFormat="1" ht="77.25" outlineLevel="1" thickBot="1" x14ac:dyDescent="0.45">
      <c r="A2158" s="636" t="s">
        <v>729</v>
      </c>
      <c r="B2158" s="634" t="s">
        <v>760</v>
      </c>
      <c r="C2158" s="720">
        <f>C1681</f>
        <v>0</v>
      </c>
      <c r="D2158" s="720">
        <f>C2158*10</f>
        <v>0</v>
      </c>
      <c r="E2158" s="721">
        <f>D2158*0.2</f>
        <v>0</v>
      </c>
      <c r="F2158" s="722">
        <f>E2158*1.015*0.72/147</f>
        <v>0</v>
      </c>
      <c r="G2158" s="720">
        <f t="shared" si="808"/>
        <v>0</v>
      </c>
      <c r="H2158" s="722" t="s">
        <v>18</v>
      </c>
      <c r="I2158" s="720">
        <f t="shared" si="809"/>
        <v>0</v>
      </c>
      <c r="J2158" s="722" t="s">
        <v>19</v>
      </c>
      <c r="K2158" s="722"/>
      <c r="L2158" s="722"/>
      <c r="M2158" s="722">
        <f>(F2158*8070/3456)</f>
        <v>0</v>
      </c>
      <c r="N2158" s="722"/>
      <c r="O2158" s="722"/>
      <c r="P2158" s="722"/>
      <c r="Q2158" s="722" t="s">
        <v>18</v>
      </c>
      <c r="R2158" s="722"/>
      <c r="S2158" s="722" t="s">
        <v>19</v>
      </c>
      <c r="T2158" s="720">
        <v>6</v>
      </c>
      <c r="U2158" s="722">
        <f>E2158/259*60</f>
        <v>0</v>
      </c>
      <c r="V2158" s="724"/>
      <c r="W2158" s="720"/>
      <c r="X2158" s="725"/>
      <c r="Y2158" s="736"/>
      <c r="Z2158" s="727">
        <f t="shared" si="811"/>
        <v>0</v>
      </c>
      <c r="AA2158" s="815">
        <f>SUM(Z2158/115+0.25)</f>
        <v>0.25</v>
      </c>
    </row>
    <row r="2159" spans="1:27" ht="77.25" thickBot="1" x14ac:dyDescent="0.45">
      <c r="A2159" s="319" t="s">
        <v>729</v>
      </c>
      <c r="B2159" s="320" t="s">
        <v>1008</v>
      </c>
      <c r="C2159" s="528">
        <f>C2103</f>
        <v>0</v>
      </c>
      <c r="D2159" s="528"/>
      <c r="E2159" s="460">
        <f>C2159*2</f>
        <v>0</v>
      </c>
      <c r="F2159" s="324">
        <f>E2159*1.03*0.84/147</f>
        <v>0</v>
      </c>
      <c r="G2159" s="537">
        <f t="shared" si="808"/>
        <v>0</v>
      </c>
      <c r="H2159" s="354" t="s">
        <v>18</v>
      </c>
      <c r="I2159" s="537">
        <f t="shared" si="809"/>
        <v>0</v>
      </c>
      <c r="J2159" s="354" t="s">
        <v>19</v>
      </c>
      <c r="K2159" s="324"/>
      <c r="L2159" s="324"/>
      <c r="M2159" s="324">
        <f>(F2159*5068/3456)</f>
        <v>0</v>
      </c>
      <c r="N2159" s="324"/>
      <c r="O2159" s="324"/>
      <c r="P2159" s="324"/>
      <c r="Q2159" s="324" t="s">
        <v>18</v>
      </c>
      <c r="R2159" s="324"/>
      <c r="S2159" s="324" t="s">
        <v>19</v>
      </c>
      <c r="T2159" s="528">
        <v>4</v>
      </c>
      <c r="U2159" s="324">
        <f t="shared" ref="U2159:U2175" si="813">E2159/324*60</f>
        <v>0</v>
      </c>
      <c r="V2159" s="676"/>
      <c r="W2159" s="528"/>
      <c r="X2159" s="529"/>
      <c r="Y2159" s="323"/>
      <c r="Z2159" s="312">
        <f t="shared" si="811"/>
        <v>0</v>
      </c>
      <c r="AA2159" s="316">
        <f>SUM(Z2159/180+0.25)</f>
        <v>0.25</v>
      </c>
    </row>
    <row r="2160" spans="1:27" ht="77.25" thickBot="1" x14ac:dyDescent="0.45">
      <c r="A2160" s="319" t="s">
        <v>729</v>
      </c>
      <c r="B2160" s="362" t="s">
        <v>1009</v>
      </c>
      <c r="C2160" s="639">
        <f>C1965</f>
        <v>0</v>
      </c>
      <c r="D2160" s="528"/>
      <c r="E2160" s="460">
        <f>C2160*2</f>
        <v>0</v>
      </c>
      <c r="F2160" s="324">
        <f>E2160*1.03*0.82/147</f>
        <v>0</v>
      </c>
      <c r="G2160" s="537">
        <f t="shared" si="808"/>
        <v>0</v>
      </c>
      <c r="H2160" s="354" t="s">
        <v>18</v>
      </c>
      <c r="I2160" s="537">
        <f t="shared" si="809"/>
        <v>0</v>
      </c>
      <c r="J2160" s="354" t="s">
        <v>19</v>
      </c>
      <c r="K2160" s="324"/>
      <c r="L2160" s="324"/>
      <c r="M2160" s="324">
        <f>(F2160*5547/3456)</f>
        <v>0</v>
      </c>
      <c r="N2160" s="324"/>
      <c r="O2160" s="324"/>
      <c r="P2160" s="324"/>
      <c r="Q2160" s="324" t="s">
        <v>18</v>
      </c>
      <c r="R2160" s="324"/>
      <c r="S2160" s="324" t="s">
        <v>19</v>
      </c>
      <c r="T2160" s="528">
        <v>4</v>
      </c>
      <c r="U2160" s="324">
        <f t="shared" si="813"/>
        <v>0</v>
      </c>
      <c r="V2160" s="685"/>
      <c r="W2160" s="528"/>
      <c r="X2160" s="529"/>
      <c r="Y2160" s="323"/>
      <c r="Z2160" s="312">
        <f t="shared" si="811"/>
        <v>0</v>
      </c>
      <c r="AA2160" s="316">
        <f>SUM(Z2160/180+0.25)</f>
        <v>0.25</v>
      </c>
    </row>
    <row r="2161" spans="1:29" ht="77.25" thickBot="1" x14ac:dyDescent="0.45">
      <c r="A2161" s="319" t="s">
        <v>729</v>
      </c>
      <c r="B2161" s="802" t="s">
        <v>1043</v>
      </c>
      <c r="C2161" s="528">
        <f>C1966</f>
        <v>0</v>
      </c>
      <c r="D2161" s="528"/>
      <c r="E2161" s="460">
        <f>C2161*2</f>
        <v>0</v>
      </c>
      <c r="F2161" s="324">
        <f>E2161*1.03*0.82/147</f>
        <v>0</v>
      </c>
      <c r="G2161" s="537">
        <f>INT(M2161)</f>
        <v>0</v>
      </c>
      <c r="H2161" s="354" t="s">
        <v>18</v>
      </c>
      <c r="I2161" s="537">
        <f>(M2161-G2161)*64</f>
        <v>0</v>
      </c>
      <c r="J2161" s="354" t="s">
        <v>19</v>
      </c>
      <c r="K2161" s="324"/>
      <c r="L2161" s="324"/>
      <c r="M2161" s="324">
        <f>(F2161*5547/3456)</f>
        <v>0</v>
      </c>
      <c r="N2161" s="324"/>
      <c r="O2161" s="324"/>
      <c r="P2161" s="324"/>
      <c r="Q2161" s="324" t="s">
        <v>18</v>
      </c>
      <c r="R2161" s="324"/>
      <c r="S2161" s="324" t="s">
        <v>19</v>
      </c>
      <c r="T2161" s="528">
        <v>4</v>
      </c>
      <c r="U2161" s="324">
        <f>E2161/324*60</f>
        <v>0</v>
      </c>
      <c r="V2161" s="685"/>
      <c r="W2161" s="528"/>
      <c r="X2161" s="529"/>
      <c r="Y2161" s="323"/>
      <c r="Z2161" s="312">
        <f>E2161</f>
        <v>0</v>
      </c>
      <c r="AA2161" s="316">
        <f>SUM(Z2161/180+0.25)</f>
        <v>0.25</v>
      </c>
    </row>
    <row r="2162" spans="1:29" ht="77.25" thickBot="1" x14ac:dyDescent="0.45">
      <c r="A2162" s="319" t="s">
        <v>729</v>
      </c>
      <c r="B2162" s="320" t="s">
        <v>1010</v>
      </c>
      <c r="C2162" s="528">
        <f>C1963</f>
        <v>0</v>
      </c>
      <c r="D2162" s="528"/>
      <c r="E2162" s="460">
        <f>C2162*2</f>
        <v>0</v>
      </c>
      <c r="F2162" s="324">
        <f>E2162*1.01*0.72/147</f>
        <v>0</v>
      </c>
      <c r="G2162" s="528">
        <f t="shared" si="808"/>
        <v>0</v>
      </c>
      <c r="H2162" s="324" t="s">
        <v>18</v>
      </c>
      <c r="I2162" s="528">
        <f t="shared" si="809"/>
        <v>0</v>
      </c>
      <c r="J2162" s="324" t="s">
        <v>19</v>
      </c>
      <c r="K2162" s="324"/>
      <c r="L2162" s="324"/>
      <c r="M2162" s="324">
        <f>(F2162*6035/3456)</f>
        <v>0</v>
      </c>
      <c r="N2162" s="324"/>
      <c r="O2162" s="324"/>
      <c r="P2162" s="324"/>
      <c r="Q2162" s="324" t="s">
        <v>18</v>
      </c>
      <c r="R2162" s="324"/>
      <c r="S2162" s="324" t="s">
        <v>19</v>
      </c>
      <c r="T2162" s="528">
        <v>4</v>
      </c>
      <c r="U2162" s="324">
        <f t="shared" si="813"/>
        <v>0</v>
      </c>
      <c r="V2162" s="685"/>
      <c r="W2162" s="528"/>
      <c r="X2162" s="529"/>
      <c r="Y2162" s="323"/>
      <c r="Z2162" s="312">
        <f>E2162</f>
        <v>0</v>
      </c>
      <c r="AA2162" s="316">
        <f>SUM(Z2162/180+0.25)</f>
        <v>0.25</v>
      </c>
    </row>
    <row r="2163" spans="1:29" ht="77.25" thickBot="1" x14ac:dyDescent="0.45">
      <c r="A2163" s="319" t="s">
        <v>729</v>
      </c>
      <c r="B2163" s="320" t="s">
        <v>1011</v>
      </c>
      <c r="C2163" s="528">
        <f>C1964</f>
        <v>0</v>
      </c>
      <c r="D2163" s="528"/>
      <c r="E2163" s="460">
        <f>C2163*2</f>
        <v>0</v>
      </c>
      <c r="F2163" s="324">
        <f>E2163*1.01*0.72/147</f>
        <v>0</v>
      </c>
      <c r="G2163" s="528">
        <f t="shared" si="808"/>
        <v>0</v>
      </c>
      <c r="H2163" s="324" t="s">
        <v>18</v>
      </c>
      <c r="I2163" s="528">
        <f t="shared" si="809"/>
        <v>0</v>
      </c>
      <c r="J2163" s="324" t="s">
        <v>19</v>
      </c>
      <c r="K2163" s="324"/>
      <c r="L2163" s="324"/>
      <c r="M2163" s="324">
        <f>(F2163*6035/3456)</f>
        <v>0</v>
      </c>
      <c r="N2163" s="324"/>
      <c r="O2163" s="324"/>
      <c r="P2163" s="324"/>
      <c r="Q2163" s="324" t="s">
        <v>18</v>
      </c>
      <c r="R2163" s="324"/>
      <c r="S2163" s="324" t="s">
        <v>19</v>
      </c>
      <c r="T2163" s="528">
        <v>4</v>
      </c>
      <c r="U2163" s="324">
        <f t="shared" si="813"/>
        <v>0</v>
      </c>
      <c r="V2163" s="685"/>
      <c r="W2163" s="528"/>
      <c r="X2163" s="529"/>
      <c r="Y2163" s="323"/>
      <c r="Z2163" s="312">
        <f>E2163</f>
        <v>0</v>
      </c>
      <c r="AA2163" s="316">
        <f>SUM(Z2163/180+0.25)</f>
        <v>0.25</v>
      </c>
    </row>
    <row r="2164" spans="1:29" ht="77.25" outlineLevel="1" thickBot="1" x14ac:dyDescent="0.45">
      <c r="A2164" s="319" t="s">
        <v>729</v>
      </c>
      <c r="B2164" s="320" t="s">
        <v>895</v>
      </c>
      <c r="C2164" s="528">
        <f>C1650</f>
        <v>0</v>
      </c>
      <c r="D2164" s="528"/>
      <c r="E2164" s="456">
        <f>C2164*1.7</f>
        <v>0</v>
      </c>
      <c r="F2164" s="358">
        <f>E2164*1.03*0.82/147</f>
        <v>0</v>
      </c>
      <c r="G2164" s="549">
        <f t="shared" si="808"/>
        <v>0</v>
      </c>
      <c r="H2164" s="359" t="s">
        <v>18</v>
      </c>
      <c r="I2164" s="549">
        <f t="shared" si="809"/>
        <v>0</v>
      </c>
      <c r="J2164" s="359" t="s">
        <v>19</v>
      </c>
      <c r="K2164" s="358"/>
      <c r="L2164" s="358"/>
      <c r="M2164" s="358">
        <f>(F2164*5547/3456)</f>
        <v>0</v>
      </c>
      <c r="N2164" s="358"/>
      <c r="O2164" s="358"/>
      <c r="P2164" s="358"/>
      <c r="Q2164" s="358" t="s">
        <v>18</v>
      </c>
      <c r="R2164" s="358"/>
      <c r="S2164" s="358" t="s">
        <v>19</v>
      </c>
      <c r="T2164" s="528">
        <v>4</v>
      </c>
      <c r="U2164" s="324">
        <f t="shared" si="813"/>
        <v>0</v>
      </c>
      <c r="V2164" s="685"/>
      <c r="W2164" s="528"/>
      <c r="X2164" s="529"/>
      <c r="Y2164" s="323"/>
      <c r="Z2164" s="312">
        <f t="shared" si="811"/>
        <v>0</v>
      </c>
      <c r="AA2164" s="316">
        <f>SUM(Z2164/609.8+0.25)</f>
        <v>0.25</v>
      </c>
    </row>
    <row r="2165" spans="1:29" ht="77.25" thickBot="1" x14ac:dyDescent="0.45">
      <c r="A2165" s="319" t="s">
        <v>729</v>
      </c>
      <c r="B2165" s="799" t="s">
        <v>1185</v>
      </c>
      <c r="C2165" s="528">
        <f>C1957</f>
        <v>0</v>
      </c>
      <c r="D2165" s="528"/>
      <c r="E2165" s="456">
        <f>C2165*1.7</f>
        <v>0</v>
      </c>
      <c r="F2165" s="358">
        <f>E2165*1.03*0.82/147</f>
        <v>0</v>
      </c>
      <c r="G2165" s="549">
        <f t="shared" si="808"/>
        <v>0</v>
      </c>
      <c r="H2165" s="359" t="s">
        <v>18</v>
      </c>
      <c r="I2165" s="549">
        <f t="shared" si="809"/>
        <v>0</v>
      </c>
      <c r="J2165" s="359" t="s">
        <v>19</v>
      </c>
      <c r="K2165" s="358"/>
      <c r="L2165" s="358"/>
      <c r="M2165" s="358">
        <f>(F2165*5547/3456)</f>
        <v>0</v>
      </c>
      <c r="N2165" s="358"/>
      <c r="O2165" s="358"/>
      <c r="P2165" s="358"/>
      <c r="Q2165" s="358" t="s">
        <v>18</v>
      </c>
      <c r="R2165" s="358"/>
      <c r="S2165" s="358" t="s">
        <v>19</v>
      </c>
      <c r="T2165" s="528">
        <v>4</v>
      </c>
      <c r="U2165" s="324">
        <f t="shared" si="813"/>
        <v>0</v>
      </c>
      <c r="V2165" s="685"/>
      <c r="W2165" s="528"/>
      <c r="X2165" s="529"/>
      <c r="Y2165" s="323"/>
      <c r="Z2165" s="312">
        <f t="shared" si="811"/>
        <v>0</v>
      </c>
      <c r="AA2165" s="316">
        <f>SUM(Z2165/180+0.25)</f>
        <v>0.25</v>
      </c>
    </row>
    <row r="2166" spans="1:29" ht="102.75" thickBot="1" x14ac:dyDescent="0.45">
      <c r="A2166" s="319" t="s">
        <v>729</v>
      </c>
      <c r="B2166" s="320" t="s">
        <v>969</v>
      </c>
      <c r="C2166" s="528">
        <f>C2105</f>
        <v>0</v>
      </c>
      <c r="D2166" s="548"/>
      <c r="E2166" s="456">
        <f>C2166*0.3</f>
        <v>0</v>
      </c>
      <c r="F2166" s="358">
        <f>E2166*1.03*0.84/147</f>
        <v>0</v>
      </c>
      <c r="G2166" s="549">
        <f t="shared" ref="G2166:G2171" si="814">INT(M2166)</f>
        <v>0</v>
      </c>
      <c r="H2166" s="359" t="s">
        <v>18</v>
      </c>
      <c r="I2166" s="549">
        <f t="shared" ref="I2166:I2171" si="815">(M2166-G2166)*64</f>
        <v>0</v>
      </c>
      <c r="J2166" s="359" t="s">
        <v>19</v>
      </c>
      <c r="K2166" s="358"/>
      <c r="L2166" s="358"/>
      <c r="M2166" s="358">
        <f>(F2166*5547/3456)</f>
        <v>0</v>
      </c>
      <c r="N2166" s="461"/>
      <c r="O2166" s="461"/>
      <c r="P2166" s="461"/>
      <c r="Q2166" s="324" t="s">
        <v>18</v>
      </c>
      <c r="R2166" s="324"/>
      <c r="S2166" s="324" t="s">
        <v>19</v>
      </c>
      <c r="T2166" s="528">
        <v>5</v>
      </c>
      <c r="U2166" s="324">
        <f t="shared" si="813"/>
        <v>0</v>
      </c>
      <c r="V2166" s="676"/>
      <c r="W2166" s="528"/>
      <c r="X2166" s="529"/>
      <c r="Y2166" s="323"/>
      <c r="Z2166" s="312">
        <f t="shared" si="811"/>
        <v>0</v>
      </c>
      <c r="AA2166" s="316">
        <f t="shared" ref="AA2166:AA2171" si="816">SUM(E2166/180+0.25)</f>
        <v>0.25</v>
      </c>
    </row>
    <row r="2167" spans="1:29" ht="77.25" thickBot="1" x14ac:dyDescent="0.45">
      <c r="A2167" s="319" t="s">
        <v>729</v>
      </c>
      <c r="B2167" s="369" t="s">
        <v>971</v>
      </c>
      <c r="C2167" s="528">
        <f>C1662</f>
        <v>0</v>
      </c>
      <c r="D2167" s="548"/>
      <c r="E2167" s="456">
        <f>C2167*0.3</f>
        <v>0</v>
      </c>
      <c r="F2167" s="358">
        <f>E2167*1.03*0.82/147</f>
        <v>0</v>
      </c>
      <c r="G2167" s="549">
        <f t="shared" si="814"/>
        <v>0</v>
      </c>
      <c r="H2167" s="359" t="s">
        <v>18</v>
      </c>
      <c r="I2167" s="549">
        <f t="shared" si="815"/>
        <v>0</v>
      </c>
      <c r="J2167" s="359" t="s">
        <v>19</v>
      </c>
      <c r="K2167" s="358"/>
      <c r="L2167" s="358"/>
      <c r="M2167" s="358">
        <f>(F2167*5547/3456)</f>
        <v>0</v>
      </c>
      <c r="N2167" s="461"/>
      <c r="O2167" s="461"/>
      <c r="P2167" s="461"/>
      <c r="Q2167" s="358" t="s">
        <v>18</v>
      </c>
      <c r="R2167" s="358"/>
      <c r="S2167" s="358" t="s">
        <v>19</v>
      </c>
      <c r="T2167" s="528">
        <v>5</v>
      </c>
      <c r="U2167" s="324">
        <f>E2167/324*60</f>
        <v>0</v>
      </c>
      <c r="V2167" s="676"/>
      <c r="W2167" s="528"/>
      <c r="X2167" s="529"/>
      <c r="Y2167" s="323"/>
      <c r="Z2167" s="312">
        <f t="shared" si="811"/>
        <v>0</v>
      </c>
      <c r="AA2167" s="316">
        <f t="shared" si="816"/>
        <v>0.25</v>
      </c>
    </row>
    <row r="2168" spans="1:29" ht="77.25" thickBot="1" x14ac:dyDescent="0.45">
      <c r="A2168" s="319" t="s">
        <v>729</v>
      </c>
      <c r="B2168" s="886" t="s">
        <v>1225</v>
      </c>
      <c r="C2168" s="528"/>
      <c r="D2168" s="528">
        <f>C2168*10</f>
        <v>0</v>
      </c>
      <c r="E2168" s="460">
        <f>D2168*0.3</f>
        <v>0</v>
      </c>
      <c r="F2168" s="324">
        <f>E2168*1.03*0.82/147</f>
        <v>0</v>
      </c>
      <c r="G2168" s="537">
        <f t="shared" si="814"/>
        <v>0</v>
      </c>
      <c r="H2168" s="354"/>
      <c r="I2168" s="537">
        <f t="shared" si="815"/>
        <v>0</v>
      </c>
      <c r="J2168" s="354"/>
      <c r="K2168" s="324"/>
      <c r="L2168" s="324"/>
      <c r="M2168" s="324">
        <f>(F2168*4900/2880)</f>
        <v>0</v>
      </c>
      <c r="N2168" s="324"/>
      <c r="O2168" s="324"/>
      <c r="P2168" s="324"/>
      <c r="Q2168" s="324"/>
      <c r="R2168" s="324"/>
      <c r="S2168" s="324"/>
      <c r="T2168" s="528"/>
      <c r="U2168" s="324"/>
      <c r="V2168" s="676"/>
      <c r="W2168" s="528"/>
      <c r="X2168" s="529"/>
      <c r="Y2168" s="323"/>
      <c r="Z2168" s="312">
        <f>E2168</f>
        <v>0</v>
      </c>
      <c r="AA2168" s="316">
        <f t="shared" si="816"/>
        <v>0.25</v>
      </c>
    </row>
    <row r="2169" spans="1:29" ht="77.25" thickBot="1" x14ac:dyDescent="0.45">
      <c r="A2169" s="319" t="s">
        <v>729</v>
      </c>
      <c r="B2169" s="369" t="s">
        <v>967</v>
      </c>
      <c r="C2169" s="528">
        <f>C1664</f>
        <v>0</v>
      </c>
      <c r="D2169" s="548"/>
      <c r="E2169" s="456">
        <f>C2169*0.3</f>
        <v>0</v>
      </c>
      <c r="F2169" s="358">
        <f>E2169*1.03*0.82/147</f>
        <v>0</v>
      </c>
      <c r="G2169" s="549">
        <f t="shared" si="814"/>
        <v>0</v>
      </c>
      <c r="H2169" s="359" t="s">
        <v>18</v>
      </c>
      <c r="I2169" s="549">
        <f t="shared" si="815"/>
        <v>0</v>
      </c>
      <c r="J2169" s="359" t="s">
        <v>19</v>
      </c>
      <c r="K2169" s="358"/>
      <c r="L2169" s="358"/>
      <c r="M2169" s="358">
        <f>(F2169*5547/3456)</f>
        <v>0</v>
      </c>
      <c r="N2169" s="461"/>
      <c r="O2169" s="461"/>
      <c r="P2169" s="461"/>
      <c r="Q2169" s="358" t="s">
        <v>18</v>
      </c>
      <c r="R2169" s="358"/>
      <c r="S2169" s="358" t="s">
        <v>19</v>
      </c>
      <c r="T2169" s="528">
        <v>5</v>
      </c>
      <c r="U2169" s="324">
        <f>E2169/324*60</f>
        <v>0</v>
      </c>
      <c r="V2169" s="676"/>
      <c r="W2169" s="528"/>
      <c r="X2169" s="529"/>
      <c r="Y2169" s="323"/>
      <c r="Z2169" s="312">
        <f>E2169</f>
        <v>0</v>
      </c>
      <c r="AA2169" s="316">
        <f t="shared" si="816"/>
        <v>0.25</v>
      </c>
    </row>
    <row r="2170" spans="1:29" ht="77.25" thickBot="1" x14ac:dyDescent="0.45">
      <c r="A2170" s="319" t="s">
        <v>729</v>
      </c>
      <c r="B2170" s="369" t="s">
        <v>968</v>
      </c>
      <c r="C2170" s="528">
        <f>C1665</f>
        <v>0</v>
      </c>
      <c r="D2170" s="548"/>
      <c r="E2170" s="456">
        <f>C2170*0.3</f>
        <v>0</v>
      </c>
      <c r="F2170" s="358">
        <f>E2170*1.03*0.72/147</f>
        <v>0</v>
      </c>
      <c r="G2170" s="548">
        <f t="shared" si="814"/>
        <v>0</v>
      </c>
      <c r="H2170" s="358" t="s">
        <v>18</v>
      </c>
      <c r="I2170" s="548">
        <f t="shared" si="815"/>
        <v>0</v>
      </c>
      <c r="J2170" s="358" t="s">
        <v>19</v>
      </c>
      <c r="K2170" s="358"/>
      <c r="L2170" s="358"/>
      <c r="M2170" s="358">
        <f>(F2170*6035/3456)</f>
        <v>0</v>
      </c>
      <c r="N2170" s="461"/>
      <c r="O2170" s="461"/>
      <c r="P2170" s="461"/>
      <c r="Q2170" s="358" t="s">
        <v>18</v>
      </c>
      <c r="R2170" s="358"/>
      <c r="S2170" s="358" t="s">
        <v>19</v>
      </c>
      <c r="T2170" s="528">
        <v>5</v>
      </c>
      <c r="U2170" s="324">
        <f>E2170/324*60</f>
        <v>0</v>
      </c>
      <c r="V2170" s="676"/>
      <c r="W2170" s="528"/>
      <c r="X2170" s="529"/>
      <c r="Y2170" s="323"/>
      <c r="Z2170" s="312">
        <f>E2170</f>
        <v>0</v>
      </c>
      <c r="AA2170" s="316">
        <f t="shared" si="816"/>
        <v>0.25</v>
      </c>
    </row>
    <row r="2171" spans="1:29" ht="77.25" thickBot="1" x14ac:dyDescent="0.45">
      <c r="A2171" s="319" t="s">
        <v>729</v>
      </c>
      <c r="B2171" s="343" t="s">
        <v>1141</v>
      </c>
      <c r="C2171" s="528">
        <f>C1666</f>
        <v>0</v>
      </c>
      <c r="D2171" s="548"/>
      <c r="E2171" s="456">
        <f>C2171*0.3</f>
        <v>0</v>
      </c>
      <c r="F2171" s="358">
        <f>E2171*1.03*0.72/147</f>
        <v>0</v>
      </c>
      <c r="G2171" s="548">
        <f t="shared" si="814"/>
        <v>0</v>
      </c>
      <c r="H2171" s="358" t="s">
        <v>18</v>
      </c>
      <c r="I2171" s="548">
        <f t="shared" si="815"/>
        <v>0</v>
      </c>
      <c r="J2171" s="358" t="s">
        <v>19</v>
      </c>
      <c r="K2171" s="358"/>
      <c r="L2171" s="358"/>
      <c r="M2171" s="358">
        <f>(F2171*6035/3456)</f>
        <v>0</v>
      </c>
      <c r="N2171" s="461"/>
      <c r="O2171" s="461"/>
      <c r="P2171" s="461"/>
      <c r="Q2171" s="358" t="s">
        <v>18</v>
      </c>
      <c r="R2171" s="358"/>
      <c r="S2171" s="358" t="s">
        <v>19</v>
      </c>
      <c r="T2171" s="528">
        <v>7</v>
      </c>
      <c r="U2171" s="324">
        <f>E2171/324*60</f>
        <v>0</v>
      </c>
      <c r="V2171" s="676"/>
      <c r="W2171" s="528"/>
      <c r="X2171" s="529"/>
      <c r="Y2171" s="323"/>
      <c r="Z2171" s="312">
        <f>E2171</f>
        <v>0</v>
      </c>
      <c r="AA2171" s="316">
        <f t="shared" si="816"/>
        <v>0.25</v>
      </c>
    </row>
    <row r="2172" spans="1:29" ht="77.25" thickBot="1" x14ac:dyDescent="0.45">
      <c r="A2172" s="319" t="s">
        <v>729</v>
      </c>
      <c r="B2172" s="799" t="s">
        <v>1186</v>
      </c>
      <c r="C2172" s="587">
        <f>C2101</f>
        <v>0</v>
      </c>
      <c r="D2172" s="528"/>
      <c r="E2172" s="456">
        <f>C2172*1.7</f>
        <v>0</v>
      </c>
      <c r="F2172" s="324">
        <f>E2172*1.03*0.84/147</f>
        <v>0</v>
      </c>
      <c r="G2172" s="548">
        <f t="shared" si="808"/>
        <v>0</v>
      </c>
      <c r="H2172" s="358" t="s">
        <v>18</v>
      </c>
      <c r="I2172" s="548">
        <f t="shared" si="809"/>
        <v>0</v>
      </c>
      <c r="J2172" s="358" t="s">
        <v>19</v>
      </c>
      <c r="K2172" s="358"/>
      <c r="L2172" s="358"/>
      <c r="M2172" s="358">
        <f>(F2172*5068/3456)</f>
        <v>0</v>
      </c>
      <c r="N2172" s="324"/>
      <c r="O2172" s="324"/>
      <c r="P2172" s="324"/>
      <c r="Q2172" s="324" t="s">
        <v>18</v>
      </c>
      <c r="R2172" s="324"/>
      <c r="S2172" s="324" t="s">
        <v>19</v>
      </c>
      <c r="T2172" s="528">
        <v>4</v>
      </c>
      <c r="U2172" s="324">
        <f t="shared" si="813"/>
        <v>0</v>
      </c>
      <c r="V2172" s="676"/>
      <c r="W2172" s="528"/>
      <c r="X2172" s="529"/>
      <c r="Y2172" s="323"/>
      <c r="Z2172" s="312">
        <f t="shared" si="811"/>
        <v>0</v>
      </c>
      <c r="AA2172" s="316">
        <f>SUM(Z2172/180+0.25)</f>
        <v>0.25</v>
      </c>
    </row>
    <row r="2173" spans="1:29" ht="77.25" thickBot="1" x14ac:dyDescent="0.45">
      <c r="A2173" s="319" t="s">
        <v>729</v>
      </c>
      <c r="B2173" s="799" t="s">
        <v>896</v>
      </c>
      <c r="C2173" s="528">
        <f>C1959</f>
        <v>0</v>
      </c>
      <c r="D2173" s="528"/>
      <c r="E2173" s="456">
        <f>C2173*1.2</f>
        <v>0</v>
      </c>
      <c r="F2173" s="358">
        <f>E2173*1.01*0.72/147</f>
        <v>0</v>
      </c>
      <c r="G2173" s="548">
        <f t="shared" si="808"/>
        <v>0</v>
      </c>
      <c r="H2173" s="358" t="s">
        <v>18</v>
      </c>
      <c r="I2173" s="548">
        <f t="shared" si="809"/>
        <v>0</v>
      </c>
      <c r="J2173" s="358" t="s">
        <v>19</v>
      </c>
      <c r="K2173" s="358"/>
      <c r="L2173" s="358"/>
      <c r="M2173" s="358">
        <f>(F2173*6035/3456)</f>
        <v>0</v>
      </c>
      <c r="N2173" s="358"/>
      <c r="O2173" s="358"/>
      <c r="P2173" s="358"/>
      <c r="Q2173" s="358" t="s">
        <v>18</v>
      </c>
      <c r="R2173" s="358"/>
      <c r="S2173" s="358" t="s">
        <v>19</v>
      </c>
      <c r="T2173" s="528">
        <v>4</v>
      </c>
      <c r="U2173" s="324">
        <f t="shared" si="813"/>
        <v>0</v>
      </c>
      <c r="V2173" s="685"/>
      <c r="W2173" s="528"/>
      <c r="X2173" s="529"/>
      <c r="Y2173" s="323"/>
      <c r="Z2173" s="312">
        <f>E2173</f>
        <v>0</v>
      </c>
      <c r="AA2173" s="316">
        <f>SUM(Z2173/180+0.25)</f>
        <v>0.25</v>
      </c>
      <c r="AB2173" s="310">
        <f>E2173/1.21</f>
        <v>0</v>
      </c>
      <c r="AC2173" s="643"/>
    </row>
    <row r="2174" spans="1:29" ht="77.25" thickBot="1" x14ac:dyDescent="0.45">
      <c r="A2174" s="319" t="s">
        <v>729</v>
      </c>
      <c r="B2174" s="799" t="s">
        <v>1082</v>
      </c>
      <c r="C2174" s="528">
        <f>C1960</f>
        <v>0</v>
      </c>
      <c r="D2174" s="528"/>
      <c r="E2174" s="460">
        <f>C2174*1.2</f>
        <v>0</v>
      </c>
      <c r="F2174" s="324">
        <f>E2174*1.01*0.72/147</f>
        <v>0</v>
      </c>
      <c r="G2174" s="528">
        <f t="shared" si="808"/>
        <v>0</v>
      </c>
      <c r="H2174" s="324" t="s">
        <v>18</v>
      </c>
      <c r="I2174" s="528">
        <f t="shared" si="809"/>
        <v>0</v>
      </c>
      <c r="J2174" s="324" t="s">
        <v>19</v>
      </c>
      <c r="K2174" s="324"/>
      <c r="L2174" s="324"/>
      <c r="M2174" s="324">
        <f>(F2174*6035/3456)</f>
        <v>0</v>
      </c>
      <c r="N2174" s="324"/>
      <c r="O2174" s="324"/>
      <c r="P2174" s="324"/>
      <c r="Q2174" s="324" t="s">
        <v>18</v>
      </c>
      <c r="R2174" s="324"/>
      <c r="S2174" s="324" t="s">
        <v>19</v>
      </c>
      <c r="T2174" s="528">
        <v>4</v>
      </c>
      <c r="U2174" s="324">
        <f t="shared" si="813"/>
        <v>0</v>
      </c>
      <c r="V2174" s="685"/>
      <c r="W2174" s="528"/>
      <c r="X2174" s="529"/>
      <c r="Y2174" s="323"/>
      <c r="Z2174" s="312">
        <f>E2174</f>
        <v>0</v>
      </c>
      <c r="AA2174" s="316">
        <f>SUM(Z2174/180+0.25)</f>
        <v>0.25</v>
      </c>
      <c r="AB2174" s="310">
        <f>E2174/1.21</f>
        <v>0</v>
      </c>
      <c r="AC2174" s="643"/>
    </row>
    <row r="2175" spans="1:29" ht="77.25" thickBot="1" x14ac:dyDescent="0.45">
      <c r="A2175" s="319" t="s">
        <v>729</v>
      </c>
      <c r="B2175" s="799" t="s">
        <v>1187</v>
      </c>
      <c r="C2175" s="586">
        <f>C2084</f>
        <v>0</v>
      </c>
      <c r="D2175" s="528"/>
      <c r="E2175" s="456">
        <f>C2175*1.7</f>
        <v>0</v>
      </c>
      <c r="F2175" s="358">
        <f>E2175*1.01*0.72/147</f>
        <v>0</v>
      </c>
      <c r="G2175" s="548">
        <f>INT(M2175)</f>
        <v>0</v>
      </c>
      <c r="H2175" s="358" t="s">
        <v>18</v>
      </c>
      <c r="I2175" s="548">
        <f>(M2175-G2175)*64</f>
        <v>0</v>
      </c>
      <c r="J2175" s="358" t="s">
        <v>19</v>
      </c>
      <c r="K2175" s="358"/>
      <c r="L2175" s="358"/>
      <c r="M2175" s="358">
        <f>(F2175*6035/3456)</f>
        <v>0</v>
      </c>
      <c r="N2175" s="324"/>
      <c r="O2175" s="324"/>
      <c r="P2175" s="324"/>
      <c r="Q2175" s="324" t="s">
        <v>18</v>
      </c>
      <c r="R2175" s="324"/>
      <c r="S2175" s="324" t="s">
        <v>19</v>
      </c>
      <c r="T2175" s="528">
        <v>4</v>
      </c>
      <c r="U2175" s="324">
        <f t="shared" si="813"/>
        <v>0</v>
      </c>
      <c r="V2175" s="676"/>
      <c r="W2175" s="528"/>
      <c r="X2175" s="529"/>
      <c r="Y2175" s="323"/>
      <c r="Z2175" s="312">
        <f>E2175</f>
        <v>0</v>
      </c>
      <c r="AA2175" s="316">
        <f>SUM(Z2175/180+0.25)</f>
        <v>0.25</v>
      </c>
    </row>
    <row r="2176" spans="1:29" thickBot="1" x14ac:dyDescent="0.45">
      <c r="A2176" s="329"/>
      <c r="B2176" s="344"/>
      <c r="C2176" s="588"/>
      <c r="D2176" s="536"/>
      <c r="E2176" s="460"/>
      <c r="F2176" s="324"/>
      <c r="G2176" s="537"/>
      <c r="H2176" s="354"/>
      <c r="I2176" s="537"/>
      <c r="J2176" s="354"/>
      <c r="K2176" s="324"/>
      <c r="L2176" s="324"/>
      <c r="M2176" s="324"/>
      <c r="N2176" s="324"/>
      <c r="O2176" s="324"/>
      <c r="P2176" s="324"/>
      <c r="Q2176" s="324"/>
      <c r="R2176" s="324"/>
      <c r="S2176" s="324"/>
      <c r="T2176" s="528"/>
      <c r="U2176" s="324"/>
      <c r="V2176" s="676"/>
      <c r="W2176" s="528"/>
      <c r="X2176" s="529"/>
      <c r="Y2176" s="323"/>
    </row>
    <row r="2177" spans="1:27" thickBot="1" x14ac:dyDescent="0.45">
      <c r="A2177" s="329"/>
      <c r="B2177" s="344"/>
      <c r="C2177" s="588"/>
      <c r="D2177" s="536"/>
      <c r="E2177" s="460"/>
      <c r="F2177" s="324"/>
      <c r="G2177" s="537"/>
      <c r="H2177" s="354"/>
      <c r="I2177" s="537"/>
      <c r="J2177" s="354"/>
      <c r="K2177" s="324"/>
      <c r="L2177" s="324"/>
      <c r="M2177" s="324"/>
      <c r="N2177" s="324"/>
      <c r="O2177" s="324"/>
      <c r="P2177" s="324"/>
      <c r="Q2177" s="324"/>
      <c r="R2177" s="324"/>
      <c r="S2177" s="324"/>
      <c r="T2177" s="528"/>
      <c r="U2177" s="324"/>
      <c r="V2177" s="676"/>
      <c r="W2177" s="528"/>
      <c r="X2177" s="529"/>
      <c r="Y2177" s="323"/>
    </row>
    <row r="2178" spans="1:27" ht="53.25" thickBot="1" x14ac:dyDescent="0.45">
      <c r="A2178" s="319"/>
      <c r="B2178" s="401" t="s">
        <v>695</v>
      </c>
      <c r="C2178" s="537"/>
      <c r="D2178" s="537"/>
      <c r="E2178" s="496"/>
      <c r="F2178" s="354"/>
      <c r="G2178" s="537"/>
      <c r="H2178" s="354"/>
      <c r="I2178" s="537"/>
      <c r="J2178" s="354"/>
      <c r="K2178" s="354"/>
      <c r="L2178" s="354"/>
      <c r="M2178" s="354"/>
      <c r="N2178" s="354"/>
      <c r="O2178" s="354"/>
      <c r="P2178" s="354"/>
      <c r="Q2178" s="354"/>
      <c r="R2178" s="354"/>
      <c r="S2178" s="354"/>
      <c r="T2178" s="537"/>
      <c r="U2178" s="354"/>
      <c r="V2178" s="682" t="s">
        <v>697</v>
      </c>
      <c r="W2178" s="537"/>
      <c r="X2178" s="540"/>
      <c r="Y2178" s="323"/>
    </row>
    <row r="2179" spans="1:27" thickBot="1" x14ac:dyDescent="0.45">
      <c r="A2179" s="319"/>
      <c r="B2179" s="344"/>
      <c r="C2179" s="536"/>
      <c r="D2179" s="528"/>
      <c r="E2179" s="460"/>
      <c r="F2179" s="324"/>
      <c r="G2179" s="528"/>
      <c r="H2179" s="324"/>
      <c r="I2179" s="528"/>
      <c r="J2179" s="324"/>
      <c r="K2179" s="324"/>
      <c r="L2179" s="324"/>
      <c r="M2179" s="324"/>
      <c r="N2179" s="324"/>
      <c r="O2179" s="324"/>
      <c r="P2179" s="324"/>
      <c r="Q2179" s="324"/>
      <c r="R2179" s="324"/>
      <c r="S2179" s="324"/>
      <c r="T2179" s="528"/>
      <c r="U2179" s="324"/>
      <c r="V2179" s="676"/>
      <c r="W2179" s="528"/>
      <c r="X2179" s="529"/>
      <c r="Y2179" s="323"/>
    </row>
    <row r="2180" spans="1:27" thickBot="1" x14ac:dyDescent="0.45">
      <c r="A2180" s="329"/>
      <c r="B2180" s="346"/>
      <c r="C2180" s="528"/>
      <c r="D2180" s="528"/>
      <c r="E2180" s="460"/>
      <c r="F2180" s="324"/>
      <c r="G2180" s="528"/>
      <c r="H2180" s="324"/>
      <c r="I2180" s="528"/>
      <c r="J2180" s="324"/>
      <c r="K2180" s="324"/>
      <c r="L2180" s="324"/>
      <c r="M2180" s="324"/>
      <c r="N2180" s="324"/>
      <c r="O2180" s="324"/>
      <c r="P2180" s="324"/>
      <c r="Q2180" s="324"/>
      <c r="R2180" s="324"/>
      <c r="S2180" s="324"/>
      <c r="T2180" s="528"/>
      <c r="U2180" s="324"/>
      <c r="V2180" s="676"/>
      <c r="W2180" s="528"/>
      <c r="X2180" s="529"/>
      <c r="Y2180" s="323"/>
    </row>
    <row r="2181" spans="1:27" thickBot="1" x14ac:dyDescent="0.45">
      <c r="A2181" s="319"/>
      <c r="B2181" s="382" t="s">
        <v>310</v>
      </c>
      <c r="C2181" s="537"/>
      <c r="D2181" s="537"/>
      <c r="E2181" s="496">
        <f>SUM(E2145:E2175)+(C2132+C2133+C2134+C2135)</f>
        <v>12000</v>
      </c>
      <c r="F2181" s="324"/>
      <c r="G2181" s="528"/>
      <c r="H2181" s="324"/>
      <c r="I2181" s="528"/>
      <c r="J2181" s="324"/>
      <c r="K2181" s="324"/>
      <c r="L2181" s="324"/>
      <c r="M2181" s="324"/>
      <c r="N2181" s="324"/>
      <c r="O2181" s="324"/>
      <c r="P2181" s="324"/>
      <c r="Q2181" s="324"/>
      <c r="R2181" s="324"/>
      <c r="S2181" s="324"/>
      <c r="T2181" s="528"/>
      <c r="U2181" s="324"/>
      <c r="V2181" s="676"/>
      <c r="W2181" s="528"/>
      <c r="X2181" s="529"/>
      <c r="Y2181" s="323"/>
    </row>
    <row r="2182" spans="1:27" thickBot="1" x14ac:dyDescent="0.45">
      <c r="A2182" s="319"/>
      <c r="B2182" s="382" t="s">
        <v>710</v>
      </c>
      <c r="C2182" s="537"/>
      <c r="D2182" s="537"/>
      <c r="E2182" s="496">
        <f>SUM(E2118:E2141)-(C2132+C2133+C2134+C2135)</f>
        <v>0</v>
      </c>
      <c r="F2182" s="324"/>
      <c r="G2182" s="528"/>
      <c r="H2182" s="324"/>
      <c r="I2182" s="528"/>
      <c r="J2182" s="324"/>
      <c r="K2182" s="324"/>
      <c r="L2182" s="324"/>
      <c r="M2182" s="324"/>
      <c r="N2182" s="324"/>
      <c r="O2182" s="324"/>
      <c r="P2182" s="324"/>
      <c r="Q2182" s="324"/>
      <c r="R2182" s="324"/>
      <c r="S2182" s="324"/>
      <c r="T2182" s="528"/>
      <c r="U2182" s="324"/>
      <c r="V2182" s="676"/>
      <c r="W2182" s="528"/>
      <c r="X2182" s="529"/>
      <c r="Y2182" s="323"/>
    </row>
    <row r="2183" spans="1:27" thickBot="1" x14ac:dyDescent="0.45">
      <c r="A2183" s="319"/>
      <c r="B2183" s="357"/>
      <c r="C2183" s="539"/>
      <c r="D2183" s="539"/>
      <c r="E2183" s="502"/>
      <c r="F2183" s="333"/>
      <c r="G2183" s="539"/>
      <c r="H2183" s="333"/>
      <c r="I2183" s="539"/>
      <c r="J2183" s="333"/>
      <c r="K2183" s="333"/>
      <c r="L2183" s="333"/>
      <c r="M2183" s="333"/>
      <c r="N2183" s="333"/>
      <c r="O2183" s="333"/>
      <c r="P2183" s="333"/>
      <c r="Q2183" s="333"/>
      <c r="R2183" s="333"/>
      <c r="S2183" s="333"/>
      <c r="T2183" s="539"/>
      <c r="U2183" s="333"/>
      <c r="V2183" s="681"/>
      <c r="W2183" s="539"/>
      <c r="X2183" s="333"/>
      <c r="Y2183" s="323"/>
    </row>
    <row r="2184" spans="1:27" thickBot="1" x14ac:dyDescent="0.45">
      <c r="A2184" s="319"/>
      <c r="B2184" s="357"/>
      <c r="C2184" s="539"/>
      <c r="D2184" s="539"/>
      <c r="E2184" s="502"/>
      <c r="F2184" s="333"/>
      <c r="G2184" s="539"/>
      <c r="H2184" s="333"/>
      <c r="I2184" s="539"/>
      <c r="J2184" s="333"/>
      <c r="K2184" s="333"/>
      <c r="L2184" s="333"/>
      <c r="M2184" s="333"/>
      <c r="N2184" s="333"/>
      <c r="O2184" s="333"/>
      <c r="P2184" s="333"/>
      <c r="Q2184" s="333"/>
      <c r="R2184" s="333"/>
      <c r="S2184" s="333"/>
      <c r="T2184" s="539"/>
      <c r="U2184" s="333"/>
      <c r="V2184" s="681"/>
      <c r="W2184" s="539"/>
      <c r="X2184" s="333"/>
      <c r="Y2184" s="323"/>
    </row>
    <row r="2185" spans="1:27" thickBot="1" x14ac:dyDescent="0.45">
      <c r="A2185" s="829"/>
      <c r="B2185" s="466" t="s">
        <v>135</v>
      </c>
      <c r="C2185" s="591"/>
      <c r="D2185" s="539"/>
      <c r="E2185" s="502"/>
      <c r="F2185" s="333"/>
      <c r="G2185" s="539"/>
      <c r="H2185" s="333"/>
      <c r="I2185" s="539"/>
      <c r="J2185" s="333"/>
      <c r="K2185" s="333"/>
      <c r="L2185" s="333"/>
      <c r="M2185" s="333"/>
      <c r="N2185" s="333"/>
      <c r="O2185" s="333"/>
      <c r="P2185" s="333"/>
      <c r="Q2185" s="333"/>
      <c r="R2185" s="333"/>
      <c r="S2185" s="333"/>
      <c r="T2185" s="539"/>
      <c r="U2185" s="333"/>
      <c r="V2185" s="681"/>
      <c r="W2185" s="333"/>
      <c r="X2185" s="333"/>
      <c r="Y2185" s="465"/>
      <c r="AA2185" s="391" t="s">
        <v>676</v>
      </c>
    </row>
    <row r="2186" spans="1:27" thickBot="1" x14ac:dyDescent="0.45">
      <c r="A2186" s="374"/>
      <c r="B2186" s="468" t="s">
        <v>989</v>
      </c>
      <c r="C2186" s="583"/>
      <c r="D2186" s="539"/>
      <c r="E2186" s="502"/>
      <c r="F2186" s="333"/>
      <c r="G2186" s="539"/>
      <c r="H2186" s="333"/>
      <c r="I2186" s="539"/>
      <c r="J2186" s="333"/>
      <c r="K2186" s="333"/>
      <c r="L2186" s="333"/>
      <c r="M2186" s="333"/>
      <c r="N2186" s="333"/>
      <c r="O2186" s="333"/>
      <c r="P2186" s="333"/>
      <c r="Q2186" s="333"/>
      <c r="R2186" s="333"/>
      <c r="S2186" s="333"/>
      <c r="T2186" s="539"/>
      <c r="U2186" s="333"/>
      <c r="V2186" s="681"/>
      <c r="W2186" s="333"/>
      <c r="X2186" s="333"/>
      <c r="Y2186" s="465"/>
      <c r="AA2186" s="391"/>
    </row>
    <row r="2187" spans="1:27" ht="77.25" outlineLevel="1" thickBot="1" x14ac:dyDescent="0.45">
      <c r="A2187" s="319" t="s">
        <v>725</v>
      </c>
      <c r="B2187" s="462" t="s">
        <v>983</v>
      </c>
      <c r="C2187" s="525">
        <f t="shared" ref="C2187:C2192" si="817">C48</f>
        <v>0</v>
      </c>
      <c r="D2187" s="526">
        <f t="shared" ref="D2187:D2192" si="818">C2187*5</f>
        <v>0</v>
      </c>
      <c r="E2187" s="527">
        <f t="shared" ref="E2187:E2192" si="819">D2187*0.5</f>
        <v>0</v>
      </c>
      <c r="F2187" s="463">
        <f t="shared" ref="F2187:F2193" si="820">E2187*0.76*1.034/20</f>
        <v>0</v>
      </c>
      <c r="G2187" s="526">
        <f t="shared" ref="G2187:G2195" si="821">INT(M2187)</f>
        <v>0</v>
      </c>
      <c r="H2187" s="463" t="s">
        <v>18</v>
      </c>
      <c r="I2187" s="526">
        <f t="shared" ref="I2187:I2195" si="822">(M2187-G2187)*64</f>
        <v>0</v>
      </c>
      <c r="J2187" s="463" t="s">
        <v>19</v>
      </c>
      <c r="K2187" s="463"/>
      <c r="L2187" s="463"/>
      <c r="M2187" s="463">
        <f t="shared" ref="M2187:M2193" si="823">F2187*1008/8064</f>
        <v>0</v>
      </c>
      <c r="N2187" s="463"/>
      <c r="O2187" s="463"/>
      <c r="P2187" s="463"/>
      <c r="Q2187" s="321" t="s">
        <v>18</v>
      </c>
      <c r="R2187" s="321"/>
      <c r="S2187" s="321" t="s">
        <v>19</v>
      </c>
      <c r="T2187" s="528">
        <v>1</v>
      </c>
      <c r="U2187" s="324">
        <f t="shared" ref="U2187:U2192" si="824">E2187/272*60</f>
        <v>0</v>
      </c>
      <c r="V2187" s="676"/>
      <c r="W2187" s="528"/>
      <c r="X2187" s="529"/>
      <c r="Y2187" s="360" t="s">
        <v>990</v>
      </c>
      <c r="Z2187" s="312">
        <f t="shared" ref="Z2187:Z2195" si="825">E2187</f>
        <v>0</v>
      </c>
      <c r="AA2187" s="316">
        <f t="shared" ref="AA2187:AA2192" si="826">SUM(Z2187/80+0.25)</f>
        <v>0.25</v>
      </c>
    </row>
    <row r="2188" spans="1:27" ht="77.25" outlineLevel="1" thickBot="1" x14ac:dyDescent="0.45">
      <c r="A2188" s="319" t="s">
        <v>725</v>
      </c>
      <c r="B2188" s="462" t="s">
        <v>984</v>
      </c>
      <c r="C2188" s="525">
        <f t="shared" si="817"/>
        <v>0</v>
      </c>
      <c r="D2188" s="526">
        <f t="shared" si="818"/>
        <v>0</v>
      </c>
      <c r="E2188" s="527">
        <f t="shared" si="819"/>
        <v>0</v>
      </c>
      <c r="F2188" s="463">
        <f t="shared" si="820"/>
        <v>0</v>
      </c>
      <c r="G2188" s="526">
        <f t="shared" si="821"/>
        <v>0</v>
      </c>
      <c r="H2188" s="463" t="s">
        <v>18</v>
      </c>
      <c r="I2188" s="526">
        <f t="shared" si="822"/>
        <v>0</v>
      </c>
      <c r="J2188" s="463" t="s">
        <v>19</v>
      </c>
      <c r="K2188" s="463"/>
      <c r="L2188" s="463"/>
      <c r="M2188" s="463">
        <f t="shared" si="823"/>
        <v>0</v>
      </c>
      <c r="N2188" s="463"/>
      <c r="O2188" s="463"/>
      <c r="P2188" s="463"/>
      <c r="Q2188" s="321" t="s">
        <v>18</v>
      </c>
      <c r="R2188" s="321"/>
      <c r="S2188" s="321" t="s">
        <v>19</v>
      </c>
      <c r="T2188" s="528">
        <v>1</v>
      </c>
      <c r="U2188" s="324">
        <f t="shared" si="824"/>
        <v>0</v>
      </c>
      <c r="V2188" s="676"/>
      <c r="W2188" s="528"/>
      <c r="X2188" s="529"/>
      <c r="Y2188" s="360" t="s">
        <v>990</v>
      </c>
      <c r="Z2188" s="312">
        <f t="shared" si="825"/>
        <v>0</v>
      </c>
      <c r="AA2188" s="316">
        <f t="shared" si="826"/>
        <v>0.25</v>
      </c>
    </row>
    <row r="2189" spans="1:27" ht="77.25" outlineLevel="1" thickBot="1" x14ac:dyDescent="0.45">
      <c r="A2189" s="319" t="s">
        <v>725</v>
      </c>
      <c r="B2189" s="462" t="s">
        <v>985</v>
      </c>
      <c r="C2189" s="525">
        <f t="shared" si="817"/>
        <v>0</v>
      </c>
      <c r="D2189" s="526">
        <f t="shared" si="818"/>
        <v>0</v>
      </c>
      <c r="E2189" s="527">
        <f t="shared" si="819"/>
        <v>0</v>
      </c>
      <c r="F2189" s="463">
        <f t="shared" si="820"/>
        <v>0</v>
      </c>
      <c r="G2189" s="526">
        <f t="shared" si="821"/>
        <v>0</v>
      </c>
      <c r="H2189" s="463" t="s">
        <v>18</v>
      </c>
      <c r="I2189" s="526">
        <f t="shared" si="822"/>
        <v>0</v>
      </c>
      <c r="J2189" s="463" t="s">
        <v>19</v>
      </c>
      <c r="K2189" s="463"/>
      <c r="L2189" s="463"/>
      <c r="M2189" s="463">
        <f t="shared" si="823"/>
        <v>0</v>
      </c>
      <c r="N2189" s="463"/>
      <c r="O2189" s="463"/>
      <c r="P2189" s="463"/>
      <c r="Q2189" s="321" t="s">
        <v>18</v>
      </c>
      <c r="R2189" s="321"/>
      <c r="S2189" s="321" t="s">
        <v>19</v>
      </c>
      <c r="T2189" s="528">
        <v>1</v>
      </c>
      <c r="U2189" s="324">
        <f t="shared" si="824"/>
        <v>0</v>
      </c>
      <c r="V2189" s="676"/>
      <c r="W2189" s="528"/>
      <c r="X2189" s="529"/>
      <c r="Y2189" s="360" t="s">
        <v>990</v>
      </c>
      <c r="Z2189" s="312">
        <f t="shared" si="825"/>
        <v>0</v>
      </c>
      <c r="AA2189" s="316">
        <f t="shared" si="826"/>
        <v>0.25</v>
      </c>
    </row>
    <row r="2190" spans="1:27" ht="102.75" thickBot="1" x14ac:dyDescent="0.45">
      <c r="A2190" s="319" t="s">
        <v>725</v>
      </c>
      <c r="B2190" s="462" t="s">
        <v>1018</v>
      </c>
      <c r="C2190" s="525">
        <f t="shared" si="817"/>
        <v>0</v>
      </c>
      <c r="D2190" s="526">
        <f t="shared" si="818"/>
        <v>0</v>
      </c>
      <c r="E2190" s="527">
        <f t="shared" si="819"/>
        <v>0</v>
      </c>
      <c r="F2190" s="463">
        <f t="shared" si="820"/>
        <v>0</v>
      </c>
      <c r="G2190" s="526">
        <f t="shared" si="821"/>
        <v>0</v>
      </c>
      <c r="H2190" s="463" t="s">
        <v>18</v>
      </c>
      <c r="I2190" s="526">
        <f t="shared" si="822"/>
        <v>0</v>
      </c>
      <c r="J2190" s="463" t="s">
        <v>19</v>
      </c>
      <c r="K2190" s="463"/>
      <c r="L2190" s="463"/>
      <c r="M2190" s="463">
        <f t="shared" si="823"/>
        <v>0</v>
      </c>
      <c r="N2190" s="463"/>
      <c r="O2190" s="463"/>
      <c r="P2190" s="463"/>
      <c r="Q2190" s="321" t="s">
        <v>18</v>
      </c>
      <c r="R2190" s="321"/>
      <c r="S2190" s="321" t="s">
        <v>19</v>
      </c>
      <c r="T2190" s="528">
        <v>1</v>
      </c>
      <c r="U2190" s="324">
        <f t="shared" si="824"/>
        <v>0</v>
      </c>
      <c r="V2190" s="676"/>
      <c r="W2190" s="528"/>
      <c r="X2190" s="529"/>
      <c r="Y2190" s="360" t="s">
        <v>990</v>
      </c>
      <c r="Z2190" s="312">
        <f t="shared" si="825"/>
        <v>0</v>
      </c>
      <c r="AA2190" s="316">
        <f t="shared" si="826"/>
        <v>0.25</v>
      </c>
    </row>
    <row r="2191" spans="1:27" ht="102.75" thickBot="1" x14ac:dyDescent="0.45">
      <c r="A2191" s="319" t="s">
        <v>725</v>
      </c>
      <c r="B2191" s="462" t="s">
        <v>1019</v>
      </c>
      <c r="C2191" s="525">
        <f t="shared" si="817"/>
        <v>0</v>
      </c>
      <c r="D2191" s="526">
        <f t="shared" si="818"/>
        <v>0</v>
      </c>
      <c r="E2191" s="527">
        <f t="shared" si="819"/>
        <v>0</v>
      </c>
      <c r="F2191" s="463">
        <f t="shared" si="820"/>
        <v>0</v>
      </c>
      <c r="G2191" s="526">
        <f t="shared" si="821"/>
        <v>0</v>
      </c>
      <c r="H2191" s="463" t="s">
        <v>18</v>
      </c>
      <c r="I2191" s="526">
        <f t="shared" si="822"/>
        <v>0</v>
      </c>
      <c r="J2191" s="463" t="s">
        <v>19</v>
      </c>
      <c r="K2191" s="463"/>
      <c r="L2191" s="463"/>
      <c r="M2191" s="463">
        <f t="shared" si="823"/>
        <v>0</v>
      </c>
      <c r="N2191" s="463"/>
      <c r="O2191" s="463"/>
      <c r="P2191" s="463"/>
      <c r="Q2191" s="321" t="s">
        <v>18</v>
      </c>
      <c r="R2191" s="321"/>
      <c r="S2191" s="321" t="s">
        <v>19</v>
      </c>
      <c r="T2191" s="528">
        <v>1</v>
      </c>
      <c r="U2191" s="324">
        <f t="shared" si="824"/>
        <v>0</v>
      </c>
      <c r="V2191" s="676"/>
      <c r="W2191" s="528"/>
      <c r="X2191" s="529"/>
      <c r="Y2191" s="360" t="s">
        <v>990</v>
      </c>
      <c r="Z2191" s="312">
        <f t="shared" si="825"/>
        <v>0</v>
      </c>
      <c r="AA2191" s="316">
        <f t="shared" si="826"/>
        <v>0.25</v>
      </c>
    </row>
    <row r="2192" spans="1:27" ht="102.75" thickBot="1" x14ac:dyDescent="0.45">
      <c r="A2192" s="319" t="s">
        <v>725</v>
      </c>
      <c r="B2192" s="462" t="s">
        <v>1020</v>
      </c>
      <c r="C2192" s="525">
        <f t="shared" si="817"/>
        <v>0</v>
      </c>
      <c r="D2192" s="526">
        <f t="shared" si="818"/>
        <v>0</v>
      </c>
      <c r="E2192" s="527">
        <f t="shared" si="819"/>
        <v>0</v>
      </c>
      <c r="F2192" s="463">
        <f t="shared" si="820"/>
        <v>0</v>
      </c>
      <c r="G2192" s="526">
        <f t="shared" si="821"/>
        <v>0</v>
      </c>
      <c r="H2192" s="463" t="s">
        <v>18</v>
      </c>
      <c r="I2192" s="526">
        <f t="shared" si="822"/>
        <v>0</v>
      </c>
      <c r="J2192" s="463" t="s">
        <v>19</v>
      </c>
      <c r="K2192" s="463"/>
      <c r="L2192" s="463"/>
      <c r="M2192" s="463">
        <f t="shared" si="823"/>
        <v>0</v>
      </c>
      <c r="N2192" s="463"/>
      <c r="O2192" s="463"/>
      <c r="P2192" s="463"/>
      <c r="Q2192" s="321" t="s">
        <v>18</v>
      </c>
      <c r="R2192" s="321"/>
      <c r="S2192" s="321" t="s">
        <v>19</v>
      </c>
      <c r="T2192" s="528">
        <v>1</v>
      </c>
      <c r="U2192" s="324">
        <f t="shared" si="824"/>
        <v>0</v>
      </c>
      <c r="V2192" s="676"/>
      <c r="W2192" s="528"/>
      <c r="X2192" s="529"/>
      <c r="Y2192" s="360" t="s">
        <v>990</v>
      </c>
      <c r="Z2192" s="312">
        <f t="shared" si="825"/>
        <v>0</v>
      </c>
      <c r="AA2192" s="316">
        <f t="shared" si="826"/>
        <v>0.25</v>
      </c>
    </row>
    <row r="2193" spans="1:27" ht="77.25" thickBot="1" x14ac:dyDescent="0.45">
      <c r="A2193" s="319" t="s">
        <v>725</v>
      </c>
      <c r="B2193" s="708" t="s">
        <v>1080</v>
      </c>
      <c r="C2193" s="528">
        <f>C57</f>
        <v>0</v>
      </c>
      <c r="D2193" s="533"/>
      <c r="E2193" s="534">
        <f>C2193*2</f>
        <v>0</v>
      </c>
      <c r="F2193" s="321">
        <f t="shared" si="820"/>
        <v>0</v>
      </c>
      <c r="G2193" s="533">
        <f t="shared" si="821"/>
        <v>0</v>
      </c>
      <c r="H2193" s="321" t="s">
        <v>18</v>
      </c>
      <c r="I2193" s="533">
        <f t="shared" si="822"/>
        <v>0</v>
      </c>
      <c r="J2193" s="321" t="s">
        <v>19</v>
      </c>
      <c r="K2193" s="321"/>
      <c r="L2193" s="321"/>
      <c r="M2193" s="321">
        <f t="shared" si="823"/>
        <v>0</v>
      </c>
      <c r="N2193" s="321"/>
      <c r="O2193" s="321"/>
      <c r="P2193" s="321"/>
      <c r="Q2193" s="321" t="s">
        <v>18</v>
      </c>
      <c r="R2193" s="321"/>
      <c r="S2193" s="321" t="s">
        <v>19</v>
      </c>
      <c r="T2193" s="528">
        <v>1</v>
      </c>
      <c r="U2193" s="324">
        <f>E2193/272*60</f>
        <v>0</v>
      </c>
      <c r="V2193" s="676"/>
      <c r="W2193" s="528"/>
      <c r="X2193" s="529"/>
      <c r="Y2193" s="360"/>
      <c r="Z2193" s="312">
        <f>E2193</f>
        <v>0</v>
      </c>
      <c r="AA2193" s="316">
        <f>SUM(Z2193/80+0.25)</f>
        <v>0.25</v>
      </c>
    </row>
    <row r="2194" spans="1:27" ht="77.25" thickBot="1" x14ac:dyDescent="0.45">
      <c r="A2194" s="319" t="s">
        <v>725</v>
      </c>
      <c r="B2194" s="320" t="s">
        <v>986</v>
      </c>
      <c r="C2194" s="528">
        <f>C63</f>
        <v>0</v>
      </c>
      <c r="D2194" s="533">
        <f>C2194*12</f>
        <v>0</v>
      </c>
      <c r="E2194" s="534">
        <f>D2194*0.25</f>
        <v>0</v>
      </c>
      <c r="F2194" s="321">
        <f>E2194*0.8*1/20</f>
        <v>0</v>
      </c>
      <c r="G2194" s="533">
        <f t="shared" si="821"/>
        <v>0</v>
      </c>
      <c r="H2194" s="321" t="s">
        <v>18</v>
      </c>
      <c r="I2194" s="533">
        <f t="shared" si="822"/>
        <v>0</v>
      </c>
      <c r="J2194" s="321" t="s">
        <v>19</v>
      </c>
      <c r="K2194" s="321"/>
      <c r="L2194" s="321"/>
      <c r="M2194" s="321">
        <f>F2194*2016/16128</f>
        <v>0</v>
      </c>
      <c r="N2194" s="321"/>
      <c r="O2194" s="321"/>
      <c r="P2194" s="321"/>
      <c r="Q2194" s="321" t="s">
        <v>18</v>
      </c>
      <c r="R2194" s="321"/>
      <c r="S2194" s="321" t="s">
        <v>19</v>
      </c>
      <c r="T2194" s="528">
        <v>1</v>
      </c>
      <c r="U2194" s="324"/>
      <c r="V2194" s="676"/>
      <c r="W2194" s="528"/>
      <c r="X2194" s="529"/>
      <c r="Y2194" s="360" t="s">
        <v>990</v>
      </c>
      <c r="Z2194" s="312">
        <f t="shared" si="825"/>
        <v>0</v>
      </c>
      <c r="AA2194" s="416">
        <f>SUM(Z2194/80+0.25)</f>
        <v>0.25</v>
      </c>
    </row>
    <row r="2195" spans="1:27" ht="77.25" thickBot="1" x14ac:dyDescent="0.45">
      <c r="A2195" s="319" t="s">
        <v>725</v>
      </c>
      <c r="B2195" s="320" t="s">
        <v>987</v>
      </c>
      <c r="C2195" s="528">
        <f>C64</f>
        <v>0</v>
      </c>
      <c r="D2195" s="533">
        <f>C2195*12</f>
        <v>0</v>
      </c>
      <c r="E2195" s="534">
        <f>D2195*0.25</f>
        <v>0</v>
      </c>
      <c r="F2195" s="321">
        <f>E2195*0.8*1/20</f>
        <v>0</v>
      </c>
      <c r="G2195" s="533">
        <f t="shared" si="821"/>
        <v>0</v>
      </c>
      <c r="H2195" s="321" t="s">
        <v>18</v>
      </c>
      <c r="I2195" s="533">
        <f t="shared" si="822"/>
        <v>0</v>
      </c>
      <c r="J2195" s="321" t="s">
        <v>19</v>
      </c>
      <c r="K2195" s="321"/>
      <c r="L2195" s="321"/>
      <c r="M2195" s="321">
        <f>F2195*2016/16128</f>
        <v>0</v>
      </c>
      <c r="N2195" s="321"/>
      <c r="O2195" s="321"/>
      <c r="P2195" s="321"/>
      <c r="Q2195" s="321" t="s">
        <v>18</v>
      </c>
      <c r="R2195" s="321"/>
      <c r="S2195" s="321" t="s">
        <v>19</v>
      </c>
      <c r="T2195" s="528">
        <v>1</v>
      </c>
      <c r="U2195" s="324"/>
      <c r="V2195" s="676"/>
      <c r="W2195" s="528"/>
      <c r="X2195" s="529"/>
      <c r="Y2195" s="360" t="s">
        <v>990</v>
      </c>
      <c r="Z2195" s="312">
        <f t="shared" si="825"/>
        <v>0</v>
      </c>
      <c r="AA2195" s="416">
        <f>SUM(Z2195/80+0.25)</f>
        <v>0.25</v>
      </c>
    </row>
    <row r="2196" spans="1:27" thickBot="1" x14ac:dyDescent="0.45">
      <c r="A2196" s="374"/>
      <c r="B2196" s="464" t="s">
        <v>670</v>
      </c>
      <c r="C2196" s="572"/>
      <c r="D2196" s="539"/>
      <c r="E2196" s="502"/>
      <c r="F2196" s="333"/>
      <c r="G2196" s="539"/>
      <c r="H2196" s="333"/>
      <c r="I2196" s="539"/>
      <c r="J2196" s="333"/>
      <c r="K2196" s="333"/>
      <c r="L2196" s="333"/>
      <c r="M2196" s="333"/>
      <c r="N2196" s="333"/>
      <c r="O2196" s="333"/>
      <c r="P2196" s="333"/>
      <c r="Q2196" s="333"/>
      <c r="R2196" s="333"/>
      <c r="S2196" s="333"/>
      <c r="T2196" s="539"/>
      <c r="U2196" s="333"/>
      <c r="V2196" s="681"/>
      <c r="W2196" s="333"/>
      <c r="X2196" s="333"/>
      <c r="Y2196" s="469"/>
      <c r="AA2196" s="391"/>
    </row>
    <row r="2197" spans="1:27" ht="52.5" thickBot="1" x14ac:dyDescent="0.45">
      <c r="A2197" s="319" t="s">
        <v>725</v>
      </c>
      <c r="B2197" s="467" t="s">
        <v>618</v>
      </c>
      <c r="C2197" s="592">
        <f>C132+C356+C584</f>
        <v>0</v>
      </c>
      <c r="D2197" s="525">
        <f>C2197*10</f>
        <v>0</v>
      </c>
      <c r="E2197" s="545">
        <f>D2197*0.25</f>
        <v>0</v>
      </c>
      <c r="F2197" s="461">
        <f>E2197*1.15*0.82/173</f>
        <v>0</v>
      </c>
      <c r="G2197" s="525">
        <f>INT(M2197)</f>
        <v>0</v>
      </c>
      <c r="H2197" s="461" t="s">
        <v>18</v>
      </c>
      <c r="I2197" s="525">
        <f>(M2197-G2197)*64</f>
        <v>0</v>
      </c>
      <c r="J2197" s="461" t="s">
        <v>19</v>
      </c>
      <c r="K2197" s="461"/>
      <c r="L2197" s="461"/>
      <c r="M2197" s="461">
        <f>(F2197*7863)/3456</f>
        <v>0</v>
      </c>
      <c r="N2197" s="461"/>
      <c r="O2197" s="461"/>
      <c r="P2197" s="461"/>
      <c r="Q2197" s="324" t="s">
        <v>18</v>
      </c>
      <c r="R2197" s="324"/>
      <c r="S2197" s="324" t="s">
        <v>19</v>
      </c>
      <c r="T2197" s="528">
        <v>5</v>
      </c>
      <c r="U2197" s="324">
        <f>E2197/272*60</f>
        <v>0</v>
      </c>
      <c r="V2197" s="676"/>
      <c r="W2197" s="528"/>
      <c r="X2197" s="529"/>
      <c r="Y2197" s="397" t="s">
        <v>965</v>
      </c>
      <c r="Z2197" s="312">
        <f>E2197</f>
        <v>0</v>
      </c>
      <c r="AA2197" s="316">
        <f>SUM(Z2197/148+0.25)</f>
        <v>0.25</v>
      </c>
    </row>
    <row r="2198" spans="1:27" ht="77.25" thickBot="1" x14ac:dyDescent="0.45">
      <c r="A2198" s="319" t="s">
        <v>725</v>
      </c>
      <c r="B2198" s="364" t="s">
        <v>992</v>
      </c>
      <c r="C2198" s="528">
        <f>C1454+C1667</f>
        <v>0</v>
      </c>
      <c r="D2198" s="528">
        <f>C2198*12</f>
        <v>0</v>
      </c>
      <c r="E2198" s="324">
        <f>D2198*0.25</f>
        <v>0</v>
      </c>
      <c r="F2198" s="324">
        <f>E2198*1.03*0.81/170</f>
        <v>0</v>
      </c>
      <c r="G2198" s="528">
        <f>INT(M2198)</f>
        <v>0</v>
      </c>
      <c r="H2198" s="324" t="s">
        <v>18</v>
      </c>
      <c r="I2198" s="528">
        <f>(M2198-G2198)*64</f>
        <v>0</v>
      </c>
      <c r="J2198" s="324" t="s">
        <v>19</v>
      </c>
      <c r="K2198" s="324"/>
      <c r="L2198" s="324"/>
      <c r="M2198" s="324">
        <f>(F2198*8820/3456)</f>
        <v>0</v>
      </c>
      <c r="N2198" s="324"/>
      <c r="O2198" s="324"/>
      <c r="P2198" s="324"/>
      <c r="Q2198" s="324" t="s">
        <v>18</v>
      </c>
      <c r="R2198" s="324"/>
      <c r="S2198" s="324" t="s">
        <v>19</v>
      </c>
      <c r="T2198" s="528">
        <v>5</v>
      </c>
      <c r="U2198" s="324">
        <f>E2198/220*60</f>
        <v>0</v>
      </c>
      <c r="V2198" s="676"/>
      <c r="W2198" s="528"/>
      <c r="X2198" s="529"/>
      <c r="Y2198" s="323"/>
      <c r="Z2198" s="312">
        <f>E2198</f>
        <v>0</v>
      </c>
      <c r="AA2198" s="316">
        <f>SUM(Z2198/148+0.25)</f>
        <v>0.25</v>
      </c>
    </row>
    <row r="2199" spans="1:27" thickBot="1" x14ac:dyDescent="0.45">
      <c r="A2199" s="329"/>
      <c r="B2199" s="344"/>
      <c r="C2199" s="588"/>
      <c r="D2199" s="536"/>
      <c r="E2199" s="460"/>
      <c r="F2199" s="324"/>
      <c r="G2199" s="528"/>
      <c r="H2199" s="324"/>
      <c r="I2199" s="528"/>
      <c r="J2199" s="324"/>
      <c r="K2199" s="324"/>
      <c r="L2199" s="324"/>
      <c r="M2199" s="324"/>
      <c r="N2199" s="324"/>
      <c r="O2199" s="324"/>
      <c r="P2199" s="324"/>
      <c r="Q2199" s="324"/>
      <c r="R2199" s="324"/>
      <c r="S2199" s="324"/>
      <c r="T2199" s="528"/>
      <c r="U2199" s="324"/>
      <c r="V2199" s="676"/>
      <c r="W2199" s="528"/>
      <c r="X2199" s="529"/>
      <c r="Y2199" s="397"/>
    </row>
    <row r="2200" spans="1:27" thickBot="1" x14ac:dyDescent="0.45">
      <c r="A2200" s="329"/>
      <c r="B2200" s="344"/>
      <c r="C2200" s="588"/>
      <c r="D2200" s="536"/>
      <c r="E2200" s="460"/>
      <c r="F2200" s="324"/>
      <c r="G2200" s="528"/>
      <c r="H2200" s="324"/>
      <c r="I2200" s="528"/>
      <c r="J2200" s="324"/>
      <c r="K2200" s="324"/>
      <c r="L2200" s="324"/>
      <c r="M2200" s="324"/>
      <c r="N2200" s="324"/>
      <c r="O2200" s="324"/>
      <c r="P2200" s="324"/>
      <c r="Q2200" s="324"/>
      <c r="R2200" s="324"/>
      <c r="S2200" s="324"/>
      <c r="T2200" s="528"/>
      <c r="U2200" s="324"/>
      <c r="V2200" s="676"/>
      <c r="W2200" s="528"/>
      <c r="X2200" s="529"/>
      <c r="Y2200" s="397"/>
    </row>
    <row r="2201" spans="1:27" ht="53.25" thickBot="1" x14ac:dyDescent="0.45">
      <c r="A2201" s="319"/>
      <c r="B2201" s="394" t="s">
        <v>695</v>
      </c>
      <c r="C2201" s="537"/>
      <c r="D2201" s="537"/>
      <c r="E2201" s="496"/>
      <c r="F2201" s="354"/>
      <c r="G2201" s="537"/>
      <c r="H2201" s="354"/>
      <c r="I2201" s="537"/>
      <c r="J2201" s="354"/>
      <c r="K2201" s="354"/>
      <c r="L2201" s="354"/>
      <c r="M2201" s="354"/>
      <c r="N2201" s="354"/>
      <c r="O2201" s="354"/>
      <c r="P2201" s="354"/>
      <c r="Q2201" s="354"/>
      <c r="R2201" s="354"/>
      <c r="S2201" s="354"/>
      <c r="T2201" s="537"/>
      <c r="U2201" s="354"/>
      <c r="V2201" s="682" t="s">
        <v>696</v>
      </c>
      <c r="W2201" s="537"/>
      <c r="X2201" s="540"/>
      <c r="Y2201" s="323"/>
    </row>
    <row r="2202" spans="1:27" thickBot="1" x14ac:dyDescent="0.45">
      <c r="A2202" s="319"/>
      <c r="B2202" s="470"/>
      <c r="C2202" s="559"/>
      <c r="D2202" s="559"/>
      <c r="E2202" s="510"/>
      <c r="F2202" s="471"/>
      <c r="G2202" s="559"/>
      <c r="H2202" s="471"/>
      <c r="I2202" s="559"/>
      <c r="J2202" s="471"/>
      <c r="K2202" s="471"/>
      <c r="L2202" s="471"/>
      <c r="M2202" s="471"/>
      <c r="N2202" s="471"/>
      <c r="O2202" s="471"/>
      <c r="P2202" s="471"/>
      <c r="Q2202" s="471"/>
      <c r="R2202" s="471"/>
      <c r="S2202" s="471"/>
      <c r="T2202" s="559"/>
      <c r="U2202" s="471"/>
      <c r="V2202" s="687"/>
      <c r="W2202" s="559"/>
      <c r="X2202" s="471"/>
      <c r="Y2202" s="323"/>
    </row>
    <row r="2203" spans="1:27" thickBot="1" x14ac:dyDescent="0.45">
      <c r="A2203" s="319"/>
      <c r="B2203" s="402"/>
      <c r="C2203" s="539"/>
      <c r="D2203" s="539"/>
      <c r="E2203" s="502"/>
      <c r="F2203" s="333"/>
      <c r="G2203" s="539"/>
      <c r="H2203" s="333"/>
      <c r="I2203" s="539"/>
      <c r="J2203" s="333"/>
      <c r="K2203" s="333"/>
      <c r="L2203" s="333"/>
      <c r="M2203" s="333"/>
      <c r="N2203" s="333"/>
      <c r="O2203" s="333"/>
      <c r="P2203" s="333"/>
      <c r="Q2203" s="333"/>
      <c r="R2203" s="333"/>
      <c r="S2203" s="333"/>
      <c r="T2203" s="539"/>
      <c r="U2203" s="333"/>
      <c r="V2203" s="681"/>
      <c r="W2203" s="539"/>
      <c r="X2203" s="333"/>
      <c r="Y2203" s="323"/>
    </row>
    <row r="2204" spans="1:27" thickBot="1" x14ac:dyDescent="0.45">
      <c r="A2204" s="319"/>
      <c r="B2204" s="382" t="s">
        <v>709</v>
      </c>
      <c r="C2204" s="559"/>
      <c r="D2204" s="559"/>
      <c r="E2204" s="510">
        <f>SUM(E2187:E2195)</f>
        <v>0</v>
      </c>
      <c r="F2204" s="333"/>
      <c r="G2204" s="539"/>
      <c r="H2204" s="333"/>
      <c r="I2204" s="539"/>
      <c r="J2204" s="333"/>
      <c r="K2204" s="333"/>
      <c r="L2204" s="333"/>
      <c r="M2204" s="333"/>
      <c r="N2204" s="333"/>
      <c r="O2204" s="333"/>
      <c r="P2204" s="333"/>
      <c r="Q2204" s="333"/>
      <c r="R2204" s="333"/>
      <c r="S2204" s="333"/>
      <c r="T2204" s="539"/>
      <c r="U2204" s="333"/>
      <c r="V2204" s="681"/>
      <c r="W2204" s="539"/>
      <c r="X2204" s="333"/>
      <c r="Y2204" s="323"/>
    </row>
    <row r="2205" spans="1:27" thickBot="1" x14ac:dyDescent="0.45">
      <c r="A2205" s="319"/>
      <c r="B2205" s="382" t="s">
        <v>147</v>
      </c>
      <c r="C2205" s="559"/>
      <c r="D2205" s="559"/>
      <c r="E2205" s="510">
        <f>E2197+E2198</f>
        <v>0</v>
      </c>
      <c r="F2205" s="333"/>
      <c r="G2205" s="539"/>
      <c r="H2205" s="333"/>
      <c r="I2205" s="539"/>
      <c r="J2205" s="333"/>
      <c r="K2205" s="333"/>
      <c r="L2205" s="333"/>
      <c r="M2205" s="333"/>
      <c r="N2205" s="333"/>
      <c r="O2205" s="333"/>
      <c r="P2205" s="333"/>
      <c r="Q2205" s="333"/>
      <c r="R2205" s="333"/>
      <c r="S2205" s="333"/>
      <c r="T2205" s="539"/>
      <c r="U2205" s="333"/>
      <c r="V2205" s="681"/>
      <c r="W2205" s="539"/>
      <c r="X2205" s="333"/>
      <c r="Y2205" s="323"/>
    </row>
    <row r="2206" spans="1:27" thickBot="1" x14ac:dyDescent="0.45">
      <c r="A2206" s="356"/>
      <c r="B2206" s="304" t="s">
        <v>1055</v>
      </c>
      <c r="C2206" s="590"/>
      <c r="D2206" s="590"/>
      <c r="E2206" s="504">
        <f>E2205*1.5%</f>
        <v>0</v>
      </c>
      <c r="F2206" s="399"/>
      <c r="G2206" s="572"/>
      <c r="H2206" s="399"/>
      <c r="I2206" s="572"/>
      <c r="J2206" s="399"/>
      <c r="K2206" s="399"/>
      <c r="L2206" s="399"/>
      <c r="M2206" s="399"/>
      <c r="N2206" s="399"/>
      <c r="O2206" s="399"/>
      <c r="P2206" s="399"/>
      <c r="Q2206" s="399"/>
      <c r="R2206" s="399"/>
      <c r="S2206" s="399"/>
      <c r="T2206" s="572"/>
      <c r="U2206" s="399"/>
      <c r="V2206" s="694"/>
      <c r="W2206" s="572"/>
      <c r="X2206" s="399"/>
      <c r="Y2206" s="396"/>
    </row>
    <row r="2207" spans="1:27" thickBot="1" x14ac:dyDescent="0.45">
      <c r="A2207" s="329"/>
      <c r="B2207" s="329"/>
      <c r="C2207" s="539"/>
      <c r="D2207" s="539"/>
      <c r="E2207" s="502"/>
      <c r="F2207" s="333"/>
      <c r="G2207" s="539"/>
      <c r="H2207" s="333"/>
      <c r="I2207" s="539"/>
      <c r="J2207" s="333"/>
      <c r="K2207" s="333"/>
      <c r="L2207" s="333"/>
      <c r="M2207" s="333"/>
      <c r="N2207" s="333"/>
      <c r="O2207" s="333"/>
      <c r="P2207" s="333"/>
      <c r="Q2207" s="333"/>
      <c r="R2207" s="333"/>
      <c r="S2207" s="333"/>
      <c r="T2207" s="539"/>
      <c r="U2207" s="333"/>
      <c r="V2207" s="681"/>
      <c r="W2207" s="539"/>
      <c r="X2207" s="333"/>
      <c r="Y2207" s="323"/>
    </row>
    <row r="2208" spans="1:27" thickBot="1" x14ac:dyDescent="0.45">
      <c r="A2208" s="329"/>
      <c r="B2208" s="329"/>
      <c r="C2208" s="539"/>
      <c r="D2208" s="539"/>
      <c r="E2208" s="502"/>
      <c r="F2208" s="333"/>
      <c r="G2208" s="539"/>
      <c r="H2208" s="333"/>
      <c r="I2208" s="539"/>
      <c r="J2208" s="333"/>
      <c r="K2208" s="333"/>
      <c r="L2208" s="333"/>
      <c r="M2208" s="333"/>
      <c r="N2208" s="333"/>
      <c r="O2208" s="333"/>
      <c r="P2208" s="333"/>
      <c r="Q2208" s="333"/>
      <c r="R2208" s="333"/>
      <c r="S2208" s="333"/>
      <c r="T2208" s="539"/>
      <c r="U2208" s="333"/>
      <c r="V2208" s="681"/>
      <c r="W2208" s="539"/>
      <c r="X2208" s="333"/>
      <c r="Y2208" s="323"/>
    </row>
    <row r="2209" spans="1:27" outlineLevel="1" thickBot="1" x14ac:dyDescent="0.45">
      <c r="A2209" s="403"/>
      <c r="B2209" s="307" t="s">
        <v>136</v>
      </c>
      <c r="C2209" s="404"/>
      <c r="D2209" s="404"/>
      <c r="E2209" s="505"/>
      <c r="F2209" s="405"/>
      <c r="G2209" s="404"/>
      <c r="H2209" s="405"/>
      <c r="I2209" s="404"/>
      <c r="J2209" s="405"/>
      <c r="K2209" s="405"/>
      <c r="L2209" s="405"/>
      <c r="M2209" s="405"/>
      <c r="N2209" s="405"/>
      <c r="O2209" s="405"/>
      <c r="P2209" s="405"/>
      <c r="Q2209" s="405"/>
      <c r="R2209" s="405"/>
      <c r="S2209" s="405"/>
      <c r="T2209" s="404"/>
      <c r="U2209" s="405"/>
      <c r="V2209" s="340"/>
      <c r="W2209" s="405"/>
      <c r="X2209" s="405"/>
      <c r="Y2209" s="403"/>
    </row>
    <row r="2210" spans="1:27" outlineLevel="1" thickBot="1" x14ac:dyDescent="0.45">
      <c r="A2210" s="329" t="s">
        <v>726</v>
      </c>
      <c r="B2210" s="337" t="s">
        <v>616</v>
      </c>
      <c r="C2210" s="593">
        <f>C101</f>
        <v>0</v>
      </c>
      <c r="D2210" s="528"/>
      <c r="E2210" s="460">
        <f>C2210*4</f>
        <v>0</v>
      </c>
      <c r="F2210" s="324">
        <f>E2210*0.91*1.03/21</f>
        <v>0</v>
      </c>
      <c r="G2210" s="528">
        <f>INT(M2210)</f>
        <v>0</v>
      </c>
      <c r="H2210" s="324" t="s">
        <v>18</v>
      </c>
      <c r="I2210" s="528">
        <f>(M2210-G2210)*64</f>
        <v>0</v>
      </c>
      <c r="J2210" s="324" t="s">
        <v>19</v>
      </c>
      <c r="K2210" s="324"/>
      <c r="L2210" s="324"/>
      <c r="M2210" s="324">
        <f>F2210*1890/16128</f>
        <v>0</v>
      </c>
      <c r="N2210" s="324"/>
      <c r="O2210" s="324"/>
      <c r="P2210" s="324"/>
      <c r="Q2210" s="324" t="s">
        <v>18</v>
      </c>
      <c r="R2210" s="324"/>
      <c r="S2210" s="324" t="s">
        <v>19</v>
      </c>
      <c r="T2210" s="528">
        <v>1</v>
      </c>
      <c r="U2210" s="324">
        <f>E2210/272*60</f>
        <v>0</v>
      </c>
      <c r="V2210" s="676"/>
      <c r="W2210" s="528"/>
      <c r="X2210" s="529"/>
      <c r="Y2210" s="323"/>
      <c r="Z2210" s="312">
        <f>E2210</f>
        <v>0</v>
      </c>
      <c r="AA2210" s="316">
        <f>SUM(Z2210/27.72)</f>
        <v>0</v>
      </c>
    </row>
    <row r="2211" spans="1:27" outlineLevel="1" thickBot="1" x14ac:dyDescent="0.45">
      <c r="A2211" s="329" t="s">
        <v>726</v>
      </c>
      <c r="B2211" s="338" t="s">
        <v>617</v>
      </c>
      <c r="C2211" s="594">
        <f>C102</f>
        <v>0</v>
      </c>
      <c r="D2211" s="528"/>
      <c r="E2211" s="460">
        <f>C2211*4</f>
        <v>0</v>
      </c>
      <c r="F2211" s="324">
        <f>E2211*0.91*1.03/21</f>
        <v>0</v>
      </c>
      <c r="G2211" s="528">
        <f>INT(M2211)</f>
        <v>0</v>
      </c>
      <c r="H2211" s="324" t="s">
        <v>18</v>
      </c>
      <c r="I2211" s="528">
        <f>(M2211-G2211)*64</f>
        <v>0</v>
      </c>
      <c r="J2211" s="324" t="s">
        <v>19</v>
      </c>
      <c r="K2211" s="324"/>
      <c r="L2211" s="324"/>
      <c r="M2211" s="324">
        <f>F2211*1890/16128</f>
        <v>0</v>
      </c>
      <c r="N2211" s="324"/>
      <c r="O2211" s="324"/>
      <c r="P2211" s="324"/>
      <c r="Q2211" s="324" t="s">
        <v>18</v>
      </c>
      <c r="R2211" s="324"/>
      <c r="S2211" s="324" t="s">
        <v>19</v>
      </c>
      <c r="T2211" s="528">
        <v>1</v>
      </c>
      <c r="U2211" s="324">
        <f>E2211/272*60</f>
        <v>0</v>
      </c>
      <c r="V2211" s="676"/>
      <c r="W2211" s="528"/>
      <c r="X2211" s="529"/>
      <c r="Y2211" s="323"/>
      <c r="Z2211" s="312">
        <f>E2211</f>
        <v>0</v>
      </c>
      <c r="AA2211" s="316">
        <f>SUM(Z2211/27.72)</f>
        <v>0</v>
      </c>
    </row>
    <row r="2212" spans="1:27" outlineLevel="1" thickBot="1" x14ac:dyDescent="0.45">
      <c r="A2212" s="329"/>
      <c r="B2212" s="339"/>
      <c r="C2212" s="595"/>
      <c r="D2212" s="539"/>
      <c r="E2212" s="502"/>
      <c r="F2212" s="333"/>
      <c r="G2212" s="539"/>
      <c r="H2212" s="333"/>
      <c r="I2212" s="539"/>
      <c r="J2212" s="333"/>
      <c r="K2212" s="333"/>
      <c r="L2212" s="333"/>
      <c r="M2212" s="333"/>
      <c r="N2212" s="333"/>
      <c r="O2212" s="333"/>
      <c r="P2212" s="333"/>
      <c r="Q2212" s="333"/>
      <c r="R2212" s="333"/>
      <c r="S2212" s="333"/>
      <c r="T2212" s="539"/>
      <c r="U2212" s="333"/>
      <c r="V2212" s="681"/>
      <c r="W2212" s="539"/>
      <c r="X2212" s="333"/>
      <c r="Y2212" s="323"/>
    </row>
    <row r="2213" spans="1:27" outlineLevel="1" thickBot="1" x14ac:dyDescent="0.45">
      <c r="A2213" s="329"/>
      <c r="B2213" s="339"/>
      <c r="C2213" s="595"/>
      <c r="D2213" s="539"/>
      <c r="E2213" s="502"/>
      <c r="F2213" s="333"/>
      <c r="G2213" s="539"/>
      <c r="H2213" s="333"/>
      <c r="I2213" s="539"/>
      <c r="J2213" s="333"/>
      <c r="K2213" s="333"/>
      <c r="L2213" s="333"/>
      <c r="M2213" s="333"/>
      <c r="N2213" s="333"/>
      <c r="O2213" s="333"/>
      <c r="P2213" s="333"/>
      <c r="Q2213" s="333"/>
      <c r="R2213" s="333"/>
      <c r="S2213" s="333"/>
      <c r="T2213" s="539"/>
      <c r="U2213" s="333"/>
      <c r="V2213" s="681"/>
      <c r="W2213" s="539"/>
      <c r="X2213" s="333"/>
      <c r="Y2213" s="323"/>
    </row>
    <row r="2214" spans="1:27" outlineLevel="1" thickBot="1" x14ac:dyDescent="0.45">
      <c r="A2214" s="829"/>
      <c r="B2214" s="406" t="s">
        <v>707</v>
      </c>
      <c r="C2214" s="499"/>
      <c r="D2214" s="499"/>
      <c r="E2214" s="503">
        <f>E2215*0.04625</f>
        <v>0</v>
      </c>
      <c r="F2214" s="544"/>
      <c r="G2214" s="528"/>
      <c r="H2214" s="324"/>
      <c r="I2214" s="528"/>
      <c r="J2214" s="324"/>
      <c r="K2214" s="324"/>
      <c r="L2214" s="324"/>
      <c r="M2214" s="324"/>
      <c r="N2214" s="324"/>
      <c r="O2214" s="324"/>
      <c r="P2214" s="324"/>
      <c r="Q2214" s="324"/>
      <c r="R2214" s="324"/>
      <c r="S2214" s="324"/>
      <c r="T2214" s="528"/>
      <c r="U2214" s="324"/>
      <c r="V2214" s="676"/>
      <c r="W2214" s="528"/>
      <c r="X2214" s="529"/>
      <c r="Y2214" s="323"/>
    </row>
    <row r="2215" spans="1:27" outlineLevel="1" thickBot="1" x14ac:dyDescent="0.45">
      <c r="A2215" s="319"/>
      <c r="B2215" s="382" t="s">
        <v>706</v>
      </c>
      <c r="C2215" s="559"/>
      <c r="D2215" s="559"/>
      <c r="E2215" s="510">
        <f>SUM(E2210:E2211)</f>
        <v>0</v>
      </c>
      <c r="F2215" s="333"/>
      <c r="G2215" s="539"/>
      <c r="H2215" s="333"/>
      <c r="I2215" s="539"/>
      <c r="J2215" s="333"/>
      <c r="K2215" s="333"/>
      <c r="L2215" s="333"/>
      <c r="M2215" s="333"/>
      <c r="N2215" s="333"/>
      <c r="O2215" s="333"/>
      <c r="P2215" s="333"/>
      <c r="Q2215" s="333"/>
      <c r="R2215" s="333"/>
      <c r="S2215" s="333"/>
      <c r="T2215" s="539"/>
      <c r="U2215" s="333"/>
      <c r="V2215" s="681"/>
      <c r="W2215" s="539"/>
      <c r="X2215" s="333"/>
      <c r="Y2215" s="323"/>
    </row>
    <row r="2216" spans="1:27" outlineLevel="1" thickBot="1" x14ac:dyDescent="0.45">
      <c r="A2216" s="319"/>
      <c r="B2216" s="357"/>
      <c r="C2216" s="539"/>
      <c r="D2216" s="539"/>
      <c r="E2216" s="502"/>
      <c r="F2216" s="333"/>
      <c r="G2216" s="539"/>
      <c r="H2216" s="333"/>
      <c r="I2216" s="539"/>
      <c r="J2216" s="333"/>
      <c r="K2216" s="333"/>
      <c r="L2216" s="333"/>
      <c r="M2216" s="333"/>
      <c r="N2216" s="333"/>
      <c r="O2216" s="333"/>
      <c r="P2216" s="333"/>
      <c r="Q2216" s="333"/>
      <c r="R2216" s="333"/>
      <c r="S2216" s="333"/>
      <c r="T2216" s="539"/>
      <c r="U2216" s="333"/>
      <c r="V2216" s="681"/>
      <c r="W2216" s="539"/>
      <c r="X2216" s="333"/>
      <c r="Y2216" s="323"/>
    </row>
    <row r="2217" spans="1:27" outlineLevel="1" thickBot="1" x14ac:dyDescent="0.45">
      <c r="A2217" s="319"/>
      <c r="B2217" s="357"/>
      <c r="C2217" s="539"/>
      <c r="D2217" s="539"/>
      <c r="E2217" s="502"/>
      <c r="F2217" s="333"/>
      <c r="G2217" s="539"/>
      <c r="H2217" s="333"/>
      <c r="I2217" s="539"/>
      <c r="J2217" s="333"/>
      <c r="K2217" s="333"/>
      <c r="L2217" s="333"/>
      <c r="M2217" s="333"/>
      <c r="N2217" s="333"/>
      <c r="O2217" s="333"/>
      <c r="P2217" s="333"/>
      <c r="Q2217" s="333"/>
      <c r="R2217" s="333"/>
      <c r="S2217" s="333"/>
      <c r="T2217" s="539"/>
      <c r="U2217" s="333"/>
      <c r="V2217" s="681"/>
      <c r="W2217" s="539"/>
      <c r="X2217" s="333"/>
      <c r="Y2217" s="323"/>
    </row>
    <row r="2218" spans="1:27" thickBot="1" x14ac:dyDescent="0.45">
      <c r="A2218" s="830"/>
      <c r="B2218" s="332" t="s">
        <v>819</v>
      </c>
      <c r="C2218" s="347"/>
      <c r="D2218" s="347"/>
      <c r="E2218" s="494"/>
      <c r="F2218" s="348"/>
      <c r="G2218" s="347"/>
      <c r="H2218" s="348"/>
      <c r="I2218" s="347"/>
      <c r="J2218" s="348"/>
      <c r="K2218" s="348"/>
      <c r="L2218" s="348"/>
      <c r="M2218" s="348"/>
      <c r="N2218" s="348"/>
      <c r="O2218" s="348"/>
      <c r="P2218" s="348"/>
      <c r="Q2218" s="348"/>
      <c r="R2218" s="348"/>
      <c r="S2218" s="348"/>
      <c r="T2218" s="347"/>
      <c r="U2218" s="348"/>
      <c r="V2218" s="356"/>
      <c r="W2218" s="348"/>
      <c r="X2218" s="495"/>
      <c r="Y2218" s="357"/>
    </row>
    <row r="2219" spans="1:27" ht="51.75" thickBot="1" x14ac:dyDescent="0.45">
      <c r="A2219" s="319" t="s">
        <v>821</v>
      </c>
      <c r="B2219" s="320" t="s">
        <v>818</v>
      </c>
      <c r="C2219" s="586">
        <f>C695+C465+C235</f>
        <v>0</v>
      </c>
      <c r="D2219" s="528"/>
      <c r="E2219" s="456">
        <f>C2219*4</f>
        <v>0</v>
      </c>
      <c r="F2219" s="358">
        <f>E2219*1.02*0.99/147</f>
        <v>0</v>
      </c>
      <c r="G2219" s="548">
        <f>INT(M2219)</f>
        <v>0</v>
      </c>
      <c r="H2219" s="358" t="s">
        <v>18</v>
      </c>
      <c r="I2219" s="548">
        <f>(M2219-G2219)*64</f>
        <v>0</v>
      </c>
      <c r="J2219" s="358" t="s">
        <v>19</v>
      </c>
      <c r="K2219" s="358"/>
      <c r="L2219" s="358"/>
      <c r="M2219" s="358">
        <f>F2219*4983/2880</f>
        <v>0</v>
      </c>
      <c r="N2219" s="324"/>
      <c r="O2219" s="324"/>
      <c r="P2219" s="324"/>
      <c r="Q2219" s="324" t="s">
        <v>18</v>
      </c>
      <c r="R2219" s="324"/>
      <c r="S2219" s="324" t="s">
        <v>19</v>
      </c>
      <c r="T2219" s="528">
        <v>3</v>
      </c>
      <c r="U2219" s="324">
        <f>E2219/259*60</f>
        <v>0</v>
      </c>
      <c r="V2219" s="676"/>
      <c r="W2219" s="528"/>
      <c r="X2219" s="529"/>
      <c r="Y2219" s="323"/>
      <c r="Z2219" s="312">
        <f>E2219</f>
        <v>0</v>
      </c>
      <c r="AA2219" s="316">
        <f>SUM(Z2219/366.4)</f>
        <v>0</v>
      </c>
    </row>
    <row r="2220" spans="1:27" ht="102.75" thickBot="1" x14ac:dyDescent="0.45">
      <c r="A2220" s="319" t="s">
        <v>821</v>
      </c>
      <c r="B2220" s="320" t="s">
        <v>918</v>
      </c>
      <c r="C2220" s="586">
        <f>C270+C500+C730</f>
        <v>0</v>
      </c>
      <c r="D2220" s="528"/>
      <c r="E2220" s="456">
        <f>C2220*4</f>
        <v>0</v>
      </c>
      <c r="F2220" s="358">
        <f>E2220*1.02*0.99/147</f>
        <v>0</v>
      </c>
      <c r="G2220" s="548">
        <f>INT(M2220)</f>
        <v>0</v>
      </c>
      <c r="H2220" s="358" t="s">
        <v>18</v>
      </c>
      <c r="I2220" s="548">
        <f>(M2220-G2220)*64</f>
        <v>0</v>
      </c>
      <c r="J2220" s="358" t="s">
        <v>19</v>
      </c>
      <c r="K2220" s="358"/>
      <c r="L2220" s="358"/>
      <c r="M2220" s="358">
        <f>F2220*4983/2880</f>
        <v>0</v>
      </c>
      <c r="N2220" s="358"/>
      <c r="O2220" s="358"/>
      <c r="P2220" s="358"/>
      <c r="Q2220" s="358" t="s">
        <v>18</v>
      </c>
      <c r="R2220" s="358"/>
      <c r="S2220" s="358" t="s">
        <v>19</v>
      </c>
      <c r="T2220" s="528">
        <v>3</v>
      </c>
      <c r="U2220" s="324">
        <f>E2220/259*60</f>
        <v>0</v>
      </c>
      <c r="V2220" s="676"/>
      <c r="W2220" s="528"/>
      <c r="X2220" s="529"/>
      <c r="Y2220" s="323"/>
      <c r="Z2220" s="312">
        <f>E2220</f>
        <v>0</v>
      </c>
      <c r="AA2220" s="316">
        <f>SUM(Z2220/316.7)</f>
        <v>0</v>
      </c>
    </row>
    <row r="2221" spans="1:27" ht="51.75" thickBot="1" x14ac:dyDescent="0.45">
      <c r="A2221" s="319" t="s">
        <v>821</v>
      </c>
      <c r="B2221" s="343" t="s">
        <v>873</v>
      </c>
      <c r="C2221" s="587">
        <f>C262+C492+C722</f>
        <v>0</v>
      </c>
      <c r="D2221" s="528"/>
      <c r="E2221" s="456">
        <f>C2221*2.4</f>
        <v>0</v>
      </c>
      <c r="F2221" s="358">
        <f>E2221*1.02*0.99/147</f>
        <v>0</v>
      </c>
      <c r="G2221" s="548">
        <f>INT(M2221)</f>
        <v>0</v>
      </c>
      <c r="H2221" s="358" t="s">
        <v>18</v>
      </c>
      <c r="I2221" s="548">
        <f>(M2221-G2221)*64</f>
        <v>0</v>
      </c>
      <c r="J2221" s="358" t="s">
        <v>19</v>
      </c>
      <c r="K2221" s="358"/>
      <c r="L2221" s="358"/>
      <c r="M2221" s="358">
        <f>F2221*4983/2880</f>
        <v>0</v>
      </c>
      <c r="N2221" s="324"/>
      <c r="O2221" s="324"/>
      <c r="P2221" s="324"/>
      <c r="Q2221" s="324" t="s">
        <v>18</v>
      </c>
      <c r="R2221" s="324"/>
      <c r="S2221" s="324" t="s">
        <v>19</v>
      </c>
      <c r="T2221" s="528">
        <v>3</v>
      </c>
      <c r="U2221" s="324">
        <f>E2221/259*60</f>
        <v>0</v>
      </c>
      <c r="V2221" s="676"/>
      <c r="W2221" s="528"/>
      <c r="X2221" s="529"/>
      <c r="Y2221" s="323"/>
      <c r="Z2221" s="312">
        <f>E2221</f>
        <v>0</v>
      </c>
      <c r="AA2221" s="316">
        <f>SUM(Z2221/366.4)</f>
        <v>0</v>
      </c>
    </row>
    <row r="2222" spans="1:27" thickBot="1" x14ac:dyDescent="0.45">
      <c r="A2222" s="329"/>
      <c r="B2222" s="344"/>
      <c r="C2222" s="588"/>
      <c r="D2222" s="536"/>
      <c r="E2222" s="460"/>
      <c r="F2222" s="324"/>
      <c r="G2222" s="528"/>
      <c r="H2222" s="324"/>
      <c r="I2222" s="528"/>
      <c r="J2222" s="324"/>
      <c r="K2222" s="324"/>
      <c r="L2222" s="324"/>
      <c r="M2222" s="324"/>
      <c r="N2222" s="324"/>
      <c r="O2222" s="324"/>
      <c r="P2222" s="324"/>
      <c r="Q2222" s="324"/>
      <c r="R2222" s="324"/>
      <c r="S2222" s="324"/>
      <c r="T2222" s="528"/>
      <c r="U2222" s="324"/>
      <c r="V2222" s="676"/>
      <c r="W2222" s="528"/>
      <c r="X2222" s="529"/>
      <c r="Y2222" s="315"/>
    </row>
    <row r="2223" spans="1:27" thickBot="1" x14ac:dyDescent="0.45">
      <c r="A2223" s="329"/>
      <c r="B2223" s="344"/>
      <c r="C2223" s="588"/>
      <c r="D2223" s="536"/>
      <c r="E2223" s="460"/>
      <c r="F2223" s="324"/>
      <c r="G2223" s="528"/>
      <c r="H2223" s="324"/>
      <c r="I2223" s="528"/>
      <c r="J2223" s="324"/>
      <c r="K2223" s="324"/>
      <c r="L2223" s="324"/>
      <c r="M2223" s="324"/>
      <c r="N2223" s="324"/>
      <c r="O2223" s="324"/>
      <c r="P2223" s="324"/>
      <c r="Q2223" s="324"/>
      <c r="R2223" s="324"/>
      <c r="S2223" s="324"/>
      <c r="T2223" s="528"/>
      <c r="U2223" s="324"/>
      <c r="V2223" s="676"/>
      <c r="W2223" s="528"/>
      <c r="X2223" s="529"/>
      <c r="Y2223" s="315"/>
    </row>
    <row r="2224" spans="1:27" thickBot="1" x14ac:dyDescent="0.45">
      <c r="A2224" s="329"/>
      <c r="B2224" s="408" t="s">
        <v>820</v>
      </c>
      <c r="C2224" s="536"/>
      <c r="D2224" s="528"/>
      <c r="E2224" s="496">
        <f>SUM(E2219:E2223)</f>
        <v>0</v>
      </c>
      <c r="F2224" s="324"/>
      <c r="G2224" s="528"/>
      <c r="H2224" s="324"/>
      <c r="I2224" s="528"/>
      <c r="J2224" s="324"/>
      <c r="K2224" s="324"/>
      <c r="L2224" s="324"/>
      <c r="M2224" s="324"/>
      <c r="N2224" s="324"/>
      <c r="O2224" s="324"/>
      <c r="P2224" s="324"/>
      <c r="Q2224" s="324"/>
      <c r="R2224" s="324"/>
      <c r="S2224" s="324"/>
      <c r="T2224" s="528"/>
      <c r="U2224" s="324"/>
      <c r="V2224" s="676"/>
      <c r="W2224" s="528"/>
      <c r="X2224" s="529"/>
      <c r="Y2224" s="315"/>
    </row>
    <row r="2225" spans="1:28" thickBot="1" x14ac:dyDescent="0.45">
      <c r="A2225" s="319"/>
      <c r="B2225" s="346"/>
      <c r="C2225" s="539"/>
      <c r="D2225" s="539"/>
      <c r="E2225" s="502"/>
      <c r="F2225" s="333"/>
      <c r="G2225" s="539"/>
      <c r="H2225" s="333"/>
      <c r="I2225" s="539"/>
      <c r="J2225" s="333"/>
      <c r="K2225" s="333"/>
      <c r="L2225" s="333"/>
      <c r="M2225" s="333"/>
      <c r="N2225" s="333"/>
      <c r="O2225" s="333"/>
      <c r="P2225" s="333"/>
      <c r="Q2225" s="333"/>
      <c r="R2225" s="333"/>
      <c r="S2225" s="333"/>
      <c r="T2225" s="539"/>
      <c r="U2225" s="333"/>
      <c r="V2225" s="681"/>
      <c r="W2225" s="539"/>
      <c r="X2225" s="333"/>
      <c r="Y2225" s="315"/>
    </row>
    <row r="2226" spans="1:28" thickBot="1" x14ac:dyDescent="0.45">
      <c r="A2226" s="319"/>
      <c r="B2226" s="346"/>
      <c r="C2226" s="539"/>
      <c r="D2226" s="539"/>
      <c r="E2226" s="502"/>
      <c r="F2226" s="333"/>
      <c r="G2226" s="539"/>
      <c r="H2226" s="333"/>
      <c r="I2226" s="539"/>
      <c r="J2226" s="333"/>
      <c r="K2226" s="333"/>
      <c r="L2226" s="333"/>
      <c r="M2226" s="333"/>
      <c r="N2226" s="333"/>
      <c r="O2226" s="333"/>
      <c r="P2226" s="333"/>
      <c r="Q2226" s="333"/>
      <c r="R2226" s="333"/>
      <c r="S2226" s="333"/>
      <c r="T2226" s="539"/>
      <c r="U2226" s="333"/>
      <c r="V2226" s="681"/>
      <c r="W2226" s="539"/>
      <c r="X2226" s="333"/>
      <c r="Y2226" s="315"/>
    </row>
    <row r="2227" spans="1:28" ht="51.75" thickBot="1" x14ac:dyDescent="0.45">
      <c r="A2227" s="830"/>
      <c r="B2227" s="332" t="s">
        <v>844</v>
      </c>
      <c r="C2227" s="347"/>
      <c r="D2227" s="347"/>
      <c r="E2227" s="494"/>
      <c r="F2227" s="348"/>
      <c r="G2227" s="347"/>
      <c r="H2227" s="348"/>
      <c r="I2227" s="347"/>
      <c r="J2227" s="348"/>
      <c r="K2227" s="348"/>
      <c r="L2227" s="348"/>
      <c r="M2227" s="348"/>
      <c r="N2227" s="348"/>
      <c r="O2227" s="348"/>
      <c r="P2227" s="348"/>
      <c r="Q2227" s="348"/>
      <c r="R2227" s="348"/>
      <c r="S2227" s="348"/>
      <c r="T2227" s="347"/>
      <c r="U2227" s="348"/>
      <c r="V2227" s="356"/>
      <c r="W2227" s="348"/>
      <c r="X2227" s="495"/>
      <c r="Y2227" s="357"/>
    </row>
    <row r="2228" spans="1:28" ht="102.75" thickBot="1" x14ac:dyDescent="0.45">
      <c r="A2228" s="319" t="s">
        <v>821</v>
      </c>
      <c r="B2228" s="320" t="s">
        <v>843</v>
      </c>
      <c r="C2228" s="586">
        <f>C145+C369+C597</f>
        <v>0</v>
      </c>
      <c r="D2228" s="528"/>
      <c r="E2228" s="546">
        <f>C2228*2</f>
        <v>0</v>
      </c>
      <c r="F2228" s="546">
        <f>E2228*1.03*0.87/19.3</f>
        <v>0</v>
      </c>
      <c r="G2228" s="639">
        <f t="shared" ref="G2228:G2235" si="827">INT(M2228)</f>
        <v>0</v>
      </c>
      <c r="H2228" s="546" t="s">
        <v>18</v>
      </c>
      <c r="I2228" s="639">
        <f t="shared" ref="I2228:I2235" si="828">(M2228-G2228)*64</f>
        <v>0</v>
      </c>
      <c r="J2228" s="546" t="s">
        <v>19</v>
      </c>
      <c r="K2228" s="546"/>
      <c r="L2228" s="546"/>
      <c r="M2228" s="546">
        <f>(F2228*877/2880)</f>
        <v>0</v>
      </c>
      <c r="N2228" s="546"/>
      <c r="O2228" s="324"/>
      <c r="P2228" s="324"/>
      <c r="Q2228" s="324" t="s">
        <v>18</v>
      </c>
      <c r="R2228" s="324"/>
      <c r="S2228" s="324" t="s">
        <v>19</v>
      </c>
      <c r="T2228" s="528">
        <v>2</v>
      </c>
      <c r="U2228" s="324">
        <f>E2228/259*60</f>
        <v>0</v>
      </c>
      <c r="V2228" s="676"/>
      <c r="W2228" s="528"/>
      <c r="X2228" s="529"/>
      <c r="Y2228" s="323"/>
      <c r="Z2228" s="312">
        <f t="shared" ref="Z2228:Z2235" si="829">E2228</f>
        <v>0</v>
      </c>
      <c r="AA2228" s="316">
        <f>SUM(Z2228/134.6)</f>
        <v>0</v>
      </c>
    </row>
    <row r="2229" spans="1:28" ht="77.25" thickBot="1" x14ac:dyDescent="0.45">
      <c r="A2229" s="319" t="s">
        <v>821</v>
      </c>
      <c r="B2229" s="320" t="s">
        <v>894</v>
      </c>
      <c r="C2229" s="528">
        <f>C145+C367+C595</f>
        <v>0</v>
      </c>
      <c r="D2229" s="532">
        <f>C2229*12</f>
        <v>0</v>
      </c>
      <c r="E2229" s="472">
        <f>D2229*0.27</f>
        <v>0</v>
      </c>
      <c r="F2229" s="472">
        <f>E2229*1.03*0.87/19.3</f>
        <v>0</v>
      </c>
      <c r="G2229" s="531">
        <f t="shared" si="827"/>
        <v>0</v>
      </c>
      <c r="H2229" s="472" t="s">
        <v>18</v>
      </c>
      <c r="I2229" s="531">
        <f t="shared" si="828"/>
        <v>0</v>
      </c>
      <c r="J2229" s="472" t="s">
        <v>19</v>
      </c>
      <c r="K2229" s="472"/>
      <c r="L2229" s="472"/>
      <c r="M2229" s="472">
        <f>(F2229*877/2880)</f>
        <v>0</v>
      </c>
      <c r="N2229" s="472"/>
      <c r="O2229" s="461"/>
      <c r="P2229" s="461"/>
      <c r="Q2229" s="461" t="s">
        <v>18</v>
      </c>
      <c r="R2229" s="461"/>
      <c r="S2229" s="461" t="s">
        <v>19</v>
      </c>
      <c r="T2229" s="528">
        <v>3</v>
      </c>
      <c r="U2229" s="324">
        <f>E2229/259*60</f>
        <v>0</v>
      </c>
      <c r="V2229" s="676"/>
      <c r="W2229" s="528"/>
      <c r="X2229" s="529"/>
      <c r="Y2229" s="323"/>
      <c r="Z2229" s="312">
        <f t="shared" si="829"/>
        <v>0</v>
      </c>
      <c r="AA2229" s="316">
        <f>SUM(Z2229/134.6)</f>
        <v>0</v>
      </c>
      <c r="AB2229" s="352"/>
    </row>
    <row r="2230" spans="1:28" ht="77.25" thickBot="1" x14ac:dyDescent="0.45">
      <c r="A2230" s="319" t="s">
        <v>821</v>
      </c>
      <c r="B2230" s="320" t="s">
        <v>1005</v>
      </c>
      <c r="C2230" s="528">
        <f>C144+C368+C596</f>
        <v>0</v>
      </c>
      <c r="D2230" s="530">
        <f>C2230*1</f>
        <v>0</v>
      </c>
      <c r="E2230" s="546">
        <f>D2230*0.65</f>
        <v>0</v>
      </c>
      <c r="F2230" s="546">
        <f>E2230*1.03*0.87/19.3</f>
        <v>0</v>
      </c>
      <c r="G2230" s="639">
        <f t="shared" si="827"/>
        <v>0</v>
      </c>
      <c r="H2230" s="546" t="s">
        <v>18</v>
      </c>
      <c r="I2230" s="639">
        <f t="shared" si="828"/>
        <v>0</v>
      </c>
      <c r="J2230" s="546" t="s">
        <v>19</v>
      </c>
      <c r="K2230" s="546"/>
      <c r="L2230" s="546"/>
      <c r="M2230" s="546">
        <f>(F2230*877/2880)</f>
        <v>0</v>
      </c>
      <c r="N2230" s="546"/>
      <c r="O2230" s="324"/>
      <c r="P2230" s="324"/>
      <c r="Q2230" s="324" t="s">
        <v>18</v>
      </c>
      <c r="R2230" s="324"/>
      <c r="S2230" s="324" t="s">
        <v>19</v>
      </c>
      <c r="T2230" s="528">
        <v>2</v>
      </c>
      <c r="U2230" s="324">
        <f>E2230/259*60</f>
        <v>0</v>
      </c>
      <c r="V2230" s="676"/>
      <c r="W2230" s="528"/>
      <c r="X2230" s="529"/>
      <c r="Y2230" s="323"/>
      <c r="Z2230" s="312">
        <f t="shared" si="829"/>
        <v>0</v>
      </c>
      <c r="AA2230" s="316">
        <f>SUM(Z2230/134.6)</f>
        <v>0</v>
      </c>
      <c r="AB2230" s="352"/>
    </row>
    <row r="2231" spans="1:28" ht="51.75" thickBot="1" x14ac:dyDescent="0.45">
      <c r="A2231" s="319" t="s">
        <v>821</v>
      </c>
      <c r="B2231" s="320" t="s">
        <v>849</v>
      </c>
      <c r="C2231" s="528">
        <f>C266+C496+C726</f>
        <v>0</v>
      </c>
      <c r="D2231" s="528"/>
      <c r="E2231" s="456">
        <f>C2231*3.2</f>
        <v>0</v>
      </c>
      <c r="F2231" s="358">
        <f>E2231*1.03*0.9/147</f>
        <v>0</v>
      </c>
      <c r="G2231" s="548">
        <f t="shared" si="827"/>
        <v>0</v>
      </c>
      <c r="H2231" s="358" t="s">
        <v>18</v>
      </c>
      <c r="I2231" s="548">
        <f t="shared" si="828"/>
        <v>0</v>
      </c>
      <c r="J2231" s="358" t="s">
        <v>19</v>
      </c>
      <c r="K2231" s="358"/>
      <c r="L2231" s="358"/>
      <c r="M2231" s="358">
        <f>F2231*4983/2880</f>
        <v>0</v>
      </c>
      <c r="N2231" s="358"/>
      <c r="O2231" s="358"/>
      <c r="P2231" s="358"/>
      <c r="Q2231" s="358" t="s">
        <v>18</v>
      </c>
      <c r="R2231" s="358"/>
      <c r="S2231" s="358" t="s">
        <v>19</v>
      </c>
      <c r="T2231" s="528">
        <v>3</v>
      </c>
      <c r="U2231" s="324">
        <f>E2231/259*60</f>
        <v>0</v>
      </c>
      <c r="V2231" s="676"/>
      <c r="W2231" s="528"/>
      <c r="X2231" s="529"/>
      <c r="Y2231" s="323"/>
      <c r="Z2231" s="312">
        <f t="shared" si="829"/>
        <v>0</v>
      </c>
      <c r="AA2231" s="316">
        <f>SUM(Z2231/354)</f>
        <v>0</v>
      </c>
    </row>
    <row r="2232" spans="1:28" ht="51.75" thickBot="1" x14ac:dyDescent="0.45">
      <c r="A2232" s="319" t="s">
        <v>821</v>
      </c>
      <c r="B2232" s="320" t="s">
        <v>874</v>
      </c>
      <c r="C2232" s="528">
        <f>C269+C499+C729</f>
        <v>0</v>
      </c>
      <c r="D2232" s="528"/>
      <c r="E2232" s="456">
        <f>C2232*2.5</f>
        <v>0</v>
      </c>
      <c r="F2232" s="358">
        <f>E2232*1.03*0.9/147</f>
        <v>0</v>
      </c>
      <c r="G2232" s="548">
        <f t="shared" si="827"/>
        <v>0</v>
      </c>
      <c r="H2232" s="358" t="s">
        <v>18</v>
      </c>
      <c r="I2232" s="548">
        <f t="shared" si="828"/>
        <v>0</v>
      </c>
      <c r="J2232" s="358" t="s">
        <v>19</v>
      </c>
      <c r="K2232" s="358"/>
      <c r="L2232" s="358"/>
      <c r="M2232" s="358">
        <f>F2232*4983/2880</f>
        <v>0</v>
      </c>
      <c r="N2232" s="358"/>
      <c r="O2232" s="358"/>
      <c r="P2232" s="358"/>
      <c r="Q2232" s="358" t="s">
        <v>18</v>
      </c>
      <c r="R2232" s="358"/>
      <c r="S2232" s="358" t="s">
        <v>19</v>
      </c>
      <c r="T2232" s="528">
        <v>3</v>
      </c>
      <c r="U2232" s="324">
        <f>E2232/259*60</f>
        <v>0</v>
      </c>
      <c r="V2232" s="676"/>
      <c r="W2232" s="528"/>
      <c r="X2232" s="529"/>
      <c r="Y2232" s="323"/>
      <c r="Z2232" s="312">
        <f t="shared" si="829"/>
        <v>0</v>
      </c>
      <c r="AA2232" s="316">
        <f>SUM(Z2232/366.4)</f>
        <v>0</v>
      </c>
    </row>
    <row r="2233" spans="1:28" ht="77.25" thickBot="1" x14ac:dyDescent="0.45">
      <c r="A2233" s="319" t="s">
        <v>821</v>
      </c>
      <c r="B2233" s="344" t="s">
        <v>910</v>
      </c>
      <c r="C2233" s="528">
        <f>C334+C564+C792</f>
        <v>0</v>
      </c>
      <c r="D2233" s="548">
        <f>C2233*12</f>
        <v>0</v>
      </c>
      <c r="E2233" s="456">
        <f>D2233*0.25</f>
        <v>0</v>
      </c>
      <c r="F2233" s="358">
        <f>E2233*0.99*1.03/147</f>
        <v>0</v>
      </c>
      <c r="G2233" s="548">
        <f t="shared" si="827"/>
        <v>0</v>
      </c>
      <c r="H2233" s="358" t="s">
        <v>18</v>
      </c>
      <c r="I2233" s="548">
        <f t="shared" si="828"/>
        <v>0</v>
      </c>
      <c r="J2233" s="358" t="s">
        <v>19</v>
      </c>
      <c r="K2233" s="358"/>
      <c r="L2233" s="358"/>
      <c r="M2233" s="358">
        <f>(F2233*7000)/2880</f>
        <v>0</v>
      </c>
      <c r="N2233" s="358"/>
      <c r="O2233" s="358"/>
      <c r="P2233" s="358"/>
      <c r="Q2233" s="358" t="s">
        <v>18</v>
      </c>
      <c r="R2233" s="358"/>
      <c r="S2233" s="358" t="s">
        <v>19</v>
      </c>
      <c r="T2233" s="528">
        <v>3</v>
      </c>
      <c r="U2233" s="324">
        <f>E2233/403*60</f>
        <v>0</v>
      </c>
      <c r="V2233" s="676"/>
      <c r="W2233" s="528"/>
      <c r="X2233" s="529"/>
      <c r="Y2233" s="323"/>
      <c r="Z2233" s="312">
        <f t="shared" si="829"/>
        <v>0</v>
      </c>
      <c r="AA2233" s="316">
        <f>SUM(Z2233/260.8)</f>
        <v>0</v>
      </c>
    </row>
    <row r="2234" spans="1:28" ht="51.75" thickBot="1" x14ac:dyDescent="0.45">
      <c r="A2234" s="319" t="s">
        <v>821</v>
      </c>
      <c r="B2234" s="320" t="s">
        <v>855</v>
      </c>
      <c r="C2234" s="528">
        <f>C268+C498+C728</f>
        <v>0</v>
      </c>
      <c r="D2234" s="528"/>
      <c r="E2234" s="456">
        <f>C2234*4</f>
        <v>0</v>
      </c>
      <c r="F2234" s="358">
        <f>E2234*1.03*0.9/147</f>
        <v>0</v>
      </c>
      <c r="G2234" s="548">
        <f t="shared" si="827"/>
        <v>0</v>
      </c>
      <c r="H2234" s="358" t="s">
        <v>18</v>
      </c>
      <c r="I2234" s="548">
        <f t="shared" si="828"/>
        <v>0</v>
      </c>
      <c r="J2234" s="358" t="s">
        <v>19</v>
      </c>
      <c r="K2234" s="358"/>
      <c r="L2234" s="358"/>
      <c r="M2234" s="358">
        <f>F2234*4983/2880</f>
        <v>0</v>
      </c>
      <c r="N2234" s="358"/>
      <c r="O2234" s="358"/>
      <c r="P2234" s="358"/>
      <c r="Q2234" s="358" t="s">
        <v>18</v>
      </c>
      <c r="R2234" s="358"/>
      <c r="S2234" s="358" t="s">
        <v>19</v>
      </c>
      <c r="T2234" s="528">
        <v>3</v>
      </c>
      <c r="U2234" s="324">
        <f>E2234/259*60</f>
        <v>0</v>
      </c>
      <c r="V2234" s="676"/>
      <c r="W2234" s="528"/>
      <c r="X2234" s="529"/>
      <c r="Y2234" s="323"/>
      <c r="Z2234" s="312">
        <f t="shared" si="829"/>
        <v>0</v>
      </c>
      <c r="AA2234" s="316">
        <f>SUM(Z2234/366.4)</f>
        <v>0</v>
      </c>
    </row>
    <row r="2235" spans="1:28" ht="51.75" thickBot="1" x14ac:dyDescent="0.45">
      <c r="A2235" s="319" t="s">
        <v>821</v>
      </c>
      <c r="B2235" s="410" t="s">
        <v>848</v>
      </c>
      <c r="C2235" s="561">
        <f>C330+C560+C788</f>
        <v>0</v>
      </c>
      <c r="D2235" s="551">
        <f>C2235*12</f>
        <v>0</v>
      </c>
      <c r="E2235" s="456">
        <f>D2235*0.25</f>
        <v>0</v>
      </c>
      <c r="F2235" s="358">
        <f>E2235*0.99*1.03/147</f>
        <v>0</v>
      </c>
      <c r="G2235" s="548">
        <f t="shared" si="827"/>
        <v>0</v>
      </c>
      <c r="H2235" s="358" t="s">
        <v>18</v>
      </c>
      <c r="I2235" s="548">
        <f t="shared" si="828"/>
        <v>0</v>
      </c>
      <c r="J2235" s="358" t="s">
        <v>19</v>
      </c>
      <c r="K2235" s="358"/>
      <c r="L2235" s="358"/>
      <c r="M2235" s="358">
        <f>(F2235*6989)/2880</f>
        <v>0</v>
      </c>
      <c r="N2235" s="358"/>
      <c r="O2235" s="358"/>
      <c r="P2235" s="358"/>
      <c r="Q2235" s="358" t="s">
        <v>18</v>
      </c>
      <c r="R2235" s="358"/>
      <c r="S2235" s="358" t="s">
        <v>19</v>
      </c>
      <c r="T2235" s="528">
        <v>3</v>
      </c>
      <c r="U2235" s="324">
        <f>E2235/403*60</f>
        <v>0</v>
      </c>
      <c r="V2235" s="676"/>
      <c r="W2235" s="528"/>
      <c r="X2235" s="529"/>
      <c r="Y2235" s="323"/>
      <c r="Z2235" s="312">
        <f t="shared" si="829"/>
        <v>0</v>
      </c>
      <c r="AA2235" s="316">
        <f>SUM(Z2235/260.8)</f>
        <v>0</v>
      </c>
    </row>
    <row r="2236" spans="1:28" ht="51.75" thickBot="1" x14ac:dyDescent="0.45">
      <c r="A2236" s="319" t="s">
        <v>821</v>
      </c>
      <c r="B2236" s="881" t="s">
        <v>1212</v>
      </c>
      <c r="C2236" s="561">
        <f>C333+C563+C791</f>
        <v>0</v>
      </c>
      <c r="D2236" s="551">
        <f>C2236*14</f>
        <v>0</v>
      </c>
      <c r="E2236" s="456">
        <f>D2236*0.25</f>
        <v>0</v>
      </c>
      <c r="F2236" s="358">
        <f>E2236*0.99*1.03/147</f>
        <v>0</v>
      </c>
      <c r="G2236" s="548">
        <f>INT(M2236)</f>
        <v>0</v>
      </c>
      <c r="H2236" s="358" t="s">
        <v>18</v>
      </c>
      <c r="I2236" s="548">
        <f>(M2236-G2236)*64</f>
        <v>0</v>
      </c>
      <c r="J2236" s="358" t="s">
        <v>19</v>
      </c>
      <c r="K2236" s="358"/>
      <c r="L2236" s="358"/>
      <c r="M2236" s="358">
        <f>(F2236*6989)/2880</f>
        <v>0</v>
      </c>
      <c r="N2236" s="358"/>
      <c r="O2236" s="358"/>
      <c r="P2236" s="358"/>
      <c r="Q2236" s="358" t="s">
        <v>18</v>
      </c>
      <c r="R2236" s="358"/>
      <c r="S2236" s="358" t="s">
        <v>19</v>
      </c>
      <c r="T2236" s="528">
        <v>3</v>
      </c>
      <c r="U2236" s="324">
        <f>E2236/403*60</f>
        <v>0</v>
      </c>
      <c r="V2236" s="676"/>
      <c r="W2236" s="528"/>
      <c r="X2236" s="529"/>
      <c r="Y2236" s="323"/>
      <c r="Z2236" s="312">
        <f>E2236</f>
        <v>0</v>
      </c>
      <c r="AA2236" s="316">
        <f>SUM(Z2236/260.8)</f>
        <v>0</v>
      </c>
    </row>
    <row r="2237" spans="1:28" thickBot="1" x14ac:dyDescent="0.45">
      <c r="A2237" s="329"/>
      <c r="B2237" s="344"/>
      <c r="C2237" s="583"/>
      <c r="D2237" s="536"/>
      <c r="E2237" s="460"/>
      <c r="F2237" s="324"/>
      <c r="G2237" s="528"/>
      <c r="H2237" s="324"/>
      <c r="I2237" s="528"/>
      <c r="J2237" s="324"/>
      <c r="K2237" s="324"/>
      <c r="L2237" s="324"/>
      <c r="M2237" s="324"/>
      <c r="N2237" s="324"/>
      <c r="O2237" s="324"/>
      <c r="P2237" s="324"/>
      <c r="Q2237" s="324"/>
      <c r="R2237" s="324"/>
      <c r="S2237" s="324"/>
      <c r="T2237" s="528"/>
      <c r="U2237" s="324"/>
      <c r="V2237" s="676"/>
      <c r="W2237" s="528"/>
      <c r="X2237" s="529"/>
      <c r="Y2237" s="323"/>
    </row>
    <row r="2238" spans="1:28" thickBot="1" x14ac:dyDescent="0.45">
      <c r="A2238" s="329"/>
      <c r="B2238" s="344"/>
      <c r="C2238" s="583"/>
      <c r="D2238" s="536"/>
      <c r="E2238" s="460"/>
      <c r="F2238" s="324"/>
      <c r="G2238" s="528"/>
      <c r="H2238" s="324"/>
      <c r="I2238" s="528"/>
      <c r="J2238" s="324"/>
      <c r="K2238" s="324"/>
      <c r="L2238" s="324"/>
      <c r="M2238" s="324"/>
      <c r="N2238" s="324"/>
      <c r="O2238" s="324"/>
      <c r="P2238" s="324"/>
      <c r="Q2238" s="324"/>
      <c r="R2238" s="324"/>
      <c r="S2238" s="324"/>
      <c r="T2238" s="528"/>
      <c r="U2238" s="324"/>
      <c r="V2238" s="676"/>
      <c r="W2238" s="528"/>
      <c r="X2238" s="529"/>
      <c r="Y2238" s="323"/>
    </row>
    <row r="2239" spans="1:28" thickBot="1" x14ac:dyDescent="0.45">
      <c r="A2239" s="329"/>
      <c r="B2239" s="408" t="s">
        <v>850</v>
      </c>
      <c r="C2239" s="536"/>
      <c r="D2239" s="528"/>
      <c r="E2239" s="496">
        <f>E2228+E2229+E2230</f>
        <v>0</v>
      </c>
      <c r="F2239" s="324"/>
      <c r="G2239" s="528"/>
      <c r="H2239" s="324"/>
      <c r="I2239" s="528"/>
      <c r="J2239" s="324"/>
      <c r="K2239" s="324"/>
      <c r="L2239" s="324"/>
      <c r="M2239" s="324"/>
      <c r="N2239" s="324"/>
      <c r="O2239" s="324"/>
      <c r="P2239" s="324"/>
      <c r="Q2239" s="324"/>
      <c r="R2239" s="324"/>
      <c r="S2239" s="324"/>
      <c r="T2239" s="528"/>
      <c r="U2239" s="324"/>
      <c r="V2239" s="676"/>
      <c r="W2239" s="528"/>
      <c r="X2239" s="529"/>
      <c r="Y2239" s="315"/>
    </row>
    <row r="2240" spans="1:28" thickBot="1" x14ac:dyDescent="0.45">
      <c r="A2240" s="329"/>
      <c r="B2240" s="408" t="s">
        <v>851</v>
      </c>
      <c r="C2240" s="536"/>
      <c r="D2240" s="528"/>
      <c r="E2240" s="496">
        <f>E2231+E2234+E2235+E2232+E2233+E2236</f>
        <v>0</v>
      </c>
      <c r="F2240" s="324"/>
      <c r="G2240" s="528"/>
      <c r="H2240" s="324"/>
      <c r="I2240" s="528"/>
      <c r="J2240" s="324"/>
      <c r="K2240" s="324"/>
      <c r="L2240" s="324"/>
      <c r="M2240" s="324"/>
      <c r="N2240" s="324"/>
      <c r="O2240" s="324"/>
      <c r="P2240" s="324"/>
      <c r="Q2240" s="324"/>
      <c r="R2240" s="324"/>
      <c r="S2240" s="324"/>
      <c r="T2240" s="528"/>
      <c r="U2240" s="324"/>
      <c r="V2240" s="676"/>
      <c r="W2240" s="528"/>
      <c r="X2240" s="529"/>
      <c r="Y2240" s="315"/>
    </row>
    <row r="2241" spans="1:27" thickBot="1" x14ac:dyDescent="0.45">
      <c r="A2241" s="329"/>
      <c r="B2241" s="346"/>
      <c r="C2241" s="539"/>
      <c r="D2241" s="539"/>
      <c r="E2241" s="502"/>
      <c r="F2241" s="333"/>
      <c r="G2241" s="539"/>
      <c r="H2241" s="333"/>
      <c r="I2241" s="539"/>
      <c r="J2241" s="333"/>
      <c r="K2241" s="333"/>
      <c r="L2241" s="333"/>
      <c r="M2241" s="333"/>
      <c r="N2241" s="333"/>
      <c r="O2241" s="333"/>
      <c r="P2241" s="333"/>
      <c r="Q2241" s="333"/>
      <c r="R2241" s="333"/>
      <c r="S2241" s="333"/>
      <c r="T2241" s="539"/>
      <c r="U2241" s="333"/>
      <c r="V2241" s="681"/>
      <c r="W2241" s="539"/>
      <c r="X2241" s="333"/>
      <c r="Y2241" s="315"/>
    </row>
    <row r="2242" spans="1:27" thickBot="1" x14ac:dyDescent="0.45">
      <c r="A2242" s="319"/>
      <c r="B2242" s="346"/>
      <c r="C2242" s="539"/>
      <c r="D2242" s="539"/>
      <c r="E2242" s="502"/>
      <c r="F2242" s="333"/>
      <c r="G2242" s="539"/>
      <c r="H2242" s="333"/>
      <c r="I2242" s="539"/>
      <c r="J2242" s="333"/>
      <c r="K2242" s="333"/>
      <c r="L2242" s="333"/>
      <c r="M2242" s="333"/>
      <c r="N2242" s="333"/>
      <c r="O2242" s="333"/>
      <c r="P2242" s="333"/>
      <c r="Q2242" s="333"/>
      <c r="R2242" s="333"/>
      <c r="S2242" s="333"/>
      <c r="T2242" s="539"/>
      <c r="U2242" s="333"/>
      <c r="V2242" s="681"/>
      <c r="W2242" s="539"/>
      <c r="X2242" s="333"/>
      <c r="Y2242" s="315"/>
    </row>
    <row r="2243" spans="1:27" thickBot="1" x14ac:dyDescent="0.45">
      <c r="A2243" s="829"/>
      <c r="B2243" s="305" t="s">
        <v>137</v>
      </c>
      <c r="C2243" s="559"/>
      <c r="D2243" s="559"/>
      <c r="E2243" s="510"/>
      <c r="F2243" s="471"/>
      <c r="G2243" s="559"/>
      <c r="H2243" s="471"/>
      <c r="I2243" s="559"/>
      <c r="J2243" s="471"/>
      <c r="K2243" s="471"/>
      <c r="L2243" s="471"/>
      <c r="M2243" s="471"/>
      <c r="N2243" s="471"/>
      <c r="O2243" s="471"/>
      <c r="P2243" s="471"/>
      <c r="Q2243" s="471"/>
      <c r="R2243" s="471"/>
      <c r="S2243" s="471"/>
      <c r="T2243" s="559"/>
      <c r="U2243" s="471"/>
      <c r="V2243" s="687"/>
      <c r="W2243" s="471"/>
      <c r="X2243" s="471"/>
      <c r="Y2243" s="373"/>
      <c r="AA2243" s="391" t="s">
        <v>677</v>
      </c>
    </row>
    <row r="2244" spans="1:27" thickBot="1" x14ac:dyDescent="0.45">
      <c r="A2244" s="830"/>
      <c r="B2244" s="332" t="s">
        <v>287</v>
      </c>
      <c r="C2244" s="347"/>
      <c r="D2244" s="347"/>
      <c r="E2244" s="494"/>
      <c r="F2244" s="348"/>
      <c r="G2244" s="347"/>
      <c r="H2244" s="348"/>
      <c r="I2244" s="347"/>
      <c r="J2244" s="348"/>
      <c r="K2244" s="348"/>
      <c r="L2244" s="348"/>
      <c r="M2244" s="348"/>
      <c r="N2244" s="348"/>
      <c r="O2244" s="348"/>
      <c r="P2244" s="348"/>
      <c r="Q2244" s="348"/>
      <c r="R2244" s="348"/>
      <c r="S2244" s="348"/>
      <c r="T2244" s="347"/>
      <c r="U2244" s="348"/>
      <c r="V2244" s="356"/>
      <c r="W2244" s="348"/>
      <c r="X2244" s="495"/>
      <c r="Y2244" s="357"/>
    </row>
    <row r="2245" spans="1:27" thickBot="1" x14ac:dyDescent="0.45">
      <c r="A2245" s="829"/>
      <c r="B2245" s="305" t="s">
        <v>60</v>
      </c>
      <c r="C2245" s="333"/>
      <c r="D2245" s="333"/>
      <c r="E2245" s="502"/>
      <c r="F2245" s="333"/>
      <c r="G2245" s="333"/>
      <c r="H2245" s="333"/>
      <c r="I2245" s="333"/>
      <c r="J2245" s="333"/>
      <c r="K2245" s="333"/>
      <c r="L2245" s="333"/>
      <c r="M2245" s="333"/>
      <c r="N2245" s="333"/>
      <c r="O2245" s="333"/>
      <c r="P2245" s="333"/>
      <c r="Q2245" s="333"/>
      <c r="R2245" s="333"/>
      <c r="S2245" s="333"/>
      <c r="T2245" s="333"/>
      <c r="U2245" s="333"/>
      <c r="V2245" s="681"/>
      <c r="W2245" s="333"/>
      <c r="X2245" s="333"/>
      <c r="Y2245" s="323"/>
    </row>
    <row r="2246" spans="1:27" ht="52.5" thickBot="1" x14ac:dyDescent="0.45">
      <c r="A2246" s="319" t="s">
        <v>727</v>
      </c>
      <c r="B2246" s="320" t="s">
        <v>620</v>
      </c>
      <c r="C2246" s="586">
        <f>C136+C360+C588</f>
        <v>0</v>
      </c>
      <c r="D2246" s="528">
        <f>C2246*12</f>
        <v>0</v>
      </c>
      <c r="E2246" s="460">
        <f>D2246*0.255</f>
        <v>0</v>
      </c>
      <c r="F2246" s="324">
        <f>E2246*1.03*1.05/173</f>
        <v>0</v>
      </c>
      <c r="G2246" s="528">
        <f>INT(M2246)</f>
        <v>0</v>
      </c>
      <c r="H2246" s="324" t="s">
        <v>18</v>
      </c>
      <c r="I2246" s="528">
        <f>(M2246-G2246)*64</f>
        <v>0</v>
      </c>
      <c r="J2246" s="324" t="s">
        <v>19</v>
      </c>
      <c r="K2246" s="324"/>
      <c r="L2246" s="324"/>
      <c r="M2246" s="324">
        <f>(F2246*7673)/2880</f>
        <v>0</v>
      </c>
      <c r="N2246" s="324"/>
      <c r="O2246" s="324"/>
      <c r="P2246" s="324"/>
      <c r="Q2246" s="324" t="s">
        <v>18</v>
      </c>
      <c r="R2246" s="324"/>
      <c r="S2246" s="324" t="s">
        <v>19</v>
      </c>
      <c r="T2246" s="528">
        <v>13</v>
      </c>
      <c r="U2246" s="324">
        <f>E2246/272*60</f>
        <v>0</v>
      </c>
      <c r="V2246" s="676"/>
      <c r="W2246" s="528"/>
      <c r="X2246" s="529"/>
      <c r="Y2246" s="397" t="s">
        <v>966</v>
      </c>
      <c r="Z2246" s="312">
        <f>E2246</f>
        <v>0</v>
      </c>
      <c r="AA2246" s="316">
        <f>SUM(Z2246/450+0.25)</f>
        <v>0.25</v>
      </c>
    </row>
    <row r="2247" spans="1:27" ht="52.5" thickBot="1" x14ac:dyDescent="0.45">
      <c r="A2247" s="319" t="s">
        <v>727</v>
      </c>
      <c r="B2247" s="320" t="s">
        <v>621</v>
      </c>
      <c r="C2247" s="586">
        <f>C137+C361+C589</f>
        <v>0</v>
      </c>
      <c r="D2247" s="528">
        <f>C2247*12</f>
        <v>0</v>
      </c>
      <c r="E2247" s="460">
        <f>D2247*0.255</f>
        <v>0</v>
      </c>
      <c r="F2247" s="324">
        <f>E2247*1.03*1.05/173</f>
        <v>0</v>
      </c>
      <c r="G2247" s="528">
        <f>INT(M2247)</f>
        <v>0</v>
      </c>
      <c r="H2247" s="324" t="s">
        <v>18</v>
      </c>
      <c r="I2247" s="528">
        <f>(M2247-G2247)*64</f>
        <v>0</v>
      </c>
      <c r="J2247" s="324" t="s">
        <v>19</v>
      </c>
      <c r="K2247" s="324"/>
      <c r="L2247" s="324"/>
      <c r="M2247" s="324">
        <f>(F2247*7673)/2880</f>
        <v>0</v>
      </c>
      <c r="N2247" s="324"/>
      <c r="O2247" s="324"/>
      <c r="P2247" s="324"/>
      <c r="Q2247" s="324" t="s">
        <v>18</v>
      </c>
      <c r="R2247" s="324"/>
      <c r="S2247" s="324" t="s">
        <v>19</v>
      </c>
      <c r="T2247" s="528">
        <v>13</v>
      </c>
      <c r="U2247" s="324">
        <f>E2247/272*60</f>
        <v>0</v>
      </c>
      <c r="V2247" s="676"/>
      <c r="W2247" s="528"/>
      <c r="X2247" s="529"/>
      <c r="Y2247" s="397" t="s">
        <v>966</v>
      </c>
      <c r="Z2247" s="312">
        <f>E2247</f>
        <v>0</v>
      </c>
      <c r="AA2247" s="316">
        <f>SUM(Z2247/450+0.25)</f>
        <v>0.25</v>
      </c>
    </row>
    <row r="2248" spans="1:27" ht="52.5" thickBot="1" x14ac:dyDescent="0.45">
      <c r="A2248" s="319" t="s">
        <v>727</v>
      </c>
      <c r="B2248" s="320" t="s">
        <v>622</v>
      </c>
      <c r="C2248" s="586">
        <f>C138+C362+C590</f>
        <v>0</v>
      </c>
      <c r="D2248" s="528">
        <f>C2248*12</f>
        <v>0</v>
      </c>
      <c r="E2248" s="460">
        <f>D2248*0.255</f>
        <v>0</v>
      </c>
      <c r="F2248" s="324">
        <f>E2248*1.03*1.05/173</f>
        <v>0</v>
      </c>
      <c r="G2248" s="528">
        <f>INT(M2248)</f>
        <v>0</v>
      </c>
      <c r="H2248" s="324" t="s">
        <v>18</v>
      </c>
      <c r="I2248" s="528">
        <f>(M2248-G2248)*64</f>
        <v>0</v>
      </c>
      <c r="J2248" s="324" t="s">
        <v>19</v>
      </c>
      <c r="K2248" s="324"/>
      <c r="L2248" s="324"/>
      <c r="M2248" s="324">
        <f>(F2248*7673)/2880</f>
        <v>0</v>
      </c>
      <c r="N2248" s="324"/>
      <c r="O2248" s="324"/>
      <c r="P2248" s="324"/>
      <c r="Q2248" s="324" t="s">
        <v>18</v>
      </c>
      <c r="R2248" s="324"/>
      <c r="S2248" s="324" t="s">
        <v>19</v>
      </c>
      <c r="T2248" s="528">
        <v>13</v>
      </c>
      <c r="U2248" s="324">
        <f>E2248/272*60</f>
        <v>0</v>
      </c>
      <c r="V2248" s="676"/>
      <c r="W2248" s="528"/>
      <c r="X2248" s="529"/>
      <c r="Y2248" s="397" t="s">
        <v>966</v>
      </c>
      <c r="Z2248" s="312">
        <f>E2248</f>
        <v>0</v>
      </c>
      <c r="AA2248" s="316">
        <f>SUM(Z2248/450+0.25)</f>
        <v>0.25</v>
      </c>
    </row>
    <row r="2249" spans="1:27" thickBot="1" x14ac:dyDescent="0.45">
      <c r="A2249" s="830"/>
      <c r="B2249" s="332" t="s">
        <v>299</v>
      </c>
      <c r="C2249" s="347"/>
      <c r="D2249" s="347"/>
      <c r="E2249" s="494"/>
      <c r="F2249" s="348"/>
      <c r="G2249" s="347"/>
      <c r="H2249" s="348"/>
      <c r="I2249" s="347"/>
      <c r="J2249" s="348"/>
      <c r="K2249" s="348"/>
      <c r="L2249" s="348"/>
      <c r="M2249" s="348"/>
      <c r="N2249" s="348"/>
      <c r="O2249" s="348"/>
      <c r="P2249" s="348"/>
      <c r="Q2249" s="348"/>
      <c r="R2249" s="348"/>
      <c r="S2249" s="348"/>
      <c r="T2249" s="347"/>
      <c r="U2249" s="348"/>
      <c r="V2249" s="356"/>
      <c r="W2249" s="348"/>
      <c r="X2249" s="495"/>
      <c r="Y2249" s="357"/>
    </row>
    <row r="2250" spans="1:27" ht="51.75" thickBot="1" x14ac:dyDescent="0.45">
      <c r="A2250" s="319" t="s">
        <v>727</v>
      </c>
      <c r="B2250" s="362" t="s">
        <v>868</v>
      </c>
      <c r="C2250" s="586">
        <f>C223+C224+C453+C454+C683+C684</f>
        <v>6000</v>
      </c>
      <c r="D2250" s="528"/>
      <c r="E2250" s="456">
        <f>C2250*2.4</f>
        <v>14400</v>
      </c>
      <c r="F2250" s="358">
        <f t="shared" ref="F2250:F2261" si="830">E2250*1.02*0.99/147</f>
        <v>98.919183673469377</v>
      </c>
      <c r="G2250" s="548">
        <f>INT(M2250)</f>
        <v>171</v>
      </c>
      <c r="H2250" s="358" t="s">
        <v>18</v>
      </c>
      <c r="I2250" s="548">
        <f>(M2250-G2250)*64</f>
        <v>9.6509387755086209</v>
      </c>
      <c r="J2250" s="358" t="s">
        <v>19</v>
      </c>
      <c r="K2250" s="358"/>
      <c r="L2250" s="358"/>
      <c r="M2250" s="358">
        <f t="shared" ref="M2250:M2260" si="831">F2250*4983/2880</f>
        <v>171.15079591836732</v>
      </c>
      <c r="N2250" s="324"/>
      <c r="O2250" s="324"/>
      <c r="P2250" s="324"/>
      <c r="Q2250" s="324" t="s">
        <v>18</v>
      </c>
      <c r="R2250" s="324"/>
      <c r="S2250" s="324" t="s">
        <v>19</v>
      </c>
      <c r="T2250" s="528">
        <v>12</v>
      </c>
      <c r="U2250" s="324">
        <f>E2250/420*60</f>
        <v>2057.1428571428569</v>
      </c>
      <c r="V2250" s="676"/>
      <c r="W2250" s="528"/>
      <c r="X2250" s="529"/>
      <c r="Y2250" s="323"/>
      <c r="Z2250" s="312">
        <f t="shared" ref="Z2250:Z2294" si="832">E2250</f>
        <v>14400</v>
      </c>
      <c r="AA2250" s="316">
        <f t="shared" ref="AA2250:AA2257" si="833">SUM(Z2250/624+0.25)</f>
        <v>23.326923076923077</v>
      </c>
    </row>
    <row r="2251" spans="1:27" ht="77.25" thickBot="1" x14ac:dyDescent="0.45">
      <c r="A2251" s="319" t="s">
        <v>727</v>
      </c>
      <c r="B2251" s="362" t="s">
        <v>628</v>
      </c>
      <c r="C2251" s="586">
        <f>C225+C226+C455+C456+C685+C686</f>
        <v>0</v>
      </c>
      <c r="D2251" s="528"/>
      <c r="E2251" s="456">
        <f>C2251*3.2</f>
        <v>0</v>
      </c>
      <c r="F2251" s="358">
        <f t="shared" si="830"/>
        <v>0</v>
      </c>
      <c r="G2251" s="548">
        <f>INT(M2251)</f>
        <v>0</v>
      </c>
      <c r="H2251" s="358" t="s">
        <v>18</v>
      </c>
      <c r="I2251" s="548">
        <f>(M2251-G2251)*64</f>
        <v>0</v>
      </c>
      <c r="J2251" s="358" t="s">
        <v>19</v>
      </c>
      <c r="K2251" s="358"/>
      <c r="L2251" s="358"/>
      <c r="M2251" s="358">
        <f t="shared" si="831"/>
        <v>0</v>
      </c>
      <c r="N2251" s="324"/>
      <c r="O2251" s="324"/>
      <c r="P2251" s="324"/>
      <c r="Q2251" s="324" t="s">
        <v>18</v>
      </c>
      <c r="R2251" s="324"/>
      <c r="S2251" s="324" t="s">
        <v>19</v>
      </c>
      <c r="T2251" s="528">
        <v>12</v>
      </c>
      <c r="U2251" s="324">
        <f>E2251/259*60</f>
        <v>0</v>
      </c>
      <c r="V2251" s="676"/>
      <c r="W2251" s="528"/>
      <c r="X2251" s="529"/>
      <c r="Y2251" s="323"/>
      <c r="Z2251" s="312">
        <f t="shared" si="832"/>
        <v>0</v>
      </c>
      <c r="AA2251" s="316">
        <f t="shared" si="833"/>
        <v>0.25</v>
      </c>
    </row>
    <row r="2252" spans="1:27" ht="51.75" thickBot="1" x14ac:dyDescent="0.45">
      <c r="A2252" s="319" t="s">
        <v>727</v>
      </c>
      <c r="B2252" s="362" t="s">
        <v>629</v>
      </c>
      <c r="C2252" s="586">
        <f>C227+C228+C457+C458+C687+C688</f>
        <v>0</v>
      </c>
      <c r="D2252" s="528"/>
      <c r="E2252" s="456">
        <f>C2252*4</f>
        <v>0</v>
      </c>
      <c r="F2252" s="358">
        <f t="shared" si="830"/>
        <v>0</v>
      </c>
      <c r="G2252" s="548">
        <f>INT(M2252)</f>
        <v>0</v>
      </c>
      <c r="H2252" s="358" t="s">
        <v>18</v>
      </c>
      <c r="I2252" s="548">
        <f>(M2252-G2252)*64</f>
        <v>0</v>
      </c>
      <c r="J2252" s="358" t="s">
        <v>19</v>
      </c>
      <c r="K2252" s="358"/>
      <c r="L2252" s="358"/>
      <c r="M2252" s="358">
        <f t="shared" si="831"/>
        <v>0</v>
      </c>
      <c r="N2252" s="324"/>
      <c r="O2252" s="324"/>
      <c r="P2252" s="324"/>
      <c r="Q2252" s="324" t="s">
        <v>18</v>
      </c>
      <c r="R2252" s="324"/>
      <c r="S2252" s="324" t="s">
        <v>19</v>
      </c>
      <c r="T2252" s="528">
        <v>12</v>
      </c>
      <c r="U2252" s="324">
        <f>E2252/259*60</f>
        <v>0</v>
      </c>
      <c r="V2252" s="676"/>
      <c r="W2252" s="528"/>
      <c r="X2252" s="529"/>
      <c r="Y2252" s="323"/>
      <c r="Z2252" s="312">
        <f t="shared" si="832"/>
        <v>0</v>
      </c>
      <c r="AA2252" s="316">
        <f t="shared" si="833"/>
        <v>0.25</v>
      </c>
    </row>
    <row r="2253" spans="1:27" ht="51.75" thickBot="1" x14ac:dyDescent="0.45">
      <c r="A2253" s="319" t="s">
        <v>727</v>
      </c>
      <c r="B2253" s="320" t="s">
        <v>869</v>
      </c>
      <c r="C2253" s="528">
        <f t="shared" ref="C2253:C2258" si="834">C229+C459+C689</f>
        <v>0</v>
      </c>
      <c r="D2253" s="528"/>
      <c r="E2253" s="456">
        <f>C2253*2.4</f>
        <v>0</v>
      </c>
      <c r="F2253" s="358">
        <f t="shared" si="830"/>
        <v>0</v>
      </c>
      <c r="G2253" s="548">
        <f>INT(M2253)</f>
        <v>0</v>
      </c>
      <c r="H2253" s="358" t="s">
        <v>18</v>
      </c>
      <c r="I2253" s="548">
        <f>(M2253-G2253)*64</f>
        <v>0</v>
      </c>
      <c r="J2253" s="358" t="s">
        <v>19</v>
      </c>
      <c r="K2253" s="358"/>
      <c r="L2253" s="358"/>
      <c r="M2253" s="358">
        <f t="shared" si="831"/>
        <v>0</v>
      </c>
      <c r="N2253" s="324"/>
      <c r="O2253" s="324"/>
      <c r="P2253" s="324"/>
      <c r="Q2253" s="324" t="s">
        <v>18</v>
      </c>
      <c r="R2253" s="324"/>
      <c r="S2253" s="324" t="s">
        <v>19</v>
      </c>
      <c r="T2253" s="528">
        <v>12</v>
      </c>
      <c r="U2253" s="324">
        <f>E2253/420*60</f>
        <v>0</v>
      </c>
      <c r="V2253" s="676"/>
      <c r="W2253" s="528"/>
      <c r="X2253" s="529"/>
      <c r="Y2253" s="323"/>
      <c r="Z2253" s="312">
        <f t="shared" si="832"/>
        <v>0</v>
      </c>
      <c r="AA2253" s="316">
        <f t="shared" si="833"/>
        <v>0.25</v>
      </c>
    </row>
    <row r="2254" spans="1:27" ht="51.75" thickBot="1" x14ac:dyDescent="0.45">
      <c r="A2254" s="319" t="s">
        <v>727</v>
      </c>
      <c r="B2254" s="320" t="s">
        <v>870</v>
      </c>
      <c r="C2254" s="528">
        <f t="shared" si="834"/>
        <v>0</v>
      </c>
      <c r="D2254" s="528"/>
      <c r="E2254" s="456">
        <f>C2254*2.4</f>
        <v>0</v>
      </c>
      <c r="F2254" s="358">
        <f t="shared" si="830"/>
        <v>0</v>
      </c>
      <c r="G2254" s="548">
        <f>INT(M2254)</f>
        <v>0</v>
      </c>
      <c r="H2254" s="358" t="s">
        <v>18</v>
      </c>
      <c r="I2254" s="548">
        <f>(M2254-G2254)*64</f>
        <v>0</v>
      </c>
      <c r="J2254" s="358" t="s">
        <v>19</v>
      </c>
      <c r="K2254" s="358"/>
      <c r="L2254" s="358"/>
      <c r="M2254" s="358">
        <f t="shared" si="831"/>
        <v>0</v>
      </c>
      <c r="N2254" s="324"/>
      <c r="O2254" s="324"/>
      <c r="P2254" s="324"/>
      <c r="Q2254" s="324" t="s">
        <v>18</v>
      </c>
      <c r="R2254" s="324"/>
      <c r="S2254" s="324" t="s">
        <v>19</v>
      </c>
      <c r="T2254" s="528">
        <v>12</v>
      </c>
      <c r="U2254" s="324">
        <f>E2254/420*60</f>
        <v>0</v>
      </c>
      <c r="V2254" s="676"/>
      <c r="W2254" s="528"/>
      <c r="X2254" s="529"/>
      <c r="Y2254" s="323"/>
      <c r="Z2254" s="312">
        <f t="shared" si="832"/>
        <v>0</v>
      </c>
      <c r="AA2254" s="316">
        <f t="shared" si="833"/>
        <v>0.25</v>
      </c>
    </row>
    <row r="2255" spans="1:27" ht="51.75" thickBot="1" x14ac:dyDescent="0.45">
      <c r="A2255" s="319" t="s">
        <v>727</v>
      </c>
      <c r="B2255" s="320" t="s">
        <v>871</v>
      </c>
      <c r="C2255" s="586">
        <f t="shared" si="834"/>
        <v>0</v>
      </c>
      <c r="D2255" s="528"/>
      <c r="E2255" s="456">
        <f>C2255*2.4</f>
        <v>0</v>
      </c>
      <c r="F2255" s="358">
        <f t="shared" si="830"/>
        <v>0</v>
      </c>
      <c r="G2255" s="548">
        <f t="shared" ref="G2255:G2288" si="835">INT(M2255)</f>
        <v>0</v>
      </c>
      <c r="H2255" s="358" t="s">
        <v>18</v>
      </c>
      <c r="I2255" s="548">
        <f t="shared" ref="I2255:I2288" si="836">(M2255-G2255)*64</f>
        <v>0</v>
      </c>
      <c r="J2255" s="358" t="s">
        <v>19</v>
      </c>
      <c r="K2255" s="358"/>
      <c r="L2255" s="358"/>
      <c r="M2255" s="358">
        <f t="shared" si="831"/>
        <v>0</v>
      </c>
      <c r="N2255" s="324"/>
      <c r="O2255" s="324"/>
      <c r="P2255" s="324"/>
      <c r="Q2255" s="324" t="s">
        <v>18</v>
      </c>
      <c r="R2255" s="324"/>
      <c r="S2255" s="324" t="s">
        <v>19</v>
      </c>
      <c r="T2255" s="528">
        <v>12</v>
      </c>
      <c r="U2255" s="324">
        <f>E2255/420*60</f>
        <v>0</v>
      </c>
      <c r="V2255" s="676"/>
      <c r="W2255" s="528"/>
      <c r="X2255" s="529"/>
      <c r="Y2255" s="323"/>
      <c r="Z2255" s="312">
        <f t="shared" si="832"/>
        <v>0</v>
      </c>
      <c r="AA2255" s="316">
        <f t="shared" si="833"/>
        <v>0.25</v>
      </c>
    </row>
    <row r="2256" spans="1:27" ht="51.75" thickBot="1" x14ac:dyDescent="0.45">
      <c r="A2256" s="319" t="s">
        <v>727</v>
      </c>
      <c r="B2256" s="320" t="s">
        <v>786</v>
      </c>
      <c r="C2256" s="528">
        <f t="shared" si="834"/>
        <v>0</v>
      </c>
      <c r="D2256" s="528"/>
      <c r="E2256" s="456">
        <f t="shared" ref="E2256:E2263" si="837">C2256*4</f>
        <v>0</v>
      </c>
      <c r="F2256" s="358">
        <f t="shared" si="830"/>
        <v>0</v>
      </c>
      <c r="G2256" s="548">
        <f t="shared" si="835"/>
        <v>0</v>
      </c>
      <c r="H2256" s="358" t="s">
        <v>18</v>
      </c>
      <c r="I2256" s="548">
        <f t="shared" si="836"/>
        <v>0</v>
      </c>
      <c r="J2256" s="358" t="s">
        <v>19</v>
      </c>
      <c r="K2256" s="358"/>
      <c r="L2256" s="358"/>
      <c r="M2256" s="358">
        <f t="shared" si="831"/>
        <v>0</v>
      </c>
      <c r="N2256" s="324"/>
      <c r="O2256" s="324"/>
      <c r="P2256" s="324"/>
      <c r="Q2256" s="324" t="s">
        <v>18</v>
      </c>
      <c r="R2256" s="324"/>
      <c r="S2256" s="324" t="s">
        <v>19</v>
      </c>
      <c r="T2256" s="528">
        <v>12</v>
      </c>
      <c r="U2256" s="324">
        <f>E2256/259*60</f>
        <v>0</v>
      </c>
      <c r="V2256" s="676"/>
      <c r="W2256" s="528"/>
      <c r="X2256" s="529"/>
      <c r="Y2256" s="323"/>
      <c r="Z2256" s="312">
        <f t="shared" si="832"/>
        <v>0</v>
      </c>
      <c r="AA2256" s="316">
        <f t="shared" si="833"/>
        <v>0.25</v>
      </c>
    </row>
    <row r="2257" spans="1:27" ht="51.75" thickBot="1" x14ac:dyDescent="0.45">
      <c r="A2257" s="319" t="s">
        <v>727</v>
      </c>
      <c r="B2257" s="320" t="s">
        <v>630</v>
      </c>
      <c r="C2257" s="586">
        <f t="shared" si="834"/>
        <v>0</v>
      </c>
      <c r="D2257" s="528"/>
      <c r="E2257" s="456">
        <f t="shared" si="837"/>
        <v>0</v>
      </c>
      <c r="F2257" s="358">
        <f t="shared" si="830"/>
        <v>0</v>
      </c>
      <c r="G2257" s="548">
        <f t="shared" si="835"/>
        <v>0</v>
      </c>
      <c r="H2257" s="358" t="s">
        <v>18</v>
      </c>
      <c r="I2257" s="548">
        <f t="shared" si="836"/>
        <v>0</v>
      </c>
      <c r="J2257" s="358" t="s">
        <v>19</v>
      </c>
      <c r="K2257" s="358"/>
      <c r="L2257" s="358"/>
      <c r="M2257" s="358">
        <f t="shared" si="831"/>
        <v>0</v>
      </c>
      <c r="N2257" s="324"/>
      <c r="O2257" s="324"/>
      <c r="P2257" s="324"/>
      <c r="Q2257" s="324" t="s">
        <v>18</v>
      </c>
      <c r="R2257" s="324"/>
      <c r="S2257" s="324" t="s">
        <v>19</v>
      </c>
      <c r="T2257" s="528">
        <v>12</v>
      </c>
      <c r="U2257" s="324">
        <f>E2257/259*60</f>
        <v>0</v>
      </c>
      <c r="V2257" s="676"/>
      <c r="W2257" s="528"/>
      <c r="X2257" s="529"/>
      <c r="Y2257" s="323"/>
      <c r="Z2257" s="312">
        <f t="shared" si="832"/>
        <v>0</v>
      </c>
      <c r="AA2257" s="316">
        <f t="shared" si="833"/>
        <v>0.25</v>
      </c>
    </row>
    <row r="2258" spans="1:27" thickBot="1" x14ac:dyDescent="0.45">
      <c r="A2258" s="319" t="s">
        <v>727</v>
      </c>
      <c r="B2258" s="320" t="s">
        <v>1065</v>
      </c>
      <c r="C2258" s="586">
        <f t="shared" si="834"/>
        <v>0</v>
      </c>
      <c r="D2258" s="528"/>
      <c r="E2258" s="460">
        <f>C2258*4</f>
        <v>0</v>
      </c>
      <c r="F2258" s="324">
        <f>E2258*1.02*0.99/147</f>
        <v>0</v>
      </c>
      <c r="G2258" s="528">
        <f>INT(M2258)</f>
        <v>0</v>
      </c>
      <c r="H2258" s="324" t="s">
        <v>18</v>
      </c>
      <c r="I2258" s="528">
        <f>(M2258-G2258)*64</f>
        <v>0</v>
      </c>
      <c r="J2258" s="324" t="s">
        <v>19</v>
      </c>
      <c r="K2258" s="324"/>
      <c r="L2258" s="324"/>
      <c r="M2258" s="324">
        <f>F2258*4983/2880</f>
        <v>0</v>
      </c>
      <c r="N2258" s="324"/>
      <c r="O2258" s="324"/>
      <c r="P2258" s="324"/>
      <c r="Q2258" s="324" t="s">
        <v>18</v>
      </c>
      <c r="R2258" s="324"/>
      <c r="S2258" s="324" t="s">
        <v>19</v>
      </c>
      <c r="T2258" s="528">
        <v>12</v>
      </c>
      <c r="U2258" s="324">
        <f>E2258/259*60</f>
        <v>0</v>
      </c>
      <c r="V2258" s="676"/>
      <c r="W2258" s="528"/>
      <c r="X2258" s="529"/>
      <c r="Y2258" s="323"/>
      <c r="Z2258" s="312">
        <f>E2258</f>
        <v>0</v>
      </c>
      <c r="AA2258" s="316">
        <f>SUM(Z2258/624+0.25)</f>
        <v>0.25</v>
      </c>
    </row>
    <row r="2259" spans="1:27" ht="51.75" thickBot="1" x14ac:dyDescent="0.45">
      <c r="A2259" s="319" t="s">
        <v>727</v>
      </c>
      <c r="B2259" s="320" t="s">
        <v>818</v>
      </c>
      <c r="C2259" s="586">
        <f>C2219</f>
        <v>0</v>
      </c>
      <c r="D2259" s="528"/>
      <c r="E2259" s="456">
        <f t="shared" si="837"/>
        <v>0</v>
      </c>
      <c r="F2259" s="358">
        <f t="shared" si="830"/>
        <v>0</v>
      </c>
      <c r="G2259" s="548">
        <f t="shared" si="835"/>
        <v>0</v>
      </c>
      <c r="H2259" s="358" t="s">
        <v>18</v>
      </c>
      <c r="I2259" s="548">
        <f t="shared" si="836"/>
        <v>0</v>
      </c>
      <c r="J2259" s="358" t="s">
        <v>19</v>
      </c>
      <c r="K2259" s="358"/>
      <c r="L2259" s="358"/>
      <c r="M2259" s="358">
        <f t="shared" si="831"/>
        <v>0</v>
      </c>
      <c r="N2259" s="324"/>
      <c r="O2259" s="324"/>
      <c r="P2259" s="324"/>
      <c r="Q2259" s="324" t="s">
        <v>18</v>
      </c>
      <c r="R2259" s="324"/>
      <c r="S2259" s="324" t="s">
        <v>19</v>
      </c>
      <c r="T2259" s="528">
        <v>12</v>
      </c>
      <c r="U2259" s="324">
        <f>E2259/259*60</f>
        <v>0</v>
      </c>
      <c r="V2259" s="670" t="s">
        <v>822</v>
      </c>
      <c r="W2259" s="528"/>
      <c r="X2259" s="529"/>
      <c r="Y2259" s="323"/>
      <c r="Z2259" s="312">
        <f t="shared" si="832"/>
        <v>0</v>
      </c>
      <c r="AA2259" s="316">
        <f>SUM(E2259/625+0.25)</f>
        <v>0.25</v>
      </c>
    </row>
    <row r="2260" spans="1:27" ht="51.75" thickBot="1" x14ac:dyDescent="0.45">
      <c r="A2260" s="319" t="s">
        <v>727</v>
      </c>
      <c r="B2260" s="320" t="s">
        <v>631</v>
      </c>
      <c r="C2260" s="586">
        <f t="shared" ref="C2260:C2265" si="838">C237+C467+C697</f>
        <v>0</v>
      </c>
      <c r="D2260" s="528"/>
      <c r="E2260" s="456">
        <f t="shared" si="837"/>
        <v>0</v>
      </c>
      <c r="F2260" s="358">
        <f t="shared" si="830"/>
        <v>0</v>
      </c>
      <c r="G2260" s="548">
        <f t="shared" si="835"/>
        <v>0</v>
      </c>
      <c r="H2260" s="358" t="s">
        <v>18</v>
      </c>
      <c r="I2260" s="548">
        <f t="shared" si="836"/>
        <v>0</v>
      </c>
      <c r="J2260" s="358" t="s">
        <v>19</v>
      </c>
      <c r="K2260" s="358"/>
      <c r="L2260" s="358"/>
      <c r="M2260" s="358">
        <f t="shared" si="831"/>
        <v>0</v>
      </c>
      <c r="N2260" s="324"/>
      <c r="O2260" s="324"/>
      <c r="P2260" s="324"/>
      <c r="Q2260" s="324" t="s">
        <v>18</v>
      </c>
      <c r="R2260" s="324"/>
      <c r="S2260" s="324" t="s">
        <v>19</v>
      </c>
      <c r="T2260" s="528">
        <v>12</v>
      </c>
      <c r="U2260" s="324">
        <f>E2260/259*60</f>
        <v>0</v>
      </c>
      <c r="V2260" s="676"/>
      <c r="W2260" s="528"/>
      <c r="X2260" s="529"/>
      <c r="Y2260" s="323"/>
      <c r="Z2260" s="312">
        <f t="shared" si="832"/>
        <v>0</v>
      </c>
      <c r="AA2260" s="316">
        <f>SUM(Z2260/624+0.25)</f>
        <v>0.25</v>
      </c>
    </row>
    <row r="2261" spans="1:27" ht="102.75" outlineLevel="1" thickBot="1" x14ac:dyDescent="0.45">
      <c r="A2261" s="319" t="s">
        <v>727</v>
      </c>
      <c r="B2261" s="320" t="s">
        <v>1219</v>
      </c>
      <c r="C2261" s="528">
        <f t="shared" si="838"/>
        <v>0</v>
      </c>
      <c r="D2261" s="528"/>
      <c r="E2261" s="460">
        <f t="shared" si="837"/>
        <v>0</v>
      </c>
      <c r="F2261" s="324">
        <f t="shared" si="830"/>
        <v>0</v>
      </c>
      <c r="G2261" s="528">
        <f t="shared" si="835"/>
        <v>0</v>
      </c>
      <c r="H2261" s="324" t="s">
        <v>18</v>
      </c>
      <c r="I2261" s="528">
        <f t="shared" si="836"/>
        <v>0</v>
      </c>
      <c r="J2261" s="324" t="s">
        <v>19</v>
      </c>
      <c r="K2261" s="324"/>
      <c r="L2261" s="324"/>
      <c r="M2261" s="324">
        <f>F2261*5764/2880</f>
        <v>0</v>
      </c>
      <c r="N2261" s="324"/>
      <c r="O2261" s="324"/>
      <c r="P2261" s="324"/>
      <c r="Q2261" s="324" t="s">
        <v>18</v>
      </c>
      <c r="R2261" s="324"/>
      <c r="S2261" s="324" t="s">
        <v>19</v>
      </c>
      <c r="T2261" s="528">
        <v>12</v>
      </c>
      <c r="U2261" s="324">
        <f>E2261/324*60</f>
        <v>0</v>
      </c>
      <c r="V2261" s="676"/>
      <c r="W2261" s="528"/>
      <c r="X2261" s="529"/>
      <c r="Y2261" s="323"/>
      <c r="Z2261" s="312">
        <f t="shared" si="832"/>
        <v>0</v>
      </c>
      <c r="AA2261" s="316">
        <f>SUM(Z2261/544+0.25)</f>
        <v>0.25</v>
      </c>
    </row>
    <row r="2262" spans="1:27" ht="102.75" outlineLevel="1" thickBot="1" x14ac:dyDescent="0.45">
      <c r="A2262" s="319" t="s">
        <v>727</v>
      </c>
      <c r="B2262" s="320" t="s">
        <v>1220</v>
      </c>
      <c r="C2262" s="528">
        <f t="shared" si="838"/>
        <v>0</v>
      </c>
      <c r="D2262" s="528"/>
      <c r="E2262" s="460">
        <f>C2262*4</f>
        <v>0</v>
      </c>
      <c r="F2262" s="324">
        <f>E2262*1.02*0.99/147</f>
        <v>0</v>
      </c>
      <c r="G2262" s="528">
        <f t="shared" si="835"/>
        <v>0</v>
      </c>
      <c r="H2262" s="324" t="s">
        <v>18</v>
      </c>
      <c r="I2262" s="528">
        <f t="shared" si="836"/>
        <v>0</v>
      </c>
      <c r="J2262" s="324" t="s">
        <v>19</v>
      </c>
      <c r="K2262" s="324"/>
      <c r="L2262" s="324"/>
      <c r="M2262" s="324">
        <f>F2262*5764/2880</f>
        <v>0</v>
      </c>
      <c r="N2262" s="324"/>
      <c r="O2262" s="324"/>
      <c r="P2262" s="324"/>
      <c r="Q2262" s="324" t="s">
        <v>18</v>
      </c>
      <c r="R2262" s="324"/>
      <c r="S2262" s="324" t="s">
        <v>19</v>
      </c>
      <c r="T2262" s="528">
        <v>12</v>
      </c>
      <c r="U2262" s="722">
        <f>E2262/324*60</f>
        <v>0</v>
      </c>
      <c r="V2262" s="676"/>
      <c r="W2262" s="528"/>
      <c r="X2262" s="529"/>
      <c r="Y2262" s="360"/>
      <c r="Z2262" s="312">
        <f>E2262</f>
        <v>0</v>
      </c>
      <c r="AA2262" s="316">
        <f>SUM(Z2262/544+0.25)</f>
        <v>0.25</v>
      </c>
    </row>
    <row r="2263" spans="1:27" ht="77.25" thickBot="1" x14ac:dyDescent="0.45">
      <c r="A2263" s="319" t="s">
        <v>727</v>
      </c>
      <c r="B2263" s="320" t="s">
        <v>840</v>
      </c>
      <c r="C2263" s="586">
        <f t="shared" si="838"/>
        <v>0</v>
      </c>
      <c r="D2263" s="528"/>
      <c r="E2263" s="456">
        <f t="shared" si="837"/>
        <v>0</v>
      </c>
      <c r="F2263" s="358">
        <f>E2263*0.9*1.01/147</f>
        <v>0</v>
      </c>
      <c r="G2263" s="548">
        <f t="shared" si="835"/>
        <v>0</v>
      </c>
      <c r="H2263" s="358" t="s">
        <v>18</v>
      </c>
      <c r="I2263" s="548">
        <f t="shared" si="836"/>
        <v>0</v>
      </c>
      <c r="J2263" s="358" t="s">
        <v>19</v>
      </c>
      <c r="K2263" s="358"/>
      <c r="L2263" s="358"/>
      <c r="M2263" s="358">
        <f>(F2263*6533/3456)</f>
        <v>0</v>
      </c>
      <c r="N2263" s="358"/>
      <c r="O2263" s="358"/>
      <c r="P2263" s="358"/>
      <c r="Q2263" s="358" t="s">
        <v>18</v>
      </c>
      <c r="R2263" s="358"/>
      <c r="S2263" s="358" t="s">
        <v>19</v>
      </c>
      <c r="T2263" s="528">
        <v>12</v>
      </c>
      <c r="U2263" s="324">
        <f>E2263/324*60</f>
        <v>0</v>
      </c>
      <c r="V2263" s="676"/>
      <c r="W2263" s="528"/>
      <c r="X2263" s="529"/>
      <c r="Y2263" s="323"/>
      <c r="Z2263" s="312">
        <f t="shared" si="832"/>
        <v>0</v>
      </c>
      <c r="AA2263" s="316">
        <f>SUM(Z2263/695+0.25)</f>
        <v>0.25</v>
      </c>
    </row>
    <row r="2264" spans="1:27" ht="77.25" thickBot="1" x14ac:dyDescent="0.45">
      <c r="A2264" s="319" t="s">
        <v>727</v>
      </c>
      <c r="B2264" s="799" t="s">
        <v>1192</v>
      </c>
      <c r="C2264" s="586">
        <f t="shared" si="838"/>
        <v>0</v>
      </c>
      <c r="D2264" s="528"/>
      <c r="E2264" s="460">
        <f>C2264*1.3</f>
        <v>0</v>
      </c>
      <c r="F2264" s="324">
        <f>E2264*1.02*1/135</f>
        <v>0</v>
      </c>
      <c r="G2264" s="528">
        <f t="shared" si="835"/>
        <v>0</v>
      </c>
      <c r="H2264" s="324" t="s">
        <v>18</v>
      </c>
      <c r="I2264" s="528">
        <f t="shared" si="836"/>
        <v>0</v>
      </c>
      <c r="J2264" s="324" t="s">
        <v>19</v>
      </c>
      <c r="K2264" s="324"/>
      <c r="L2264" s="324"/>
      <c r="M2264" s="324">
        <f>F2264*5252/2880</f>
        <v>0</v>
      </c>
      <c r="N2264" s="324"/>
      <c r="O2264" s="324"/>
      <c r="P2264" s="324"/>
      <c r="Q2264" s="324" t="s">
        <v>18</v>
      </c>
      <c r="R2264" s="324"/>
      <c r="S2264" s="324" t="s">
        <v>19</v>
      </c>
      <c r="T2264" s="528">
        <v>12</v>
      </c>
      <c r="U2264" s="324">
        <f>E2264/237*60</f>
        <v>0</v>
      </c>
      <c r="V2264" s="676"/>
      <c r="W2264" s="528"/>
      <c r="X2264" s="529"/>
      <c r="Y2264" s="360"/>
      <c r="Z2264" s="312">
        <f>E2264</f>
        <v>0</v>
      </c>
      <c r="AA2264" s="316">
        <f>SUM(Z2264/695+0.25)</f>
        <v>0.25</v>
      </c>
    </row>
    <row r="2265" spans="1:27" ht="51.75" thickBot="1" x14ac:dyDescent="0.45">
      <c r="A2265" s="319" t="s">
        <v>727</v>
      </c>
      <c r="B2265" s="320" t="s">
        <v>632</v>
      </c>
      <c r="C2265" s="586">
        <f t="shared" si="838"/>
        <v>0</v>
      </c>
      <c r="D2265" s="528"/>
      <c r="E2265" s="456">
        <f t="shared" ref="E2265:E2270" si="839">C2265*3.2</f>
        <v>0</v>
      </c>
      <c r="F2265" s="358">
        <f t="shared" ref="F2265:F2270" si="840">E2265*1.02*0.99/147</f>
        <v>0</v>
      </c>
      <c r="G2265" s="548">
        <f t="shared" si="835"/>
        <v>0</v>
      </c>
      <c r="H2265" s="358" t="s">
        <v>18</v>
      </c>
      <c r="I2265" s="548">
        <f t="shared" si="836"/>
        <v>0</v>
      </c>
      <c r="J2265" s="358" t="s">
        <v>19</v>
      </c>
      <c r="K2265" s="358"/>
      <c r="L2265" s="358"/>
      <c r="M2265" s="358">
        <f>F2265*4983/2880</f>
        <v>0</v>
      </c>
      <c r="N2265" s="324"/>
      <c r="O2265" s="324"/>
      <c r="P2265" s="324"/>
      <c r="Q2265" s="324" t="s">
        <v>18</v>
      </c>
      <c r="R2265" s="324"/>
      <c r="S2265" s="324" t="s">
        <v>19</v>
      </c>
      <c r="T2265" s="528">
        <v>12</v>
      </c>
      <c r="U2265" s="324">
        <f t="shared" ref="U2265:U2270" si="841">E2265/259*60</f>
        <v>0</v>
      </c>
      <c r="V2265" s="676"/>
      <c r="W2265" s="528"/>
      <c r="X2265" s="529"/>
      <c r="Y2265" s="323"/>
      <c r="Z2265" s="312">
        <f t="shared" ref="Z2265:Z2270" si="842">E2265</f>
        <v>0</v>
      </c>
      <c r="AA2265" s="316">
        <f t="shared" ref="AA2265:AA2270" si="843">SUM(Z2265/624+0.25)</f>
        <v>0.25</v>
      </c>
    </row>
    <row r="2266" spans="1:27" ht="51.75" thickBot="1" x14ac:dyDescent="0.45">
      <c r="A2266" s="319" t="s">
        <v>727</v>
      </c>
      <c r="B2266" s="320" t="s">
        <v>1033</v>
      </c>
      <c r="C2266" s="528">
        <f>C246+C477+C706</f>
        <v>600</v>
      </c>
      <c r="D2266" s="528"/>
      <c r="E2266" s="324">
        <f t="shared" si="839"/>
        <v>1920</v>
      </c>
      <c r="F2266" s="324">
        <f t="shared" si="840"/>
        <v>13.189224489795919</v>
      </c>
      <c r="G2266" s="528">
        <f>INT(M2266)</f>
        <v>28</v>
      </c>
      <c r="H2266" s="324" t="s">
        <v>18</v>
      </c>
      <c r="I2266" s="528">
        <f>(M2266-G2266)*64</f>
        <v>39.187410586552005</v>
      </c>
      <c r="J2266" s="324"/>
      <c r="K2266" s="324"/>
      <c r="L2266" s="324"/>
      <c r="M2266" s="324">
        <f>E2266/0.0233/2880</f>
        <v>28.612303290414875</v>
      </c>
      <c r="N2266" s="324"/>
      <c r="O2266" s="324"/>
      <c r="P2266" s="324"/>
      <c r="Q2266" s="324" t="s">
        <v>18</v>
      </c>
      <c r="R2266" s="324"/>
      <c r="S2266" s="324" t="s">
        <v>19</v>
      </c>
      <c r="T2266" s="528">
        <v>13</v>
      </c>
      <c r="U2266" s="324">
        <f t="shared" si="841"/>
        <v>444.78764478764481</v>
      </c>
      <c r="V2266" s="676"/>
      <c r="W2266" s="528"/>
      <c r="X2266" s="529"/>
      <c r="Y2266" s="323"/>
      <c r="Z2266" s="312">
        <f t="shared" si="842"/>
        <v>1920</v>
      </c>
      <c r="AA2266" s="316">
        <f>SUM(Z2266/480+0.25)</f>
        <v>4.25</v>
      </c>
    </row>
    <row r="2267" spans="1:27" ht="77.25" thickBot="1" x14ac:dyDescent="0.45">
      <c r="A2267" s="319" t="s">
        <v>727</v>
      </c>
      <c r="B2267" s="320" t="s">
        <v>633</v>
      </c>
      <c r="C2267" s="586">
        <f>C243+C473+C703</f>
        <v>0</v>
      </c>
      <c r="D2267" s="528"/>
      <c r="E2267" s="456">
        <f t="shared" si="839"/>
        <v>0</v>
      </c>
      <c r="F2267" s="358">
        <f t="shared" si="840"/>
        <v>0</v>
      </c>
      <c r="G2267" s="548">
        <f t="shared" si="835"/>
        <v>0</v>
      </c>
      <c r="H2267" s="358" t="s">
        <v>18</v>
      </c>
      <c r="I2267" s="548">
        <f t="shared" si="836"/>
        <v>0</v>
      </c>
      <c r="J2267" s="358" t="s">
        <v>19</v>
      </c>
      <c r="K2267" s="358"/>
      <c r="L2267" s="358"/>
      <c r="M2267" s="358">
        <f>F2267*4983/2880</f>
        <v>0</v>
      </c>
      <c r="N2267" s="358"/>
      <c r="O2267" s="358"/>
      <c r="P2267" s="358"/>
      <c r="Q2267" s="358" t="s">
        <v>18</v>
      </c>
      <c r="R2267" s="358"/>
      <c r="S2267" s="358" t="s">
        <v>19</v>
      </c>
      <c r="T2267" s="528">
        <v>12</v>
      </c>
      <c r="U2267" s="324">
        <f t="shared" si="841"/>
        <v>0</v>
      </c>
      <c r="V2267" s="676"/>
      <c r="W2267" s="528"/>
      <c r="X2267" s="529"/>
      <c r="Y2267" s="323"/>
      <c r="Z2267" s="312">
        <f t="shared" si="842"/>
        <v>0</v>
      </c>
      <c r="AA2267" s="316">
        <f t="shared" si="843"/>
        <v>0.25</v>
      </c>
    </row>
    <row r="2268" spans="1:27" ht="51.75" thickBot="1" x14ac:dyDescent="0.45">
      <c r="A2268" s="319" t="s">
        <v>727</v>
      </c>
      <c r="B2268" s="320" t="s">
        <v>1066</v>
      </c>
      <c r="C2268" s="586">
        <f>C244+C474+C704</f>
        <v>0</v>
      </c>
      <c r="D2268" s="528"/>
      <c r="E2268" s="460">
        <f t="shared" si="839"/>
        <v>0</v>
      </c>
      <c r="F2268" s="324">
        <f t="shared" si="840"/>
        <v>0</v>
      </c>
      <c r="G2268" s="528">
        <f>INT(M2268)</f>
        <v>0</v>
      </c>
      <c r="H2268" s="324" t="s">
        <v>18</v>
      </c>
      <c r="I2268" s="528">
        <f>(M2268-G2268)*64</f>
        <v>0</v>
      </c>
      <c r="J2268" s="324" t="s">
        <v>19</v>
      </c>
      <c r="K2268" s="324"/>
      <c r="L2268" s="324"/>
      <c r="M2268" s="324">
        <f>F2268*4983/2880</f>
        <v>0</v>
      </c>
      <c r="N2268" s="324"/>
      <c r="O2268" s="324"/>
      <c r="P2268" s="324"/>
      <c r="Q2268" s="324" t="s">
        <v>18</v>
      </c>
      <c r="R2268" s="324"/>
      <c r="S2268" s="324" t="s">
        <v>19</v>
      </c>
      <c r="T2268" s="528">
        <v>12</v>
      </c>
      <c r="U2268" s="324">
        <f t="shared" si="841"/>
        <v>0</v>
      </c>
      <c r="V2268" s="676"/>
      <c r="W2268" s="528"/>
      <c r="X2268" s="529"/>
      <c r="Y2268" s="323"/>
      <c r="Z2268" s="312">
        <f t="shared" si="842"/>
        <v>0</v>
      </c>
      <c r="AA2268" s="316">
        <f t="shared" si="843"/>
        <v>0.25</v>
      </c>
    </row>
    <row r="2269" spans="1:27" ht="51.75" thickBot="1" x14ac:dyDescent="0.45">
      <c r="A2269" s="319" t="s">
        <v>727</v>
      </c>
      <c r="B2269" s="320" t="s">
        <v>1067</v>
      </c>
      <c r="C2269" s="586">
        <f>C245+C475+C705</f>
        <v>0</v>
      </c>
      <c r="D2269" s="528"/>
      <c r="E2269" s="460">
        <f t="shared" si="839"/>
        <v>0</v>
      </c>
      <c r="F2269" s="324">
        <f t="shared" si="840"/>
        <v>0</v>
      </c>
      <c r="G2269" s="528">
        <f>INT(M2269)</f>
        <v>0</v>
      </c>
      <c r="H2269" s="324" t="s">
        <v>18</v>
      </c>
      <c r="I2269" s="528">
        <f>(M2269-G2269)*64</f>
        <v>0</v>
      </c>
      <c r="J2269" s="324" t="s">
        <v>19</v>
      </c>
      <c r="K2269" s="324"/>
      <c r="L2269" s="324"/>
      <c r="M2269" s="324">
        <f>F2269*4983/2880</f>
        <v>0</v>
      </c>
      <c r="N2269" s="324"/>
      <c r="O2269" s="324"/>
      <c r="P2269" s="324"/>
      <c r="Q2269" s="324" t="s">
        <v>18</v>
      </c>
      <c r="R2269" s="324"/>
      <c r="S2269" s="324" t="s">
        <v>19</v>
      </c>
      <c r="T2269" s="528">
        <v>12</v>
      </c>
      <c r="U2269" s="324">
        <f t="shared" si="841"/>
        <v>0</v>
      </c>
      <c r="V2269" s="676"/>
      <c r="W2269" s="528"/>
      <c r="X2269" s="529"/>
      <c r="Y2269" s="323"/>
      <c r="Z2269" s="312">
        <f t="shared" si="842"/>
        <v>0</v>
      </c>
      <c r="AA2269" s="316">
        <f t="shared" si="843"/>
        <v>0.25</v>
      </c>
    </row>
    <row r="2270" spans="1:27" ht="51.75" thickBot="1" x14ac:dyDescent="0.45">
      <c r="A2270" s="319" t="s">
        <v>727</v>
      </c>
      <c r="B2270" s="320" t="s">
        <v>1081</v>
      </c>
      <c r="C2270" s="586">
        <f>C247+C478+C707</f>
        <v>0</v>
      </c>
      <c r="D2270" s="528"/>
      <c r="E2270" s="460">
        <f t="shared" si="839"/>
        <v>0</v>
      </c>
      <c r="F2270" s="324">
        <f t="shared" si="840"/>
        <v>0</v>
      </c>
      <c r="G2270" s="528">
        <f>INT(M2270)</f>
        <v>0</v>
      </c>
      <c r="H2270" s="324" t="s">
        <v>18</v>
      </c>
      <c r="I2270" s="528">
        <f>(M2270-G2270)*64</f>
        <v>0</v>
      </c>
      <c r="J2270" s="324" t="s">
        <v>19</v>
      </c>
      <c r="K2270" s="324"/>
      <c r="L2270" s="324"/>
      <c r="M2270" s="324">
        <f>F2270*4983/2880</f>
        <v>0</v>
      </c>
      <c r="N2270" s="324"/>
      <c r="O2270" s="324"/>
      <c r="P2270" s="324"/>
      <c r="Q2270" s="324" t="s">
        <v>18</v>
      </c>
      <c r="R2270" s="324"/>
      <c r="S2270" s="324" t="s">
        <v>19</v>
      </c>
      <c r="T2270" s="528">
        <v>12</v>
      </c>
      <c r="U2270" s="324">
        <f t="shared" si="841"/>
        <v>0</v>
      </c>
      <c r="V2270" s="676"/>
      <c r="W2270" s="528"/>
      <c r="X2270" s="529"/>
      <c r="Y2270" s="323"/>
      <c r="Z2270" s="312">
        <f t="shared" si="842"/>
        <v>0</v>
      </c>
      <c r="AA2270" s="316">
        <f t="shared" si="843"/>
        <v>0.25</v>
      </c>
    </row>
    <row r="2271" spans="1:27" s="327" customFormat="1" ht="53.25" thickBot="1" x14ac:dyDescent="0.45">
      <c r="A2271" s="319" t="s">
        <v>727</v>
      </c>
      <c r="B2271" s="365" t="s">
        <v>839</v>
      </c>
      <c r="C2271" s="553">
        <f>C248+C476+C708</f>
        <v>0</v>
      </c>
      <c r="D2271" s="554"/>
      <c r="E2271" s="637">
        <f>C2271*4.5</f>
        <v>0</v>
      </c>
      <c r="F2271" s="358">
        <f>E2271*0.9*1.01/147</f>
        <v>0</v>
      </c>
      <c r="G2271" s="548">
        <f t="shared" si="835"/>
        <v>0</v>
      </c>
      <c r="H2271" s="358" t="s">
        <v>18</v>
      </c>
      <c r="I2271" s="548">
        <f t="shared" si="836"/>
        <v>0</v>
      </c>
      <c r="J2271" s="358" t="s">
        <v>19</v>
      </c>
      <c r="K2271" s="358"/>
      <c r="L2271" s="358"/>
      <c r="M2271" s="358">
        <f>(F2271*6533/3456)</f>
        <v>0</v>
      </c>
      <c r="N2271" s="555"/>
      <c r="O2271" s="555"/>
      <c r="P2271" s="555"/>
      <c r="Q2271" s="555" t="s">
        <v>18</v>
      </c>
      <c r="R2271" s="555"/>
      <c r="S2271" s="555" t="s">
        <v>19</v>
      </c>
      <c r="T2271" s="528">
        <v>12</v>
      </c>
      <c r="U2271" s="555">
        <f>E2271/324*60</f>
        <v>0</v>
      </c>
      <c r="V2271" s="686"/>
      <c r="W2271" s="553"/>
      <c r="X2271" s="555"/>
      <c r="Y2271" s="367"/>
      <c r="Z2271" s="312">
        <f t="shared" si="832"/>
        <v>0</v>
      </c>
      <c r="AA2271" s="316">
        <f>SUM(Z2271/695+0.25)</f>
        <v>0.25</v>
      </c>
    </row>
    <row r="2272" spans="1:27" s="327" customFormat="1" ht="53.25" thickBot="1" x14ac:dyDescent="0.45">
      <c r="A2272" s="319" t="s">
        <v>727</v>
      </c>
      <c r="B2272" s="365" t="s">
        <v>867</v>
      </c>
      <c r="C2272" s="553">
        <f t="shared" ref="C2272:C2284" si="844">C249+C479+C709</f>
        <v>0</v>
      </c>
      <c r="D2272" s="554"/>
      <c r="E2272" s="458">
        <f>C2272*3.5</f>
        <v>0</v>
      </c>
      <c r="F2272" s="358">
        <f>E2272*0.9*1.01/147</f>
        <v>0</v>
      </c>
      <c r="G2272" s="556">
        <f t="shared" si="835"/>
        <v>0</v>
      </c>
      <c r="H2272" s="366" t="s">
        <v>18</v>
      </c>
      <c r="I2272" s="556">
        <f t="shared" si="836"/>
        <v>0</v>
      </c>
      <c r="J2272" s="366" t="s">
        <v>19</v>
      </c>
      <c r="K2272" s="366"/>
      <c r="L2272" s="366"/>
      <c r="M2272" s="358">
        <f>(F2272*6533/3456)</f>
        <v>0</v>
      </c>
      <c r="N2272" s="555"/>
      <c r="O2272" s="555"/>
      <c r="P2272" s="555"/>
      <c r="Q2272" s="555" t="s">
        <v>18</v>
      </c>
      <c r="R2272" s="555"/>
      <c r="S2272" s="555" t="s">
        <v>19</v>
      </c>
      <c r="T2272" s="528">
        <v>12</v>
      </c>
      <c r="U2272" s="555">
        <f>E2272/324*60</f>
        <v>0</v>
      </c>
      <c r="V2272" s="686"/>
      <c r="W2272" s="553"/>
      <c r="X2272" s="555"/>
      <c r="Y2272" s="367"/>
      <c r="Z2272" s="312">
        <f t="shared" si="832"/>
        <v>0</v>
      </c>
      <c r="AA2272" s="316">
        <f>SUM(Z2272/695+0.25)</f>
        <v>0.25</v>
      </c>
    </row>
    <row r="2273" spans="1:28" s="327" customFormat="1" ht="53.25" thickBot="1" x14ac:dyDescent="0.45">
      <c r="A2273" s="319" t="s">
        <v>727</v>
      </c>
      <c r="B2273" s="365" t="s">
        <v>864</v>
      </c>
      <c r="C2273" s="553">
        <f t="shared" si="844"/>
        <v>0</v>
      </c>
      <c r="D2273" s="554"/>
      <c r="E2273" s="458">
        <f>C2273*2.5</f>
        <v>0</v>
      </c>
      <c r="F2273" s="358">
        <f>E2273*0.9*1.01/147</f>
        <v>0</v>
      </c>
      <c r="G2273" s="556">
        <f t="shared" si="835"/>
        <v>0</v>
      </c>
      <c r="H2273" s="366" t="s">
        <v>18</v>
      </c>
      <c r="I2273" s="556">
        <f t="shared" si="836"/>
        <v>0</v>
      </c>
      <c r="J2273" s="366" t="s">
        <v>19</v>
      </c>
      <c r="K2273" s="366"/>
      <c r="L2273" s="366"/>
      <c r="M2273" s="358">
        <f>(F2273*6533/3456)</f>
        <v>0</v>
      </c>
      <c r="N2273" s="555"/>
      <c r="O2273" s="555"/>
      <c r="P2273" s="555"/>
      <c r="Q2273" s="555" t="s">
        <v>18</v>
      </c>
      <c r="R2273" s="555"/>
      <c r="S2273" s="555" t="s">
        <v>19</v>
      </c>
      <c r="T2273" s="528">
        <v>12</v>
      </c>
      <c r="U2273" s="555">
        <f>E2273/324*60</f>
        <v>0</v>
      </c>
      <c r="V2273" s="686"/>
      <c r="W2273" s="553"/>
      <c r="X2273" s="555"/>
      <c r="Y2273" s="367"/>
      <c r="Z2273" s="312">
        <f t="shared" si="832"/>
        <v>0</v>
      </c>
      <c r="AA2273" s="316">
        <f>SUM(Z2273/695+0.25)</f>
        <v>0.25</v>
      </c>
    </row>
    <row r="2274" spans="1:28" ht="51.75" thickBot="1" x14ac:dyDescent="0.45">
      <c r="A2274" s="319" t="s">
        <v>727</v>
      </c>
      <c r="B2274" s="320" t="s">
        <v>872</v>
      </c>
      <c r="C2274" s="586">
        <f t="shared" si="844"/>
        <v>0</v>
      </c>
      <c r="D2274" s="528"/>
      <c r="E2274" s="456">
        <f>C2274*2.4</f>
        <v>0</v>
      </c>
      <c r="F2274" s="358">
        <f>E2274*1.02*0.99/147</f>
        <v>0</v>
      </c>
      <c r="G2274" s="548">
        <f t="shared" si="835"/>
        <v>0</v>
      </c>
      <c r="H2274" s="358" t="s">
        <v>18</v>
      </c>
      <c r="I2274" s="548">
        <f t="shared" si="836"/>
        <v>0</v>
      </c>
      <c r="J2274" s="358" t="s">
        <v>19</v>
      </c>
      <c r="K2274" s="358"/>
      <c r="L2274" s="358"/>
      <c r="M2274" s="358">
        <f>F2274*4983/2880</f>
        <v>0</v>
      </c>
      <c r="N2274" s="324"/>
      <c r="O2274" s="324"/>
      <c r="P2274" s="324"/>
      <c r="Q2274" s="324" t="s">
        <v>18</v>
      </c>
      <c r="R2274" s="324"/>
      <c r="S2274" s="324" t="s">
        <v>19</v>
      </c>
      <c r="T2274" s="528">
        <v>12</v>
      </c>
      <c r="U2274" s="324">
        <f>E2274/420*60</f>
        <v>0</v>
      </c>
      <c r="V2274" s="676"/>
      <c r="W2274" s="528"/>
      <c r="X2274" s="529"/>
      <c r="Y2274" s="323"/>
      <c r="Z2274" s="312">
        <f t="shared" si="832"/>
        <v>0</v>
      </c>
      <c r="AA2274" s="316">
        <f>SUM(Z2274/624+0.25)</f>
        <v>0.25</v>
      </c>
    </row>
    <row r="2275" spans="1:28" ht="63.75" customHeight="1" thickBot="1" x14ac:dyDescent="0.45">
      <c r="A2275" s="319" t="s">
        <v>727</v>
      </c>
      <c r="B2275" s="799" t="s">
        <v>854</v>
      </c>
      <c r="C2275" s="528">
        <f t="shared" si="844"/>
        <v>0</v>
      </c>
      <c r="D2275" s="528"/>
      <c r="E2275" s="456">
        <f t="shared" ref="E2275:E2281" si="845">C2275*1</f>
        <v>0</v>
      </c>
      <c r="F2275" s="358">
        <f>E2275*1.02*0.99/147</f>
        <v>0</v>
      </c>
      <c r="G2275" s="548">
        <f t="shared" si="835"/>
        <v>0</v>
      </c>
      <c r="H2275" s="358" t="s">
        <v>18</v>
      </c>
      <c r="I2275" s="548">
        <f t="shared" si="836"/>
        <v>0</v>
      </c>
      <c r="J2275" s="358" t="s">
        <v>19</v>
      </c>
      <c r="K2275" s="358"/>
      <c r="L2275" s="358"/>
      <c r="M2275" s="358">
        <f>F2275*4983/2880</f>
        <v>0</v>
      </c>
      <c r="N2275" s="358"/>
      <c r="O2275" s="358"/>
      <c r="P2275" s="358"/>
      <c r="Q2275" s="358" t="s">
        <v>18</v>
      </c>
      <c r="R2275" s="358"/>
      <c r="S2275" s="358" t="s">
        <v>19</v>
      </c>
      <c r="T2275" s="528">
        <v>12</v>
      </c>
      <c r="U2275" s="324">
        <f t="shared" ref="U2275:U2284" si="846">E2275/420*60</f>
        <v>0</v>
      </c>
      <c r="V2275" s="676"/>
      <c r="W2275" s="528"/>
      <c r="X2275" s="529"/>
      <c r="Y2275" s="323"/>
      <c r="Z2275" s="312">
        <f t="shared" ref="Z2275:Z2284" si="847">E2275</f>
        <v>0</v>
      </c>
      <c r="AA2275" s="316">
        <f t="shared" ref="AA2275:AA2284" si="848">SUM(Z2275/624+0.25)</f>
        <v>0.25</v>
      </c>
    </row>
    <row r="2276" spans="1:28" ht="63.75" customHeight="1" thickBot="1" x14ac:dyDescent="0.45">
      <c r="A2276" s="319" t="s">
        <v>727</v>
      </c>
      <c r="B2276" s="799" t="s">
        <v>1204</v>
      </c>
      <c r="C2276" s="528">
        <f t="shared" si="844"/>
        <v>0</v>
      </c>
      <c r="D2276" s="528"/>
      <c r="E2276" s="456">
        <f>C2276*1</f>
        <v>0</v>
      </c>
      <c r="F2276" s="358">
        <f>E2276*1.02*0.99/147</f>
        <v>0</v>
      </c>
      <c r="G2276" s="548">
        <f>INT(M2276)</f>
        <v>0</v>
      </c>
      <c r="H2276" s="358" t="s">
        <v>18</v>
      </c>
      <c r="I2276" s="548">
        <f>(M2276-G2276)*64</f>
        <v>0</v>
      </c>
      <c r="J2276" s="358" t="s">
        <v>19</v>
      </c>
      <c r="K2276" s="358"/>
      <c r="L2276" s="358"/>
      <c r="M2276" s="358">
        <f>F2276*4983/2880</f>
        <v>0</v>
      </c>
      <c r="N2276" s="358"/>
      <c r="O2276" s="358"/>
      <c r="P2276" s="358"/>
      <c r="Q2276" s="358" t="s">
        <v>18</v>
      </c>
      <c r="R2276" s="358"/>
      <c r="S2276" s="358" t="s">
        <v>19</v>
      </c>
      <c r="T2276" s="528">
        <v>12</v>
      </c>
      <c r="U2276" s="324">
        <f>E2276/420*60</f>
        <v>0</v>
      </c>
      <c r="V2276" s="676"/>
      <c r="W2276" s="528"/>
      <c r="X2276" s="529"/>
      <c r="Y2276" s="323"/>
      <c r="Z2276" s="312">
        <f>E2276</f>
        <v>0</v>
      </c>
      <c r="AA2276" s="316">
        <f>SUM(Z2276/624+0.25)</f>
        <v>0.25</v>
      </c>
    </row>
    <row r="2277" spans="1:28" ht="63.75" customHeight="1" thickBot="1" x14ac:dyDescent="0.45">
      <c r="A2277" s="319" t="s">
        <v>727</v>
      </c>
      <c r="B2277" s="799" t="s">
        <v>902</v>
      </c>
      <c r="C2277" s="528">
        <f t="shared" si="844"/>
        <v>0</v>
      </c>
      <c r="D2277" s="528"/>
      <c r="E2277" s="456">
        <f t="shared" si="845"/>
        <v>0</v>
      </c>
      <c r="F2277" s="358">
        <f>E2277*1.02*0.99/147</f>
        <v>0</v>
      </c>
      <c r="G2277" s="548">
        <f t="shared" si="835"/>
        <v>0</v>
      </c>
      <c r="H2277" s="358" t="s">
        <v>18</v>
      </c>
      <c r="I2277" s="548">
        <f t="shared" si="836"/>
        <v>0</v>
      </c>
      <c r="J2277" s="358" t="s">
        <v>19</v>
      </c>
      <c r="K2277" s="358"/>
      <c r="L2277" s="358"/>
      <c r="M2277" s="358">
        <f>F2277*4983/2880</f>
        <v>0</v>
      </c>
      <c r="N2277" s="358"/>
      <c r="O2277" s="358"/>
      <c r="P2277" s="358"/>
      <c r="Q2277" s="358" t="s">
        <v>18</v>
      </c>
      <c r="R2277" s="358"/>
      <c r="S2277" s="358" t="s">
        <v>19</v>
      </c>
      <c r="T2277" s="528">
        <v>12</v>
      </c>
      <c r="U2277" s="324">
        <f t="shared" si="846"/>
        <v>0</v>
      </c>
      <c r="V2277" s="676"/>
      <c r="W2277" s="528"/>
      <c r="X2277" s="529"/>
      <c r="Y2277" s="711"/>
      <c r="Z2277" s="312">
        <f t="shared" si="847"/>
        <v>0</v>
      </c>
      <c r="AA2277" s="316">
        <f t="shared" si="848"/>
        <v>0.25</v>
      </c>
    </row>
    <row r="2278" spans="1:28" ht="63.75" customHeight="1" thickBot="1" x14ac:dyDescent="0.45">
      <c r="A2278" s="319" t="s">
        <v>727</v>
      </c>
      <c r="B2278" s="799" t="s">
        <v>1206</v>
      </c>
      <c r="C2278" s="528">
        <f t="shared" si="844"/>
        <v>0</v>
      </c>
      <c r="D2278" s="528"/>
      <c r="E2278" s="456">
        <f>C2278*1</f>
        <v>0</v>
      </c>
      <c r="F2278" s="358">
        <f>E2278*1.02*0.99/147</f>
        <v>0</v>
      </c>
      <c r="G2278" s="548">
        <f>INT(M2278)</f>
        <v>0</v>
      </c>
      <c r="H2278" s="358" t="s">
        <v>18</v>
      </c>
      <c r="I2278" s="548">
        <f>(M2278-G2278)*64</f>
        <v>0</v>
      </c>
      <c r="J2278" s="358" t="s">
        <v>19</v>
      </c>
      <c r="K2278" s="358"/>
      <c r="L2278" s="358"/>
      <c r="M2278" s="358">
        <f>F2278*4983/2880</f>
        <v>0</v>
      </c>
      <c r="N2278" s="358"/>
      <c r="O2278" s="358"/>
      <c r="P2278" s="358"/>
      <c r="Q2278" s="358" t="s">
        <v>18</v>
      </c>
      <c r="R2278" s="358"/>
      <c r="S2278" s="358" t="s">
        <v>19</v>
      </c>
      <c r="T2278" s="528">
        <v>12</v>
      </c>
      <c r="U2278" s="324">
        <f>E2278/420*60</f>
        <v>0</v>
      </c>
      <c r="V2278" s="676"/>
      <c r="W2278" s="528"/>
      <c r="X2278" s="529"/>
      <c r="Y2278" s="711"/>
      <c r="Z2278" s="312">
        <f>E2278</f>
        <v>0</v>
      </c>
      <c r="AA2278" s="316">
        <f>SUM(Z2278/624+0.25)</f>
        <v>0.25</v>
      </c>
    </row>
    <row r="2279" spans="1:28" ht="63.75" customHeight="1" thickBot="1" x14ac:dyDescent="0.45">
      <c r="A2279" s="319" t="s">
        <v>727</v>
      </c>
      <c r="B2279" s="799" t="s">
        <v>900</v>
      </c>
      <c r="C2279" s="528">
        <f t="shared" si="844"/>
        <v>0</v>
      </c>
      <c r="D2279" s="554"/>
      <c r="E2279" s="458">
        <f t="shared" si="845"/>
        <v>0</v>
      </c>
      <c r="F2279" s="358">
        <f>E2279*0.9*1.01/147</f>
        <v>0</v>
      </c>
      <c r="G2279" s="556">
        <f t="shared" si="835"/>
        <v>0</v>
      </c>
      <c r="H2279" s="366" t="s">
        <v>18</v>
      </c>
      <c r="I2279" s="556">
        <f t="shared" si="836"/>
        <v>0</v>
      </c>
      <c r="J2279" s="366" t="s">
        <v>19</v>
      </c>
      <c r="K2279" s="366"/>
      <c r="L2279" s="366"/>
      <c r="M2279" s="358">
        <f>(F2279*6533/3456)</f>
        <v>0</v>
      </c>
      <c r="N2279" s="366"/>
      <c r="O2279" s="366"/>
      <c r="P2279" s="366"/>
      <c r="Q2279" s="366" t="s">
        <v>18</v>
      </c>
      <c r="R2279" s="366"/>
      <c r="S2279" s="366" t="s">
        <v>19</v>
      </c>
      <c r="T2279" s="528">
        <v>12</v>
      </c>
      <c r="U2279" s="324">
        <f t="shared" si="846"/>
        <v>0</v>
      </c>
      <c r="V2279" s="676"/>
      <c r="W2279" s="528"/>
      <c r="X2279" s="529"/>
      <c r="Y2279" s="367"/>
      <c r="Z2279" s="312">
        <f t="shared" si="847"/>
        <v>0</v>
      </c>
      <c r="AA2279" s="316">
        <f>SUM(Z2279/695+0.25)</f>
        <v>0.25</v>
      </c>
      <c r="AB2279" s="310">
        <f>E2279/1.02</f>
        <v>0</v>
      </c>
    </row>
    <row r="2280" spans="1:28" ht="63.75" customHeight="1" thickBot="1" x14ac:dyDescent="0.45">
      <c r="A2280" s="319" t="s">
        <v>727</v>
      </c>
      <c r="B2280" s="799" t="s">
        <v>901</v>
      </c>
      <c r="C2280" s="528">
        <f t="shared" si="844"/>
        <v>0</v>
      </c>
      <c r="D2280" s="554"/>
      <c r="E2280" s="458">
        <f t="shared" si="845"/>
        <v>0</v>
      </c>
      <c r="F2280" s="358">
        <f>E2280*0.9*1.01/147</f>
        <v>0</v>
      </c>
      <c r="G2280" s="556">
        <f t="shared" si="835"/>
        <v>0</v>
      </c>
      <c r="H2280" s="366" t="s">
        <v>18</v>
      </c>
      <c r="I2280" s="556">
        <f t="shared" si="836"/>
        <v>0</v>
      </c>
      <c r="J2280" s="366" t="s">
        <v>19</v>
      </c>
      <c r="K2280" s="366"/>
      <c r="L2280" s="366"/>
      <c r="M2280" s="358">
        <f>(F2280*6533/3456)</f>
        <v>0</v>
      </c>
      <c r="N2280" s="366"/>
      <c r="O2280" s="366"/>
      <c r="P2280" s="366"/>
      <c r="Q2280" s="366" t="s">
        <v>18</v>
      </c>
      <c r="R2280" s="366"/>
      <c r="S2280" s="366" t="s">
        <v>19</v>
      </c>
      <c r="T2280" s="528">
        <v>12</v>
      </c>
      <c r="U2280" s="324">
        <f t="shared" si="846"/>
        <v>0</v>
      </c>
      <c r="V2280" s="676"/>
      <c r="W2280" s="528"/>
      <c r="X2280" s="529"/>
      <c r="Y2280" s="367"/>
      <c r="Z2280" s="312">
        <f t="shared" si="847"/>
        <v>0</v>
      </c>
      <c r="AA2280" s="316">
        <f>SUM(Z2280/695+0.25)</f>
        <v>0.25</v>
      </c>
      <c r="AB2280" s="310">
        <f>E2280/1.02</f>
        <v>0</v>
      </c>
    </row>
    <row r="2281" spans="1:28" ht="51.75" thickBot="1" x14ac:dyDescent="0.45">
      <c r="A2281" s="319" t="s">
        <v>727</v>
      </c>
      <c r="B2281" s="799" t="s">
        <v>915</v>
      </c>
      <c r="C2281" s="528">
        <f t="shared" si="844"/>
        <v>0</v>
      </c>
      <c r="D2281" s="528"/>
      <c r="E2281" s="456">
        <f t="shared" si="845"/>
        <v>0</v>
      </c>
      <c r="F2281" s="358">
        <f>E2281*1.02*0.99/147</f>
        <v>0</v>
      </c>
      <c r="G2281" s="548">
        <f t="shared" si="835"/>
        <v>0</v>
      </c>
      <c r="H2281" s="358" t="s">
        <v>18</v>
      </c>
      <c r="I2281" s="548">
        <f t="shared" si="836"/>
        <v>0</v>
      </c>
      <c r="J2281" s="358" t="s">
        <v>19</v>
      </c>
      <c r="K2281" s="358"/>
      <c r="L2281" s="358"/>
      <c r="M2281" s="358">
        <f>F2281*4983/2880</f>
        <v>0</v>
      </c>
      <c r="N2281" s="358"/>
      <c r="O2281" s="358"/>
      <c r="P2281" s="358"/>
      <c r="Q2281" s="358" t="s">
        <v>18</v>
      </c>
      <c r="R2281" s="358"/>
      <c r="S2281" s="358" t="s">
        <v>19</v>
      </c>
      <c r="T2281" s="528">
        <v>12</v>
      </c>
      <c r="U2281" s="324">
        <f t="shared" si="846"/>
        <v>0</v>
      </c>
      <c r="V2281" s="676"/>
      <c r="W2281" s="528"/>
      <c r="X2281" s="529"/>
      <c r="Y2281" s="360"/>
      <c r="Z2281" s="312">
        <f t="shared" si="847"/>
        <v>0</v>
      </c>
      <c r="AA2281" s="316">
        <f t="shared" si="848"/>
        <v>0.25</v>
      </c>
    </row>
    <row r="2282" spans="1:28" ht="51.75" thickBot="1" x14ac:dyDescent="0.45">
      <c r="A2282" s="319" t="s">
        <v>727</v>
      </c>
      <c r="B2282" s="799" t="s">
        <v>1205</v>
      </c>
      <c r="C2282" s="528">
        <f t="shared" si="844"/>
        <v>0</v>
      </c>
      <c r="D2282" s="528"/>
      <c r="E2282" s="456">
        <f>C2282*1</f>
        <v>0</v>
      </c>
      <c r="F2282" s="358">
        <f>E2282*1.02*0.99/147</f>
        <v>0</v>
      </c>
      <c r="G2282" s="548">
        <f>INT(M2282)</f>
        <v>0</v>
      </c>
      <c r="H2282" s="358" t="s">
        <v>18</v>
      </c>
      <c r="I2282" s="548">
        <f>(M2282-G2282)*64</f>
        <v>0</v>
      </c>
      <c r="J2282" s="358" t="s">
        <v>19</v>
      </c>
      <c r="K2282" s="358"/>
      <c r="L2282" s="358"/>
      <c r="M2282" s="358">
        <f>F2282*4983/2880</f>
        <v>0</v>
      </c>
      <c r="N2282" s="358"/>
      <c r="O2282" s="358"/>
      <c r="P2282" s="358"/>
      <c r="Q2282" s="358" t="s">
        <v>18</v>
      </c>
      <c r="R2282" s="358"/>
      <c r="S2282" s="358" t="s">
        <v>19</v>
      </c>
      <c r="T2282" s="528">
        <v>12</v>
      </c>
      <c r="U2282" s="324">
        <f>E2282/420*60</f>
        <v>0</v>
      </c>
      <c r="V2282" s="676"/>
      <c r="W2282" s="528"/>
      <c r="X2282" s="529"/>
      <c r="Y2282" s="360"/>
      <c r="Z2282" s="312">
        <f>E2282</f>
        <v>0</v>
      </c>
      <c r="AA2282" s="316">
        <f>SUM(Z2282/624+0.25)</f>
        <v>0.25</v>
      </c>
    </row>
    <row r="2283" spans="1:28" ht="51.75" thickBot="1" x14ac:dyDescent="0.45">
      <c r="A2283" s="319" t="s">
        <v>727</v>
      </c>
      <c r="B2283" s="799" t="s">
        <v>916</v>
      </c>
      <c r="C2283" s="528">
        <f t="shared" si="844"/>
        <v>0</v>
      </c>
      <c r="D2283" s="525"/>
      <c r="E2283" s="456">
        <f>C2283*1</f>
        <v>0</v>
      </c>
      <c r="F2283" s="358">
        <f>E2283*1.02*0.99/147</f>
        <v>0</v>
      </c>
      <c r="G2283" s="548">
        <f>INT(M2283)</f>
        <v>0</v>
      </c>
      <c r="H2283" s="358" t="s">
        <v>18</v>
      </c>
      <c r="I2283" s="548">
        <f>(M2283-G2283)*64</f>
        <v>0</v>
      </c>
      <c r="J2283" s="358" t="s">
        <v>19</v>
      </c>
      <c r="K2283" s="358"/>
      <c r="L2283" s="358"/>
      <c r="M2283" s="358">
        <f>F2283*6391/2880</f>
        <v>0</v>
      </c>
      <c r="N2283" s="358"/>
      <c r="O2283" s="358"/>
      <c r="P2283" s="358"/>
      <c r="Q2283" s="358" t="s">
        <v>18</v>
      </c>
      <c r="R2283" s="358"/>
      <c r="S2283" s="358" t="s">
        <v>19</v>
      </c>
      <c r="T2283" s="528">
        <v>12</v>
      </c>
      <c r="U2283" s="324">
        <f t="shared" si="846"/>
        <v>0</v>
      </c>
      <c r="V2283" s="676"/>
      <c r="W2283" s="528"/>
      <c r="X2283" s="529"/>
      <c r="Y2283" s="711"/>
      <c r="Z2283" s="312">
        <f t="shared" si="847"/>
        <v>0</v>
      </c>
      <c r="AA2283" s="316">
        <f t="shared" si="848"/>
        <v>0.25</v>
      </c>
    </row>
    <row r="2284" spans="1:28" ht="51.75" thickBot="1" x14ac:dyDescent="0.45">
      <c r="A2284" s="319" t="s">
        <v>727</v>
      </c>
      <c r="B2284" s="799" t="s">
        <v>1064</v>
      </c>
      <c r="C2284" s="528">
        <f t="shared" si="844"/>
        <v>0</v>
      </c>
      <c r="D2284" s="525"/>
      <c r="E2284" s="545">
        <f>C2284*1</f>
        <v>0</v>
      </c>
      <c r="F2284" s="461">
        <f>E2284*1.02*0.99/147</f>
        <v>0</v>
      </c>
      <c r="G2284" s="525">
        <f>INT(M2284)</f>
        <v>0</v>
      </c>
      <c r="H2284" s="461" t="s">
        <v>18</v>
      </c>
      <c r="I2284" s="525">
        <f>(M2284-G2284)*64</f>
        <v>0</v>
      </c>
      <c r="J2284" s="461" t="s">
        <v>19</v>
      </c>
      <c r="K2284" s="461"/>
      <c r="L2284" s="461"/>
      <c r="M2284" s="461">
        <f>F2284*6391/2880</f>
        <v>0</v>
      </c>
      <c r="N2284" s="461"/>
      <c r="O2284" s="461"/>
      <c r="P2284" s="324"/>
      <c r="Q2284" s="324" t="s">
        <v>18</v>
      </c>
      <c r="R2284" s="324"/>
      <c r="S2284" s="324" t="s">
        <v>19</v>
      </c>
      <c r="T2284" s="528">
        <v>12</v>
      </c>
      <c r="U2284" s="324">
        <f t="shared" si="846"/>
        <v>0</v>
      </c>
      <c r="V2284" s="676"/>
      <c r="W2284" s="528"/>
      <c r="X2284" s="529"/>
      <c r="Y2284" s="711"/>
      <c r="Z2284" s="312">
        <f t="shared" si="847"/>
        <v>0</v>
      </c>
      <c r="AA2284" s="316">
        <f t="shared" si="848"/>
        <v>0.25</v>
      </c>
    </row>
    <row r="2285" spans="1:28" ht="51.75" thickBot="1" x14ac:dyDescent="0.45">
      <c r="A2285" s="319" t="s">
        <v>727</v>
      </c>
      <c r="B2285" s="320" t="s">
        <v>873</v>
      </c>
      <c r="C2285" s="586">
        <f>C2221</f>
        <v>0</v>
      </c>
      <c r="D2285" s="528"/>
      <c r="E2285" s="456">
        <f>C2285*2.4</f>
        <v>0</v>
      </c>
      <c r="F2285" s="358">
        <f>E2285*1.02*0.99/147</f>
        <v>0</v>
      </c>
      <c r="G2285" s="548">
        <f t="shared" si="835"/>
        <v>0</v>
      </c>
      <c r="H2285" s="358" t="s">
        <v>18</v>
      </c>
      <c r="I2285" s="548">
        <f t="shared" si="836"/>
        <v>0</v>
      </c>
      <c r="J2285" s="358" t="s">
        <v>19</v>
      </c>
      <c r="K2285" s="358"/>
      <c r="L2285" s="358"/>
      <c r="M2285" s="358">
        <f>F2285*4983/2880</f>
        <v>0</v>
      </c>
      <c r="N2285" s="324"/>
      <c r="O2285" s="324"/>
      <c r="P2285" s="324"/>
      <c r="Q2285" s="324" t="s">
        <v>18</v>
      </c>
      <c r="R2285" s="324"/>
      <c r="S2285" s="324" t="s">
        <v>19</v>
      </c>
      <c r="T2285" s="528">
        <v>12</v>
      </c>
      <c r="U2285" s="324">
        <f>E2285/259*60</f>
        <v>0</v>
      </c>
      <c r="V2285" s="670" t="s">
        <v>822</v>
      </c>
      <c r="W2285" s="528"/>
      <c r="X2285" s="529"/>
      <c r="Y2285" s="323"/>
      <c r="Z2285" s="312">
        <f t="shared" si="832"/>
        <v>0</v>
      </c>
      <c r="AA2285" s="316">
        <f>SUM(E2285/625+0.25)</f>
        <v>0.25</v>
      </c>
    </row>
    <row r="2286" spans="1:28" s="327" customFormat="1" ht="53.25" thickBot="1" x14ac:dyDescent="0.45">
      <c r="A2286" s="319" t="s">
        <v>727</v>
      </c>
      <c r="B2286" s="365" t="s">
        <v>841</v>
      </c>
      <c r="C2286" s="553">
        <f>C263+C493+C723</f>
        <v>0</v>
      </c>
      <c r="D2286" s="554"/>
      <c r="E2286" s="458">
        <f>C2286*4.5</f>
        <v>0</v>
      </c>
      <c r="F2286" s="358">
        <f>E2286*0.9*1.01/147</f>
        <v>0</v>
      </c>
      <c r="G2286" s="548">
        <f t="shared" si="835"/>
        <v>0</v>
      </c>
      <c r="H2286" s="358" t="s">
        <v>18</v>
      </c>
      <c r="I2286" s="548">
        <f t="shared" si="836"/>
        <v>0</v>
      </c>
      <c r="J2286" s="358" t="s">
        <v>19</v>
      </c>
      <c r="K2286" s="358"/>
      <c r="L2286" s="358"/>
      <c r="M2286" s="358">
        <f>(F2286*6533/3456)</f>
        <v>0</v>
      </c>
      <c r="N2286" s="555"/>
      <c r="O2286" s="555"/>
      <c r="P2286" s="555"/>
      <c r="Q2286" s="555" t="s">
        <v>18</v>
      </c>
      <c r="R2286" s="555"/>
      <c r="S2286" s="555" t="s">
        <v>19</v>
      </c>
      <c r="T2286" s="528">
        <v>12</v>
      </c>
      <c r="U2286" s="555">
        <f>E2286/324*60</f>
        <v>0</v>
      </c>
      <c r="V2286" s="686"/>
      <c r="W2286" s="553"/>
      <c r="X2286" s="555"/>
      <c r="Y2286" s="367"/>
      <c r="Z2286" s="312">
        <f t="shared" si="832"/>
        <v>0</v>
      </c>
      <c r="AA2286" s="316">
        <f>SUM(Z2286/695+0.25)</f>
        <v>0.25</v>
      </c>
    </row>
    <row r="2287" spans="1:28" s="327" customFormat="1" ht="53.25" thickBot="1" x14ac:dyDescent="0.45">
      <c r="A2287" s="319" t="s">
        <v>727</v>
      </c>
      <c r="B2287" s="365" t="s">
        <v>903</v>
      </c>
      <c r="C2287" s="553">
        <f>C264+C494+C724</f>
        <v>0</v>
      </c>
      <c r="D2287" s="554"/>
      <c r="E2287" s="458">
        <f>C2287*4.5</f>
        <v>0</v>
      </c>
      <c r="F2287" s="358">
        <f>E2287*0.9*1.01/147</f>
        <v>0</v>
      </c>
      <c r="G2287" s="548">
        <f t="shared" si="835"/>
        <v>0</v>
      </c>
      <c r="H2287" s="358" t="s">
        <v>18</v>
      </c>
      <c r="I2287" s="548">
        <f t="shared" si="836"/>
        <v>0</v>
      </c>
      <c r="J2287" s="358" t="s">
        <v>19</v>
      </c>
      <c r="K2287" s="358"/>
      <c r="L2287" s="358"/>
      <c r="M2287" s="358">
        <f>(F2287*6533/3456)</f>
        <v>0</v>
      </c>
      <c r="N2287" s="555"/>
      <c r="O2287" s="555"/>
      <c r="P2287" s="555"/>
      <c r="Q2287" s="555" t="s">
        <v>18</v>
      </c>
      <c r="R2287" s="555"/>
      <c r="S2287" s="555" t="s">
        <v>19</v>
      </c>
      <c r="T2287" s="528">
        <v>12</v>
      </c>
      <c r="U2287" s="555">
        <f>E2287/324*60</f>
        <v>0</v>
      </c>
      <c r="V2287" s="686"/>
      <c r="W2287" s="553"/>
      <c r="X2287" s="555"/>
      <c r="Y2287" s="367"/>
      <c r="Z2287" s="312">
        <f t="shared" si="832"/>
        <v>0</v>
      </c>
      <c r="AA2287" s="316">
        <f>SUM(Z2287/630+0.25)</f>
        <v>0.25</v>
      </c>
    </row>
    <row r="2288" spans="1:28" s="327" customFormat="1" ht="53.25" thickBot="1" x14ac:dyDescent="0.45">
      <c r="A2288" s="319" t="s">
        <v>727</v>
      </c>
      <c r="B2288" s="365" t="s">
        <v>914</v>
      </c>
      <c r="C2288" s="553">
        <f>C265+C495+C725</f>
        <v>0</v>
      </c>
      <c r="D2288" s="554"/>
      <c r="E2288" s="458">
        <f>C2288*4.5</f>
        <v>0</v>
      </c>
      <c r="F2288" s="358">
        <f>E2288*0.9*1.01/147</f>
        <v>0</v>
      </c>
      <c r="G2288" s="548">
        <f t="shared" si="835"/>
        <v>0</v>
      </c>
      <c r="H2288" s="358" t="s">
        <v>18</v>
      </c>
      <c r="I2288" s="548">
        <f t="shared" si="836"/>
        <v>0</v>
      </c>
      <c r="J2288" s="358" t="s">
        <v>19</v>
      </c>
      <c r="K2288" s="358"/>
      <c r="L2288" s="358"/>
      <c r="M2288" s="358">
        <f>(F2288*6533/3456)</f>
        <v>0</v>
      </c>
      <c r="N2288" s="555"/>
      <c r="O2288" s="555"/>
      <c r="P2288" s="555"/>
      <c r="Q2288" s="555" t="s">
        <v>18</v>
      </c>
      <c r="R2288" s="555"/>
      <c r="S2288" s="555" t="s">
        <v>19</v>
      </c>
      <c r="T2288" s="528">
        <v>12</v>
      </c>
      <c r="U2288" s="555">
        <f>E2288/324*60</f>
        <v>0</v>
      </c>
      <c r="V2288" s="686"/>
      <c r="W2288" s="553"/>
      <c r="X2288" s="555"/>
      <c r="Y2288" s="367"/>
      <c r="Z2288" s="312">
        <f t="shared" si="832"/>
        <v>0</v>
      </c>
      <c r="AA2288" s="316">
        <f>SUM(Z2288/630+0.25)</f>
        <v>0.25</v>
      </c>
    </row>
    <row r="2289" spans="1:27" s="327" customFormat="1" ht="53.25" thickBot="1" x14ac:dyDescent="0.45">
      <c r="A2289" s="319" t="s">
        <v>727</v>
      </c>
      <c r="B2289" s="365" t="s">
        <v>853</v>
      </c>
      <c r="C2289" s="553">
        <f>C267+C497+C727</f>
        <v>0</v>
      </c>
      <c r="D2289" s="554"/>
      <c r="E2289" s="458">
        <f>C2289*3.5</f>
        <v>0</v>
      </c>
      <c r="F2289" s="358">
        <f>E2289*0.9*1.01/147</f>
        <v>0</v>
      </c>
      <c r="G2289" s="548">
        <f t="shared" ref="G2289:G2294" si="849">INT(M2289)</f>
        <v>0</v>
      </c>
      <c r="H2289" s="358" t="s">
        <v>18</v>
      </c>
      <c r="I2289" s="548">
        <f t="shared" ref="I2289:I2294" si="850">(M2289-G2289)*64</f>
        <v>0</v>
      </c>
      <c r="J2289" s="358" t="s">
        <v>19</v>
      </c>
      <c r="K2289" s="358"/>
      <c r="L2289" s="358"/>
      <c r="M2289" s="358">
        <f>(F2289*6533/3456)</f>
        <v>0</v>
      </c>
      <c r="N2289" s="366"/>
      <c r="O2289" s="366"/>
      <c r="P2289" s="366"/>
      <c r="Q2289" s="366" t="s">
        <v>18</v>
      </c>
      <c r="R2289" s="366"/>
      <c r="S2289" s="366" t="s">
        <v>19</v>
      </c>
      <c r="T2289" s="528">
        <v>12</v>
      </c>
      <c r="U2289" s="555">
        <f>E2289/324*60</f>
        <v>0</v>
      </c>
      <c r="V2289" s="686"/>
      <c r="W2289" s="553"/>
      <c r="X2289" s="555"/>
      <c r="Y2289" s="367"/>
      <c r="Z2289" s="312">
        <f t="shared" si="832"/>
        <v>0</v>
      </c>
      <c r="AA2289" s="316">
        <f>SUM(Z2289/695+0.25)</f>
        <v>0.25</v>
      </c>
    </row>
    <row r="2290" spans="1:27" ht="51.75" thickBot="1" x14ac:dyDescent="0.45">
      <c r="A2290" s="319" t="s">
        <v>727</v>
      </c>
      <c r="B2290" s="320" t="s">
        <v>855</v>
      </c>
      <c r="C2290" s="528">
        <f>C2234</f>
        <v>0</v>
      </c>
      <c r="D2290" s="528"/>
      <c r="E2290" s="456">
        <f>C2290*4</f>
        <v>0</v>
      </c>
      <c r="F2290" s="358">
        <f>E2290*1.03*0.9/147</f>
        <v>0</v>
      </c>
      <c r="G2290" s="548">
        <f t="shared" si="849"/>
        <v>0</v>
      </c>
      <c r="H2290" s="358" t="s">
        <v>18</v>
      </c>
      <c r="I2290" s="548">
        <f t="shared" si="850"/>
        <v>0</v>
      </c>
      <c r="J2290" s="358" t="s">
        <v>19</v>
      </c>
      <c r="K2290" s="358"/>
      <c r="L2290" s="358"/>
      <c r="M2290" s="358">
        <f>F2290*4983/2880</f>
        <v>0</v>
      </c>
      <c r="N2290" s="358"/>
      <c r="O2290" s="358"/>
      <c r="P2290" s="358"/>
      <c r="Q2290" s="358" t="s">
        <v>18</v>
      </c>
      <c r="R2290" s="358"/>
      <c r="S2290" s="358" t="s">
        <v>19</v>
      </c>
      <c r="T2290" s="528">
        <v>12</v>
      </c>
      <c r="U2290" s="324">
        <f>E2290/259*60</f>
        <v>0</v>
      </c>
      <c r="V2290" s="670" t="s">
        <v>822</v>
      </c>
      <c r="W2290" s="528"/>
      <c r="X2290" s="529"/>
      <c r="Y2290" s="323"/>
      <c r="Z2290" s="312">
        <f t="shared" si="832"/>
        <v>0</v>
      </c>
      <c r="AA2290" s="316">
        <f>SUM(Z2290/625+0.25)</f>
        <v>0.25</v>
      </c>
    </row>
    <row r="2291" spans="1:27" ht="51.75" thickBot="1" x14ac:dyDescent="0.45">
      <c r="A2291" s="319" t="s">
        <v>727</v>
      </c>
      <c r="B2291" s="320" t="s">
        <v>874</v>
      </c>
      <c r="C2291" s="528">
        <f>C2232</f>
        <v>0</v>
      </c>
      <c r="D2291" s="528"/>
      <c r="E2291" s="456">
        <f>C2291*2.5</f>
        <v>0</v>
      </c>
      <c r="F2291" s="358">
        <f>E2291*1.03*0.9/147</f>
        <v>0</v>
      </c>
      <c r="G2291" s="548">
        <f t="shared" si="849"/>
        <v>0</v>
      </c>
      <c r="H2291" s="358" t="s">
        <v>18</v>
      </c>
      <c r="I2291" s="548">
        <f t="shared" si="850"/>
        <v>0</v>
      </c>
      <c r="J2291" s="358" t="s">
        <v>19</v>
      </c>
      <c r="K2291" s="358"/>
      <c r="L2291" s="358"/>
      <c r="M2291" s="358">
        <f>F2291*4983/2880</f>
        <v>0</v>
      </c>
      <c r="N2291" s="358"/>
      <c r="O2291" s="358"/>
      <c r="P2291" s="358"/>
      <c r="Q2291" s="358" t="s">
        <v>18</v>
      </c>
      <c r="R2291" s="358"/>
      <c r="S2291" s="358" t="s">
        <v>19</v>
      </c>
      <c r="T2291" s="528">
        <v>12</v>
      </c>
      <c r="U2291" s="324">
        <f>E2291/259*60</f>
        <v>0</v>
      </c>
      <c r="V2291" s="670" t="s">
        <v>822</v>
      </c>
      <c r="W2291" s="528"/>
      <c r="X2291" s="529"/>
      <c r="Y2291" s="323"/>
      <c r="Z2291" s="312">
        <f t="shared" si="832"/>
        <v>0</v>
      </c>
      <c r="AA2291" s="316">
        <f>SUM(Z2291/625+0.25)</f>
        <v>0.25</v>
      </c>
    </row>
    <row r="2292" spans="1:27" ht="51.75" thickBot="1" x14ac:dyDescent="0.45">
      <c r="A2292" s="319" t="s">
        <v>727</v>
      </c>
      <c r="B2292" s="320" t="s">
        <v>849</v>
      </c>
      <c r="C2292" s="528">
        <f>C2231</f>
        <v>0</v>
      </c>
      <c r="D2292" s="528"/>
      <c r="E2292" s="456">
        <f>C2292*3.2</f>
        <v>0</v>
      </c>
      <c r="F2292" s="358">
        <f>E2292*1.03*0.9/147</f>
        <v>0</v>
      </c>
      <c r="G2292" s="548">
        <f t="shared" si="849"/>
        <v>0</v>
      </c>
      <c r="H2292" s="358" t="s">
        <v>18</v>
      </c>
      <c r="I2292" s="548">
        <f t="shared" si="850"/>
        <v>0</v>
      </c>
      <c r="J2292" s="358" t="s">
        <v>19</v>
      </c>
      <c r="K2292" s="358"/>
      <c r="L2292" s="358"/>
      <c r="M2292" s="358">
        <f>F2292*4983/2880</f>
        <v>0</v>
      </c>
      <c r="N2292" s="358"/>
      <c r="O2292" s="358"/>
      <c r="P2292" s="358"/>
      <c r="Q2292" s="358" t="s">
        <v>18</v>
      </c>
      <c r="R2292" s="358"/>
      <c r="S2292" s="358" t="s">
        <v>19</v>
      </c>
      <c r="T2292" s="528">
        <v>12</v>
      </c>
      <c r="U2292" s="324">
        <f>E2292/259*60</f>
        <v>0</v>
      </c>
      <c r="V2292" s="670" t="s">
        <v>822</v>
      </c>
      <c r="W2292" s="528"/>
      <c r="X2292" s="529"/>
      <c r="Y2292" s="323"/>
      <c r="Z2292" s="312">
        <f t="shared" si="832"/>
        <v>0</v>
      </c>
      <c r="AA2292" s="316">
        <f>SUM(Z2292/624+0.25)</f>
        <v>0.25</v>
      </c>
    </row>
    <row r="2293" spans="1:27" thickBot="1" x14ac:dyDescent="0.45">
      <c r="A2293" s="319" t="s">
        <v>727</v>
      </c>
      <c r="B2293" s="320" t="s">
        <v>817</v>
      </c>
      <c r="C2293" s="586">
        <f>C236+C466+C696</f>
        <v>0</v>
      </c>
      <c r="D2293" s="528"/>
      <c r="E2293" s="456">
        <f>C2293*4</f>
        <v>0</v>
      </c>
      <c r="F2293" s="358">
        <f>E2293*1.02*0.99/147</f>
        <v>0</v>
      </c>
      <c r="G2293" s="548">
        <f t="shared" si="849"/>
        <v>0</v>
      </c>
      <c r="H2293" s="358" t="s">
        <v>18</v>
      </c>
      <c r="I2293" s="548">
        <f t="shared" si="850"/>
        <v>0</v>
      </c>
      <c r="J2293" s="358" t="s">
        <v>19</v>
      </c>
      <c r="K2293" s="358"/>
      <c r="L2293" s="358"/>
      <c r="M2293" s="358">
        <f>F2293*4983/2880</f>
        <v>0</v>
      </c>
      <c r="N2293" s="324"/>
      <c r="O2293" s="324"/>
      <c r="P2293" s="324"/>
      <c r="Q2293" s="324" t="s">
        <v>18</v>
      </c>
      <c r="R2293" s="324"/>
      <c r="S2293" s="324" t="s">
        <v>19</v>
      </c>
      <c r="T2293" s="528">
        <v>12</v>
      </c>
      <c r="U2293" s="324">
        <f>E2293/259*60</f>
        <v>0</v>
      </c>
      <c r="V2293" s="676"/>
      <c r="W2293" s="528"/>
      <c r="X2293" s="529"/>
      <c r="Y2293" s="323"/>
      <c r="Z2293" s="312">
        <f t="shared" si="832"/>
        <v>0</v>
      </c>
      <c r="AA2293" s="316">
        <f>SUM(Z2293/624+0.25)</f>
        <v>0.25</v>
      </c>
    </row>
    <row r="2294" spans="1:27" ht="102.75" thickBot="1" x14ac:dyDescent="0.45">
      <c r="A2294" s="319" t="s">
        <v>727</v>
      </c>
      <c r="B2294" s="320" t="s">
        <v>918</v>
      </c>
      <c r="C2294" s="586">
        <f>C2220</f>
        <v>0</v>
      </c>
      <c r="D2294" s="528"/>
      <c r="E2294" s="456">
        <f>C2294*4</f>
        <v>0</v>
      </c>
      <c r="F2294" s="358">
        <f>E2294*1.02*0.99/147</f>
        <v>0</v>
      </c>
      <c r="G2294" s="548">
        <f t="shared" si="849"/>
        <v>0</v>
      </c>
      <c r="H2294" s="358" t="s">
        <v>18</v>
      </c>
      <c r="I2294" s="548">
        <f t="shared" si="850"/>
        <v>0</v>
      </c>
      <c r="J2294" s="358" t="s">
        <v>19</v>
      </c>
      <c r="K2294" s="358"/>
      <c r="L2294" s="358"/>
      <c r="M2294" s="358">
        <f>F2294*4983/2880</f>
        <v>0</v>
      </c>
      <c r="N2294" s="358"/>
      <c r="O2294" s="358"/>
      <c r="P2294" s="358"/>
      <c r="Q2294" s="358" t="s">
        <v>18</v>
      </c>
      <c r="R2294" s="358"/>
      <c r="S2294" s="358" t="s">
        <v>19</v>
      </c>
      <c r="T2294" s="528">
        <v>12</v>
      </c>
      <c r="U2294" s="324">
        <f>E2294/259*60</f>
        <v>0</v>
      </c>
      <c r="V2294" s="670" t="s">
        <v>822</v>
      </c>
      <c r="W2294" s="528"/>
      <c r="X2294" s="529"/>
      <c r="Y2294" s="323"/>
      <c r="Z2294" s="312">
        <f t="shared" si="832"/>
        <v>0</v>
      </c>
      <c r="AA2294" s="316">
        <f>SUM(E2294/625+0.25)</f>
        <v>0.25</v>
      </c>
    </row>
    <row r="2295" spans="1:27" thickBot="1" x14ac:dyDescent="0.45">
      <c r="A2295" s="830"/>
      <c r="B2295" s="332" t="s">
        <v>286</v>
      </c>
      <c r="C2295" s="347"/>
      <c r="D2295" s="347"/>
      <c r="E2295" s="494"/>
      <c r="F2295" s="348"/>
      <c r="G2295" s="347"/>
      <c r="H2295" s="348"/>
      <c r="I2295" s="347"/>
      <c r="J2295" s="348"/>
      <c r="K2295" s="348"/>
      <c r="L2295" s="348"/>
      <c r="M2295" s="348"/>
      <c r="N2295" s="348"/>
      <c r="O2295" s="348"/>
      <c r="P2295" s="348"/>
      <c r="Q2295" s="348"/>
      <c r="R2295" s="348"/>
      <c r="S2295" s="348"/>
      <c r="T2295" s="347"/>
      <c r="U2295" s="348"/>
      <c r="V2295" s="356"/>
      <c r="W2295" s="348"/>
      <c r="X2295" s="495"/>
      <c r="Y2295" s="357"/>
    </row>
    <row r="2296" spans="1:27" ht="53.25" thickBot="1" x14ac:dyDescent="0.45">
      <c r="A2296" s="319" t="s">
        <v>727</v>
      </c>
      <c r="B2296" s="319" t="s">
        <v>999</v>
      </c>
      <c r="C2296" s="586">
        <f>C272+C502+C732</f>
        <v>0</v>
      </c>
      <c r="D2296" s="551">
        <f>C2296*16</f>
        <v>0</v>
      </c>
      <c r="E2296" s="456">
        <f t="shared" ref="E2296:E2301" si="851">D2296*0.25</f>
        <v>0</v>
      </c>
      <c r="F2296" s="358">
        <f t="shared" ref="F2296:F2301" si="852">E2296*0.99*1.03/147</f>
        <v>0</v>
      </c>
      <c r="G2296" s="548">
        <f t="shared" ref="G2296:G2301" si="853">INT(M2296)</f>
        <v>0</v>
      </c>
      <c r="H2296" s="358" t="s">
        <v>18</v>
      </c>
      <c r="I2296" s="548">
        <f t="shared" ref="I2296:I2301" si="854">(M2296-G2296)*64</f>
        <v>0</v>
      </c>
      <c r="J2296" s="358" t="s">
        <v>19</v>
      </c>
      <c r="K2296" s="358"/>
      <c r="L2296" s="358"/>
      <c r="M2296" s="358">
        <f t="shared" ref="M2296:M2301" si="855">(F2296*6989)/2880</f>
        <v>0</v>
      </c>
      <c r="N2296" s="358"/>
      <c r="O2296" s="358"/>
      <c r="P2296" s="358"/>
      <c r="Q2296" s="358" t="s">
        <v>18</v>
      </c>
      <c r="R2296" s="358"/>
      <c r="S2296" s="358" t="s">
        <v>19</v>
      </c>
      <c r="T2296" s="528">
        <v>12</v>
      </c>
      <c r="V2296" s="676"/>
      <c r="W2296" s="528"/>
      <c r="X2296" s="529"/>
      <c r="Y2296" s="323"/>
      <c r="Z2296" s="312">
        <f t="shared" ref="Z2296:Z2355" si="856">E2296</f>
        <v>0</v>
      </c>
      <c r="AA2296" s="316">
        <f t="shared" ref="AA2296:AA2304" si="857">SUM(Z2296/450+0.25)</f>
        <v>0.25</v>
      </c>
    </row>
    <row r="2297" spans="1:27" ht="53.25" thickBot="1" x14ac:dyDescent="0.45">
      <c r="A2297" s="319" t="s">
        <v>727</v>
      </c>
      <c r="B2297" s="368" t="s">
        <v>1002</v>
      </c>
      <c r="C2297" s="586">
        <f>C273+C274+C503+C504+C733+C734</f>
        <v>0</v>
      </c>
      <c r="D2297" s="551">
        <f>C2297*16</f>
        <v>0</v>
      </c>
      <c r="E2297" s="456">
        <f t="shared" si="851"/>
        <v>0</v>
      </c>
      <c r="F2297" s="358">
        <f t="shared" si="852"/>
        <v>0</v>
      </c>
      <c r="G2297" s="548">
        <f t="shared" si="853"/>
        <v>0</v>
      </c>
      <c r="H2297" s="358" t="s">
        <v>18</v>
      </c>
      <c r="I2297" s="548">
        <f t="shared" si="854"/>
        <v>0</v>
      </c>
      <c r="J2297" s="358" t="s">
        <v>19</v>
      </c>
      <c r="K2297" s="358"/>
      <c r="L2297" s="358"/>
      <c r="M2297" s="358">
        <f t="shared" si="855"/>
        <v>0</v>
      </c>
      <c r="N2297" s="358"/>
      <c r="O2297" s="358"/>
      <c r="P2297" s="358"/>
      <c r="Q2297" s="358" t="s">
        <v>18</v>
      </c>
      <c r="R2297" s="358"/>
      <c r="S2297" s="358" t="s">
        <v>19</v>
      </c>
      <c r="T2297" s="528">
        <v>12</v>
      </c>
      <c r="V2297" s="676"/>
      <c r="W2297" s="528"/>
      <c r="X2297" s="529"/>
      <c r="Y2297" s="323"/>
      <c r="Z2297" s="312">
        <f t="shared" si="856"/>
        <v>0</v>
      </c>
      <c r="AA2297" s="316">
        <f t="shared" si="857"/>
        <v>0.25</v>
      </c>
    </row>
    <row r="2298" spans="1:27" ht="51.75" thickBot="1" x14ac:dyDescent="0.45">
      <c r="A2298" s="319" t="s">
        <v>727</v>
      </c>
      <c r="B2298" s="320" t="s">
        <v>1000</v>
      </c>
      <c r="C2298" s="586">
        <f>C275+C505+C735</f>
        <v>0</v>
      </c>
      <c r="D2298" s="551">
        <f>C2298*16</f>
        <v>0</v>
      </c>
      <c r="E2298" s="456">
        <f t="shared" si="851"/>
        <v>0</v>
      </c>
      <c r="F2298" s="358">
        <f t="shared" si="852"/>
        <v>0</v>
      </c>
      <c r="G2298" s="548">
        <f t="shared" si="853"/>
        <v>0</v>
      </c>
      <c r="H2298" s="358" t="s">
        <v>18</v>
      </c>
      <c r="I2298" s="548">
        <f t="shared" si="854"/>
        <v>0</v>
      </c>
      <c r="J2298" s="358" t="s">
        <v>19</v>
      </c>
      <c r="K2298" s="358"/>
      <c r="L2298" s="358"/>
      <c r="M2298" s="358">
        <f t="shared" si="855"/>
        <v>0</v>
      </c>
      <c r="N2298" s="358"/>
      <c r="O2298" s="358"/>
      <c r="P2298" s="358"/>
      <c r="Q2298" s="358" t="s">
        <v>18</v>
      </c>
      <c r="R2298" s="358"/>
      <c r="S2298" s="358" t="s">
        <v>19</v>
      </c>
      <c r="T2298" s="528">
        <v>12</v>
      </c>
      <c r="U2298" s="324"/>
      <c r="V2298" s="676"/>
      <c r="W2298" s="528"/>
      <c r="X2298" s="529"/>
      <c r="Y2298" s="323"/>
      <c r="Z2298" s="312">
        <f t="shared" si="856"/>
        <v>0</v>
      </c>
      <c r="AA2298" s="316">
        <f t="shared" si="857"/>
        <v>0.25</v>
      </c>
    </row>
    <row r="2299" spans="1:27" ht="77.25" thickBot="1" x14ac:dyDescent="0.45">
      <c r="A2299" s="319" t="s">
        <v>727</v>
      </c>
      <c r="B2299" s="362" t="s">
        <v>634</v>
      </c>
      <c r="C2299" s="586">
        <f>C276+C277+C506+C507+C736+C737</f>
        <v>0</v>
      </c>
      <c r="D2299" s="551">
        <f>C2299*14</f>
        <v>0</v>
      </c>
      <c r="E2299" s="456">
        <f t="shared" si="851"/>
        <v>0</v>
      </c>
      <c r="F2299" s="358">
        <f t="shared" si="852"/>
        <v>0</v>
      </c>
      <c r="G2299" s="548">
        <f t="shared" si="853"/>
        <v>0</v>
      </c>
      <c r="H2299" s="358" t="s">
        <v>18</v>
      </c>
      <c r="I2299" s="548">
        <f t="shared" si="854"/>
        <v>0</v>
      </c>
      <c r="J2299" s="358" t="s">
        <v>19</v>
      </c>
      <c r="K2299" s="358"/>
      <c r="L2299" s="358"/>
      <c r="M2299" s="358">
        <f t="shared" si="855"/>
        <v>0</v>
      </c>
      <c r="N2299" s="324"/>
      <c r="O2299" s="324"/>
      <c r="P2299" s="324"/>
      <c r="Q2299" s="324" t="s">
        <v>18</v>
      </c>
      <c r="R2299" s="324"/>
      <c r="S2299" s="324" t="s">
        <v>19</v>
      </c>
      <c r="T2299" s="528">
        <v>13</v>
      </c>
      <c r="U2299" s="324">
        <f>E2299/390*60</f>
        <v>0</v>
      </c>
      <c r="V2299" s="676"/>
      <c r="W2299" s="528"/>
      <c r="X2299" s="529"/>
      <c r="Y2299" s="323"/>
      <c r="Z2299" s="312">
        <f t="shared" si="856"/>
        <v>0</v>
      </c>
      <c r="AA2299" s="316">
        <f t="shared" si="857"/>
        <v>0.25</v>
      </c>
    </row>
    <row r="2300" spans="1:27" ht="51.75" thickBot="1" x14ac:dyDescent="0.45">
      <c r="A2300" s="319" t="s">
        <v>727</v>
      </c>
      <c r="B2300" s="320" t="s">
        <v>635</v>
      </c>
      <c r="C2300" s="586">
        <f t="shared" ref="C2300:C2310" si="858">C278+C508+C738</f>
        <v>0</v>
      </c>
      <c r="D2300" s="551">
        <f>C2300*14</f>
        <v>0</v>
      </c>
      <c r="E2300" s="456">
        <f t="shared" si="851"/>
        <v>0</v>
      </c>
      <c r="F2300" s="358">
        <f t="shared" si="852"/>
        <v>0</v>
      </c>
      <c r="G2300" s="548">
        <f t="shared" si="853"/>
        <v>0</v>
      </c>
      <c r="H2300" s="358" t="s">
        <v>18</v>
      </c>
      <c r="I2300" s="548">
        <f t="shared" si="854"/>
        <v>0</v>
      </c>
      <c r="J2300" s="358" t="s">
        <v>19</v>
      </c>
      <c r="K2300" s="358"/>
      <c r="L2300" s="358"/>
      <c r="M2300" s="358">
        <f t="shared" si="855"/>
        <v>0</v>
      </c>
      <c r="N2300" s="324"/>
      <c r="O2300" s="324"/>
      <c r="P2300" s="324"/>
      <c r="Q2300" s="324" t="s">
        <v>18</v>
      </c>
      <c r="R2300" s="324"/>
      <c r="S2300" s="324" t="s">
        <v>19</v>
      </c>
      <c r="T2300" s="528">
        <v>13</v>
      </c>
      <c r="U2300" s="324">
        <f>E2300/390*60</f>
        <v>0</v>
      </c>
      <c r="V2300" s="676"/>
      <c r="W2300" s="528"/>
      <c r="X2300" s="529"/>
      <c r="Y2300" s="323"/>
      <c r="Z2300" s="312">
        <f t="shared" si="856"/>
        <v>0</v>
      </c>
      <c r="AA2300" s="316">
        <f t="shared" si="857"/>
        <v>0.25</v>
      </c>
    </row>
    <row r="2301" spans="1:27" ht="51.75" thickBot="1" x14ac:dyDescent="0.45">
      <c r="A2301" s="319" t="s">
        <v>727</v>
      </c>
      <c r="B2301" s="320" t="s">
        <v>636</v>
      </c>
      <c r="C2301" s="586">
        <f t="shared" si="858"/>
        <v>0</v>
      </c>
      <c r="D2301" s="551">
        <f>C2301*14</f>
        <v>0</v>
      </c>
      <c r="E2301" s="456">
        <f t="shared" si="851"/>
        <v>0</v>
      </c>
      <c r="F2301" s="358">
        <f t="shared" si="852"/>
        <v>0</v>
      </c>
      <c r="G2301" s="548">
        <f t="shared" si="853"/>
        <v>0</v>
      </c>
      <c r="H2301" s="358" t="s">
        <v>18</v>
      </c>
      <c r="I2301" s="548">
        <f t="shared" si="854"/>
        <v>0</v>
      </c>
      <c r="J2301" s="358" t="s">
        <v>19</v>
      </c>
      <c r="K2301" s="358"/>
      <c r="L2301" s="358"/>
      <c r="M2301" s="358">
        <f t="shared" si="855"/>
        <v>0</v>
      </c>
      <c r="N2301" s="324"/>
      <c r="O2301" s="324"/>
      <c r="P2301" s="324"/>
      <c r="Q2301" s="324" t="s">
        <v>18</v>
      </c>
      <c r="R2301" s="324"/>
      <c r="S2301" s="324" t="s">
        <v>19</v>
      </c>
      <c r="T2301" s="528">
        <v>13</v>
      </c>
      <c r="U2301" s="324">
        <f>E2301/390*60</f>
        <v>0</v>
      </c>
      <c r="V2301" s="676"/>
      <c r="W2301" s="528"/>
      <c r="X2301" s="529"/>
      <c r="Y2301" s="323"/>
      <c r="Z2301" s="312">
        <f t="shared" si="856"/>
        <v>0</v>
      </c>
      <c r="AA2301" s="316">
        <f t="shared" si="857"/>
        <v>0.25</v>
      </c>
    </row>
    <row r="2302" spans="1:27" ht="53.25" thickBot="1" x14ac:dyDescent="0.45">
      <c r="A2302" s="319" t="s">
        <v>727</v>
      </c>
      <c r="B2302" s="320" t="s">
        <v>637</v>
      </c>
      <c r="C2302" s="586">
        <f t="shared" si="858"/>
        <v>0</v>
      </c>
      <c r="D2302" s="528">
        <f>C2302*12</f>
        <v>0</v>
      </c>
      <c r="E2302" s="460">
        <f>D2302*0.25</f>
        <v>0</v>
      </c>
      <c r="F2302" s="324">
        <f>E2302*1.05*0.99/135</f>
        <v>0</v>
      </c>
      <c r="G2302" s="528">
        <f t="shared" ref="G2302:G2313" si="859">INT(M2302)</f>
        <v>0</v>
      </c>
      <c r="H2302" s="324" t="s">
        <v>18</v>
      </c>
      <c r="I2302" s="528">
        <f t="shared" ref="I2302:I2313" si="860">(M2302-G2302)*64</f>
        <v>0</v>
      </c>
      <c r="J2302" s="324" t="s">
        <v>19</v>
      </c>
      <c r="K2302" s="324"/>
      <c r="L2302" s="324"/>
      <c r="M2302" s="324">
        <f>(F2302*6253)/2880</f>
        <v>0</v>
      </c>
      <c r="N2302" s="324"/>
      <c r="O2302" s="324"/>
      <c r="P2302" s="324"/>
      <c r="Q2302" s="324" t="s">
        <v>18</v>
      </c>
      <c r="R2302" s="324"/>
      <c r="S2302" s="324" t="s">
        <v>19</v>
      </c>
      <c r="T2302" s="528">
        <v>12</v>
      </c>
      <c r="U2302" s="324">
        <f>E2302/226*60</f>
        <v>0</v>
      </c>
      <c r="V2302" s="676"/>
      <c r="W2302" s="528"/>
      <c r="X2302" s="529"/>
      <c r="Y2302" s="360" t="s">
        <v>1029</v>
      </c>
      <c r="Z2302" s="312">
        <f t="shared" si="856"/>
        <v>0</v>
      </c>
      <c r="AA2302" s="316">
        <f t="shared" si="857"/>
        <v>0.25</v>
      </c>
    </row>
    <row r="2303" spans="1:27" ht="53.25" thickBot="1" x14ac:dyDescent="0.45">
      <c r="A2303" s="319" t="s">
        <v>727</v>
      </c>
      <c r="B2303" s="320" t="s">
        <v>773</v>
      </c>
      <c r="C2303" s="528">
        <f t="shared" si="858"/>
        <v>0</v>
      </c>
      <c r="D2303" s="528">
        <f>C2303*6</f>
        <v>0</v>
      </c>
      <c r="E2303" s="460">
        <f>D2303*0.25</f>
        <v>0</v>
      </c>
      <c r="F2303" s="324">
        <f>E2303*1.05*0.99/135</f>
        <v>0</v>
      </c>
      <c r="G2303" s="528">
        <f t="shared" si="859"/>
        <v>0</v>
      </c>
      <c r="H2303" s="324" t="s">
        <v>18</v>
      </c>
      <c r="I2303" s="528">
        <f t="shared" si="860"/>
        <v>0</v>
      </c>
      <c r="J2303" s="324" t="s">
        <v>19</v>
      </c>
      <c r="K2303" s="324"/>
      <c r="L2303" s="324"/>
      <c r="M2303" s="324">
        <f>(F2303*6253)/2880</f>
        <v>0</v>
      </c>
      <c r="N2303" s="324"/>
      <c r="O2303" s="324"/>
      <c r="P2303" s="324"/>
      <c r="Q2303" s="324" t="s">
        <v>18</v>
      </c>
      <c r="R2303" s="324"/>
      <c r="S2303" s="324" t="s">
        <v>19</v>
      </c>
      <c r="T2303" s="528">
        <v>12</v>
      </c>
      <c r="U2303" s="324">
        <f>E2303/226*60</f>
        <v>0</v>
      </c>
      <c r="V2303" s="676"/>
      <c r="W2303" s="528"/>
      <c r="X2303" s="529"/>
      <c r="Y2303" s="360" t="s">
        <v>1029</v>
      </c>
      <c r="Z2303" s="312">
        <f t="shared" si="856"/>
        <v>0</v>
      </c>
      <c r="AA2303" s="316">
        <f t="shared" si="857"/>
        <v>0.25</v>
      </c>
    </row>
    <row r="2304" spans="1:27" ht="77.25" outlineLevel="1" thickBot="1" x14ac:dyDescent="0.45">
      <c r="A2304" s="319" t="s">
        <v>727</v>
      </c>
      <c r="B2304" s="799" t="s">
        <v>1214</v>
      </c>
      <c r="C2304" s="586">
        <f t="shared" si="858"/>
        <v>0</v>
      </c>
      <c r="D2304" s="528">
        <f>C2304*14</f>
        <v>0</v>
      </c>
      <c r="E2304" s="460">
        <f>D2304*0.25</f>
        <v>0</v>
      </c>
      <c r="F2304" s="324">
        <f>E2304*1.05*0.99/135</f>
        <v>0</v>
      </c>
      <c r="G2304" s="528">
        <f t="shared" si="859"/>
        <v>0</v>
      </c>
      <c r="H2304" s="324" t="s">
        <v>18</v>
      </c>
      <c r="I2304" s="528">
        <f t="shared" si="860"/>
        <v>0</v>
      </c>
      <c r="J2304" s="324" t="s">
        <v>19</v>
      </c>
      <c r="K2304" s="324"/>
      <c r="L2304" s="324"/>
      <c r="M2304" s="324">
        <f>(F2304*6253)/2880</f>
        <v>0</v>
      </c>
      <c r="N2304" s="324"/>
      <c r="O2304" s="324"/>
      <c r="P2304" s="324"/>
      <c r="Q2304" s="324" t="s">
        <v>18</v>
      </c>
      <c r="R2304" s="324"/>
      <c r="S2304" s="324" t="s">
        <v>19</v>
      </c>
      <c r="T2304" s="528">
        <v>12</v>
      </c>
      <c r="U2304" s="324">
        <f>E2304/226*60</f>
        <v>0</v>
      </c>
      <c r="V2304" s="676"/>
      <c r="W2304" s="528"/>
      <c r="X2304" s="529"/>
      <c r="Y2304" s="360" t="s">
        <v>1029</v>
      </c>
      <c r="Z2304" s="312">
        <f t="shared" si="856"/>
        <v>0</v>
      </c>
      <c r="AA2304" s="316">
        <f t="shared" si="857"/>
        <v>0.25</v>
      </c>
    </row>
    <row r="2305" spans="1:28" ht="51.75" thickBot="1" x14ac:dyDescent="0.45">
      <c r="A2305" s="319" t="s">
        <v>727</v>
      </c>
      <c r="B2305" s="320" t="s">
        <v>1037</v>
      </c>
      <c r="C2305" s="586">
        <f t="shared" si="858"/>
        <v>0</v>
      </c>
      <c r="D2305" s="548">
        <f>C2305*16</f>
        <v>0</v>
      </c>
      <c r="E2305" s="456">
        <f>D2305*0.27</f>
        <v>0</v>
      </c>
      <c r="F2305" s="358">
        <f>E2305*0.99*1.03/147</f>
        <v>0</v>
      </c>
      <c r="G2305" s="548">
        <f t="shared" si="859"/>
        <v>0</v>
      </c>
      <c r="H2305" s="358" t="s">
        <v>18</v>
      </c>
      <c r="I2305" s="548">
        <f t="shared" si="860"/>
        <v>0</v>
      </c>
      <c r="J2305" s="358" t="s">
        <v>19</v>
      </c>
      <c r="K2305" s="358"/>
      <c r="L2305" s="358"/>
      <c r="M2305" s="358">
        <f>(F2305*6391)/2880</f>
        <v>0</v>
      </c>
      <c r="N2305" s="358"/>
      <c r="O2305" s="358"/>
      <c r="P2305" s="358"/>
      <c r="Q2305" s="358" t="s">
        <v>18</v>
      </c>
      <c r="R2305" s="358"/>
      <c r="S2305" s="358" t="s">
        <v>19</v>
      </c>
      <c r="T2305" s="528">
        <v>12</v>
      </c>
      <c r="U2305" s="324">
        <f t="shared" ref="U2305:U2311" si="861">E2305/403*60</f>
        <v>0</v>
      </c>
      <c r="V2305" s="676"/>
      <c r="W2305" s="528"/>
      <c r="X2305" s="529"/>
      <c r="Y2305" s="323"/>
      <c r="Z2305" s="312">
        <f t="shared" si="856"/>
        <v>0</v>
      </c>
      <c r="AA2305" s="316">
        <f>SUM(Z2305/480+0.25)</f>
        <v>0.25</v>
      </c>
    </row>
    <row r="2306" spans="1:28" ht="51.75" thickBot="1" x14ac:dyDescent="0.45">
      <c r="A2306" s="319" t="s">
        <v>727</v>
      </c>
      <c r="B2306" s="343" t="s">
        <v>1038</v>
      </c>
      <c r="C2306" s="586">
        <f t="shared" si="858"/>
        <v>0</v>
      </c>
      <c r="D2306" s="548">
        <f>C2306*16</f>
        <v>0</v>
      </c>
      <c r="E2306" s="456">
        <f>D2306*0.27</f>
        <v>0</v>
      </c>
      <c r="F2306" s="358">
        <f>E2306*0.99*1.03/147</f>
        <v>0</v>
      </c>
      <c r="G2306" s="548">
        <f t="shared" si="859"/>
        <v>0</v>
      </c>
      <c r="H2306" s="358" t="s">
        <v>18</v>
      </c>
      <c r="I2306" s="548">
        <f t="shared" si="860"/>
        <v>0</v>
      </c>
      <c r="J2306" s="358" t="s">
        <v>19</v>
      </c>
      <c r="K2306" s="358"/>
      <c r="L2306" s="358"/>
      <c r="M2306" s="358">
        <f>(F2306*6391)/2880</f>
        <v>0</v>
      </c>
      <c r="N2306" s="358"/>
      <c r="O2306" s="358"/>
      <c r="P2306" s="358"/>
      <c r="Q2306" s="358" t="s">
        <v>18</v>
      </c>
      <c r="R2306" s="358"/>
      <c r="S2306" s="358" t="s">
        <v>19</v>
      </c>
      <c r="T2306" s="528">
        <v>12</v>
      </c>
      <c r="U2306" s="324">
        <f t="shared" si="861"/>
        <v>0</v>
      </c>
      <c r="V2306" s="676"/>
      <c r="W2306" s="528"/>
      <c r="X2306" s="529"/>
      <c r="Y2306" s="323"/>
      <c r="Z2306" s="312">
        <f t="shared" si="856"/>
        <v>0</v>
      </c>
      <c r="AA2306" s="316">
        <f>SUM(Z2306/480+0.25)</f>
        <v>0.25</v>
      </c>
    </row>
    <row r="2307" spans="1:28" ht="53.25" thickBot="1" x14ac:dyDescent="0.45">
      <c r="A2307" s="319" t="s">
        <v>727</v>
      </c>
      <c r="B2307" s="319" t="s">
        <v>684</v>
      </c>
      <c r="C2307" s="586">
        <f t="shared" si="858"/>
        <v>0</v>
      </c>
      <c r="D2307" s="548">
        <f t="shared" ref="D2307:D2322" si="862">C2307*12</f>
        <v>0</v>
      </c>
      <c r="E2307" s="456">
        <f>D2307*0.3</f>
        <v>0</v>
      </c>
      <c r="F2307" s="358">
        <f>E2307*0.99*1.03/147</f>
        <v>0</v>
      </c>
      <c r="G2307" s="548">
        <f t="shared" si="859"/>
        <v>0</v>
      </c>
      <c r="H2307" s="358" t="s">
        <v>18</v>
      </c>
      <c r="I2307" s="548">
        <f t="shared" si="860"/>
        <v>0</v>
      </c>
      <c r="J2307" s="358" t="s">
        <v>19</v>
      </c>
      <c r="K2307" s="358"/>
      <c r="L2307" s="358"/>
      <c r="M2307" s="358">
        <f>(F2307*5880)/2880</f>
        <v>0</v>
      </c>
      <c r="N2307" s="324"/>
      <c r="O2307" s="324"/>
      <c r="P2307" s="324"/>
      <c r="Q2307" s="324" t="s">
        <v>18</v>
      </c>
      <c r="R2307" s="324"/>
      <c r="S2307" s="324" t="s">
        <v>19</v>
      </c>
      <c r="T2307" s="528">
        <v>12</v>
      </c>
      <c r="U2307" s="324">
        <f t="shared" si="861"/>
        <v>0</v>
      </c>
      <c r="V2307" s="676"/>
      <c r="W2307" s="528"/>
      <c r="X2307" s="529"/>
      <c r="Y2307" s="323"/>
      <c r="Z2307" s="312">
        <f t="shared" si="856"/>
        <v>0</v>
      </c>
      <c r="AA2307" s="316">
        <f>SUM(Z2307/525+0.25)</f>
        <v>0.25</v>
      </c>
    </row>
    <row r="2308" spans="1:28" ht="53.25" thickBot="1" x14ac:dyDescent="0.45">
      <c r="A2308" s="319" t="s">
        <v>727</v>
      </c>
      <c r="B2308" s="319" t="s">
        <v>685</v>
      </c>
      <c r="C2308" s="586">
        <f t="shared" si="858"/>
        <v>0</v>
      </c>
      <c r="D2308" s="548">
        <f t="shared" si="862"/>
        <v>0</v>
      </c>
      <c r="E2308" s="456">
        <f>D2308*0.3</f>
        <v>0</v>
      </c>
      <c r="F2308" s="358">
        <f>E2308*0.99*1.03/147</f>
        <v>0</v>
      </c>
      <c r="G2308" s="548">
        <f t="shared" si="859"/>
        <v>0</v>
      </c>
      <c r="H2308" s="358" t="s">
        <v>18</v>
      </c>
      <c r="I2308" s="548">
        <f t="shared" si="860"/>
        <v>0</v>
      </c>
      <c r="J2308" s="358" t="s">
        <v>19</v>
      </c>
      <c r="K2308" s="358"/>
      <c r="L2308" s="358"/>
      <c r="M2308" s="358">
        <f>(F2308*5880)/2880</f>
        <v>0</v>
      </c>
      <c r="N2308" s="324"/>
      <c r="O2308" s="324"/>
      <c r="P2308" s="324"/>
      <c r="Q2308" s="324" t="s">
        <v>18</v>
      </c>
      <c r="R2308" s="324"/>
      <c r="S2308" s="324" t="s">
        <v>19</v>
      </c>
      <c r="T2308" s="528">
        <v>12</v>
      </c>
      <c r="U2308" s="324">
        <f t="shared" si="861"/>
        <v>0</v>
      </c>
      <c r="V2308" s="676"/>
      <c r="W2308" s="528"/>
      <c r="X2308" s="529"/>
      <c r="Y2308" s="323"/>
      <c r="Z2308" s="312">
        <f t="shared" si="856"/>
        <v>0</v>
      </c>
      <c r="AA2308" s="316">
        <f>SUM(Z2308/525+0.25)</f>
        <v>0.25</v>
      </c>
    </row>
    <row r="2309" spans="1:28" ht="53.25" thickBot="1" x14ac:dyDescent="0.45">
      <c r="A2309" s="319" t="s">
        <v>727</v>
      </c>
      <c r="B2309" s="854" t="s">
        <v>1196</v>
      </c>
      <c r="C2309" s="528">
        <f t="shared" si="858"/>
        <v>0</v>
      </c>
      <c r="D2309" s="548">
        <f>C2309*14</f>
        <v>0</v>
      </c>
      <c r="E2309" s="456">
        <f>D2309*0.3</f>
        <v>0</v>
      </c>
      <c r="F2309" s="358">
        <f>E2309*0.99*1.03/147</f>
        <v>0</v>
      </c>
      <c r="G2309" s="548">
        <f t="shared" si="859"/>
        <v>0</v>
      </c>
      <c r="H2309" s="358" t="s">
        <v>18</v>
      </c>
      <c r="I2309" s="548">
        <f t="shared" si="860"/>
        <v>0</v>
      </c>
      <c r="J2309" s="358" t="s">
        <v>19</v>
      </c>
      <c r="K2309" s="358"/>
      <c r="L2309" s="358"/>
      <c r="M2309" s="358">
        <f>(F2309*5880)/2880</f>
        <v>0</v>
      </c>
      <c r="N2309" s="324"/>
      <c r="O2309" s="324"/>
      <c r="P2309" s="324"/>
      <c r="Q2309" s="324" t="s">
        <v>18</v>
      </c>
      <c r="R2309" s="324"/>
      <c r="S2309" s="324" t="s">
        <v>19</v>
      </c>
      <c r="T2309" s="528">
        <v>12</v>
      </c>
      <c r="U2309" s="324">
        <f t="shared" si="861"/>
        <v>0</v>
      </c>
      <c r="V2309" s="676"/>
      <c r="W2309" s="528"/>
      <c r="X2309" s="529"/>
      <c r="Y2309" s="360"/>
      <c r="Z2309" s="312">
        <f>E2309</f>
        <v>0</v>
      </c>
      <c r="AA2309" s="316">
        <f>SUM(Z2309/525+0.25)</f>
        <v>0.25</v>
      </c>
    </row>
    <row r="2310" spans="1:28" ht="77.25" thickBot="1" x14ac:dyDescent="0.45">
      <c r="A2310" s="319" t="s">
        <v>727</v>
      </c>
      <c r="B2310" s="862" t="s">
        <v>1197</v>
      </c>
      <c r="C2310" s="853">
        <f t="shared" si="858"/>
        <v>0</v>
      </c>
      <c r="D2310" s="856">
        <f>C2310*16</f>
        <v>0</v>
      </c>
      <c r="E2310" s="629">
        <f>D2310*0.3</f>
        <v>0</v>
      </c>
      <c r="F2310" s="857">
        <f>E2310*0.9*1.01/147</f>
        <v>0</v>
      </c>
      <c r="G2310" s="858">
        <f>INT(M2310)</f>
        <v>0</v>
      </c>
      <c r="H2310" s="366"/>
      <c r="I2310" s="859">
        <f t="shared" si="860"/>
        <v>0</v>
      </c>
      <c r="J2310" s="860" t="s">
        <v>19</v>
      </c>
      <c r="K2310" s="860"/>
      <c r="L2310" s="860"/>
      <c r="M2310" s="861">
        <f>F2310*6533/3456</f>
        <v>0</v>
      </c>
      <c r="N2310" s="860"/>
      <c r="O2310" s="860"/>
      <c r="P2310" s="860"/>
      <c r="Q2310" s="324" t="s">
        <v>18</v>
      </c>
      <c r="R2310" s="324"/>
      <c r="S2310" s="324" t="s">
        <v>19</v>
      </c>
      <c r="T2310" s="528">
        <v>12</v>
      </c>
      <c r="U2310" s="324">
        <f t="shared" si="861"/>
        <v>0</v>
      </c>
      <c r="V2310" s="676"/>
      <c r="W2310" s="528"/>
      <c r="X2310" s="529"/>
      <c r="Y2310" s="711"/>
      <c r="Z2310" s="312">
        <f>E2310</f>
        <v>0</v>
      </c>
      <c r="AA2310" s="316">
        <f>SUM(Z2310/600+0.25)</f>
        <v>0.25</v>
      </c>
      <c r="AB2310" s="310">
        <f>E2310/1.02</f>
        <v>0</v>
      </c>
    </row>
    <row r="2311" spans="1:28" ht="53.25" thickBot="1" x14ac:dyDescent="0.45">
      <c r="A2311" s="319" t="s">
        <v>727</v>
      </c>
      <c r="B2311" s="368" t="s">
        <v>692</v>
      </c>
      <c r="C2311" s="586">
        <f>C289+C290+C519+C520+C749+C750</f>
        <v>0</v>
      </c>
      <c r="D2311" s="548">
        <f t="shared" si="862"/>
        <v>0</v>
      </c>
      <c r="E2311" s="456">
        <f>D2311*0.3</f>
        <v>0</v>
      </c>
      <c r="F2311" s="358">
        <f>E2311*0.99*1.03/147</f>
        <v>0</v>
      </c>
      <c r="G2311" s="548">
        <f t="shared" si="859"/>
        <v>0</v>
      </c>
      <c r="H2311" s="358" t="s">
        <v>18</v>
      </c>
      <c r="I2311" s="548">
        <f t="shared" si="860"/>
        <v>0</v>
      </c>
      <c r="J2311" s="358" t="s">
        <v>19</v>
      </c>
      <c r="K2311" s="358"/>
      <c r="L2311" s="358"/>
      <c r="M2311" s="358">
        <f>(F2311*5880)/2880</f>
        <v>0</v>
      </c>
      <c r="N2311" s="324"/>
      <c r="O2311" s="324"/>
      <c r="P2311" s="324"/>
      <c r="Q2311" s="324" t="s">
        <v>18</v>
      </c>
      <c r="R2311" s="324"/>
      <c r="S2311" s="324" t="s">
        <v>19</v>
      </c>
      <c r="T2311" s="528">
        <v>12</v>
      </c>
      <c r="U2311" s="324">
        <f t="shared" si="861"/>
        <v>0</v>
      </c>
      <c r="V2311" s="676"/>
      <c r="W2311" s="528"/>
      <c r="X2311" s="529"/>
      <c r="Y2311" s="323"/>
      <c r="Z2311" s="312">
        <f t="shared" si="856"/>
        <v>0</v>
      </c>
      <c r="AA2311" s="316">
        <f>SUM(Z2311/525+0.25)</f>
        <v>0.25</v>
      </c>
    </row>
    <row r="2312" spans="1:28" ht="77.25" thickBot="1" x14ac:dyDescent="0.45">
      <c r="A2312" s="319" t="s">
        <v>727</v>
      </c>
      <c r="B2312" s="344" t="s">
        <v>1170</v>
      </c>
      <c r="C2312" s="586">
        <f>C291+C292+C521+C522+C751+C752</f>
        <v>0</v>
      </c>
      <c r="D2312" s="551">
        <f>C2312*16</f>
        <v>0</v>
      </c>
      <c r="E2312" s="456">
        <f t="shared" ref="E2312:E2322" si="863">D2312*0.25</f>
        <v>0</v>
      </c>
      <c r="F2312" s="358">
        <f t="shared" ref="F2312:F2322" si="864">E2312*0.99*1.03/147</f>
        <v>0</v>
      </c>
      <c r="G2312" s="548">
        <f t="shared" si="859"/>
        <v>0</v>
      </c>
      <c r="H2312" s="358" t="s">
        <v>18</v>
      </c>
      <c r="I2312" s="548">
        <f t="shared" si="860"/>
        <v>0</v>
      </c>
      <c r="J2312" s="358" t="s">
        <v>19</v>
      </c>
      <c r="K2312" s="358"/>
      <c r="L2312" s="358"/>
      <c r="M2312" s="358">
        <f t="shared" ref="M2312:M2324" si="865">(F2312*6989)/2880</f>
        <v>0</v>
      </c>
      <c r="N2312" s="324"/>
      <c r="O2312" s="324"/>
      <c r="P2312" s="324"/>
      <c r="Q2312" s="324" t="s">
        <v>18</v>
      </c>
      <c r="R2312" s="324"/>
      <c r="S2312" s="324" t="s">
        <v>19</v>
      </c>
      <c r="T2312" s="528">
        <v>12</v>
      </c>
      <c r="U2312" s="324">
        <f t="shared" ref="U2312:U2322" si="866">E2312/403*60</f>
        <v>0</v>
      </c>
      <c r="V2312" s="676"/>
      <c r="W2312" s="528"/>
      <c r="X2312" s="529"/>
      <c r="Y2312" s="323"/>
      <c r="Z2312" s="312">
        <f t="shared" si="856"/>
        <v>0</v>
      </c>
      <c r="AA2312" s="316">
        <f t="shared" ref="AA2312:AA2322" si="867">SUM(Z2312/450+0.25)</f>
        <v>0.25</v>
      </c>
    </row>
    <row r="2313" spans="1:28" ht="77.25" thickBot="1" x14ac:dyDescent="0.45">
      <c r="A2313" s="319" t="s">
        <v>727</v>
      </c>
      <c r="B2313" s="344" t="s">
        <v>1169</v>
      </c>
      <c r="C2313" s="586">
        <f>C293+C523+C753</f>
        <v>0</v>
      </c>
      <c r="D2313" s="551">
        <f>C2313*16</f>
        <v>0</v>
      </c>
      <c r="E2313" s="456">
        <f t="shared" si="863"/>
        <v>0</v>
      </c>
      <c r="F2313" s="358">
        <f t="shared" si="864"/>
        <v>0</v>
      </c>
      <c r="G2313" s="548">
        <f t="shared" si="859"/>
        <v>0</v>
      </c>
      <c r="H2313" s="358" t="s">
        <v>18</v>
      </c>
      <c r="I2313" s="548">
        <f t="shared" si="860"/>
        <v>0</v>
      </c>
      <c r="J2313" s="358" t="s">
        <v>19</v>
      </c>
      <c r="K2313" s="358"/>
      <c r="L2313" s="358"/>
      <c r="M2313" s="358">
        <f t="shared" si="865"/>
        <v>0</v>
      </c>
      <c r="N2313" s="324"/>
      <c r="O2313" s="324"/>
      <c r="P2313" s="324"/>
      <c r="Q2313" s="324" t="s">
        <v>18</v>
      </c>
      <c r="R2313" s="324"/>
      <c r="S2313" s="324" t="s">
        <v>19</v>
      </c>
      <c r="T2313" s="528">
        <v>12</v>
      </c>
      <c r="U2313" s="324">
        <f t="shared" si="866"/>
        <v>0</v>
      </c>
      <c r="V2313" s="676"/>
      <c r="W2313" s="528"/>
      <c r="X2313" s="529"/>
      <c r="Y2313" s="323"/>
      <c r="Z2313" s="312">
        <f t="shared" si="856"/>
        <v>0</v>
      </c>
      <c r="AA2313" s="316">
        <f t="shared" si="867"/>
        <v>0.25</v>
      </c>
    </row>
    <row r="2314" spans="1:28" ht="51.75" thickBot="1" x14ac:dyDescent="0.45">
      <c r="A2314" s="319" t="s">
        <v>727</v>
      </c>
      <c r="B2314" s="344" t="s">
        <v>701</v>
      </c>
      <c r="C2314" s="586">
        <f>C294+C295+C524+C525+C754+C755</f>
        <v>0</v>
      </c>
      <c r="D2314" s="551">
        <f t="shared" si="862"/>
        <v>0</v>
      </c>
      <c r="E2314" s="456">
        <f t="shared" si="863"/>
        <v>0</v>
      </c>
      <c r="F2314" s="358">
        <f t="shared" si="864"/>
        <v>0</v>
      </c>
      <c r="G2314" s="548">
        <f t="shared" ref="G2314:G2328" si="868">INT(M2314)</f>
        <v>0</v>
      </c>
      <c r="H2314" s="358" t="s">
        <v>18</v>
      </c>
      <c r="I2314" s="548">
        <f t="shared" ref="I2314:I2328" si="869">(M2314-G2314)*64</f>
        <v>0</v>
      </c>
      <c r="J2314" s="358" t="s">
        <v>19</v>
      </c>
      <c r="K2314" s="358"/>
      <c r="L2314" s="358"/>
      <c r="M2314" s="358">
        <f t="shared" si="865"/>
        <v>0</v>
      </c>
      <c r="N2314" s="324"/>
      <c r="O2314" s="324"/>
      <c r="P2314" s="324"/>
      <c r="Q2314" s="324" t="s">
        <v>18</v>
      </c>
      <c r="R2314" s="324"/>
      <c r="S2314" s="324" t="s">
        <v>19</v>
      </c>
      <c r="T2314" s="528">
        <v>12</v>
      </c>
      <c r="U2314" s="324">
        <f t="shared" si="866"/>
        <v>0</v>
      </c>
      <c r="V2314" s="676"/>
      <c r="W2314" s="528"/>
      <c r="X2314" s="529"/>
      <c r="Y2314" s="323"/>
      <c r="Z2314" s="312">
        <f t="shared" si="856"/>
        <v>0</v>
      </c>
      <c r="AA2314" s="316">
        <f t="shared" si="867"/>
        <v>0.25</v>
      </c>
    </row>
    <row r="2315" spans="1:28" ht="51.75" thickBot="1" x14ac:dyDescent="0.45">
      <c r="A2315" s="319" t="s">
        <v>727</v>
      </c>
      <c r="B2315" s="344" t="s">
        <v>702</v>
      </c>
      <c r="C2315" s="586">
        <f>C296+C526+C756</f>
        <v>0</v>
      </c>
      <c r="D2315" s="551">
        <f t="shared" si="862"/>
        <v>0</v>
      </c>
      <c r="E2315" s="456">
        <f t="shared" si="863"/>
        <v>0</v>
      </c>
      <c r="F2315" s="358">
        <f t="shared" si="864"/>
        <v>0</v>
      </c>
      <c r="G2315" s="548">
        <f t="shared" si="868"/>
        <v>0</v>
      </c>
      <c r="H2315" s="358" t="s">
        <v>18</v>
      </c>
      <c r="I2315" s="548">
        <f t="shared" si="869"/>
        <v>0</v>
      </c>
      <c r="J2315" s="358" t="s">
        <v>19</v>
      </c>
      <c r="K2315" s="358"/>
      <c r="L2315" s="358"/>
      <c r="M2315" s="358">
        <f t="shared" si="865"/>
        <v>0</v>
      </c>
      <c r="N2315" s="324"/>
      <c r="O2315" s="324"/>
      <c r="P2315" s="324"/>
      <c r="Q2315" s="324" t="s">
        <v>18</v>
      </c>
      <c r="R2315" s="324"/>
      <c r="S2315" s="324" t="s">
        <v>19</v>
      </c>
      <c r="T2315" s="528">
        <v>12</v>
      </c>
      <c r="U2315" s="324">
        <f t="shared" si="866"/>
        <v>0</v>
      </c>
      <c r="V2315" s="676"/>
      <c r="W2315" s="528"/>
      <c r="X2315" s="529"/>
      <c r="Y2315" s="323"/>
      <c r="Z2315" s="312">
        <f t="shared" si="856"/>
        <v>0</v>
      </c>
      <c r="AA2315" s="316">
        <f t="shared" si="867"/>
        <v>0.25</v>
      </c>
    </row>
    <row r="2316" spans="1:28" ht="77.25" thickBot="1" x14ac:dyDescent="0.45">
      <c r="A2316" s="319" t="s">
        <v>727</v>
      </c>
      <c r="B2316" s="344" t="s">
        <v>1078</v>
      </c>
      <c r="C2316" s="586">
        <f>C297+C298+C527+C528+C757+C758</f>
        <v>0</v>
      </c>
      <c r="D2316" s="530">
        <f>C2316*16</f>
        <v>0</v>
      </c>
      <c r="E2316" s="460">
        <f>D2316*0.25</f>
        <v>0</v>
      </c>
      <c r="F2316" s="324">
        <f>E2316*0.99*1.03/147</f>
        <v>0</v>
      </c>
      <c r="G2316" s="528">
        <f>INT(M2316)</f>
        <v>0</v>
      </c>
      <c r="H2316" s="324" t="s">
        <v>18</v>
      </c>
      <c r="I2316" s="528">
        <f>(M2316-G2316)*64</f>
        <v>0</v>
      </c>
      <c r="J2316" s="324" t="s">
        <v>19</v>
      </c>
      <c r="K2316" s="324"/>
      <c r="L2316" s="324"/>
      <c r="M2316" s="324">
        <f>(F2316*6989)/2880</f>
        <v>0</v>
      </c>
      <c r="N2316" s="324"/>
      <c r="O2316" s="324"/>
      <c r="P2316" s="324"/>
      <c r="Q2316" s="324" t="s">
        <v>18</v>
      </c>
      <c r="R2316" s="324"/>
      <c r="S2316" s="324" t="s">
        <v>19</v>
      </c>
      <c r="T2316" s="528">
        <v>12</v>
      </c>
      <c r="U2316" s="324">
        <f>E2316/403*60</f>
        <v>0</v>
      </c>
      <c r="V2316" s="676"/>
      <c r="W2316" s="528"/>
      <c r="X2316" s="529"/>
      <c r="Y2316" s="323"/>
      <c r="Z2316" s="312">
        <f>E2316</f>
        <v>0</v>
      </c>
      <c r="AA2316" s="316">
        <f>SUM(Z2316/450+0.25)</f>
        <v>0.25</v>
      </c>
    </row>
    <row r="2317" spans="1:28" ht="51.75" thickBot="1" x14ac:dyDescent="0.45">
      <c r="A2317" s="319" t="s">
        <v>727</v>
      </c>
      <c r="B2317" s="344" t="s">
        <v>1077</v>
      </c>
      <c r="C2317" s="586">
        <f>C299+C529+C759</f>
        <v>0</v>
      </c>
      <c r="D2317" s="530">
        <f>C2317*16</f>
        <v>0</v>
      </c>
      <c r="E2317" s="460">
        <f>D2317*0.25</f>
        <v>0</v>
      </c>
      <c r="F2317" s="324">
        <f>E2317*0.99*1.03/147</f>
        <v>0</v>
      </c>
      <c r="G2317" s="528">
        <f>INT(M2317)</f>
        <v>0</v>
      </c>
      <c r="H2317" s="324" t="s">
        <v>18</v>
      </c>
      <c r="I2317" s="528">
        <f>(M2317-G2317)*64</f>
        <v>0</v>
      </c>
      <c r="J2317" s="324" t="s">
        <v>19</v>
      </c>
      <c r="K2317" s="324"/>
      <c r="L2317" s="324"/>
      <c r="M2317" s="324">
        <f>(F2317*6989)/2880</f>
        <v>0</v>
      </c>
      <c r="N2317" s="324"/>
      <c r="O2317" s="324"/>
      <c r="P2317" s="324"/>
      <c r="Q2317" s="324" t="s">
        <v>18</v>
      </c>
      <c r="R2317" s="324"/>
      <c r="S2317" s="324" t="s">
        <v>19</v>
      </c>
      <c r="T2317" s="528">
        <v>12</v>
      </c>
      <c r="U2317" s="324">
        <f>E2317/403*60</f>
        <v>0</v>
      </c>
      <c r="V2317" s="676"/>
      <c r="W2317" s="528"/>
      <c r="X2317" s="529"/>
      <c r="Y2317" s="323"/>
      <c r="Z2317" s="312">
        <f>E2317</f>
        <v>0</v>
      </c>
      <c r="AA2317" s="316">
        <f>SUM(Z2317/450+0.25)</f>
        <v>0.25</v>
      </c>
    </row>
    <row r="2318" spans="1:28" ht="51.75" thickBot="1" x14ac:dyDescent="0.45">
      <c r="A2318" s="319" t="s">
        <v>727</v>
      </c>
      <c r="B2318" s="371" t="s">
        <v>823</v>
      </c>
      <c r="C2318" s="586">
        <f>C300+C530+C760</f>
        <v>0</v>
      </c>
      <c r="D2318" s="551">
        <f t="shared" si="862"/>
        <v>0</v>
      </c>
      <c r="E2318" s="456">
        <f t="shared" si="863"/>
        <v>0</v>
      </c>
      <c r="F2318" s="358">
        <f t="shared" si="864"/>
        <v>0</v>
      </c>
      <c r="G2318" s="548">
        <f t="shared" si="868"/>
        <v>0</v>
      </c>
      <c r="H2318" s="358" t="s">
        <v>18</v>
      </c>
      <c r="I2318" s="548">
        <f t="shared" si="869"/>
        <v>0</v>
      </c>
      <c r="J2318" s="358" t="s">
        <v>19</v>
      </c>
      <c r="K2318" s="358"/>
      <c r="L2318" s="358"/>
      <c r="M2318" s="358">
        <f t="shared" si="865"/>
        <v>0</v>
      </c>
      <c r="N2318" s="324"/>
      <c r="O2318" s="324"/>
      <c r="P2318" s="324"/>
      <c r="Q2318" s="324" t="s">
        <v>18</v>
      </c>
      <c r="R2318" s="324"/>
      <c r="S2318" s="324" t="s">
        <v>19</v>
      </c>
      <c r="T2318" s="528">
        <v>12</v>
      </c>
      <c r="U2318" s="324">
        <f t="shared" si="866"/>
        <v>0</v>
      </c>
      <c r="V2318" s="676"/>
      <c r="W2318" s="528"/>
      <c r="X2318" s="529"/>
      <c r="Y2318" s="323"/>
      <c r="Z2318" s="312">
        <f t="shared" si="856"/>
        <v>0</v>
      </c>
      <c r="AA2318" s="316">
        <f t="shared" si="867"/>
        <v>0.25</v>
      </c>
    </row>
    <row r="2319" spans="1:28" ht="51.75" thickBot="1" x14ac:dyDescent="0.45">
      <c r="A2319" s="319" t="s">
        <v>727</v>
      </c>
      <c r="B2319" s="371" t="s">
        <v>824</v>
      </c>
      <c r="C2319" s="586">
        <f>C303+C531+C761</f>
        <v>0</v>
      </c>
      <c r="D2319" s="551">
        <f t="shared" si="862"/>
        <v>0</v>
      </c>
      <c r="E2319" s="456">
        <f t="shared" si="863"/>
        <v>0</v>
      </c>
      <c r="F2319" s="358">
        <f t="shared" si="864"/>
        <v>0</v>
      </c>
      <c r="G2319" s="548">
        <f t="shared" si="868"/>
        <v>0</v>
      </c>
      <c r="H2319" s="358" t="s">
        <v>18</v>
      </c>
      <c r="I2319" s="548">
        <f t="shared" si="869"/>
        <v>0</v>
      </c>
      <c r="J2319" s="358" t="s">
        <v>19</v>
      </c>
      <c r="K2319" s="358"/>
      <c r="L2319" s="358"/>
      <c r="M2319" s="358">
        <f t="shared" si="865"/>
        <v>0</v>
      </c>
      <c r="N2319" s="324"/>
      <c r="O2319" s="324"/>
      <c r="P2319" s="324"/>
      <c r="Q2319" s="324" t="s">
        <v>18</v>
      </c>
      <c r="R2319" s="324"/>
      <c r="S2319" s="324" t="s">
        <v>19</v>
      </c>
      <c r="T2319" s="528">
        <v>12</v>
      </c>
      <c r="U2319" s="324">
        <f>E2319/403*60</f>
        <v>0</v>
      </c>
      <c r="V2319" s="676"/>
      <c r="W2319" s="528"/>
      <c r="X2319" s="529"/>
      <c r="Y2319" s="323"/>
      <c r="Z2319" s="312">
        <f t="shared" si="856"/>
        <v>0</v>
      </c>
      <c r="AA2319" s="316">
        <f t="shared" si="867"/>
        <v>0.25</v>
      </c>
    </row>
    <row r="2320" spans="1:28" ht="51.75" thickBot="1" x14ac:dyDescent="0.45">
      <c r="A2320" s="319" t="s">
        <v>727</v>
      </c>
      <c r="B2320" s="344" t="s">
        <v>1006</v>
      </c>
      <c r="C2320" s="528">
        <f>C301+C532+C762</f>
        <v>0</v>
      </c>
      <c r="D2320" s="530">
        <f>C2320*16</f>
        <v>0</v>
      </c>
      <c r="E2320" s="460">
        <f t="shared" si="863"/>
        <v>0</v>
      </c>
      <c r="F2320" s="324">
        <f t="shared" si="864"/>
        <v>0</v>
      </c>
      <c r="G2320" s="528">
        <f t="shared" si="868"/>
        <v>0</v>
      </c>
      <c r="H2320" s="324" t="s">
        <v>18</v>
      </c>
      <c r="I2320" s="528">
        <f t="shared" si="869"/>
        <v>0</v>
      </c>
      <c r="J2320" s="324" t="s">
        <v>19</v>
      </c>
      <c r="K2320" s="324"/>
      <c r="L2320" s="324"/>
      <c r="M2320" s="324">
        <f t="shared" si="865"/>
        <v>0</v>
      </c>
      <c r="N2320" s="324"/>
      <c r="O2320" s="324"/>
      <c r="P2320" s="324"/>
      <c r="Q2320" s="324" t="s">
        <v>18</v>
      </c>
      <c r="R2320" s="324"/>
      <c r="S2320" s="324" t="s">
        <v>19</v>
      </c>
      <c r="T2320" s="528">
        <v>12</v>
      </c>
      <c r="U2320" s="324">
        <f>E2320/403*60</f>
        <v>0</v>
      </c>
      <c r="V2320" s="676"/>
      <c r="W2320" s="528"/>
      <c r="X2320" s="529"/>
      <c r="Y2320" s="360"/>
      <c r="Z2320" s="312">
        <f t="shared" si="856"/>
        <v>0</v>
      </c>
      <c r="AA2320" s="316">
        <f>SUM(Z2320/450+0.25)</f>
        <v>0.25</v>
      </c>
    </row>
    <row r="2321" spans="1:27" ht="51.75" thickBot="1" x14ac:dyDescent="0.45">
      <c r="A2321" s="319" t="s">
        <v>727</v>
      </c>
      <c r="B2321" s="344" t="s">
        <v>1007</v>
      </c>
      <c r="C2321" s="528">
        <f>C302+C533+C763</f>
        <v>0</v>
      </c>
      <c r="D2321" s="530">
        <f>C2321*16</f>
        <v>0</v>
      </c>
      <c r="E2321" s="460">
        <f t="shared" si="863"/>
        <v>0</v>
      </c>
      <c r="F2321" s="324">
        <f t="shared" si="864"/>
        <v>0</v>
      </c>
      <c r="G2321" s="528">
        <f t="shared" si="868"/>
        <v>0</v>
      </c>
      <c r="H2321" s="324" t="s">
        <v>18</v>
      </c>
      <c r="I2321" s="528">
        <f t="shared" si="869"/>
        <v>0</v>
      </c>
      <c r="J2321" s="324" t="s">
        <v>19</v>
      </c>
      <c r="K2321" s="324"/>
      <c r="L2321" s="324"/>
      <c r="M2321" s="324">
        <f t="shared" si="865"/>
        <v>0</v>
      </c>
      <c r="N2321" s="324"/>
      <c r="O2321" s="324"/>
      <c r="P2321" s="324"/>
      <c r="Q2321" s="324" t="s">
        <v>18</v>
      </c>
      <c r="R2321" s="324"/>
      <c r="S2321" s="324" t="s">
        <v>19</v>
      </c>
      <c r="T2321" s="528">
        <v>12</v>
      </c>
      <c r="U2321" s="324">
        <f>E2321/403*60</f>
        <v>0</v>
      </c>
      <c r="V2321" s="676"/>
      <c r="W2321" s="528"/>
      <c r="X2321" s="529"/>
      <c r="Y2321" s="360"/>
      <c r="Z2321" s="312">
        <f t="shared" si="856"/>
        <v>0</v>
      </c>
      <c r="AA2321" s="316">
        <f>SUM(Z2321/450+0.25)</f>
        <v>0.25</v>
      </c>
    </row>
    <row r="2322" spans="1:27" ht="51.75" thickBot="1" x14ac:dyDescent="0.45">
      <c r="A2322" s="319" t="s">
        <v>727</v>
      </c>
      <c r="B2322" s="344" t="s">
        <v>703</v>
      </c>
      <c r="C2322" s="586">
        <f>C304+C534+C764</f>
        <v>0</v>
      </c>
      <c r="D2322" s="551">
        <f t="shared" si="862"/>
        <v>0</v>
      </c>
      <c r="E2322" s="456">
        <f t="shared" si="863"/>
        <v>0</v>
      </c>
      <c r="F2322" s="358">
        <f t="shared" si="864"/>
        <v>0</v>
      </c>
      <c r="G2322" s="548">
        <f>INT(M2322)</f>
        <v>0</v>
      </c>
      <c r="H2322" s="358" t="s">
        <v>18</v>
      </c>
      <c r="I2322" s="548">
        <f>(M2322-G2322)*64</f>
        <v>0</v>
      </c>
      <c r="J2322" s="358" t="s">
        <v>19</v>
      </c>
      <c r="K2322" s="358"/>
      <c r="L2322" s="358"/>
      <c r="M2322" s="358">
        <f t="shared" si="865"/>
        <v>0</v>
      </c>
      <c r="N2322" s="324"/>
      <c r="O2322" s="324"/>
      <c r="P2322" s="324"/>
      <c r="Q2322" s="324" t="s">
        <v>18</v>
      </c>
      <c r="R2322" s="324"/>
      <c r="S2322" s="324" t="s">
        <v>19</v>
      </c>
      <c r="T2322" s="528">
        <v>12</v>
      </c>
      <c r="U2322" s="324">
        <f t="shared" si="866"/>
        <v>0</v>
      </c>
      <c r="V2322" s="676"/>
      <c r="W2322" s="528"/>
      <c r="X2322" s="529"/>
      <c r="Y2322" s="323"/>
      <c r="Z2322" s="312">
        <f t="shared" si="856"/>
        <v>0</v>
      </c>
      <c r="AA2322" s="316">
        <f t="shared" si="867"/>
        <v>0.25</v>
      </c>
    </row>
    <row r="2323" spans="1:27" ht="51.75" thickBot="1" x14ac:dyDescent="0.45">
      <c r="A2323" s="319" t="s">
        <v>727</v>
      </c>
      <c r="B2323" s="344" t="s">
        <v>798</v>
      </c>
      <c r="C2323" s="586">
        <f>C305+C535+C765</f>
        <v>0</v>
      </c>
      <c r="D2323" s="548">
        <f>C2323*28</f>
        <v>0</v>
      </c>
      <c r="E2323" s="456">
        <f>D2323*0.125</f>
        <v>0</v>
      </c>
      <c r="F2323" s="358">
        <f>E2323*0.99*1.03/147</f>
        <v>0</v>
      </c>
      <c r="G2323" s="548">
        <f>INT(M2323)</f>
        <v>0</v>
      </c>
      <c r="H2323" s="358" t="s">
        <v>18</v>
      </c>
      <c r="I2323" s="548">
        <f>(M2323-G2323)*64</f>
        <v>0</v>
      </c>
      <c r="J2323" s="358" t="s">
        <v>19</v>
      </c>
      <c r="K2323" s="358"/>
      <c r="L2323" s="358"/>
      <c r="M2323" s="358">
        <f t="shared" si="865"/>
        <v>0</v>
      </c>
      <c r="N2323" s="324"/>
      <c r="O2323" s="324"/>
      <c r="P2323" s="324"/>
      <c r="Q2323" s="324" t="s">
        <v>18</v>
      </c>
      <c r="R2323" s="324"/>
      <c r="S2323" s="324" t="s">
        <v>19</v>
      </c>
      <c r="T2323" s="528">
        <v>13</v>
      </c>
      <c r="U2323" s="324">
        <f>E2323/403*60</f>
        <v>0</v>
      </c>
      <c r="V2323" s="676"/>
      <c r="W2323" s="528"/>
      <c r="X2323" s="529"/>
      <c r="Y2323" s="323"/>
      <c r="Z2323" s="312">
        <f t="shared" si="856"/>
        <v>0</v>
      </c>
      <c r="AA2323" s="316">
        <f>SUM(Z2323/360+0.25)</f>
        <v>0.25</v>
      </c>
    </row>
    <row r="2324" spans="1:27" ht="51.75" thickBot="1" x14ac:dyDescent="0.45">
      <c r="A2324" s="319" t="s">
        <v>727</v>
      </c>
      <c r="B2324" s="344" t="s">
        <v>791</v>
      </c>
      <c r="C2324" s="586">
        <f>C306+C307+C536+C537+C766+C767</f>
        <v>0</v>
      </c>
      <c r="D2324" s="551">
        <f>C2324*28</f>
        <v>0</v>
      </c>
      <c r="E2324" s="456">
        <f>D2324*0.125</f>
        <v>0</v>
      </c>
      <c r="F2324" s="358">
        <f>E2324*0.99*1.03/147</f>
        <v>0</v>
      </c>
      <c r="G2324" s="548">
        <f>INT(M2324)</f>
        <v>0</v>
      </c>
      <c r="H2324" s="358" t="s">
        <v>18</v>
      </c>
      <c r="I2324" s="548">
        <f>(M2324-G2324)*64</f>
        <v>0</v>
      </c>
      <c r="J2324" s="358" t="s">
        <v>19</v>
      </c>
      <c r="K2324" s="358"/>
      <c r="L2324" s="358"/>
      <c r="M2324" s="358">
        <f t="shared" si="865"/>
        <v>0</v>
      </c>
      <c r="N2324" s="324"/>
      <c r="O2324" s="324"/>
      <c r="P2324" s="324"/>
      <c r="Q2324" s="324" t="s">
        <v>18</v>
      </c>
      <c r="R2324" s="324"/>
      <c r="S2324" s="324" t="s">
        <v>19</v>
      </c>
      <c r="T2324" s="528">
        <v>13</v>
      </c>
      <c r="U2324" s="324">
        <f>E2324/403*60</f>
        <v>0</v>
      </c>
      <c r="V2324" s="676"/>
      <c r="W2324" s="528"/>
      <c r="X2324" s="529"/>
      <c r="Y2324" s="323"/>
      <c r="Z2324" s="312">
        <f t="shared" si="856"/>
        <v>0</v>
      </c>
      <c r="AA2324" s="316">
        <f>SUM(Z2324/360+0.25)</f>
        <v>0.25</v>
      </c>
    </row>
    <row r="2325" spans="1:27" ht="51.75" thickBot="1" x14ac:dyDescent="0.45">
      <c r="A2325" s="319" t="s">
        <v>727</v>
      </c>
      <c r="B2325" s="320" t="s">
        <v>781</v>
      </c>
      <c r="C2325" s="528">
        <f>C308+C538+C768</f>
        <v>0</v>
      </c>
      <c r="D2325" s="548">
        <f>C2325*10</f>
        <v>0</v>
      </c>
      <c r="E2325" s="456">
        <f>D2325*0.18</f>
        <v>0</v>
      </c>
      <c r="F2325" s="358">
        <f>E2325*0.99*1.03/147</f>
        <v>0</v>
      </c>
      <c r="G2325" s="548">
        <f>INT(M2325)</f>
        <v>0</v>
      </c>
      <c r="H2325" s="358" t="s">
        <v>18</v>
      </c>
      <c r="I2325" s="548">
        <f>(M2325-G2325)*64</f>
        <v>0</v>
      </c>
      <c r="J2325" s="358" t="s">
        <v>19</v>
      </c>
      <c r="K2325" s="358"/>
      <c r="L2325" s="358"/>
      <c r="M2325" s="358">
        <f>(F2325*6400)/2880</f>
        <v>0</v>
      </c>
      <c r="N2325" s="324"/>
      <c r="O2325" s="324"/>
      <c r="P2325" s="324"/>
      <c r="Q2325" s="324" t="s">
        <v>18</v>
      </c>
      <c r="R2325" s="324"/>
      <c r="S2325" s="324" t="s">
        <v>19</v>
      </c>
      <c r="T2325" s="528">
        <v>13</v>
      </c>
      <c r="U2325" s="324">
        <f>E2325/237*60</f>
        <v>0</v>
      </c>
      <c r="V2325" s="676"/>
      <c r="W2325" s="528"/>
      <c r="X2325" s="529"/>
      <c r="Y2325" s="323"/>
      <c r="Z2325" s="312">
        <f t="shared" si="856"/>
        <v>0</v>
      </c>
      <c r="AA2325" s="316">
        <f>SUM(Z2325/480+0.25)</f>
        <v>0.25</v>
      </c>
    </row>
    <row r="2326" spans="1:27" s="728" customFormat="1" ht="51.75" outlineLevel="1" thickBot="1" x14ac:dyDescent="0.45">
      <c r="A2326" s="636" t="s">
        <v>727</v>
      </c>
      <c r="B2326" s="634" t="s">
        <v>1041</v>
      </c>
      <c r="C2326" s="720">
        <f>C309+C539+C769</f>
        <v>0</v>
      </c>
      <c r="D2326" s="720">
        <f>C2326*12</f>
        <v>0</v>
      </c>
      <c r="E2326" s="721">
        <f t="shared" ref="E2326:E2334" si="870">D2326*0.25</f>
        <v>0</v>
      </c>
      <c r="F2326" s="722">
        <f t="shared" ref="F2326:F2334" si="871">E2326*0.9*1.01/147</f>
        <v>0</v>
      </c>
      <c r="G2326" s="720">
        <f>INT(M2326)</f>
        <v>0</v>
      </c>
      <c r="H2326" s="722" t="s">
        <v>18</v>
      </c>
      <c r="I2326" s="720">
        <f>(M2326-G2326)*64</f>
        <v>0</v>
      </c>
      <c r="J2326" s="722" t="s">
        <v>19</v>
      </c>
      <c r="K2326" s="722"/>
      <c r="L2326" s="722"/>
      <c r="M2326" s="722">
        <f>(F2326*6533/3456)</f>
        <v>0</v>
      </c>
      <c r="N2326" s="722"/>
      <c r="O2326" s="722"/>
      <c r="P2326" s="722"/>
      <c r="Q2326" s="722" t="s">
        <v>18</v>
      </c>
      <c r="R2326" s="722"/>
      <c r="S2326" s="722" t="s">
        <v>19</v>
      </c>
      <c r="T2326" s="720">
        <v>14</v>
      </c>
      <c r="U2326" s="324">
        <f t="shared" ref="U2326:U2334" si="872">E2326/390*60</f>
        <v>0</v>
      </c>
      <c r="V2326" s="724"/>
      <c r="W2326" s="720"/>
      <c r="X2326" s="725"/>
      <c r="Y2326" s="749"/>
      <c r="Z2326" s="727">
        <f t="shared" si="856"/>
        <v>0</v>
      </c>
      <c r="AA2326" s="815">
        <f>SUM(Z2326/625+0.25)</f>
        <v>0.25</v>
      </c>
    </row>
    <row r="2327" spans="1:27" ht="77.25" thickBot="1" x14ac:dyDescent="0.45">
      <c r="A2327" s="319" t="s">
        <v>727</v>
      </c>
      <c r="B2327" s="320" t="s">
        <v>828</v>
      </c>
      <c r="C2327" s="528">
        <f>C310+C540+C664</f>
        <v>0</v>
      </c>
      <c r="D2327" s="557">
        <f>C2327*12</f>
        <v>0</v>
      </c>
      <c r="E2327" s="457">
        <f t="shared" si="870"/>
        <v>0</v>
      </c>
      <c r="F2327" s="359">
        <f t="shared" si="871"/>
        <v>0</v>
      </c>
      <c r="G2327" s="558">
        <f t="shared" si="868"/>
        <v>0</v>
      </c>
      <c r="H2327" s="366" t="s">
        <v>18</v>
      </c>
      <c r="I2327" s="556">
        <f t="shared" si="869"/>
        <v>0</v>
      </c>
      <c r="J2327" s="366" t="s">
        <v>19</v>
      </c>
      <c r="K2327" s="366"/>
      <c r="L2327" s="366"/>
      <c r="M2327" s="366">
        <f t="shared" ref="M2327:M2334" si="873">(F2327*7777/3456)</f>
        <v>0</v>
      </c>
      <c r="N2327" s="366"/>
      <c r="O2327" s="366"/>
      <c r="P2327" s="366"/>
      <c r="Q2327" s="358" t="s">
        <v>18</v>
      </c>
      <c r="R2327" s="358"/>
      <c r="S2327" s="358" t="s">
        <v>19</v>
      </c>
      <c r="T2327" s="528">
        <v>12</v>
      </c>
      <c r="U2327" s="324">
        <f t="shared" si="872"/>
        <v>0</v>
      </c>
      <c r="V2327" s="676"/>
      <c r="W2327" s="528"/>
      <c r="X2327" s="529"/>
      <c r="Y2327" s="663"/>
      <c r="Z2327" s="312">
        <f t="shared" si="856"/>
        <v>0</v>
      </c>
      <c r="AA2327" s="316">
        <f t="shared" ref="AA2327:AA2334" si="874">SUM(Z2327/540+0.25)</f>
        <v>0.25</v>
      </c>
    </row>
    <row r="2328" spans="1:27" ht="77.25" thickBot="1" x14ac:dyDescent="0.45">
      <c r="A2328" s="319" t="s">
        <v>727</v>
      </c>
      <c r="B2328" s="320" t="s">
        <v>1184</v>
      </c>
      <c r="C2328" s="528">
        <f>C314+C544+C778</f>
        <v>0</v>
      </c>
      <c r="D2328" s="551">
        <f>C2328*16</f>
        <v>0</v>
      </c>
      <c r="E2328" s="456">
        <f t="shared" si="870"/>
        <v>0</v>
      </c>
      <c r="F2328" s="358">
        <f t="shared" si="871"/>
        <v>0</v>
      </c>
      <c r="G2328" s="556">
        <f t="shared" si="868"/>
        <v>0</v>
      </c>
      <c r="H2328" s="366" t="s">
        <v>18</v>
      </c>
      <c r="I2328" s="556">
        <f t="shared" si="869"/>
        <v>0</v>
      </c>
      <c r="J2328" s="366" t="s">
        <v>19</v>
      </c>
      <c r="K2328" s="366"/>
      <c r="L2328" s="366"/>
      <c r="M2328" s="366">
        <f t="shared" si="873"/>
        <v>0</v>
      </c>
      <c r="N2328" s="366"/>
      <c r="O2328" s="366"/>
      <c r="P2328" s="366"/>
      <c r="Q2328" s="358" t="s">
        <v>18</v>
      </c>
      <c r="R2328" s="358"/>
      <c r="S2328" s="358" t="s">
        <v>19</v>
      </c>
      <c r="T2328" s="528">
        <v>12</v>
      </c>
      <c r="U2328" s="324">
        <f t="shared" si="872"/>
        <v>0</v>
      </c>
      <c r="V2328" s="676"/>
      <c r="W2328" s="528"/>
      <c r="X2328" s="529"/>
      <c r="Y2328" s="381"/>
      <c r="Z2328" s="312">
        <f t="shared" si="856"/>
        <v>0</v>
      </c>
      <c r="AA2328" s="316">
        <f t="shared" si="874"/>
        <v>0.25</v>
      </c>
    </row>
    <row r="2329" spans="1:27" ht="51.75" thickBot="1" x14ac:dyDescent="0.45">
      <c r="A2329" s="319" t="s">
        <v>727</v>
      </c>
      <c r="B2329" s="320" t="s">
        <v>856</v>
      </c>
      <c r="C2329" s="528">
        <f>C315+C545+C779</f>
        <v>0</v>
      </c>
      <c r="D2329" s="551">
        <f>C2329*16</f>
        <v>0</v>
      </c>
      <c r="E2329" s="456">
        <f t="shared" si="870"/>
        <v>0</v>
      </c>
      <c r="F2329" s="358">
        <f t="shared" si="871"/>
        <v>0</v>
      </c>
      <c r="G2329" s="556">
        <f t="shared" ref="G2329:G2334" si="875">INT(M2329)</f>
        <v>0</v>
      </c>
      <c r="H2329" s="366" t="s">
        <v>18</v>
      </c>
      <c r="I2329" s="556">
        <f t="shared" ref="I2329:I2334" si="876">(M2329-G2329)*64</f>
        <v>0</v>
      </c>
      <c r="J2329" s="366" t="s">
        <v>19</v>
      </c>
      <c r="K2329" s="366"/>
      <c r="L2329" s="366"/>
      <c r="M2329" s="366">
        <f t="shared" si="873"/>
        <v>0</v>
      </c>
      <c r="N2329" s="366"/>
      <c r="O2329" s="366"/>
      <c r="P2329" s="366"/>
      <c r="Q2329" s="358" t="s">
        <v>18</v>
      </c>
      <c r="R2329" s="358"/>
      <c r="S2329" s="358" t="s">
        <v>19</v>
      </c>
      <c r="T2329" s="528">
        <v>12</v>
      </c>
      <c r="U2329" s="324">
        <f t="shared" si="872"/>
        <v>0</v>
      </c>
      <c r="V2329" s="676"/>
      <c r="W2329" s="528"/>
      <c r="X2329" s="529"/>
      <c r="Y2329" s="400"/>
      <c r="Z2329" s="312">
        <f t="shared" si="856"/>
        <v>0</v>
      </c>
      <c r="AA2329" s="316">
        <f t="shared" si="874"/>
        <v>0.25</v>
      </c>
    </row>
    <row r="2330" spans="1:27" ht="105.75" thickBot="1" x14ac:dyDescent="0.45">
      <c r="A2330" s="319" t="s">
        <v>727</v>
      </c>
      <c r="B2330" s="799" t="s">
        <v>1207</v>
      </c>
      <c r="C2330" s="528">
        <f>C316+C546+C780</f>
        <v>0</v>
      </c>
      <c r="D2330" s="550">
        <f>C2330*12</f>
        <v>0</v>
      </c>
      <c r="E2330" s="456">
        <f>D2330*0.27</f>
        <v>0</v>
      </c>
      <c r="F2330" s="358">
        <f>E2330*0.87*1.01/151</f>
        <v>0</v>
      </c>
      <c r="G2330" s="358">
        <f t="shared" si="875"/>
        <v>0</v>
      </c>
      <c r="H2330" s="358" t="s">
        <v>18</v>
      </c>
      <c r="I2330" s="548">
        <f t="shared" si="876"/>
        <v>0</v>
      </c>
      <c r="J2330" s="358" t="s">
        <v>19</v>
      </c>
      <c r="K2330" s="358"/>
      <c r="L2330" s="358"/>
      <c r="M2330" s="358">
        <f>F2330*7889/3456</f>
        <v>0</v>
      </c>
      <c r="N2330" s="461"/>
      <c r="O2330" s="461"/>
      <c r="P2330" s="366"/>
      <c r="Q2330" s="358" t="s">
        <v>18</v>
      </c>
      <c r="R2330" s="358"/>
      <c r="S2330" s="358" t="s">
        <v>19</v>
      </c>
      <c r="T2330" s="528">
        <v>13</v>
      </c>
      <c r="U2330" s="324">
        <f t="shared" si="872"/>
        <v>0</v>
      </c>
      <c r="V2330" s="676"/>
      <c r="W2330" s="528"/>
      <c r="X2330" s="529"/>
      <c r="Y2330" s="367" t="s">
        <v>1222</v>
      </c>
      <c r="Z2330" s="312">
        <f t="shared" si="856"/>
        <v>0</v>
      </c>
      <c r="AA2330" s="316">
        <f>SUM(Z2330/550+0.25)</f>
        <v>0.25</v>
      </c>
    </row>
    <row r="2331" spans="1:27" ht="105.75" thickBot="1" x14ac:dyDescent="0.45">
      <c r="A2331" s="319" t="s">
        <v>727</v>
      </c>
      <c r="B2331" s="799" t="s">
        <v>1221</v>
      </c>
      <c r="C2331" s="528">
        <f>C317+C547+C781</f>
        <v>0</v>
      </c>
      <c r="D2331" s="550">
        <f>C2331*7</f>
        <v>0</v>
      </c>
      <c r="E2331" s="456">
        <f>D2331*0.27</f>
        <v>0</v>
      </c>
      <c r="F2331" s="358">
        <f>E2331*0.87*1.01/151</f>
        <v>0</v>
      </c>
      <c r="G2331" s="358">
        <f t="shared" si="875"/>
        <v>0</v>
      </c>
      <c r="H2331" s="358" t="s">
        <v>18</v>
      </c>
      <c r="I2331" s="548">
        <f t="shared" si="876"/>
        <v>0</v>
      </c>
      <c r="J2331" s="358" t="s">
        <v>19</v>
      </c>
      <c r="K2331" s="358"/>
      <c r="L2331" s="358"/>
      <c r="M2331" s="358">
        <f>F2331*7889/3456</f>
        <v>0</v>
      </c>
      <c r="N2331" s="461"/>
      <c r="O2331" s="461"/>
      <c r="P2331" s="366"/>
      <c r="Q2331" s="358" t="s">
        <v>18</v>
      </c>
      <c r="R2331" s="358"/>
      <c r="S2331" s="358" t="s">
        <v>19</v>
      </c>
      <c r="T2331" s="528">
        <v>13</v>
      </c>
      <c r="U2331" s="324">
        <f>E2331/390*60</f>
        <v>0</v>
      </c>
      <c r="V2331" s="676"/>
      <c r="W2331" s="528"/>
      <c r="X2331" s="529"/>
      <c r="Y2331" s="367" t="s">
        <v>1222</v>
      </c>
      <c r="Z2331" s="312">
        <f>E2331</f>
        <v>0</v>
      </c>
      <c r="AA2331" s="316">
        <f>SUM(Z2331/550+0.25)</f>
        <v>0.25</v>
      </c>
    </row>
    <row r="2332" spans="1:27" ht="77.25" thickBot="1" x14ac:dyDescent="0.45">
      <c r="A2332" s="319" t="s">
        <v>727</v>
      </c>
      <c r="B2332" s="320" t="s">
        <v>1073</v>
      </c>
      <c r="C2332" s="528">
        <f>C312+C542+C782</f>
        <v>0</v>
      </c>
      <c r="D2332" s="709">
        <f>C2332*16</f>
        <v>0</v>
      </c>
      <c r="E2332" s="496">
        <f t="shared" si="870"/>
        <v>0</v>
      </c>
      <c r="F2332" s="354">
        <f t="shared" si="871"/>
        <v>0</v>
      </c>
      <c r="G2332" s="710">
        <f t="shared" si="875"/>
        <v>0</v>
      </c>
      <c r="H2332" s="555" t="s">
        <v>18</v>
      </c>
      <c r="I2332" s="553">
        <f t="shared" si="876"/>
        <v>0</v>
      </c>
      <c r="J2332" s="555" t="s">
        <v>19</v>
      </c>
      <c r="K2332" s="555"/>
      <c r="L2332" s="555"/>
      <c r="M2332" s="555">
        <f t="shared" si="873"/>
        <v>0</v>
      </c>
      <c r="N2332" s="555"/>
      <c r="O2332" s="555"/>
      <c r="P2332" s="555"/>
      <c r="Q2332" s="324" t="s">
        <v>18</v>
      </c>
      <c r="R2332" s="324"/>
      <c r="S2332" s="324" t="s">
        <v>19</v>
      </c>
      <c r="T2332" s="528">
        <v>12</v>
      </c>
      <c r="U2332" s="324">
        <f t="shared" si="872"/>
        <v>0</v>
      </c>
      <c r="V2332" s="676"/>
      <c r="W2332" s="528"/>
      <c r="X2332" s="529"/>
      <c r="Y2332" s="660"/>
      <c r="Z2332" s="312">
        <f>E2332</f>
        <v>0</v>
      </c>
      <c r="AA2332" s="316">
        <f t="shared" si="874"/>
        <v>0.25</v>
      </c>
    </row>
    <row r="2333" spans="1:27" ht="77.25" thickBot="1" x14ac:dyDescent="0.45">
      <c r="A2333" s="319" t="s">
        <v>727</v>
      </c>
      <c r="B2333" s="320" t="s">
        <v>1017</v>
      </c>
      <c r="C2333" s="528">
        <f>C311+C541+C665</f>
        <v>0</v>
      </c>
      <c r="D2333" s="557">
        <f>C2333*12</f>
        <v>0</v>
      </c>
      <c r="E2333" s="457">
        <f t="shared" si="870"/>
        <v>0</v>
      </c>
      <c r="F2333" s="359">
        <f t="shared" si="871"/>
        <v>0</v>
      </c>
      <c r="G2333" s="558">
        <f t="shared" si="875"/>
        <v>0</v>
      </c>
      <c r="H2333" s="366" t="s">
        <v>18</v>
      </c>
      <c r="I2333" s="556">
        <f t="shared" si="876"/>
        <v>0</v>
      </c>
      <c r="J2333" s="366" t="s">
        <v>19</v>
      </c>
      <c r="K2333" s="366"/>
      <c r="L2333" s="366"/>
      <c r="M2333" s="366">
        <f t="shared" si="873"/>
        <v>0</v>
      </c>
      <c r="N2333" s="366"/>
      <c r="O2333" s="366"/>
      <c r="P2333" s="366"/>
      <c r="Q2333" s="358" t="s">
        <v>18</v>
      </c>
      <c r="R2333" s="358"/>
      <c r="S2333" s="358" t="s">
        <v>19</v>
      </c>
      <c r="T2333" s="528">
        <v>12</v>
      </c>
      <c r="U2333" s="324">
        <f>E2333/390*60</f>
        <v>0</v>
      </c>
      <c r="V2333" s="676"/>
      <c r="W2333" s="528"/>
      <c r="X2333" s="529"/>
      <c r="Y2333" s="666"/>
      <c r="Z2333" s="312">
        <f>E2333</f>
        <v>0</v>
      </c>
      <c r="AA2333" s="316">
        <f t="shared" si="874"/>
        <v>0.25</v>
      </c>
    </row>
    <row r="2334" spans="1:27" ht="77.25" thickBot="1" x14ac:dyDescent="0.45">
      <c r="A2334" s="319" t="s">
        <v>727</v>
      </c>
      <c r="B2334" s="320" t="s">
        <v>1074</v>
      </c>
      <c r="C2334" s="528">
        <f>C313+C543+C783</f>
        <v>0</v>
      </c>
      <c r="D2334" s="709">
        <f>C2334*16</f>
        <v>0</v>
      </c>
      <c r="E2334" s="496">
        <f t="shared" si="870"/>
        <v>0</v>
      </c>
      <c r="F2334" s="354">
        <f t="shared" si="871"/>
        <v>0</v>
      </c>
      <c r="G2334" s="710">
        <f t="shared" si="875"/>
        <v>0</v>
      </c>
      <c r="H2334" s="555" t="s">
        <v>18</v>
      </c>
      <c r="I2334" s="553">
        <f t="shared" si="876"/>
        <v>0</v>
      </c>
      <c r="J2334" s="555" t="s">
        <v>19</v>
      </c>
      <c r="K2334" s="555"/>
      <c r="L2334" s="555"/>
      <c r="M2334" s="555">
        <f t="shared" si="873"/>
        <v>0</v>
      </c>
      <c r="N2334" s="555"/>
      <c r="O2334" s="555"/>
      <c r="P2334" s="555"/>
      <c r="Q2334" s="324" t="s">
        <v>18</v>
      </c>
      <c r="R2334" s="324"/>
      <c r="S2334" s="324" t="s">
        <v>19</v>
      </c>
      <c r="T2334" s="528">
        <v>12</v>
      </c>
      <c r="U2334" s="324">
        <f t="shared" si="872"/>
        <v>0</v>
      </c>
      <c r="V2334" s="676"/>
      <c r="W2334" s="528"/>
      <c r="X2334" s="529"/>
      <c r="Y2334" s="660"/>
      <c r="Z2334" s="312">
        <f>E2334</f>
        <v>0</v>
      </c>
      <c r="AA2334" s="316">
        <f t="shared" si="874"/>
        <v>0.25</v>
      </c>
    </row>
    <row r="2335" spans="1:27" ht="51.75" thickBot="1" x14ac:dyDescent="0.45">
      <c r="A2335" s="319" t="s">
        <v>727</v>
      </c>
      <c r="B2335" s="344" t="s">
        <v>860</v>
      </c>
      <c r="C2335" s="528">
        <f>C318+C548+C776</f>
        <v>0</v>
      </c>
      <c r="D2335" s="548">
        <f>C2335*12</f>
        <v>0</v>
      </c>
      <c r="E2335" s="456">
        <f>D2335*0.2</f>
        <v>0</v>
      </c>
      <c r="F2335" s="358">
        <f>E2335*0.99*1.03/147</f>
        <v>0</v>
      </c>
      <c r="G2335" s="548">
        <f t="shared" ref="G2335:G2347" si="877">INT(M2335)</f>
        <v>0</v>
      </c>
      <c r="H2335" s="358" t="s">
        <v>18</v>
      </c>
      <c r="I2335" s="548">
        <f t="shared" ref="I2335:I2347" si="878">(M2335-G2335)*64</f>
        <v>0</v>
      </c>
      <c r="J2335" s="358" t="s">
        <v>19</v>
      </c>
      <c r="K2335" s="358"/>
      <c r="L2335" s="358"/>
      <c r="M2335" s="358">
        <f>(F2335*8655)/2880</f>
        <v>0</v>
      </c>
      <c r="N2335" s="358"/>
      <c r="O2335" s="358"/>
      <c r="P2335" s="358"/>
      <c r="Q2335" s="358" t="s">
        <v>18</v>
      </c>
      <c r="R2335" s="358"/>
      <c r="S2335" s="358" t="s">
        <v>19</v>
      </c>
      <c r="T2335" s="528">
        <v>12</v>
      </c>
      <c r="U2335" s="324">
        <f>E2335/403*60</f>
        <v>0</v>
      </c>
      <c r="V2335" s="676"/>
      <c r="W2335" s="528"/>
      <c r="X2335" s="529"/>
      <c r="Y2335" s="381"/>
      <c r="Z2335" s="312">
        <f t="shared" si="856"/>
        <v>0</v>
      </c>
      <c r="AA2335" s="316">
        <f>SUM(Z2335/406+0.25)</f>
        <v>0.25</v>
      </c>
    </row>
    <row r="2336" spans="1:27" ht="51.75" thickBot="1" x14ac:dyDescent="0.45">
      <c r="A2336" s="319" t="s">
        <v>727</v>
      </c>
      <c r="B2336" s="344" t="s">
        <v>861</v>
      </c>
      <c r="C2336" s="528">
        <f>C319+C549+C777</f>
        <v>0</v>
      </c>
      <c r="D2336" s="548">
        <f>C2336*12</f>
        <v>0</v>
      </c>
      <c r="E2336" s="456">
        <f>D2336*0.2</f>
        <v>0</v>
      </c>
      <c r="F2336" s="358">
        <f>E2336*0.99*1.03/147</f>
        <v>0</v>
      </c>
      <c r="G2336" s="548">
        <f t="shared" si="877"/>
        <v>0</v>
      </c>
      <c r="H2336" s="358" t="s">
        <v>18</v>
      </c>
      <c r="I2336" s="548">
        <f t="shared" si="878"/>
        <v>0</v>
      </c>
      <c r="J2336" s="358" t="s">
        <v>19</v>
      </c>
      <c r="K2336" s="358"/>
      <c r="L2336" s="358"/>
      <c r="M2336" s="358">
        <f>(F2336*8655)/2880</f>
        <v>0</v>
      </c>
      <c r="N2336" s="358"/>
      <c r="O2336" s="358"/>
      <c r="P2336" s="358"/>
      <c r="Q2336" s="358" t="s">
        <v>18</v>
      </c>
      <c r="R2336" s="358"/>
      <c r="S2336" s="358" t="s">
        <v>19</v>
      </c>
      <c r="T2336" s="528">
        <v>12</v>
      </c>
      <c r="U2336" s="324">
        <f>E2336/403*60</f>
        <v>0</v>
      </c>
      <c r="V2336" s="676"/>
      <c r="W2336" s="528"/>
      <c r="X2336" s="529"/>
      <c r="Y2336" s="323"/>
      <c r="Z2336" s="312">
        <f t="shared" si="856"/>
        <v>0</v>
      </c>
      <c r="AA2336" s="316">
        <f>SUM(Z2336/406+0.25)</f>
        <v>0.25</v>
      </c>
    </row>
    <row r="2337" spans="1:27" s="728" customFormat="1" outlineLevel="1" thickBot="1" x14ac:dyDescent="0.45">
      <c r="A2337" s="636" t="s">
        <v>727</v>
      </c>
      <c r="B2337" s="634" t="s">
        <v>1042</v>
      </c>
      <c r="C2337" s="720">
        <f>C320+C550+C770</f>
        <v>0</v>
      </c>
      <c r="D2337" s="741">
        <f>C2337*12</f>
        <v>0</v>
      </c>
      <c r="E2337" s="721">
        <f>D2337*0.25</f>
        <v>0</v>
      </c>
      <c r="F2337" s="722">
        <f>E2337*0.99*1.02/147</f>
        <v>0</v>
      </c>
      <c r="G2337" s="720">
        <f t="shared" si="877"/>
        <v>0</v>
      </c>
      <c r="H2337" s="722" t="s">
        <v>18</v>
      </c>
      <c r="I2337" s="720">
        <f t="shared" si="878"/>
        <v>0</v>
      </c>
      <c r="J2337" s="722" t="s">
        <v>19</v>
      </c>
      <c r="K2337" s="722"/>
      <c r="L2337" s="722"/>
      <c r="M2337" s="722">
        <f>(F2337*5880)/3456</f>
        <v>0</v>
      </c>
      <c r="N2337" s="722"/>
      <c r="O2337" s="722"/>
      <c r="P2337" s="722"/>
      <c r="Q2337" s="722" t="s">
        <v>18</v>
      </c>
      <c r="R2337" s="722"/>
      <c r="S2337" s="722" t="s">
        <v>19</v>
      </c>
      <c r="T2337" s="720">
        <v>14</v>
      </c>
      <c r="U2337" s="324">
        <f>E2337/390*60</f>
        <v>0</v>
      </c>
      <c r="V2337" s="724"/>
      <c r="W2337" s="720"/>
      <c r="X2337" s="725"/>
      <c r="Y2337" s="736"/>
      <c r="Z2337" s="727">
        <f t="shared" si="856"/>
        <v>0</v>
      </c>
      <c r="AA2337" s="815">
        <f>SUM(Z2337/635+0.25)</f>
        <v>0.25</v>
      </c>
    </row>
    <row r="2338" spans="1:27" ht="51.75" thickBot="1" x14ac:dyDescent="0.45">
      <c r="A2338" s="319" t="s">
        <v>727</v>
      </c>
      <c r="B2338" s="362" t="s">
        <v>809</v>
      </c>
      <c r="C2338" s="586">
        <f>C321+C322+C551+C552+C771+C772</f>
        <v>0</v>
      </c>
      <c r="D2338" s="551">
        <f>C2338*8</f>
        <v>0</v>
      </c>
      <c r="E2338" s="456">
        <f>D2338*0.34</f>
        <v>0</v>
      </c>
      <c r="F2338" s="358">
        <f>E2338*0.99*1.01/147</f>
        <v>0</v>
      </c>
      <c r="G2338" s="548">
        <f t="shared" si="877"/>
        <v>0</v>
      </c>
      <c r="H2338" s="358" t="s">
        <v>18</v>
      </c>
      <c r="I2338" s="548">
        <f t="shared" si="878"/>
        <v>0</v>
      </c>
      <c r="J2338" s="358" t="s">
        <v>19</v>
      </c>
      <c r="K2338" s="358"/>
      <c r="L2338" s="358"/>
      <c r="M2338" s="358">
        <f>(F2338*5250)/2880</f>
        <v>0</v>
      </c>
      <c r="N2338" s="358"/>
      <c r="O2338" s="358"/>
      <c r="P2338" s="358"/>
      <c r="Q2338" s="358" t="s">
        <v>18</v>
      </c>
      <c r="R2338" s="358"/>
      <c r="S2338" s="358" t="s">
        <v>19</v>
      </c>
      <c r="T2338" s="528">
        <v>18</v>
      </c>
      <c r="U2338" s="324"/>
      <c r="V2338" s="676"/>
      <c r="W2338" s="528"/>
      <c r="X2338" s="529"/>
      <c r="Y2338" s="323"/>
      <c r="Z2338" s="312">
        <f t="shared" si="856"/>
        <v>0</v>
      </c>
      <c r="AA2338" s="316">
        <f>SUM(Z2338/527+0.25)</f>
        <v>0.25</v>
      </c>
    </row>
    <row r="2339" spans="1:27" ht="51.75" thickBot="1" x14ac:dyDescent="0.45">
      <c r="A2339" s="319" t="s">
        <v>727</v>
      </c>
      <c r="B2339" s="320" t="s">
        <v>810</v>
      </c>
      <c r="C2339" s="586">
        <f>C323+C553+C773</f>
        <v>0</v>
      </c>
      <c r="D2339" s="551">
        <f>C2339*8</f>
        <v>0</v>
      </c>
      <c r="E2339" s="456">
        <f>D2339*0.34</f>
        <v>0</v>
      </c>
      <c r="F2339" s="358">
        <f>E2339*0.99*1.01/147</f>
        <v>0</v>
      </c>
      <c r="G2339" s="548">
        <f t="shared" si="877"/>
        <v>0</v>
      </c>
      <c r="H2339" s="358" t="s">
        <v>18</v>
      </c>
      <c r="I2339" s="548">
        <f t="shared" si="878"/>
        <v>0</v>
      </c>
      <c r="J2339" s="358" t="s">
        <v>19</v>
      </c>
      <c r="K2339" s="358"/>
      <c r="L2339" s="358"/>
      <c r="M2339" s="358">
        <f>(F2339*5250)/2880</f>
        <v>0</v>
      </c>
      <c r="N2339" s="358"/>
      <c r="O2339" s="358"/>
      <c r="P2339" s="358"/>
      <c r="Q2339" s="358" t="s">
        <v>18</v>
      </c>
      <c r="R2339" s="358"/>
      <c r="S2339" s="358" t="s">
        <v>19</v>
      </c>
      <c r="T2339" s="528">
        <v>18</v>
      </c>
      <c r="U2339" s="324">
        <f>E2339/237*60</f>
        <v>0</v>
      </c>
      <c r="V2339" s="676"/>
      <c r="W2339" s="528"/>
      <c r="X2339" s="529"/>
      <c r="Y2339" s="323"/>
      <c r="Z2339" s="312">
        <f t="shared" si="856"/>
        <v>0</v>
      </c>
      <c r="AA2339" s="316">
        <f>SUM(Z2339/527+0.25)</f>
        <v>0.25</v>
      </c>
    </row>
    <row r="2340" spans="1:27" ht="51.75" thickBot="1" x14ac:dyDescent="0.45">
      <c r="A2340" s="319" t="s">
        <v>727</v>
      </c>
      <c r="B2340" s="320" t="s">
        <v>812</v>
      </c>
      <c r="C2340" s="586">
        <f>C324+C554+C774</f>
        <v>0</v>
      </c>
      <c r="D2340" s="551">
        <f>C2340*15</f>
        <v>0</v>
      </c>
      <c r="E2340" s="456">
        <f>D2340*0.18</f>
        <v>0</v>
      </c>
      <c r="F2340" s="358">
        <f>E2340*0.99*1.03/147</f>
        <v>0</v>
      </c>
      <c r="G2340" s="548">
        <f t="shared" si="877"/>
        <v>0</v>
      </c>
      <c r="H2340" s="358" t="s">
        <v>18</v>
      </c>
      <c r="I2340" s="548">
        <f t="shared" si="878"/>
        <v>0</v>
      </c>
      <c r="J2340" s="358" t="s">
        <v>19</v>
      </c>
      <c r="K2340" s="358"/>
      <c r="L2340" s="358"/>
      <c r="M2340" s="358">
        <f>(F2340*6450)/2880</f>
        <v>0</v>
      </c>
      <c r="N2340" s="358"/>
      <c r="O2340" s="358"/>
      <c r="P2340" s="358"/>
      <c r="Q2340" s="358" t="s">
        <v>18</v>
      </c>
      <c r="R2340" s="358"/>
      <c r="S2340" s="358" t="s">
        <v>19</v>
      </c>
      <c r="T2340" s="528">
        <v>18</v>
      </c>
      <c r="U2340" s="324">
        <f>E2340/237*60</f>
        <v>0</v>
      </c>
      <c r="V2340" s="676"/>
      <c r="W2340" s="528"/>
      <c r="X2340" s="529"/>
      <c r="Y2340" s="323"/>
      <c r="Z2340" s="312">
        <f t="shared" si="856"/>
        <v>0</v>
      </c>
      <c r="AA2340" s="316">
        <f>SUM(Z2340/475+0.25)</f>
        <v>0.25</v>
      </c>
    </row>
    <row r="2341" spans="1:27" ht="51.75" thickBot="1" x14ac:dyDescent="0.45">
      <c r="A2341" s="319" t="s">
        <v>727</v>
      </c>
      <c r="B2341" s="320" t="s">
        <v>826</v>
      </c>
      <c r="C2341" s="528">
        <f>C325+C555+C775</f>
        <v>0</v>
      </c>
      <c r="D2341" s="551">
        <f>C2341*12</f>
        <v>0</v>
      </c>
      <c r="E2341" s="456">
        <f>D2341*0.5</f>
        <v>0</v>
      </c>
      <c r="F2341" s="358">
        <f>E2341*1.02*0.99/147</f>
        <v>0</v>
      </c>
      <c r="G2341" s="548">
        <f t="shared" si="877"/>
        <v>0</v>
      </c>
      <c r="H2341" s="358" t="s">
        <v>18</v>
      </c>
      <c r="I2341" s="548">
        <f t="shared" si="878"/>
        <v>0</v>
      </c>
      <c r="J2341" s="358" t="s">
        <v>19</v>
      </c>
      <c r="K2341" s="358"/>
      <c r="L2341" s="358"/>
      <c r="M2341" s="358">
        <f>(F2341*5257)/2880</f>
        <v>0</v>
      </c>
      <c r="N2341" s="358"/>
      <c r="O2341" s="358"/>
      <c r="P2341" s="358"/>
      <c r="Q2341" s="358" t="s">
        <v>18</v>
      </c>
      <c r="R2341" s="358"/>
      <c r="S2341" s="358" t="s">
        <v>19</v>
      </c>
      <c r="T2341" s="528">
        <v>12</v>
      </c>
      <c r="U2341" s="324"/>
      <c r="V2341" s="676"/>
      <c r="W2341" s="528"/>
      <c r="X2341" s="529"/>
      <c r="Y2341" s="711"/>
      <c r="Z2341" s="312">
        <f>E2341</f>
        <v>0</v>
      </c>
      <c r="AA2341" s="316">
        <f>SUM(Z2341/558+0.25)</f>
        <v>0.25</v>
      </c>
    </row>
    <row r="2342" spans="1:27" ht="84.75" customHeight="1" thickBot="1" x14ac:dyDescent="0.45">
      <c r="A2342" s="319" t="s">
        <v>727</v>
      </c>
      <c r="B2342" s="320" t="s">
        <v>904</v>
      </c>
      <c r="C2342" s="528">
        <f>C326+C556+C784</f>
        <v>0</v>
      </c>
      <c r="D2342" s="569">
        <f>C2342*12</f>
        <v>0</v>
      </c>
      <c r="E2342" s="458">
        <f>D2342*0.55</f>
        <v>0</v>
      </c>
      <c r="F2342" s="358">
        <f>E2342*0.9*1.01/147</f>
        <v>0</v>
      </c>
      <c r="G2342" s="556">
        <f t="shared" si="877"/>
        <v>0</v>
      </c>
      <c r="H2342" s="366" t="s">
        <v>18</v>
      </c>
      <c r="I2342" s="556">
        <f t="shared" si="878"/>
        <v>0</v>
      </c>
      <c r="J2342" s="366" t="s">
        <v>19</v>
      </c>
      <c r="K2342" s="366"/>
      <c r="L2342" s="366"/>
      <c r="M2342" s="570">
        <f>(F2342*5300/3456)</f>
        <v>0</v>
      </c>
      <c r="N2342" s="366"/>
      <c r="O2342" s="366"/>
      <c r="P2342" s="366"/>
      <c r="Q2342" s="366" t="s">
        <v>18</v>
      </c>
      <c r="R2342" s="366"/>
      <c r="S2342" s="366" t="s">
        <v>19</v>
      </c>
      <c r="T2342" s="528">
        <v>12</v>
      </c>
      <c r="U2342" s="324"/>
      <c r="V2342" s="676"/>
      <c r="W2342" s="528"/>
      <c r="X2342" s="529"/>
      <c r="Y2342" s="658"/>
      <c r="Z2342" s="312">
        <f>E2342</f>
        <v>0</v>
      </c>
      <c r="AA2342" s="316">
        <f>SUM(Z2342/739+0.25)</f>
        <v>0.25</v>
      </c>
    </row>
    <row r="2343" spans="1:27" ht="84.75" customHeight="1" thickBot="1" x14ac:dyDescent="0.45">
      <c r="A2343" s="319" t="s">
        <v>727</v>
      </c>
      <c r="B2343" s="320" t="s">
        <v>905</v>
      </c>
      <c r="C2343" s="528">
        <f>C327+C557+C785</f>
        <v>0</v>
      </c>
      <c r="D2343" s="569">
        <f>C2343*12</f>
        <v>0</v>
      </c>
      <c r="E2343" s="458">
        <f>D2343*0.55</f>
        <v>0</v>
      </c>
      <c r="F2343" s="358">
        <f>E2343*0.9*1.01/147</f>
        <v>0</v>
      </c>
      <c r="G2343" s="556">
        <f t="shared" si="877"/>
        <v>0</v>
      </c>
      <c r="H2343" s="366" t="s">
        <v>18</v>
      </c>
      <c r="I2343" s="556">
        <f t="shared" si="878"/>
        <v>0</v>
      </c>
      <c r="J2343" s="366" t="s">
        <v>19</v>
      </c>
      <c r="K2343" s="366"/>
      <c r="L2343" s="366"/>
      <c r="M2343" s="570">
        <f>(F2343*5300/3456)</f>
        <v>0</v>
      </c>
      <c r="N2343" s="366"/>
      <c r="O2343" s="366"/>
      <c r="P2343" s="366"/>
      <c r="Q2343" s="366" t="s">
        <v>18</v>
      </c>
      <c r="R2343" s="366"/>
      <c r="S2343" s="366" t="s">
        <v>19</v>
      </c>
      <c r="T2343" s="528">
        <v>12</v>
      </c>
      <c r="U2343" s="324"/>
      <c r="V2343" s="676"/>
      <c r="W2343" s="528"/>
      <c r="X2343" s="529"/>
      <c r="Y2343" s="660"/>
      <c r="Z2343" s="312">
        <f>E2343</f>
        <v>0</v>
      </c>
      <c r="AA2343" s="316">
        <f>SUM(Z2343/739+0.25)</f>
        <v>0.25</v>
      </c>
    </row>
    <row r="2344" spans="1:27" ht="102.75" thickBot="1" x14ac:dyDescent="0.45">
      <c r="A2344" s="319" t="s">
        <v>727</v>
      </c>
      <c r="B2344" s="320" t="s">
        <v>843</v>
      </c>
      <c r="C2344" s="586">
        <f>C2228</f>
        <v>0</v>
      </c>
      <c r="D2344" s="528"/>
      <c r="E2344" s="324">
        <f>C2344*2</f>
        <v>0</v>
      </c>
      <c r="F2344" s="324">
        <f>E2344*1.03*0.87/19.3</f>
        <v>0</v>
      </c>
      <c r="G2344" s="528">
        <f>INT(M2344)</f>
        <v>0</v>
      </c>
      <c r="H2344" s="324" t="s">
        <v>18</v>
      </c>
      <c r="I2344" s="528">
        <f>(M2344-G2344)*64</f>
        <v>0</v>
      </c>
      <c r="J2344" s="324" t="s">
        <v>19</v>
      </c>
      <c r="K2344" s="324"/>
      <c r="L2344" s="324"/>
      <c r="M2344" s="324">
        <f>(F2344*877/2880)</f>
        <v>0</v>
      </c>
      <c r="N2344" s="324"/>
      <c r="O2344" s="324"/>
      <c r="P2344" s="324"/>
      <c r="Q2344" s="324" t="s">
        <v>18</v>
      </c>
      <c r="R2344" s="324"/>
      <c r="S2344" s="324" t="s">
        <v>19</v>
      </c>
      <c r="T2344" s="528">
        <v>12</v>
      </c>
      <c r="U2344" s="478">
        <f>E2344/259*60</f>
        <v>0</v>
      </c>
      <c r="V2344" s="676"/>
      <c r="W2344" s="528"/>
      <c r="X2344" s="529"/>
      <c r="Y2344" s="300" t="s">
        <v>890</v>
      </c>
      <c r="Z2344" s="312">
        <f t="shared" si="856"/>
        <v>0</v>
      </c>
      <c r="AA2344" s="316">
        <f>SUM(Z2344/129+0.25)</f>
        <v>0.25</v>
      </c>
    </row>
    <row r="2345" spans="1:27" ht="51.75" thickBot="1" x14ac:dyDescent="0.45">
      <c r="A2345" s="319" t="s">
        <v>727</v>
      </c>
      <c r="B2345" s="344" t="s">
        <v>846</v>
      </c>
      <c r="C2345" s="528">
        <f>C328+C558+C786</f>
        <v>0</v>
      </c>
      <c r="D2345" s="551">
        <f>C2345*12</f>
        <v>0</v>
      </c>
      <c r="E2345" s="456">
        <f t="shared" ref="E2345:E2351" si="879">D2345*0.25</f>
        <v>0</v>
      </c>
      <c r="F2345" s="358">
        <f t="shared" ref="F2345:F2351" si="880">E2345*0.99*1.03/147</f>
        <v>0</v>
      </c>
      <c r="G2345" s="548">
        <f t="shared" si="877"/>
        <v>0</v>
      </c>
      <c r="H2345" s="358" t="s">
        <v>18</v>
      </c>
      <c r="I2345" s="548">
        <f t="shared" si="878"/>
        <v>0</v>
      </c>
      <c r="J2345" s="358" t="s">
        <v>19</v>
      </c>
      <c r="K2345" s="358"/>
      <c r="L2345" s="358"/>
      <c r="M2345" s="358">
        <f t="shared" ref="M2345:M2350" si="881">(F2345*6989)/2880</f>
        <v>0</v>
      </c>
      <c r="N2345" s="358"/>
      <c r="O2345" s="358"/>
      <c r="P2345" s="358"/>
      <c r="Q2345" s="358" t="s">
        <v>18</v>
      </c>
      <c r="R2345" s="358"/>
      <c r="S2345" s="358" t="s">
        <v>19</v>
      </c>
      <c r="T2345" s="528">
        <v>13</v>
      </c>
      <c r="U2345" s="324">
        <f t="shared" ref="U2345:U2351" si="882">E2345/403*60</f>
        <v>0</v>
      </c>
      <c r="V2345" s="676"/>
      <c r="W2345" s="528"/>
      <c r="X2345" s="529"/>
      <c r="Y2345" s="323"/>
      <c r="Z2345" s="312">
        <f t="shared" si="856"/>
        <v>0</v>
      </c>
      <c r="AA2345" s="316">
        <f t="shared" ref="AA2345:AA2351" si="883">SUM(Z2345/450+0.25)</f>
        <v>0.25</v>
      </c>
    </row>
    <row r="2346" spans="1:27" ht="51.75" thickBot="1" x14ac:dyDescent="0.45">
      <c r="A2346" s="319" t="s">
        <v>727</v>
      </c>
      <c r="B2346" s="344" t="s">
        <v>847</v>
      </c>
      <c r="C2346" s="528">
        <f>C329+C559+C787</f>
        <v>0</v>
      </c>
      <c r="D2346" s="551">
        <f>C2346*12</f>
        <v>0</v>
      </c>
      <c r="E2346" s="456">
        <f t="shared" si="879"/>
        <v>0</v>
      </c>
      <c r="F2346" s="358">
        <f t="shared" si="880"/>
        <v>0</v>
      </c>
      <c r="G2346" s="548">
        <f t="shared" si="877"/>
        <v>0</v>
      </c>
      <c r="H2346" s="358" t="s">
        <v>18</v>
      </c>
      <c r="I2346" s="548">
        <f t="shared" si="878"/>
        <v>0</v>
      </c>
      <c r="J2346" s="358" t="s">
        <v>19</v>
      </c>
      <c r="K2346" s="358"/>
      <c r="L2346" s="358"/>
      <c r="M2346" s="358">
        <f t="shared" si="881"/>
        <v>0</v>
      </c>
      <c r="N2346" s="358"/>
      <c r="O2346" s="358"/>
      <c r="P2346" s="358"/>
      <c r="Q2346" s="358" t="s">
        <v>18</v>
      </c>
      <c r="R2346" s="358"/>
      <c r="S2346" s="358" t="s">
        <v>19</v>
      </c>
      <c r="T2346" s="528">
        <v>13</v>
      </c>
      <c r="U2346" s="324">
        <f t="shared" si="882"/>
        <v>0</v>
      </c>
      <c r="V2346" s="676"/>
      <c r="W2346" s="528"/>
      <c r="X2346" s="529"/>
      <c r="Y2346" s="323"/>
      <c r="Z2346" s="312">
        <f t="shared" si="856"/>
        <v>0</v>
      </c>
      <c r="AA2346" s="316">
        <f t="shared" si="883"/>
        <v>0.25</v>
      </c>
    </row>
    <row r="2347" spans="1:27" ht="51.75" thickBot="1" x14ac:dyDescent="0.45">
      <c r="A2347" s="319" t="s">
        <v>727</v>
      </c>
      <c r="B2347" s="344" t="s">
        <v>848</v>
      </c>
      <c r="C2347" s="528">
        <f>C2235</f>
        <v>0</v>
      </c>
      <c r="D2347" s="551">
        <f>C2347*12</f>
        <v>0</v>
      </c>
      <c r="E2347" s="456">
        <f t="shared" si="879"/>
        <v>0</v>
      </c>
      <c r="F2347" s="358">
        <f t="shared" si="880"/>
        <v>0</v>
      </c>
      <c r="G2347" s="548">
        <f t="shared" si="877"/>
        <v>0</v>
      </c>
      <c r="H2347" s="358" t="s">
        <v>18</v>
      </c>
      <c r="I2347" s="548">
        <f t="shared" si="878"/>
        <v>0</v>
      </c>
      <c r="J2347" s="358" t="s">
        <v>19</v>
      </c>
      <c r="K2347" s="358"/>
      <c r="L2347" s="358"/>
      <c r="M2347" s="358">
        <f t="shared" si="881"/>
        <v>0</v>
      </c>
      <c r="N2347" s="358"/>
      <c r="O2347" s="358"/>
      <c r="P2347" s="358"/>
      <c r="Q2347" s="358" t="s">
        <v>18</v>
      </c>
      <c r="R2347" s="358"/>
      <c r="S2347" s="358" t="s">
        <v>19</v>
      </c>
      <c r="T2347" s="528">
        <v>13</v>
      </c>
      <c r="U2347" s="324">
        <f t="shared" si="882"/>
        <v>0</v>
      </c>
      <c r="V2347" s="670" t="s">
        <v>822</v>
      </c>
      <c r="W2347" s="528"/>
      <c r="X2347" s="529"/>
      <c r="Y2347" s="323"/>
      <c r="Z2347" s="312">
        <f t="shared" si="856"/>
        <v>0</v>
      </c>
      <c r="AA2347" s="316">
        <f t="shared" si="883"/>
        <v>0.25</v>
      </c>
    </row>
    <row r="2348" spans="1:27" ht="51.75" thickBot="1" x14ac:dyDescent="0.45">
      <c r="A2348" s="319" t="s">
        <v>727</v>
      </c>
      <c r="B2348" s="879" t="s">
        <v>1211</v>
      </c>
      <c r="C2348" s="528">
        <f>C331+C561+C789</f>
        <v>0</v>
      </c>
      <c r="D2348" s="551">
        <f>C2348*14</f>
        <v>0</v>
      </c>
      <c r="E2348" s="456">
        <f t="shared" si="879"/>
        <v>0</v>
      </c>
      <c r="F2348" s="358">
        <f t="shared" si="880"/>
        <v>0</v>
      </c>
      <c r="G2348" s="548">
        <f t="shared" ref="G2348:G2357" si="884">INT(M2348)</f>
        <v>0</v>
      </c>
      <c r="H2348" s="358" t="s">
        <v>18</v>
      </c>
      <c r="I2348" s="548">
        <f t="shared" ref="I2348:I2357" si="885">(M2348-G2348)*64</f>
        <v>0</v>
      </c>
      <c r="J2348" s="358" t="s">
        <v>19</v>
      </c>
      <c r="K2348" s="358"/>
      <c r="L2348" s="358"/>
      <c r="M2348" s="358">
        <f t="shared" si="881"/>
        <v>0</v>
      </c>
      <c r="N2348" s="358"/>
      <c r="O2348" s="358"/>
      <c r="P2348" s="358"/>
      <c r="Q2348" s="358" t="s">
        <v>18</v>
      </c>
      <c r="R2348" s="358"/>
      <c r="S2348" s="358" t="s">
        <v>19</v>
      </c>
      <c r="T2348" s="528">
        <v>13</v>
      </c>
      <c r="U2348" s="324">
        <f t="shared" si="882"/>
        <v>0</v>
      </c>
      <c r="V2348" s="676"/>
      <c r="W2348" s="528"/>
      <c r="X2348" s="529"/>
      <c r="Y2348" s="323"/>
      <c r="Z2348" s="312">
        <f>E2348</f>
        <v>0</v>
      </c>
      <c r="AA2348" s="316">
        <f t="shared" si="883"/>
        <v>0.25</v>
      </c>
    </row>
    <row r="2349" spans="1:27" ht="51.75" thickBot="1" x14ac:dyDescent="0.45">
      <c r="A2349" s="319" t="s">
        <v>727</v>
      </c>
      <c r="B2349" s="879" t="s">
        <v>1213</v>
      </c>
      <c r="C2349" s="528">
        <f>C332+C562+C790</f>
        <v>0</v>
      </c>
      <c r="D2349" s="551">
        <f>C2349*14</f>
        <v>0</v>
      </c>
      <c r="E2349" s="456">
        <f t="shared" si="879"/>
        <v>0</v>
      </c>
      <c r="F2349" s="358">
        <f t="shared" si="880"/>
        <v>0</v>
      </c>
      <c r="G2349" s="548">
        <f t="shared" si="884"/>
        <v>0</v>
      </c>
      <c r="H2349" s="358" t="s">
        <v>18</v>
      </c>
      <c r="I2349" s="548">
        <f t="shared" si="885"/>
        <v>0</v>
      </c>
      <c r="J2349" s="358" t="s">
        <v>19</v>
      </c>
      <c r="K2349" s="358"/>
      <c r="L2349" s="358"/>
      <c r="M2349" s="358">
        <f t="shared" si="881"/>
        <v>0</v>
      </c>
      <c r="N2349" s="358"/>
      <c r="O2349" s="358"/>
      <c r="P2349" s="358"/>
      <c r="Q2349" s="358" t="s">
        <v>18</v>
      </c>
      <c r="R2349" s="358"/>
      <c r="S2349" s="358" t="s">
        <v>19</v>
      </c>
      <c r="T2349" s="528">
        <v>13</v>
      </c>
      <c r="U2349" s="324">
        <f t="shared" si="882"/>
        <v>0</v>
      </c>
      <c r="V2349" s="676"/>
      <c r="W2349" s="528"/>
      <c r="X2349" s="529"/>
      <c r="Y2349" s="323"/>
      <c r="Z2349" s="312">
        <f>E2349</f>
        <v>0</v>
      </c>
      <c r="AA2349" s="316">
        <f t="shared" si="883"/>
        <v>0.25</v>
      </c>
    </row>
    <row r="2350" spans="1:27" ht="51.75" thickBot="1" x14ac:dyDescent="0.45">
      <c r="A2350" s="319" t="s">
        <v>727</v>
      </c>
      <c r="B2350" s="879" t="s">
        <v>1212</v>
      </c>
      <c r="C2350" s="528">
        <f>C2236</f>
        <v>0</v>
      </c>
      <c r="D2350" s="551">
        <f>C2350*14</f>
        <v>0</v>
      </c>
      <c r="E2350" s="456">
        <f t="shared" si="879"/>
        <v>0</v>
      </c>
      <c r="F2350" s="358">
        <f t="shared" si="880"/>
        <v>0</v>
      </c>
      <c r="G2350" s="548">
        <f t="shared" si="884"/>
        <v>0</v>
      </c>
      <c r="H2350" s="358" t="s">
        <v>18</v>
      </c>
      <c r="I2350" s="548">
        <f t="shared" si="885"/>
        <v>0</v>
      </c>
      <c r="J2350" s="358" t="s">
        <v>19</v>
      </c>
      <c r="K2350" s="358"/>
      <c r="L2350" s="358"/>
      <c r="M2350" s="358">
        <f t="shared" si="881"/>
        <v>0</v>
      </c>
      <c r="N2350" s="358"/>
      <c r="O2350" s="358"/>
      <c r="P2350" s="358"/>
      <c r="Q2350" s="358" t="s">
        <v>18</v>
      </c>
      <c r="R2350" s="358"/>
      <c r="S2350" s="358" t="s">
        <v>19</v>
      </c>
      <c r="T2350" s="528">
        <v>13</v>
      </c>
      <c r="U2350" s="324">
        <f t="shared" si="882"/>
        <v>0</v>
      </c>
      <c r="V2350" s="670" t="s">
        <v>822</v>
      </c>
      <c r="W2350" s="528"/>
      <c r="X2350" s="529"/>
      <c r="Y2350" s="323"/>
      <c r="Z2350" s="312">
        <f>E2350</f>
        <v>0</v>
      </c>
      <c r="AA2350" s="316">
        <f t="shared" si="883"/>
        <v>0.25</v>
      </c>
    </row>
    <row r="2351" spans="1:27" ht="77.25" thickBot="1" x14ac:dyDescent="0.45">
      <c r="A2351" s="319" t="s">
        <v>727</v>
      </c>
      <c r="B2351" s="344" t="s">
        <v>910</v>
      </c>
      <c r="C2351" s="528">
        <f>C2233</f>
        <v>0</v>
      </c>
      <c r="D2351" s="548">
        <f>C2351*12</f>
        <v>0</v>
      </c>
      <c r="E2351" s="456">
        <f t="shared" si="879"/>
        <v>0</v>
      </c>
      <c r="F2351" s="358">
        <f t="shared" si="880"/>
        <v>0</v>
      </c>
      <c r="G2351" s="548">
        <f t="shared" si="884"/>
        <v>0</v>
      </c>
      <c r="H2351" s="358" t="s">
        <v>18</v>
      </c>
      <c r="I2351" s="548">
        <f t="shared" si="885"/>
        <v>0</v>
      </c>
      <c r="J2351" s="358" t="s">
        <v>19</v>
      </c>
      <c r="K2351" s="358"/>
      <c r="L2351" s="358"/>
      <c r="M2351" s="358">
        <f>(F2351*7000)/2880</f>
        <v>0</v>
      </c>
      <c r="N2351" s="358"/>
      <c r="O2351" s="358"/>
      <c r="P2351" s="358"/>
      <c r="Q2351" s="358" t="s">
        <v>18</v>
      </c>
      <c r="R2351" s="358"/>
      <c r="S2351" s="358" t="s">
        <v>19</v>
      </c>
      <c r="T2351" s="528">
        <v>13</v>
      </c>
      <c r="U2351" s="324">
        <f t="shared" si="882"/>
        <v>0</v>
      </c>
      <c r="V2351" s="670" t="s">
        <v>822</v>
      </c>
      <c r="W2351" s="528"/>
      <c r="X2351" s="529"/>
      <c r="Y2351" s="323"/>
      <c r="Z2351" s="312">
        <f t="shared" si="856"/>
        <v>0</v>
      </c>
      <c r="AA2351" s="316">
        <f t="shared" si="883"/>
        <v>0.25</v>
      </c>
    </row>
    <row r="2352" spans="1:27" ht="105.75" thickBot="1" x14ac:dyDescent="0.45">
      <c r="A2352" s="319" t="s">
        <v>727</v>
      </c>
      <c r="B2352" s="320" t="s">
        <v>1021</v>
      </c>
      <c r="C2352" s="528">
        <f t="shared" ref="C2352:C2357" si="886">C335+C565+C793</f>
        <v>0</v>
      </c>
      <c r="D2352" s="530">
        <f>C2352*22</f>
        <v>0</v>
      </c>
      <c r="E2352" s="460">
        <f>D2352*0.13</f>
        <v>0</v>
      </c>
      <c r="F2352" s="324">
        <f t="shared" ref="F2352:F2357" si="887">E2352*0.99*1.02/170</f>
        <v>0</v>
      </c>
      <c r="G2352" s="324">
        <f t="shared" si="884"/>
        <v>0</v>
      </c>
      <c r="H2352" s="324" t="s">
        <v>18</v>
      </c>
      <c r="I2352" s="528">
        <f t="shared" si="885"/>
        <v>0</v>
      </c>
      <c r="J2352" s="324" t="s">
        <v>19</v>
      </c>
      <c r="K2352" s="324"/>
      <c r="L2352" s="324"/>
      <c r="M2352" s="324">
        <f t="shared" ref="M2352:M2357" si="888">(F2352*8500)/3456</f>
        <v>0</v>
      </c>
      <c r="N2352" s="324"/>
      <c r="O2352" s="324"/>
      <c r="P2352" s="324"/>
      <c r="Q2352" s="324" t="s">
        <v>18</v>
      </c>
      <c r="R2352" s="324"/>
      <c r="S2352" s="324" t="s">
        <v>19</v>
      </c>
      <c r="T2352" s="528">
        <v>12</v>
      </c>
      <c r="U2352" s="324">
        <f t="shared" ref="U2352:U2357" si="889">E2352/237*60</f>
        <v>0</v>
      </c>
      <c r="V2352" s="676"/>
      <c r="W2352" s="528"/>
      <c r="X2352" s="529"/>
      <c r="Y2352" s="367" t="s">
        <v>1222</v>
      </c>
      <c r="Z2352" s="312">
        <f t="shared" si="856"/>
        <v>0</v>
      </c>
      <c r="AA2352" s="316">
        <f>SUM(Z2352/406+0.25)</f>
        <v>0.25</v>
      </c>
    </row>
    <row r="2353" spans="1:27" ht="105.75" thickBot="1" x14ac:dyDescent="0.45">
      <c r="A2353" s="319" t="s">
        <v>727</v>
      </c>
      <c r="B2353" s="799" t="s">
        <v>1223</v>
      </c>
      <c r="C2353" s="528">
        <f t="shared" si="886"/>
        <v>0</v>
      </c>
      <c r="D2353" s="530">
        <f>C2353*12</f>
        <v>0</v>
      </c>
      <c r="E2353" s="460">
        <f>D2353*0.13</f>
        <v>0</v>
      </c>
      <c r="F2353" s="324">
        <f t="shared" si="887"/>
        <v>0</v>
      </c>
      <c r="G2353" s="324">
        <f>INT(M2353)</f>
        <v>0</v>
      </c>
      <c r="H2353" s="324" t="s">
        <v>18</v>
      </c>
      <c r="I2353" s="528">
        <f>(M2353-G2353)*64</f>
        <v>0</v>
      </c>
      <c r="J2353" s="324" t="s">
        <v>19</v>
      </c>
      <c r="K2353" s="324"/>
      <c r="L2353" s="324"/>
      <c r="M2353" s="324">
        <f t="shared" si="888"/>
        <v>0</v>
      </c>
      <c r="N2353" s="324"/>
      <c r="O2353" s="324"/>
      <c r="P2353" s="324"/>
      <c r="Q2353" s="324" t="s">
        <v>18</v>
      </c>
      <c r="R2353" s="324"/>
      <c r="S2353" s="324" t="s">
        <v>19</v>
      </c>
      <c r="T2353" s="528">
        <v>12</v>
      </c>
      <c r="U2353" s="324">
        <f t="shared" si="889"/>
        <v>0</v>
      </c>
      <c r="V2353" s="676"/>
      <c r="W2353" s="528"/>
      <c r="X2353" s="529"/>
      <c r="Y2353" s="367" t="s">
        <v>1222</v>
      </c>
      <c r="Z2353" s="312">
        <f>E2353</f>
        <v>0</v>
      </c>
      <c r="AA2353" s="316">
        <f>SUM(Z2353/406+0.25)</f>
        <v>0.25</v>
      </c>
    </row>
    <row r="2354" spans="1:27" ht="105.75" thickBot="1" x14ac:dyDescent="0.45">
      <c r="A2354" s="319" t="s">
        <v>727</v>
      </c>
      <c r="B2354" s="320" t="s">
        <v>1023</v>
      </c>
      <c r="C2354" s="528">
        <f t="shared" si="886"/>
        <v>0</v>
      </c>
      <c r="D2354" s="530">
        <f>C2354*8</f>
        <v>0</v>
      </c>
      <c r="E2354" s="460">
        <f>D2354*0.16</f>
        <v>0</v>
      </c>
      <c r="F2354" s="324">
        <f t="shared" si="887"/>
        <v>0</v>
      </c>
      <c r="G2354" s="324">
        <f t="shared" si="884"/>
        <v>0</v>
      </c>
      <c r="H2354" s="324" t="s">
        <v>18</v>
      </c>
      <c r="I2354" s="528">
        <f t="shared" si="885"/>
        <v>0</v>
      </c>
      <c r="J2354" s="324" t="s">
        <v>19</v>
      </c>
      <c r="K2354" s="324"/>
      <c r="L2354" s="324"/>
      <c r="M2354" s="324">
        <f t="shared" si="888"/>
        <v>0</v>
      </c>
      <c r="N2354" s="324"/>
      <c r="O2354" s="324"/>
      <c r="P2354" s="324"/>
      <c r="Q2354" s="324" t="s">
        <v>18</v>
      </c>
      <c r="R2354" s="324"/>
      <c r="S2354" s="324" t="s">
        <v>19</v>
      </c>
      <c r="T2354" s="528">
        <v>12</v>
      </c>
      <c r="U2354" s="324">
        <f t="shared" si="889"/>
        <v>0</v>
      </c>
      <c r="V2354" s="676"/>
      <c r="W2354" s="528"/>
      <c r="X2354" s="529"/>
      <c r="Y2354" s="367" t="s">
        <v>1222</v>
      </c>
      <c r="Z2354" s="312">
        <f t="shared" si="856"/>
        <v>0</v>
      </c>
      <c r="AA2354" s="316">
        <f>SUM(Z2354/369+0.25)</f>
        <v>0.25</v>
      </c>
    </row>
    <row r="2355" spans="1:27" ht="105.75" thickBot="1" x14ac:dyDescent="0.45">
      <c r="A2355" s="319" t="s">
        <v>727</v>
      </c>
      <c r="B2355" s="343" t="s">
        <v>1194</v>
      </c>
      <c r="C2355" s="528">
        <f t="shared" si="886"/>
        <v>0</v>
      </c>
      <c r="D2355" s="551">
        <f>C2355*12</f>
        <v>0</v>
      </c>
      <c r="E2355" s="456">
        <f>D2355*0.16</f>
        <v>0</v>
      </c>
      <c r="F2355" s="358">
        <f t="shared" si="887"/>
        <v>0</v>
      </c>
      <c r="G2355" s="358">
        <f t="shared" si="884"/>
        <v>0</v>
      </c>
      <c r="H2355" s="358" t="s">
        <v>18</v>
      </c>
      <c r="I2355" s="548">
        <f t="shared" si="885"/>
        <v>0</v>
      </c>
      <c r="J2355" s="358" t="s">
        <v>19</v>
      </c>
      <c r="K2355" s="358"/>
      <c r="L2355" s="358"/>
      <c r="M2355" s="358">
        <f t="shared" si="888"/>
        <v>0</v>
      </c>
      <c r="N2355" s="324"/>
      <c r="O2355" s="324"/>
      <c r="P2355" s="324"/>
      <c r="Q2355" s="324" t="s">
        <v>18</v>
      </c>
      <c r="R2355" s="324"/>
      <c r="S2355" s="324" t="s">
        <v>19</v>
      </c>
      <c r="T2355" s="528">
        <v>12</v>
      </c>
      <c r="U2355" s="324">
        <f t="shared" si="889"/>
        <v>0</v>
      </c>
      <c r="V2355" s="676"/>
      <c r="W2355" s="528"/>
      <c r="X2355" s="529"/>
      <c r="Y2355" s="367" t="s">
        <v>1222</v>
      </c>
      <c r="Z2355" s="312">
        <f t="shared" si="856"/>
        <v>0</v>
      </c>
      <c r="AA2355" s="316">
        <f>SUM(Z2355/369+0.25)</f>
        <v>0.25</v>
      </c>
    </row>
    <row r="2356" spans="1:27" ht="105.75" thickBot="1" x14ac:dyDescent="0.45">
      <c r="A2356" s="319" t="s">
        <v>727</v>
      </c>
      <c r="B2356" s="799" t="s">
        <v>1215</v>
      </c>
      <c r="C2356" s="528">
        <f t="shared" si="886"/>
        <v>0</v>
      </c>
      <c r="D2356" s="551">
        <f>C2356*10</f>
        <v>0</v>
      </c>
      <c r="E2356" s="456">
        <f>D2356*0.16</f>
        <v>0</v>
      </c>
      <c r="F2356" s="358">
        <f t="shared" si="887"/>
        <v>0</v>
      </c>
      <c r="G2356" s="358">
        <f t="shared" si="884"/>
        <v>0</v>
      </c>
      <c r="H2356" s="358" t="s">
        <v>18</v>
      </c>
      <c r="I2356" s="548">
        <f t="shared" si="885"/>
        <v>0</v>
      </c>
      <c r="J2356" s="358" t="s">
        <v>19</v>
      </c>
      <c r="K2356" s="358"/>
      <c r="L2356" s="358"/>
      <c r="M2356" s="358">
        <f t="shared" si="888"/>
        <v>0</v>
      </c>
      <c r="N2356" s="324"/>
      <c r="O2356" s="324"/>
      <c r="P2356" s="324"/>
      <c r="Q2356" s="324" t="s">
        <v>18</v>
      </c>
      <c r="R2356" s="324"/>
      <c r="S2356" s="324" t="s">
        <v>19</v>
      </c>
      <c r="T2356" s="528">
        <v>12</v>
      </c>
      <c r="U2356" s="324">
        <f t="shared" si="889"/>
        <v>0</v>
      </c>
      <c r="V2356" s="676"/>
      <c r="W2356" s="528"/>
      <c r="X2356" s="529"/>
      <c r="Y2356" s="367" t="s">
        <v>1222</v>
      </c>
      <c r="Z2356" s="312">
        <f>E2356</f>
        <v>0</v>
      </c>
      <c r="AA2356" s="316">
        <f>SUM(Z2356/369+0.25)</f>
        <v>0.25</v>
      </c>
    </row>
    <row r="2357" spans="1:27" ht="105.75" thickBot="1" x14ac:dyDescent="0.45">
      <c r="A2357" s="319" t="s">
        <v>727</v>
      </c>
      <c r="B2357" s="320" t="s">
        <v>1182</v>
      </c>
      <c r="C2357" s="528">
        <f t="shared" si="886"/>
        <v>0</v>
      </c>
      <c r="D2357" s="530">
        <f>C2357*10</f>
        <v>0</v>
      </c>
      <c r="E2357" s="460">
        <f>D2357*0.26</f>
        <v>0</v>
      </c>
      <c r="F2357" s="324">
        <f t="shared" si="887"/>
        <v>0</v>
      </c>
      <c r="G2357" s="324">
        <f t="shared" si="884"/>
        <v>0</v>
      </c>
      <c r="H2357" s="324" t="s">
        <v>18</v>
      </c>
      <c r="I2357" s="528">
        <f t="shared" si="885"/>
        <v>0</v>
      </c>
      <c r="J2357" s="324" t="s">
        <v>19</v>
      </c>
      <c r="K2357" s="324"/>
      <c r="L2357" s="324"/>
      <c r="M2357" s="324">
        <f t="shared" si="888"/>
        <v>0</v>
      </c>
      <c r="N2357" s="324"/>
      <c r="O2357" s="324"/>
      <c r="P2357" s="324"/>
      <c r="Q2357" s="324" t="s">
        <v>18</v>
      </c>
      <c r="R2357" s="324"/>
      <c r="S2357" s="324" t="s">
        <v>19</v>
      </c>
      <c r="T2357" s="528">
        <v>12</v>
      </c>
      <c r="U2357" s="324">
        <f t="shared" si="889"/>
        <v>0</v>
      </c>
      <c r="V2357" s="676"/>
      <c r="W2357" s="528"/>
      <c r="X2357" s="529"/>
      <c r="Y2357" s="367" t="s">
        <v>1222</v>
      </c>
      <c r="Z2357" s="312">
        <f>E2357</f>
        <v>0</v>
      </c>
      <c r="AA2357" s="316">
        <f>SUM(Z2357/406+0.25)</f>
        <v>0.25</v>
      </c>
    </row>
    <row r="2358" spans="1:27" thickBot="1" x14ac:dyDescent="0.45">
      <c r="A2358" s="329"/>
      <c r="B2358" s="344"/>
      <c r="C2358" s="536"/>
      <c r="D2358" s="530"/>
      <c r="E2358" s="460"/>
      <c r="F2358" s="324"/>
      <c r="G2358" s="324"/>
      <c r="H2358" s="324"/>
      <c r="I2358" s="528"/>
      <c r="J2358" s="324"/>
      <c r="K2358" s="324"/>
      <c r="L2358" s="324"/>
      <c r="M2358" s="324"/>
      <c r="N2358" s="324"/>
      <c r="O2358" s="324"/>
      <c r="P2358" s="324"/>
      <c r="Q2358" s="324"/>
      <c r="R2358" s="324"/>
      <c r="S2358" s="324"/>
      <c r="T2358" s="528"/>
      <c r="U2358" s="324"/>
      <c r="V2358" s="676"/>
      <c r="W2358" s="528"/>
      <c r="X2358" s="529"/>
      <c r="Y2358" s="323"/>
    </row>
    <row r="2359" spans="1:27" thickBot="1" x14ac:dyDescent="0.45">
      <c r="A2359" s="329"/>
      <c r="B2359" s="344"/>
      <c r="C2359" s="536"/>
      <c r="D2359" s="530"/>
      <c r="E2359" s="460"/>
      <c r="F2359" s="324"/>
      <c r="G2359" s="324"/>
      <c r="H2359" s="324"/>
      <c r="I2359" s="528"/>
      <c r="J2359" s="324"/>
      <c r="K2359" s="324"/>
      <c r="L2359" s="324"/>
      <c r="M2359" s="324"/>
      <c r="N2359" s="324"/>
      <c r="O2359" s="324"/>
      <c r="P2359" s="324"/>
      <c r="Q2359" s="324"/>
      <c r="R2359" s="324"/>
      <c r="S2359" s="324"/>
      <c r="T2359" s="528"/>
      <c r="U2359" s="324"/>
      <c r="V2359" s="676"/>
      <c r="W2359" s="528"/>
      <c r="X2359" s="529"/>
      <c r="Y2359" s="323"/>
    </row>
    <row r="2360" spans="1:27" ht="53.25" thickBot="1" x14ac:dyDescent="0.45">
      <c r="A2360" s="319"/>
      <c r="B2360" s="401" t="s">
        <v>695</v>
      </c>
      <c r="C2360" s="537"/>
      <c r="D2360" s="537"/>
      <c r="E2360" s="496"/>
      <c r="F2360" s="354"/>
      <c r="G2360" s="537"/>
      <c r="H2360" s="354"/>
      <c r="I2360" s="537"/>
      <c r="J2360" s="354"/>
      <c r="K2360" s="354"/>
      <c r="L2360" s="354"/>
      <c r="M2360" s="354"/>
      <c r="N2360" s="354"/>
      <c r="O2360" s="354"/>
      <c r="P2360" s="354"/>
      <c r="Q2360" s="354"/>
      <c r="R2360" s="354"/>
      <c r="S2360" s="354"/>
      <c r="T2360" s="537"/>
      <c r="U2360" s="354"/>
      <c r="V2360" s="682" t="s">
        <v>696</v>
      </c>
      <c r="W2360" s="537"/>
      <c r="X2360" s="540"/>
      <c r="Y2360" s="323"/>
    </row>
    <row r="2361" spans="1:27" thickBot="1" x14ac:dyDescent="0.45">
      <c r="A2361" s="319"/>
      <c r="B2361" s="390"/>
      <c r="C2361" s="536"/>
      <c r="D2361" s="528"/>
      <c r="E2361" s="460"/>
      <c r="F2361" s="324"/>
      <c r="G2361" s="528"/>
      <c r="H2361" s="324"/>
      <c r="I2361" s="528"/>
      <c r="J2361" s="324"/>
      <c r="K2361" s="324"/>
      <c r="L2361" s="324"/>
      <c r="M2361" s="324"/>
      <c r="N2361" s="324"/>
      <c r="O2361" s="324"/>
      <c r="P2361" s="324"/>
      <c r="Q2361" s="324"/>
      <c r="R2361" s="324"/>
      <c r="S2361" s="324"/>
      <c r="T2361" s="528"/>
      <c r="U2361" s="324"/>
      <c r="V2361" s="676"/>
      <c r="W2361" s="528"/>
      <c r="X2361" s="529"/>
      <c r="Y2361" s="323"/>
    </row>
    <row r="2362" spans="1:27" thickBot="1" x14ac:dyDescent="0.45">
      <c r="A2362" s="329"/>
      <c r="B2362" s="346"/>
      <c r="C2362" s="528"/>
      <c r="D2362" s="528"/>
      <c r="E2362" s="460"/>
      <c r="F2362" s="324"/>
      <c r="G2362" s="528"/>
      <c r="H2362" s="324"/>
      <c r="I2362" s="528"/>
      <c r="J2362" s="324"/>
      <c r="K2362" s="324"/>
      <c r="L2362" s="324"/>
      <c r="M2362" s="324"/>
      <c r="N2362" s="324"/>
      <c r="O2362" s="324"/>
      <c r="P2362" s="324"/>
      <c r="Q2362" s="324"/>
      <c r="R2362" s="324"/>
      <c r="S2362" s="324"/>
      <c r="T2362" s="528"/>
      <c r="U2362" s="324"/>
      <c r="V2362" s="676"/>
      <c r="W2362" s="528"/>
      <c r="X2362" s="529"/>
      <c r="Y2362" s="323"/>
    </row>
    <row r="2363" spans="1:27" thickBot="1" x14ac:dyDescent="0.45">
      <c r="A2363" s="319"/>
      <c r="B2363" s="382" t="s">
        <v>147</v>
      </c>
      <c r="C2363" s="596"/>
      <c r="D2363" s="596"/>
      <c r="E2363" s="506">
        <f>E2246+E2247+E2248+E2250+E2251+E2252+E2253+E2254+E2255+E2256+E2257+E2258+E2259+E2260+E2261+E2263+E2264+E2265+E2266+E2267+E2268+E2269+E2270+E2271+E2272+E2273+E2274+E2285+E2286+E2287+E2288+E2289+E2290+E2291+E2292+E2293+E2294+E2296+E2297+E2298+E2299+E2300+E2301+E2302+E2303+E2304+E2305+E2306+E2307+E2308+E2311+E2312+E2313+E2314+E2315+E2316+E2317+E2318+E2319+E2320+E2321+E2322+E2323+E2324+E2325+E2326+E2327+E2328+E2329+E2332+E2333+E2334+E2335+E2336+E2337+E2338+E2339+E2340+E2345+E2346+E2347+E2351+E2352+E2354+E2355+E2357+E2348+E2349+E2350+E2341+E2342+E2343+E2330+E2309+E2310+E2275+E2276+E2277+E2278+E2279+E2280+E2281+E2282+E2283+E2284</f>
        <v>16320</v>
      </c>
      <c r="F2363" s="411"/>
      <c r="G2363" s="561"/>
      <c r="H2363" s="411"/>
      <c r="I2363" s="561"/>
      <c r="J2363" s="411"/>
      <c r="K2363" s="411"/>
      <c r="L2363" s="411"/>
      <c r="M2363" s="411"/>
      <c r="N2363" s="411"/>
      <c r="O2363" s="411"/>
      <c r="P2363" s="411"/>
      <c r="Q2363" s="411"/>
      <c r="R2363" s="411"/>
      <c r="S2363" s="411"/>
      <c r="T2363" s="561"/>
      <c r="U2363" s="411"/>
      <c r="V2363" s="689"/>
      <c r="W2363" s="561"/>
      <c r="X2363" s="562"/>
      <c r="Y2363" s="323"/>
    </row>
    <row r="2364" spans="1:27" thickBot="1" x14ac:dyDescent="0.45">
      <c r="A2364" s="356"/>
      <c r="B2364" s="398" t="s">
        <v>669</v>
      </c>
      <c r="C2364" s="597"/>
      <c r="D2364" s="597"/>
      <c r="E2364" s="507">
        <f>E2344</f>
        <v>0</v>
      </c>
      <c r="F2364" s="393"/>
      <c r="G2364" s="583"/>
      <c r="H2364" s="393"/>
      <c r="I2364" s="583"/>
      <c r="J2364" s="393"/>
      <c r="K2364" s="393"/>
      <c r="L2364" s="393"/>
      <c r="M2364" s="393"/>
      <c r="N2364" s="393"/>
      <c r="O2364" s="393"/>
      <c r="P2364" s="393"/>
      <c r="Q2364" s="393"/>
      <c r="R2364" s="393"/>
      <c r="S2364" s="393"/>
      <c r="T2364" s="583"/>
      <c r="U2364" s="393"/>
      <c r="V2364" s="696"/>
      <c r="W2364" s="583"/>
      <c r="X2364" s="393"/>
      <c r="Y2364" s="396"/>
    </row>
    <row r="2365" spans="1:27" thickBot="1" x14ac:dyDescent="0.45">
      <c r="A2365" s="356"/>
      <c r="B2365" s="304" t="s">
        <v>1055</v>
      </c>
      <c r="C2365" s="590"/>
      <c r="D2365" s="590"/>
      <c r="E2365" s="508">
        <f>E2363*2.5%</f>
        <v>408</v>
      </c>
      <c r="F2365" s="399"/>
      <c r="G2365" s="572"/>
      <c r="H2365" s="399"/>
      <c r="I2365" s="572"/>
      <c r="J2365" s="399"/>
      <c r="K2365" s="399"/>
      <c r="L2365" s="399"/>
      <c r="M2365" s="399"/>
      <c r="N2365" s="399"/>
      <c r="O2365" s="399"/>
      <c r="P2365" s="399"/>
      <c r="Q2365" s="399"/>
      <c r="R2365" s="399"/>
      <c r="S2365" s="399"/>
      <c r="T2365" s="572"/>
      <c r="U2365" s="399"/>
      <c r="V2365" s="694"/>
      <c r="W2365" s="572"/>
      <c r="X2365" s="399"/>
      <c r="Y2365" s="396"/>
    </row>
    <row r="2366" spans="1:27" thickBot="1" x14ac:dyDescent="0.45">
      <c r="A2366" s="356"/>
      <c r="B2366" s="398"/>
      <c r="C2366" s="590"/>
      <c r="D2366" s="590"/>
      <c r="E2366" s="504"/>
      <c r="F2366" s="399"/>
      <c r="G2366" s="572"/>
      <c r="H2366" s="399"/>
      <c r="I2366" s="572"/>
      <c r="J2366" s="399"/>
      <c r="K2366" s="399"/>
      <c r="L2366" s="399"/>
      <c r="M2366" s="399"/>
      <c r="N2366" s="399"/>
      <c r="O2366" s="399"/>
      <c r="P2366" s="399"/>
      <c r="Q2366" s="399"/>
      <c r="R2366" s="399"/>
      <c r="S2366" s="399"/>
      <c r="T2366" s="572"/>
      <c r="U2366" s="399"/>
      <c r="V2366" s="694"/>
      <c r="W2366" s="572"/>
      <c r="X2366" s="399"/>
      <c r="Y2366" s="396"/>
    </row>
    <row r="2367" spans="1:27" thickBot="1" x14ac:dyDescent="0.45">
      <c r="A2367" s="356"/>
      <c r="B2367" s="357"/>
      <c r="C2367" s="598"/>
      <c r="D2367" s="598"/>
      <c r="E2367" s="509"/>
      <c r="F2367" s="412"/>
      <c r="G2367" s="598"/>
      <c r="H2367" s="412"/>
      <c r="I2367" s="598"/>
      <c r="J2367" s="412"/>
      <c r="K2367" s="412"/>
      <c r="L2367" s="412"/>
      <c r="M2367" s="412"/>
      <c r="N2367" s="412"/>
      <c r="O2367" s="412"/>
      <c r="P2367" s="412"/>
      <c r="Q2367" s="412"/>
      <c r="R2367" s="412"/>
      <c r="S2367" s="412"/>
      <c r="T2367" s="598"/>
      <c r="U2367" s="412"/>
      <c r="V2367" s="697"/>
      <c r="W2367" s="598"/>
      <c r="X2367" s="412"/>
      <c r="Y2367" s="323"/>
    </row>
    <row r="2368" spans="1:27" thickBot="1" x14ac:dyDescent="0.45">
      <c r="A2368" s="829"/>
      <c r="B2368" s="305" t="s">
        <v>143</v>
      </c>
      <c r="C2368" s="559"/>
      <c r="D2368" s="559"/>
      <c r="E2368" s="510"/>
      <c r="F2368" s="471"/>
      <c r="G2368" s="559"/>
      <c r="H2368" s="471"/>
      <c r="I2368" s="559"/>
      <c r="J2368" s="471"/>
      <c r="K2368" s="471"/>
      <c r="L2368" s="471"/>
      <c r="M2368" s="471"/>
      <c r="N2368" s="471"/>
      <c r="O2368" s="471"/>
      <c r="P2368" s="471"/>
      <c r="Q2368" s="471"/>
      <c r="R2368" s="471"/>
      <c r="S2368" s="471"/>
      <c r="T2368" s="559"/>
      <c r="U2368" s="471"/>
      <c r="V2368" s="687"/>
      <c r="W2368" s="471"/>
      <c r="X2368" s="471"/>
      <c r="Y2368" s="373"/>
      <c r="AA2368" s="391" t="s">
        <v>680</v>
      </c>
    </row>
    <row r="2369" spans="1:27" thickBot="1" x14ac:dyDescent="0.45">
      <c r="A2369" s="319"/>
      <c r="B2369" s="332" t="s">
        <v>297</v>
      </c>
      <c r="C2369" s="528"/>
      <c r="D2369" s="528"/>
      <c r="E2369" s="460"/>
      <c r="F2369" s="324"/>
      <c r="G2369" s="528"/>
      <c r="H2369" s="324"/>
      <c r="I2369" s="528"/>
      <c r="J2369" s="324"/>
      <c r="K2369" s="324"/>
      <c r="L2369" s="324"/>
      <c r="M2369" s="324"/>
      <c r="N2369" s="324"/>
      <c r="O2369" s="324"/>
      <c r="P2369" s="324"/>
      <c r="Q2369" s="324"/>
      <c r="R2369" s="324"/>
      <c r="S2369" s="324"/>
      <c r="T2369" s="528"/>
      <c r="U2369" s="324"/>
      <c r="V2369" s="676"/>
      <c r="W2369" s="528"/>
      <c r="X2369" s="529"/>
      <c r="Y2369" s="323"/>
    </row>
    <row r="2370" spans="1:27" ht="51.75" thickBot="1" x14ac:dyDescent="0.45">
      <c r="A2370" s="319" t="s">
        <v>733</v>
      </c>
      <c r="B2370" s="320" t="s">
        <v>620</v>
      </c>
      <c r="C2370" s="586">
        <f>C2246</f>
        <v>0</v>
      </c>
      <c r="D2370" s="528">
        <f>C2370*12</f>
        <v>0</v>
      </c>
      <c r="E2370" s="460">
        <f>D2370*0.255</f>
        <v>0</v>
      </c>
      <c r="F2370" s="324">
        <f>E2370*1.03*1.05/173</f>
        <v>0</v>
      </c>
      <c r="G2370" s="528">
        <f t="shared" ref="G2370:G2375" si="890">INT(M2370)</f>
        <v>0</v>
      </c>
      <c r="H2370" s="324" t="s">
        <v>18</v>
      </c>
      <c r="I2370" s="528">
        <f t="shared" ref="I2370:I2375" si="891">(M2370-G2370)*64</f>
        <v>0</v>
      </c>
      <c r="J2370" s="324" t="s">
        <v>19</v>
      </c>
      <c r="K2370" s="324"/>
      <c r="L2370" s="324"/>
      <c r="M2370" s="324">
        <f>(F2370*7673)/2880</f>
        <v>0</v>
      </c>
      <c r="N2370" s="324"/>
      <c r="O2370" s="324"/>
      <c r="P2370" s="324"/>
      <c r="Q2370" s="324" t="s">
        <v>18</v>
      </c>
      <c r="R2370" s="324"/>
      <c r="S2370" s="324" t="s">
        <v>19</v>
      </c>
      <c r="T2370" s="528">
        <v>6</v>
      </c>
      <c r="U2370" s="324">
        <f>E2370/207*60</f>
        <v>0</v>
      </c>
      <c r="V2370" s="676"/>
      <c r="W2370" s="528"/>
      <c r="X2370" s="529"/>
      <c r="Y2370" s="323"/>
      <c r="Z2370" s="312">
        <f t="shared" ref="Z2370:Z2375" si="892">E2370</f>
        <v>0</v>
      </c>
      <c r="AA2370" s="316">
        <f>SUM(Z2370/450+0.25)</f>
        <v>0.25</v>
      </c>
    </row>
    <row r="2371" spans="1:27" ht="51.75" thickBot="1" x14ac:dyDescent="0.45">
      <c r="A2371" s="319" t="s">
        <v>733</v>
      </c>
      <c r="B2371" s="320" t="s">
        <v>621</v>
      </c>
      <c r="C2371" s="586">
        <f>C2247</f>
        <v>0</v>
      </c>
      <c r="D2371" s="528">
        <f>C2371*12</f>
        <v>0</v>
      </c>
      <c r="E2371" s="460">
        <f>D2371*0.255</f>
        <v>0</v>
      </c>
      <c r="F2371" s="324">
        <f>E2371*1.03*1.05/173</f>
        <v>0</v>
      </c>
      <c r="G2371" s="528">
        <f t="shared" si="890"/>
        <v>0</v>
      </c>
      <c r="H2371" s="324" t="s">
        <v>18</v>
      </c>
      <c r="I2371" s="528">
        <f t="shared" si="891"/>
        <v>0</v>
      </c>
      <c r="J2371" s="324" t="s">
        <v>19</v>
      </c>
      <c r="K2371" s="324"/>
      <c r="L2371" s="324"/>
      <c r="M2371" s="324">
        <f>(F2371*7673)/2880</f>
        <v>0</v>
      </c>
      <c r="N2371" s="324"/>
      <c r="O2371" s="324"/>
      <c r="P2371" s="324"/>
      <c r="Q2371" s="324" t="s">
        <v>18</v>
      </c>
      <c r="R2371" s="324"/>
      <c r="S2371" s="324" t="s">
        <v>19</v>
      </c>
      <c r="T2371" s="528">
        <v>3</v>
      </c>
      <c r="U2371" s="324">
        <f>E2371/207*60</f>
        <v>0</v>
      </c>
      <c r="V2371" s="676"/>
      <c r="W2371" s="528"/>
      <c r="X2371" s="529"/>
      <c r="Y2371" s="323"/>
      <c r="Z2371" s="312">
        <f t="shared" si="892"/>
        <v>0</v>
      </c>
      <c r="AA2371" s="316">
        <f>SUM(Z2371/450+0.25)</f>
        <v>0.25</v>
      </c>
    </row>
    <row r="2372" spans="1:27" ht="51.75" thickBot="1" x14ac:dyDescent="0.45">
      <c r="A2372" s="319" t="s">
        <v>733</v>
      </c>
      <c r="B2372" s="320" t="s">
        <v>622</v>
      </c>
      <c r="C2372" s="586">
        <f>C2248</f>
        <v>0</v>
      </c>
      <c r="D2372" s="528">
        <f>C2372*12</f>
        <v>0</v>
      </c>
      <c r="E2372" s="460">
        <f>D2372*0.255</f>
        <v>0</v>
      </c>
      <c r="F2372" s="324">
        <f>E2372*1.03*1.05/173</f>
        <v>0</v>
      </c>
      <c r="G2372" s="528">
        <f t="shared" si="890"/>
        <v>0</v>
      </c>
      <c r="H2372" s="324" t="s">
        <v>18</v>
      </c>
      <c r="I2372" s="528">
        <f t="shared" si="891"/>
        <v>0</v>
      </c>
      <c r="J2372" s="324" t="s">
        <v>19</v>
      </c>
      <c r="K2372" s="324"/>
      <c r="L2372" s="324"/>
      <c r="M2372" s="324">
        <f>(F2372*7673)/2880</f>
        <v>0</v>
      </c>
      <c r="N2372" s="324"/>
      <c r="O2372" s="324"/>
      <c r="P2372" s="324"/>
      <c r="Q2372" s="324" t="s">
        <v>18</v>
      </c>
      <c r="R2372" s="324"/>
      <c r="S2372" s="324" t="s">
        <v>19</v>
      </c>
      <c r="T2372" s="528">
        <v>3</v>
      </c>
      <c r="U2372" s="324">
        <f>E2372/207*60</f>
        <v>0</v>
      </c>
      <c r="V2372" s="676"/>
      <c r="W2372" s="528"/>
      <c r="X2372" s="529"/>
      <c r="Y2372" s="323"/>
      <c r="Z2372" s="312">
        <f t="shared" si="892"/>
        <v>0</v>
      </c>
      <c r="AA2372" s="316">
        <f>SUM(Z2372/450+0.25)</f>
        <v>0.25</v>
      </c>
    </row>
    <row r="2373" spans="1:27" ht="51.75" thickBot="1" x14ac:dyDescent="0.45">
      <c r="A2373" s="319" t="s">
        <v>733</v>
      </c>
      <c r="B2373" s="320" t="s">
        <v>619</v>
      </c>
      <c r="C2373" s="528">
        <f>C1935</f>
        <v>0</v>
      </c>
      <c r="D2373" s="525">
        <f>C2373*10</f>
        <v>0</v>
      </c>
      <c r="E2373" s="545">
        <f>D2373*0.25</f>
        <v>0</v>
      </c>
      <c r="F2373" s="461">
        <f>E2373*1.15*0.82/173</f>
        <v>0</v>
      </c>
      <c r="G2373" s="525">
        <f t="shared" si="890"/>
        <v>0</v>
      </c>
      <c r="H2373" s="461" t="s">
        <v>18</v>
      </c>
      <c r="I2373" s="525">
        <f t="shared" si="891"/>
        <v>0</v>
      </c>
      <c r="J2373" s="461" t="s">
        <v>19</v>
      </c>
      <c r="K2373" s="461"/>
      <c r="L2373" s="461"/>
      <c r="M2373" s="461">
        <f>(F2373*7863)/3456</f>
        <v>0</v>
      </c>
      <c r="N2373" s="461"/>
      <c r="O2373" s="461"/>
      <c r="P2373" s="461"/>
      <c r="Q2373" s="324" t="s">
        <v>18</v>
      </c>
      <c r="R2373" s="324"/>
      <c r="S2373" s="324" t="s">
        <v>19</v>
      </c>
      <c r="T2373" s="528">
        <v>7</v>
      </c>
      <c r="U2373" s="324">
        <f>E2373/272*60</f>
        <v>0</v>
      </c>
      <c r="V2373" s="676"/>
      <c r="W2373" s="528"/>
      <c r="X2373" s="529"/>
      <c r="Y2373" s="323"/>
      <c r="Z2373" s="312">
        <f t="shared" si="892"/>
        <v>0</v>
      </c>
      <c r="AA2373" s="316">
        <f>SUM(Z2373/280+0.25)</f>
        <v>0.25</v>
      </c>
    </row>
    <row r="2374" spans="1:27" ht="51.75" thickBot="1" x14ac:dyDescent="0.45">
      <c r="A2374" s="319" t="s">
        <v>733</v>
      </c>
      <c r="B2374" s="320" t="s">
        <v>911</v>
      </c>
      <c r="C2374" s="528">
        <f>C135+C359+C587</f>
        <v>0</v>
      </c>
      <c r="D2374" s="525">
        <f>C2374*10</f>
        <v>0</v>
      </c>
      <c r="E2374" s="545">
        <f>D2374*0.2</f>
        <v>0</v>
      </c>
      <c r="F2374" s="461">
        <f>E2374*1.15*0.82/173</f>
        <v>0</v>
      </c>
      <c r="G2374" s="525">
        <f t="shared" si="890"/>
        <v>0</v>
      </c>
      <c r="H2374" s="461" t="s">
        <v>18</v>
      </c>
      <c r="I2374" s="525">
        <f t="shared" si="891"/>
        <v>0</v>
      </c>
      <c r="J2374" s="461" t="s">
        <v>19</v>
      </c>
      <c r="K2374" s="461"/>
      <c r="L2374" s="461"/>
      <c r="M2374" s="461">
        <f>(F2374*9600)/3456</f>
        <v>0</v>
      </c>
      <c r="N2374" s="461"/>
      <c r="O2374" s="461"/>
      <c r="P2374" s="461"/>
      <c r="Q2374" s="324" t="s">
        <v>18</v>
      </c>
      <c r="R2374" s="324"/>
      <c r="S2374" s="324" t="s">
        <v>19</v>
      </c>
      <c r="T2374" s="528">
        <v>7</v>
      </c>
      <c r="U2374" s="324">
        <f>E2374/207*60</f>
        <v>0</v>
      </c>
      <c r="V2374" s="676"/>
      <c r="W2374" s="528"/>
      <c r="X2374" s="529"/>
      <c r="Y2374" s="323"/>
      <c r="Z2374" s="312">
        <f t="shared" si="892"/>
        <v>0</v>
      </c>
      <c r="AA2374" s="316">
        <f>SUM(Z2374/225+0.25)</f>
        <v>0.25</v>
      </c>
    </row>
    <row r="2375" spans="1:27" ht="77.25" thickBot="1" x14ac:dyDescent="0.45">
      <c r="A2375" s="319" t="s">
        <v>733</v>
      </c>
      <c r="B2375" s="320" t="s">
        <v>813</v>
      </c>
      <c r="C2375" s="528">
        <f>C1937</f>
        <v>0</v>
      </c>
      <c r="D2375" s="525">
        <f>C2375*10</f>
        <v>0</v>
      </c>
      <c r="E2375" s="545">
        <f>D2375*0.2</f>
        <v>0</v>
      </c>
      <c r="F2375" s="461">
        <f>E2375*1.15*0.82/173</f>
        <v>0</v>
      </c>
      <c r="G2375" s="525">
        <f t="shared" si="890"/>
        <v>0</v>
      </c>
      <c r="H2375" s="461" t="s">
        <v>18</v>
      </c>
      <c r="I2375" s="525">
        <f t="shared" si="891"/>
        <v>0</v>
      </c>
      <c r="J2375" s="461" t="s">
        <v>19</v>
      </c>
      <c r="K2375" s="461"/>
      <c r="L2375" s="461"/>
      <c r="M2375" s="461">
        <f>(F2375*9600)/3456</f>
        <v>0</v>
      </c>
      <c r="N2375" s="461"/>
      <c r="O2375" s="461"/>
      <c r="P2375" s="461"/>
      <c r="Q2375" s="324" t="s">
        <v>18</v>
      </c>
      <c r="R2375" s="324"/>
      <c r="S2375" s="324" t="s">
        <v>19</v>
      </c>
      <c r="T2375" s="528">
        <v>7</v>
      </c>
      <c r="U2375" s="324">
        <f>E2375/207*60</f>
        <v>0</v>
      </c>
      <c r="V2375" s="676"/>
      <c r="W2375" s="528"/>
      <c r="X2375" s="529"/>
      <c r="Y2375" s="323"/>
      <c r="Z2375" s="312">
        <f t="shared" si="892"/>
        <v>0</v>
      </c>
      <c r="AA2375" s="316">
        <f>SUM(Z2375/225+0.25)</f>
        <v>0.25</v>
      </c>
    </row>
    <row r="2376" spans="1:27" outlineLevel="1" thickBot="1" x14ac:dyDescent="0.45">
      <c r="A2376" s="319"/>
      <c r="B2376" s="305" t="s">
        <v>623</v>
      </c>
      <c r="C2376" s="539"/>
      <c r="D2376" s="539"/>
      <c r="E2376" s="502"/>
      <c r="F2376" s="333"/>
      <c r="G2376" s="539"/>
      <c r="H2376" s="333"/>
      <c r="I2376" s="539"/>
      <c r="J2376" s="333"/>
      <c r="K2376" s="333"/>
      <c r="L2376" s="333"/>
      <c r="M2376" s="333"/>
      <c r="N2376" s="333"/>
      <c r="O2376" s="333"/>
      <c r="P2376" s="333"/>
      <c r="Q2376" s="333"/>
      <c r="R2376" s="333"/>
      <c r="S2376" s="333"/>
      <c r="T2376" s="539"/>
      <c r="U2376" s="333"/>
      <c r="V2376" s="681"/>
      <c r="W2376" s="333"/>
      <c r="X2376" s="333"/>
      <c r="Y2376" s="374"/>
    </row>
    <row r="2377" spans="1:27" ht="77.25" outlineLevel="1" thickBot="1" x14ac:dyDescent="0.45">
      <c r="A2377" s="319" t="s">
        <v>733</v>
      </c>
      <c r="B2377" s="320" t="s">
        <v>624</v>
      </c>
      <c r="C2377" s="586">
        <f>C2085</f>
        <v>0</v>
      </c>
      <c r="D2377" s="530">
        <f>C2377*10</f>
        <v>0</v>
      </c>
      <c r="E2377" s="460">
        <f>D2377*0.2</f>
        <v>0</v>
      </c>
      <c r="F2377" s="324">
        <f>E2377*0.97*0.8/19.6</f>
        <v>0</v>
      </c>
      <c r="G2377" s="528">
        <f>INT(M2377)</f>
        <v>0</v>
      </c>
      <c r="H2377" s="324" t="s">
        <v>18</v>
      </c>
      <c r="I2377" s="528">
        <f>(M2377-G2377)*64</f>
        <v>0</v>
      </c>
      <c r="J2377" s="324" t="s">
        <v>19</v>
      </c>
      <c r="K2377" s="324"/>
      <c r="L2377" s="324"/>
      <c r="M2377" s="324">
        <f>(F2377*1087/3456)</f>
        <v>0</v>
      </c>
      <c r="N2377" s="324"/>
      <c r="O2377" s="324"/>
      <c r="P2377" s="324"/>
      <c r="Q2377" s="324" t="s">
        <v>18</v>
      </c>
      <c r="R2377" s="324"/>
      <c r="S2377" s="324" t="s">
        <v>19</v>
      </c>
      <c r="T2377" s="528">
        <v>5</v>
      </c>
      <c r="U2377" s="324">
        <f>E2377/324*60</f>
        <v>0</v>
      </c>
      <c r="V2377" s="676"/>
      <c r="W2377" s="528"/>
      <c r="X2377" s="529"/>
      <c r="Y2377" s="323"/>
      <c r="Z2377" s="312">
        <f>E2377</f>
        <v>0</v>
      </c>
      <c r="AA2377" s="316">
        <f>SUM(Z2377/540+0.25)</f>
        <v>0.25</v>
      </c>
    </row>
    <row r="2378" spans="1:27" ht="132" outlineLevel="1" thickBot="1" x14ac:dyDescent="0.45">
      <c r="A2378" s="319" t="s">
        <v>795</v>
      </c>
      <c r="B2378" s="320" t="s">
        <v>625</v>
      </c>
      <c r="C2378" s="586">
        <f>C1939</f>
        <v>0</v>
      </c>
      <c r="D2378" s="530">
        <f>C2378*10</f>
        <v>0</v>
      </c>
      <c r="E2378" s="460">
        <f>D2378*0.2</f>
        <v>0</v>
      </c>
      <c r="F2378" s="324">
        <f>E2378*0.97*0.8/19.6</f>
        <v>0</v>
      </c>
      <c r="G2378" s="528">
        <f>INT(M2378)</f>
        <v>0</v>
      </c>
      <c r="H2378" s="324" t="s">
        <v>18</v>
      </c>
      <c r="I2378" s="528">
        <f>(M2378-G2378)*64</f>
        <v>0</v>
      </c>
      <c r="J2378" s="324" t="s">
        <v>19</v>
      </c>
      <c r="K2378" s="324"/>
      <c r="L2378" s="324"/>
      <c r="M2378" s="324">
        <f>(F2378*1087/3456)</f>
        <v>0</v>
      </c>
      <c r="N2378" s="324"/>
      <c r="O2378" s="324"/>
      <c r="P2378" s="324"/>
      <c r="Q2378" s="324" t="s">
        <v>18</v>
      </c>
      <c r="R2378" s="324"/>
      <c r="S2378" s="324" t="s">
        <v>19</v>
      </c>
      <c r="T2378" s="528">
        <v>5</v>
      </c>
      <c r="U2378" s="324">
        <f>E2378/324*60</f>
        <v>0</v>
      </c>
      <c r="V2378" s="676"/>
      <c r="W2378" s="528"/>
      <c r="X2378" s="529"/>
      <c r="Y2378" s="323"/>
      <c r="Z2378" s="312">
        <f>E2378</f>
        <v>0</v>
      </c>
      <c r="AA2378" s="316">
        <f>SUM(Z2378/540+0.25)</f>
        <v>0.25</v>
      </c>
    </row>
    <row r="2379" spans="1:27" ht="105.75" outlineLevel="1" thickBot="1" x14ac:dyDescent="0.45">
      <c r="A2379" s="319" t="s">
        <v>793</v>
      </c>
      <c r="B2379" s="343" t="s">
        <v>626</v>
      </c>
      <c r="C2379" s="586">
        <f>C1940</f>
        <v>0</v>
      </c>
      <c r="D2379" s="530">
        <f>C2379*10</f>
        <v>0</v>
      </c>
      <c r="E2379" s="460">
        <f>D2379*0.2</f>
        <v>0</v>
      </c>
      <c r="F2379" s="324">
        <f>E2379*0.97*0.8/19.6</f>
        <v>0</v>
      </c>
      <c r="G2379" s="528">
        <f>INT(M2379)</f>
        <v>0</v>
      </c>
      <c r="H2379" s="324" t="s">
        <v>18</v>
      </c>
      <c r="I2379" s="528">
        <f>(M2379-G2379)*64</f>
        <v>0</v>
      </c>
      <c r="J2379" s="324" t="s">
        <v>19</v>
      </c>
      <c r="K2379" s="324"/>
      <c r="L2379" s="324"/>
      <c r="M2379" s="324">
        <f>(F2379*1087/3456)</f>
        <v>0</v>
      </c>
      <c r="N2379" s="324"/>
      <c r="O2379" s="324"/>
      <c r="P2379" s="324"/>
      <c r="Q2379" s="324" t="s">
        <v>18</v>
      </c>
      <c r="R2379" s="324"/>
      <c r="S2379" s="324" t="s">
        <v>19</v>
      </c>
      <c r="T2379" s="528">
        <v>5</v>
      </c>
      <c r="U2379" s="324">
        <f>E2379/259*60</f>
        <v>0</v>
      </c>
      <c r="V2379" s="676"/>
      <c r="W2379" s="528"/>
      <c r="X2379" s="529"/>
      <c r="Y2379" s="323"/>
      <c r="Z2379" s="312">
        <f>E2379</f>
        <v>0</v>
      </c>
      <c r="AA2379" s="316">
        <f>SUM(Z2379/540+0.25)</f>
        <v>0.25</v>
      </c>
    </row>
    <row r="2380" spans="1:27" thickBot="1" x14ac:dyDescent="0.45">
      <c r="A2380" s="329"/>
      <c r="B2380" s="332" t="s">
        <v>285</v>
      </c>
      <c r="C2380" s="528"/>
      <c r="D2380" s="528"/>
      <c r="E2380" s="460"/>
      <c r="F2380" s="324"/>
      <c r="G2380" s="528"/>
      <c r="H2380" s="324"/>
      <c r="I2380" s="528"/>
      <c r="J2380" s="324"/>
      <c r="K2380" s="324"/>
      <c r="L2380" s="324"/>
      <c r="M2380" s="324"/>
      <c r="N2380" s="324"/>
      <c r="O2380" s="324"/>
      <c r="P2380" s="324"/>
      <c r="Q2380" s="324"/>
      <c r="R2380" s="324"/>
      <c r="S2380" s="324"/>
      <c r="T2380" s="528"/>
      <c r="U2380" s="324"/>
      <c r="V2380" s="676"/>
      <c r="W2380" s="528"/>
      <c r="X2380" s="529"/>
      <c r="Y2380" s="323"/>
    </row>
    <row r="2381" spans="1:27" ht="105.75" thickBot="1" x14ac:dyDescent="0.45">
      <c r="A2381" s="319" t="s">
        <v>733</v>
      </c>
      <c r="B2381" s="320" t="s">
        <v>858</v>
      </c>
      <c r="C2381" s="528">
        <f>C1968</f>
        <v>0</v>
      </c>
      <c r="D2381" s="551">
        <f>C2381*18</f>
        <v>0</v>
      </c>
      <c r="E2381" s="456">
        <f>D2381*0.18</f>
        <v>0</v>
      </c>
      <c r="F2381" s="358">
        <f>E2381*1.03*0.8/147</f>
        <v>0</v>
      </c>
      <c r="G2381" s="548">
        <f t="shared" ref="G2381:G2401" si="893">INT(M2381)</f>
        <v>0</v>
      </c>
      <c r="H2381" s="358" t="s">
        <v>18</v>
      </c>
      <c r="I2381" s="548">
        <f t="shared" ref="I2381:I2401" si="894">(M2381-G2381)*64</f>
        <v>0</v>
      </c>
      <c r="J2381" s="358" t="s">
        <v>19</v>
      </c>
      <c r="K2381" s="358"/>
      <c r="L2381" s="358"/>
      <c r="M2381" s="358">
        <f>F2381*5960/3456</f>
        <v>0</v>
      </c>
      <c r="N2381" s="324"/>
      <c r="O2381" s="324"/>
      <c r="P2381" s="324"/>
      <c r="Q2381" s="324" t="s">
        <v>18</v>
      </c>
      <c r="R2381" s="324"/>
      <c r="S2381" s="324" t="s">
        <v>19</v>
      </c>
      <c r="T2381" s="528">
        <v>5</v>
      </c>
      <c r="U2381" s="324">
        <f t="shared" ref="U2381:U2387" si="895">E2381/220*60</f>
        <v>0</v>
      </c>
      <c r="V2381" s="676"/>
      <c r="W2381" s="528"/>
      <c r="X2381" s="529"/>
      <c r="Y2381" s="323" t="s">
        <v>1014</v>
      </c>
      <c r="Z2381" s="312">
        <f t="shared" ref="Z2381:Z2455" si="896">E2381</f>
        <v>0</v>
      </c>
      <c r="AA2381" s="316">
        <f>SUM(Z2381/307+0.25)</f>
        <v>0.25</v>
      </c>
    </row>
    <row r="2382" spans="1:27" ht="51.75" thickBot="1" x14ac:dyDescent="0.45">
      <c r="A2382" s="319" t="s">
        <v>733</v>
      </c>
      <c r="B2382" s="320" t="s">
        <v>1031</v>
      </c>
      <c r="C2382" s="528">
        <f>C1969</f>
        <v>0</v>
      </c>
      <c r="D2382" s="530">
        <f>C2382*22</f>
        <v>0</v>
      </c>
      <c r="E2382" s="460">
        <f>D2382*0.18</f>
        <v>0</v>
      </c>
      <c r="F2382" s="324">
        <f>E2382*1.03*0.8/147</f>
        <v>0</v>
      </c>
      <c r="G2382" s="528">
        <f t="shared" si="893"/>
        <v>0</v>
      </c>
      <c r="H2382" s="324" t="s">
        <v>18</v>
      </c>
      <c r="I2382" s="528">
        <f t="shared" si="894"/>
        <v>0</v>
      </c>
      <c r="J2382" s="324" t="s">
        <v>19</v>
      </c>
      <c r="K2382" s="324"/>
      <c r="L2382" s="324"/>
      <c r="M2382" s="324">
        <f>F2382*5960/3456</f>
        <v>0</v>
      </c>
      <c r="N2382" s="324"/>
      <c r="O2382" s="324"/>
      <c r="P2382" s="324"/>
      <c r="Q2382" s="324" t="s">
        <v>18</v>
      </c>
      <c r="R2382" s="324"/>
      <c r="S2382" s="324" t="s">
        <v>19</v>
      </c>
      <c r="T2382" s="528" t="s">
        <v>923</v>
      </c>
      <c r="U2382" s="324">
        <f t="shared" si="895"/>
        <v>0</v>
      </c>
      <c r="V2382" s="676"/>
      <c r="W2382" s="528"/>
      <c r="X2382" s="529"/>
      <c r="Y2382" s="300"/>
      <c r="Z2382" s="312">
        <f>E2382</f>
        <v>0</v>
      </c>
      <c r="AA2382" s="316">
        <f>SUM(Z2382/307+0.25)</f>
        <v>0.25</v>
      </c>
    </row>
    <row r="2383" spans="1:27" ht="77.25" thickBot="1" x14ac:dyDescent="0.45">
      <c r="A2383" s="319" t="s">
        <v>733</v>
      </c>
      <c r="B2383" s="320" t="s">
        <v>893</v>
      </c>
      <c r="C2383" s="528">
        <f>C1970</f>
        <v>0</v>
      </c>
      <c r="D2383" s="551">
        <f>C2383*18</f>
        <v>0</v>
      </c>
      <c r="E2383" s="456">
        <f>D2383*0.18</f>
        <v>0</v>
      </c>
      <c r="F2383" s="358">
        <f>E2383*1.03*0.8/147</f>
        <v>0</v>
      </c>
      <c r="G2383" s="548">
        <f t="shared" si="893"/>
        <v>0</v>
      </c>
      <c r="H2383" s="358" t="s">
        <v>18</v>
      </c>
      <c r="I2383" s="548">
        <f t="shared" si="894"/>
        <v>0</v>
      </c>
      <c r="J2383" s="358" t="s">
        <v>19</v>
      </c>
      <c r="K2383" s="358"/>
      <c r="L2383" s="358"/>
      <c r="M2383" s="358">
        <f>F2383*5960/3456</f>
        <v>0</v>
      </c>
      <c r="N2383" s="324"/>
      <c r="O2383" s="324"/>
      <c r="P2383" s="324"/>
      <c r="Q2383" s="324" t="s">
        <v>18</v>
      </c>
      <c r="R2383" s="324"/>
      <c r="S2383" s="324" t="s">
        <v>19</v>
      </c>
      <c r="T2383" s="528">
        <v>4</v>
      </c>
      <c r="U2383" s="324">
        <f t="shared" si="895"/>
        <v>0</v>
      </c>
      <c r="V2383" s="676"/>
      <c r="W2383" s="528"/>
      <c r="X2383" s="529"/>
      <c r="Y2383" s="323"/>
      <c r="Z2383" s="312">
        <f t="shared" si="896"/>
        <v>0</v>
      </c>
      <c r="AA2383" s="316">
        <f>SUM(Z2383/307+0.25)</f>
        <v>0.25</v>
      </c>
    </row>
    <row r="2384" spans="1:27" ht="51.75" thickBot="1" x14ac:dyDescent="0.45">
      <c r="A2384" s="319" t="s">
        <v>733</v>
      </c>
      <c r="B2384" s="320" t="s">
        <v>880</v>
      </c>
      <c r="C2384" s="528">
        <f>C1983</f>
        <v>0</v>
      </c>
      <c r="D2384" s="550">
        <f>C2384*18</f>
        <v>0</v>
      </c>
      <c r="E2384" s="358">
        <f>D2384*0.24</f>
        <v>0</v>
      </c>
      <c r="F2384" s="358">
        <f>E2384*0.81/147</f>
        <v>0</v>
      </c>
      <c r="G2384" s="548">
        <f t="shared" si="893"/>
        <v>0</v>
      </c>
      <c r="H2384" s="358" t="s">
        <v>18</v>
      </c>
      <c r="I2384" s="548">
        <f t="shared" si="894"/>
        <v>0</v>
      </c>
      <c r="J2384" s="358" t="s">
        <v>19</v>
      </c>
      <c r="K2384" s="358"/>
      <c r="L2384" s="358"/>
      <c r="M2384" s="358">
        <f>F2384*6125/3456</f>
        <v>0</v>
      </c>
      <c r="N2384" s="358"/>
      <c r="O2384" s="358"/>
      <c r="P2384" s="358"/>
      <c r="Q2384" s="358" t="s">
        <v>18</v>
      </c>
      <c r="R2384" s="358"/>
      <c r="S2384" s="358" t="s">
        <v>19</v>
      </c>
      <c r="T2384" s="528">
        <v>4</v>
      </c>
      <c r="U2384" s="324">
        <f t="shared" si="895"/>
        <v>0</v>
      </c>
      <c r="V2384" s="676"/>
      <c r="W2384" s="528"/>
      <c r="X2384" s="529"/>
      <c r="Y2384" s="323"/>
      <c r="Z2384" s="312">
        <f t="shared" si="896"/>
        <v>0</v>
      </c>
      <c r="AA2384" s="316">
        <f>SUM(Z2384/350.9+0.25)</f>
        <v>0.25</v>
      </c>
    </row>
    <row r="2385" spans="1:27" ht="105.75" thickBot="1" x14ac:dyDescent="0.45">
      <c r="A2385" s="319" t="s">
        <v>733</v>
      </c>
      <c r="B2385" s="320" t="s">
        <v>859</v>
      </c>
      <c r="C2385" s="528">
        <f>C2093</f>
        <v>0</v>
      </c>
      <c r="D2385" s="551">
        <f>C2385*18</f>
        <v>0</v>
      </c>
      <c r="E2385" s="456">
        <f>D2385*0.18</f>
        <v>0</v>
      </c>
      <c r="F2385" s="358">
        <f>E2385*0.84/147</f>
        <v>0</v>
      </c>
      <c r="G2385" s="548">
        <f t="shared" si="893"/>
        <v>0</v>
      </c>
      <c r="H2385" s="358" t="s">
        <v>18</v>
      </c>
      <c r="I2385" s="548">
        <f t="shared" si="894"/>
        <v>0</v>
      </c>
      <c r="J2385" s="358" t="s">
        <v>19</v>
      </c>
      <c r="K2385" s="358"/>
      <c r="L2385" s="358"/>
      <c r="M2385" s="358">
        <f>F2385*5880/3456</f>
        <v>0</v>
      </c>
      <c r="N2385" s="324"/>
      <c r="O2385" s="324"/>
      <c r="P2385" s="324"/>
      <c r="Q2385" s="324" t="s">
        <v>18</v>
      </c>
      <c r="R2385" s="324"/>
      <c r="S2385" s="324" t="s">
        <v>19</v>
      </c>
      <c r="T2385" s="528">
        <v>5</v>
      </c>
      <c r="U2385" s="324">
        <f t="shared" si="895"/>
        <v>0</v>
      </c>
      <c r="V2385" s="676"/>
      <c r="W2385" s="528"/>
      <c r="X2385" s="529"/>
      <c r="Y2385" s="323" t="s">
        <v>1014</v>
      </c>
      <c r="Z2385" s="312">
        <f t="shared" si="896"/>
        <v>0</v>
      </c>
      <c r="AA2385" s="316">
        <f>SUM(Z2385/240+0.25)</f>
        <v>0.25</v>
      </c>
    </row>
    <row r="2386" spans="1:27" ht="77.25" thickBot="1" x14ac:dyDescent="0.45">
      <c r="A2386" s="319" t="s">
        <v>733</v>
      </c>
      <c r="B2386" s="320" t="s">
        <v>1032</v>
      </c>
      <c r="C2386" s="528">
        <f>C2094</f>
        <v>0</v>
      </c>
      <c r="D2386" s="530">
        <f>C2386*22</f>
        <v>0</v>
      </c>
      <c r="E2386" s="460">
        <f>D2386*0.18</f>
        <v>0</v>
      </c>
      <c r="F2386" s="324">
        <f>E2386*0.84/147</f>
        <v>0</v>
      </c>
      <c r="G2386" s="528">
        <f t="shared" si="893"/>
        <v>0</v>
      </c>
      <c r="H2386" s="324" t="s">
        <v>18</v>
      </c>
      <c r="I2386" s="528">
        <f t="shared" si="894"/>
        <v>0</v>
      </c>
      <c r="J2386" s="324" t="s">
        <v>19</v>
      </c>
      <c r="K2386" s="324"/>
      <c r="L2386" s="324"/>
      <c r="M2386" s="324">
        <f>F2386*5880/3456</f>
        <v>0</v>
      </c>
      <c r="N2386" s="324"/>
      <c r="O2386" s="324"/>
      <c r="P2386" s="324"/>
      <c r="Q2386" s="324" t="s">
        <v>18</v>
      </c>
      <c r="R2386" s="324"/>
      <c r="S2386" s="324" t="s">
        <v>19</v>
      </c>
      <c r="T2386" s="528" t="s">
        <v>923</v>
      </c>
      <c r="U2386" s="324">
        <f t="shared" si="895"/>
        <v>0</v>
      </c>
      <c r="V2386" s="676"/>
      <c r="W2386" s="528"/>
      <c r="X2386" s="529"/>
      <c r="Y2386" s="323"/>
      <c r="Z2386" s="312">
        <f>E2386</f>
        <v>0</v>
      </c>
      <c r="AA2386" s="316">
        <f>SUM(Z2386/240+0.25)</f>
        <v>0.25</v>
      </c>
    </row>
    <row r="2387" spans="1:27" ht="51.75" thickBot="1" x14ac:dyDescent="0.45">
      <c r="A2387" s="319" t="s">
        <v>733</v>
      </c>
      <c r="B2387" s="320" t="s">
        <v>1036</v>
      </c>
      <c r="C2387" s="586">
        <f>C1971</f>
        <v>0</v>
      </c>
      <c r="D2387" s="550">
        <f>C2387*22</f>
        <v>0</v>
      </c>
      <c r="E2387" s="456">
        <f>D2387*0.2</f>
        <v>0</v>
      </c>
      <c r="F2387" s="358">
        <f>E2387*1.03*0.82/147</f>
        <v>0</v>
      </c>
      <c r="G2387" s="548">
        <f t="shared" si="893"/>
        <v>0</v>
      </c>
      <c r="H2387" s="358" t="s">
        <v>18</v>
      </c>
      <c r="I2387" s="548">
        <f t="shared" si="894"/>
        <v>0</v>
      </c>
      <c r="J2387" s="358" t="s">
        <v>19</v>
      </c>
      <c r="K2387" s="358"/>
      <c r="L2387" s="358"/>
      <c r="M2387" s="358">
        <f>F2387*5250/3456</f>
        <v>0</v>
      </c>
      <c r="N2387" s="358"/>
      <c r="O2387" s="358"/>
      <c r="P2387" s="358"/>
      <c r="Q2387" s="358" t="s">
        <v>18</v>
      </c>
      <c r="R2387" s="358"/>
      <c r="S2387" s="358" t="s">
        <v>19</v>
      </c>
      <c r="T2387" s="528">
        <v>5</v>
      </c>
      <c r="U2387" s="324">
        <f t="shared" si="895"/>
        <v>0</v>
      </c>
      <c r="V2387" s="676"/>
      <c r="W2387" s="528"/>
      <c r="X2387" s="529"/>
      <c r="Y2387" s="323"/>
      <c r="Z2387" s="312">
        <f t="shared" si="896"/>
        <v>0</v>
      </c>
      <c r="AA2387" s="316">
        <f>G2387/2.8+0.25</f>
        <v>0.25</v>
      </c>
    </row>
    <row r="2388" spans="1:27" ht="51.75" thickBot="1" x14ac:dyDescent="0.45">
      <c r="A2388" s="319" t="s">
        <v>733</v>
      </c>
      <c r="B2388" s="320" t="s">
        <v>1001</v>
      </c>
      <c r="C2388" s="586">
        <f>C1972</f>
        <v>0</v>
      </c>
      <c r="D2388" s="551">
        <f>C2388*22</f>
        <v>0</v>
      </c>
      <c r="E2388" s="456">
        <f>D2388*0.2</f>
        <v>0</v>
      </c>
      <c r="F2388" s="358">
        <f>E2388*1.03*0.82/147</f>
        <v>0</v>
      </c>
      <c r="G2388" s="548">
        <f t="shared" si="893"/>
        <v>0</v>
      </c>
      <c r="H2388" s="358" t="s">
        <v>18</v>
      </c>
      <c r="I2388" s="548">
        <f t="shared" si="894"/>
        <v>0</v>
      </c>
      <c r="J2388" s="358" t="s">
        <v>19</v>
      </c>
      <c r="K2388" s="358"/>
      <c r="L2388" s="358"/>
      <c r="M2388" s="358">
        <f>F2388*5250/3456</f>
        <v>0</v>
      </c>
      <c r="N2388" s="358"/>
      <c r="O2388" s="358"/>
      <c r="P2388" s="358"/>
      <c r="Q2388" s="358" t="s">
        <v>18</v>
      </c>
      <c r="R2388" s="358"/>
      <c r="S2388" s="358" t="s">
        <v>19</v>
      </c>
      <c r="T2388" s="528">
        <v>5</v>
      </c>
      <c r="U2388" s="354">
        <f t="shared" ref="U2388:U2395" si="897">E2388/259*60</f>
        <v>0</v>
      </c>
      <c r="V2388" s="676"/>
      <c r="W2388" s="528"/>
      <c r="X2388" s="529"/>
      <c r="Y2388" s="323"/>
      <c r="Z2388" s="312">
        <f t="shared" si="896"/>
        <v>0</v>
      </c>
      <c r="AA2388" s="316">
        <f>SUM(Z2388/307+0.25)</f>
        <v>0.25</v>
      </c>
    </row>
    <row r="2389" spans="1:27" ht="77.25" thickBot="1" x14ac:dyDescent="0.45">
      <c r="A2389" s="319" t="s">
        <v>733</v>
      </c>
      <c r="B2389" s="320" t="s">
        <v>796</v>
      </c>
      <c r="C2389" s="528">
        <f>C195+C423+C651</f>
        <v>0</v>
      </c>
      <c r="D2389" s="551">
        <f>C2389*8</f>
        <v>0</v>
      </c>
      <c r="E2389" s="456">
        <f>D2389*0.25</f>
        <v>0</v>
      </c>
      <c r="F2389" s="358">
        <f>E2389*1.015*0.72/147</f>
        <v>0</v>
      </c>
      <c r="G2389" s="548">
        <f t="shared" si="893"/>
        <v>0</v>
      </c>
      <c r="H2389" s="358" t="s">
        <v>18</v>
      </c>
      <c r="I2389" s="548">
        <f t="shared" si="894"/>
        <v>0</v>
      </c>
      <c r="J2389" s="358" t="s">
        <v>19</v>
      </c>
      <c r="K2389" s="358"/>
      <c r="L2389" s="358"/>
      <c r="M2389" s="552">
        <f>(F2389*6447/3456)</f>
        <v>0</v>
      </c>
      <c r="N2389" s="324"/>
      <c r="O2389" s="324"/>
      <c r="P2389" s="324"/>
      <c r="Q2389" s="324" t="s">
        <v>18</v>
      </c>
      <c r="R2389" s="324"/>
      <c r="S2389" s="324" t="s">
        <v>19</v>
      </c>
      <c r="T2389" s="528">
        <v>4</v>
      </c>
      <c r="U2389" s="324">
        <f>E2389/259*60</f>
        <v>0</v>
      </c>
      <c r="V2389" s="676"/>
      <c r="W2389" s="528"/>
      <c r="X2389" s="529"/>
      <c r="Y2389" s="323"/>
      <c r="Z2389" s="312">
        <f t="shared" si="896"/>
        <v>0</v>
      </c>
      <c r="AA2389" s="316">
        <f>SUM(Z2389/396+0.25)</f>
        <v>0.25</v>
      </c>
    </row>
    <row r="2390" spans="1:27" ht="77.25" thickBot="1" x14ac:dyDescent="0.45">
      <c r="A2390" s="319" t="s">
        <v>733</v>
      </c>
      <c r="B2390" s="320" t="s">
        <v>797</v>
      </c>
      <c r="C2390" s="528">
        <f>C1974</f>
        <v>0</v>
      </c>
      <c r="D2390" s="551">
        <f>C2390*8</f>
        <v>0</v>
      </c>
      <c r="E2390" s="456">
        <f>D2390*0.25</f>
        <v>0</v>
      </c>
      <c r="F2390" s="358">
        <f>E2390*1.015*0.72/147</f>
        <v>0</v>
      </c>
      <c r="G2390" s="548">
        <f t="shared" si="893"/>
        <v>0</v>
      </c>
      <c r="H2390" s="358" t="s">
        <v>18</v>
      </c>
      <c r="I2390" s="548">
        <f t="shared" si="894"/>
        <v>0</v>
      </c>
      <c r="J2390" s="358" t="s">
        <v>19</v>
      </c>
      <c r="K2390" s="358"/>
      <c r="L2390" s="358"/>
      <c r="M2390" s="552">
        <f>(F2390*6447/3456)</f>
        <v>0</v>
      </c>
      <c r="N2390" s="324"/>
      <c r="O2390" s="324"/>
      <c r="P2390" s="324"/>
      <c r="Q2390" s="324" t="s">
        <v>18</v>
      </c>
      <c r="R2390" s="324"/>
      <c r="S2390" s="324" t="s">
        <v>19</v>
      </c>
      <c r="T2390" s="528">
        <v>4</v>
      </c>
      <c r="U2390" s="324">
        <f>E2390/259*60</f>
        <v>0</v>
      </c>
      <c r="V2390" s="676"/>
      <c r="W2390" s="528"/>
      <c r="X2390" s="529"/>
      <c r="Y2390" s="323"/>
      <c r="Z2390" s="312">
        <f t="shared" si="896"/>
        <v>0</v>
      </c>
      <c r="AA2390" s="316">
        <f>SUM(Z2390/396+0.25)</f>
        <v>0.25</v>
      </c>
    </row>
    <row r="2391" spans="1:27" ht="52.5" thickBot="1" x14ac:dyDescent="0.45">
      <c r="A2391" s="319" t="s">
        <v>733</v>
      </c>
      <c r="B2391" s="320" t="s">
        <v>951</v>
      </c>
      <c r="C2391" s="586">
        <f>C1989</f>
        <v>0</v>
      </c>
      <c r="D2391" s="551">
        <f>C2391*18</f>
        <v>0</v>
      </c>
      <c r="E2391" s="456">
        <f t="shared" ref="E2391:E2398" si="898">D2391*0.2</f>
        <v>0</v>
      </c>
      <c r="F2391" s="358">
        <f>E2391*1.03*0.82/147</f>
        <v>0</v>
      </c>
      <c r="G2391" s="548">
        <f t="shared" si="893"/>
        <v>0</v>
      </c>
      <c r="H2391" s="358" t="s">
        <v>18</v>
      </c>
      <c r="I2391" s="548">
        <f t="shared" si="894"/>
        <v>0</v>
      </c>
      <c r="J2391" s="358" t="s">
        <v>19</v>
      </c>
      <c r="K2391" s="358"/>
      <c r="L2391" s="358"/>
      <c r="M2391" s="358">
        <f>F2391*5250/3456</f>
        <v>0</v>
      </c>
      <c r="N2391" s="324"/>
      <c r="O2391" s="324"/>
      <c r="P2391" s="324"/>
      <c r="Q2391" s="324" t="s">
        <v>18</v>
      </c>
      <c r="R2391" s="324"/>
      <c r="S2391" s="324" t="s">
        <v>19</v>
      </c>
      <c r="T2391" s="561">
        <v>5</v>
      </c>
      <c r="U2391" s="324">
        <f t="shared" si="897"/>
        <v>0</v>
      </c>
      <c r="V2391" s="689"/>
      <c r="W2391" s="561"/>
      <c r="X2391" s="562"/>
      <c r="Y2391" s="323"/>
      <c r="Z2391" s="312">
        <f t="shared" si="896"/>
        <v>0</v>
      </c>
      <c r="AA2391" s="316">
        <f>SUM(Z2391/307+0.25)</f>
        <v>0.25</v>
      </c>
    </row>
    <row r="2392" spans="1:27" ht="51.75" thickBot="1" x14ac:dyDescent="0.45">
      <c r="A2392" s="319" t="s">
        <v>733</v>
      </c>
      <c r="B2392" s="362" t="s">
        <v>1004</v>
      </c>
      <c r="C2392" s="528">
        <f>C1986</f>
        <v>0</v>
      </c>
      <c r="D2392" s="567">
        <f>C2392*14</f>
        <v>0</v>
      </c>
      <c r="E2392" s="324">
        <f>D2392*0.36</f>
        <v>0</v>
      </c>
      <c r="F2392" s="324">
        <f>E2392*1.03*0.8/147</f>
        <v>0</v>
      </c>
      <c r="G2392" s="528">
        <f t="shared" si="893"/>
        <v>0</v>
      </c>
      <c r="H2392" s="324" t="s">
        <v>18</v>
      </c>
      <c r="I2392" s="528">
        <f t="shared" si="894"/>
        <v>0</v>
      </c>
      <c r="J2392" s="324" t="s">
        <v>19</v>
      </c>
      <c r="K2392" s="324"/>
      <c r="L2392" s="324"/>
      <c r="M2392" s="324">
        <f>F2392*6000/3456</f>
        <v>0</v>
      </c>
      <c r="N2392" s="324"/>
      <c r="O2392" s="324"/>
      <c r="P2392" s="324"/>
      <c r="Q2392" s="324" t="s">
        <v>18</v>
      </c>
      <c r="R2392" s="324"/>
      <c r="S2392" s="324" t="s">
        <v>19</v>
      </c>
      <c r="T2392" s="528">
        <v>4</v>
      </c>
      <c r="U2392" s="324">
        <f>E2392/220*60</f>
        <v>0</v>
      </c>
      <c r="V2392" s="676"/>
      <c r="W2392" s="528"/>
      <c r="X2392" s="529"/>
      <c r="Y2392" s="323"/>
      <c r="Z2392" s="312">
        <f t="shared" si="896"/>
        <v>0</v>
      </c>
      <c r="AA2392" s="316">
        <f>SUM(Z2392/522.7+0.25)</f>
        <v>0.25</v>
      </c>
    </row>
    <row r="2393" spans="1:27" ht="102.75" thickBot="1" x14ac:dyDescent="0.45">
      <c r="A2393" s="319" t="s">
        <v>733</v>
      </c>
      <c r="B2393" s="362" t="s">
        <v>1027</v>
      </c>
      <c r="C2393" s="528">
        <f>C1984</f>
        <v>0</v>
      </c>
      <c r="D2393" s="567">
        <f>C2393*7</f>
        <v>0</v>
      </c>
      <c r="E2393" s="460">
        <f>D2393*0.36</f>
        <v>0</v>
      </c>
      <c r="F2393" s="324">
        <f>E2393*1.03*0.8/147</f>
        <v>0</v>
      </c>
      <c r="G2393" s="528">
        <f t="shared" si="893"/>
        <v>0</v>
      </c>
      <c r="H2393" s="324" t="s">
        <v>18</v>
      </c>
      <c r="I2393" s="528">
        <f t="shared" si="894"/>
        <v>0</v>
      </c>
      <c r="J2393" s="324" t="s">
        <v>19</v>
      </c>
      <c r="K2393" s="324"/>
      <c r="L2393" s="324"/>
      <c r="M2393" s="324">
        <f>F2393*6000/3456</f>
        <v>0</v>
      </c>
      <c r="N2393" s="324"/>
      <c r="O2393" s="324"/>
      <c r="P2393" s="324"/>
      <c r="Q2393" s="324" t="s">
        <v>18</v>
      </c>
      <c r="R2393" s="324"/>
      <c r="S2393" s="324" t="s">
        <v>19</v>
      </c>
      <c r="T2393" s="528">
        <v>4</v>
      </c>
      <c r="U2393" s="324">
        <f>E2393/220*60</f>
        <v>0</v>
      </c>
      <c r="V2393" s="676"/>
      <c r="W2393" s="528"/>
      <c r="X2393" s="529"/>
      <c r="Y2393" s="323"/>
      <c r="Z2393" s="312">
        <f t="shared" si="896"/>
        <v>0</v>
      </c>
      <c r="AA2393" s="316">
        <f>SUM(Z2393/347.6+0.25)</f>
        <v>0.25</v>
      </c>
    </row>
    <row r="2394" spans="1:27" s="728" customFormat="1" ht="77.25" outlineLevel="1" thickBot="1" x14ac:dyDescent="0.45">
      <c r="A2394" s="636" t="s">
        <v>733</v>
      </c>
      <c r="B2394" s="634" t="s">
        <v>764</v>
      </c>
      <c r="C2394" s="729">
        <f>C1977</f>
        <v>0</v>
      </c>
      <c r="D2394" s="720">
        <f>C2394*10</f>
        <v>0</v>
      </c>
      <c r="E2394" s="721">
        <f t="shared" si="898"/>
        <v>0</v>
      </c>
      <c r="F2394" s="722">
        <f>E2394*1.015*0.72/147</f>
        <v>0</v>
      </c>
      <c r="G2394" s="720">
        <f t="shared" si="893"/>
        <v>0</v>
      </c>
      <c r="H2394" s="722" t="s">
        <v>18</v>
      </c>
      <c r="I2394" s="720">
        <f t="shared" si="894"/>
        <v>0</v>
      </c>
      <c r="J2394" s="722" t="s">
        <v>19</v>
      </c>
      <c r="K2394" s="722"/>
      <c r="L2394" s="722"/>
      <c r="M2394" s="722">
        <f>(F2394*8070/3456)</f>
        <v>0</v>
      </c>
      <c r="N2394" s="722"/>
      <c r="O2394" s="722"/>
      <c r="P2394" s="722"/>
      <c r="Q2394" s="722" t="s">
        <v>18</v>
      </c>
      <c r="R2394" s="722"/>
      <c r="S2394" s="722" t="s">
        <v>19</v>
      </c>
      <c r="T2394" s="828">
        <v>5</v>
      </c>
      <c r="U2394" s="722">
        <f t="shared" si="897"/>
        <v>0</v>
      </c>
      <c r="V2394" s="724"/>
      <c r="W2394" s="720"/>
      <c r="X2394" s="725"/>
      <c r="Y2394" s="736"/>
      <c r="Z2394" s="727">
        <f t="shared" si="896"/>
        <v>0</v>
      </c>
      <c r="AA2394" s="815">
        <f>SUM(Z2394/226+0.25)</f>
        <v>0.25</v>
      </c>
    </row>
    <row r="2395" spans="1:27" s="728" customFormat="1" ht="77.25" outlineLevel="1" thickBot="1" x14ac:dyDescent="0.45">
      <c r="A2395" s="636" t="s">
        <v>733</v>
      </c>
      <c r="B2395" s="634" t="s">
        <v>760</v>
      </c>
      <c r="C2395" s="729">
        <f>C1978</f>
        <v>0</v>
      </c>
      <c r="D2395" s="720">
        <f>C2395*10</f>
        <v>0</v>
      </c>
      <c r="E2395" s="721">
        <f t="shared" si="898"/>
        <v>0</v>
      </c>
      <c r="F2395" s="722">
        <f>E2395*1.015*0.72/147</f>
        <v>0</v>
      </c>
      <c r="G2395" s="720">
        <f t="shared" si="893"/>
        <v>0</v>
      </c>
      <c r="H2395" s="722" t="s">
        <v>18</v>
      </c>
      <c r="I2395" s="720">
        <f t="shared" si="894"/>
        <v>0</v>
      </c>
      <c r="J2395" s="722" t="s">
        <v>19</v>
      </c>
      <c r="K2395" s="722"/>
      <c r="L2395" s="722"/>
      <c r="M2395" s="722">
        <f>(F2395*8070/3456)</f>
        <v>0</v>
      </c>
      <c r="N2395" s="722"/>
      <c r="O2395" s="722"/>
      <c r="P2395" s="722"/>
      <c r="Q2395" s="722" t="s">
        <v>18</v>
      </c>
      <c r="R2395" s="722"/>
      <c r="S2395" s="722" t="s">
        <v>19</v>
      </c>
      <c r="T2395" s="828">
        <v>4</v>
      </c>
      <c r="U2395" s="722">
        <f t="shared" si="897"/>
        <v>0</v>
      </c>
      <c r="V2395" s="724"/>
      <c r="W2395" s="720"/>
      <c r="X2395" s="725"/>
      <c r="Y2395" s="736"/>
      <c r="Z2395" s="727">
        <f t="shared" si="896"/>
        <v>0</v>
      </c>
      <c r="AA2395" s="815">
        <f>SUM(Z2395/226+0.25)</f>
        <v>0.25</v>
      </c>
    </row>
    <row r="2396" spans="1:27" ht="77.25" thickBot="1" x14ac:dyDescent="0.45">
      <c r="A2396" s="319" t="s">
        <v>733</v>
      </c>
      <c r="B2396" s="320" t="s">
        <v>627</v>
      </c>
      <c r="C2396" s="586">
        <f>C1979</f>
        <v>0</v>
      </c>
      <c r="D2396" s="548">
        <f>C2396*18</f>
        <v>0</v>
      </c>
      <c r="E2396" s="456">
        <f t="shared" si="898"/>
        <v>0</v>
      </c>
      <c r="F2396" s="358">
        <f>E2396*1.05*0.8/140</f>
        <v>0</v>
      </c>
      <c r="G2396" s="548">
        <f t="shared" si="893"/>
        <v>0</v>
      </c>
      <c r="H2396" s="358" t="s">
        <v>18</v>
      </c>
      <c r="I2396" s="548">
        <f t="shared" si="894"/>
        <v>0</v>
      </c>
      <c r="J2396" s="358" t="s">
        <v>19</v>
      </c>
      <c r="K2396" s="358"/>
      <c r="L2396" s="358"/>
      <c r="M2396" s="358">
        <f>F2396*5111/3456</f>
        <v>0</v>
      </c>
      <c r="N2396" s="324"/>
      <c r="O2396" s="324"/>
      <c r="P2396" s="324"/>
      <c r="Q2396" s="324" t="s">
        <v>18</v>
      </c>
      <c r="R2396" s="324"/>
      <c r="S2396" s="324" t="s">
        <v>19</v>
      </c>
      <c r="T2396" s="528">
        <v>4</v>
      </c>
      <c r="U2396" s="324">
        <f>E2396/220*60</f>
        <v>0</v>
      </c>
      <c r="V2396" s="676"/>
      <c r="W2396" s="528"/>
      <c r="X2396" s="529"/>
      <c r="Y2396" s="323"/>
      <c r="Z2396" s="312">
        <f t="shared" si="896"/>
        <v>0</v>
      </c>
      <c r="AA2396" s="316">
        <f>SUM(Z2396/370+0.25)</f>
        <v>0.25</v>
      </c>
    </row>
    <row r="2397" spans="1:27" ht="78" thickBot="1" x14ac:dyDescent="0.45">
      <c r="A2397" s="319" t="s">
        <v>733</v>
      </c>
      <c r="B2397" s="320" t="s">
        <v>952</v>
      </c>
      <c r="C2397" s="586">
        <f>C1990</f>
        <v>0</v>
      </c>
      <c r="D2397" s="551">
        <f>C2397*18</f>
        <v>0</v>
      </c>
      <c r="E2397" s="456">
        <f t="shared" si="898"/>
        <v>0</v>
      </c>
      <c r="F2397" s="358">
        <f>E2397*1.03*0.729/147</f>
        <v>0</v>
      </c>
      <c r="G2397" s="548">
        <f t="shared" si="893"/>
        <v>0</v>
      </c>
      <c r="H2397" s="358" t="s">
        <v>18</v>
      </c>
      <c r="I2397" s="548">
        <f t="shared" si="894"/>
        <v>0</v>
      </c>
      <c r="J2397" s="358" t="s">
        <v>19</v>
      </c>
      <c r="K2397" s="358"/>
      <c r="L2397" s="358"/>
      <c r="M2397" s="358">
        <f>F2397*5880/3456</f>
        <v>0</v>
      </c>
      <c r="N2397" s="324"/>
      <c r="O2397" s="324"/>
      <c r="P2397" s="324"/>
      <c r="Q2397" s="324" t="s">
        <v>18</v>
      </c>
      <c r="R2397" s="324"/>
      <c r="S2397" s="324" t="s">
        <v>19</v>
      </c>
      <c r="T2397" s="528">
        <v>5</v>
      </c>
      <c r="U2397" s="324">
        <f>E2397/220*60</f>
        <v>0</v>
      </c>
      <c r="V2397" s="676"/>
      <c r="W2397" s="528"/>
      <c r="X2397" s="529"/>
      <c r="Y2397" s="323"/>
      <c r="Z2397" s="312">
        <f t="shared" si="896"/>
        <v>0</v>
      </c>
      <c r="AA2397" s="316">
        <f>SUM(Z2397/307+0.25)</f>
        <v>0.25</v>
      </c>
    </row>
    <row r="2398" spans="1:27" ht="78" thickBot="1" x14ac:dyDescent="0.45">
      <c r="A2398" s="319" t="s">
        <v>733</v>
      </c>
      <c r="B2398" s="320" t="s">
        <v>953</v>
      </c>
      <c r="C2398" s="586">
        <f>C1991</f>
        <v>0</v>
      </c>
      <c r="D2398" s="551">
        <f>C2398*18</f>
        <v>0</v>
      </c>
      <c r="E2398" s="456">
        <f t="shared" si="898"/>
        <v>0</v>
      </c>
      <c r="F2398" s="358">
        <f>E2398*1.03*0.729/147</f>
        <v>0</v>
      </c>
      <c r="G2398" s="548">
        <f t="shared" si="893"/>
        <v>0</v>
      </c>
      <c r="H2398" s="358" t="s">
        <v>18</v>
      </c>
      <c r="I2398" s="548">
        <f t="shared" si="894"/>
        <v>0</v>
      </c>
      <c r="J2398" s="358" t="s">
        <v>19</v>
      </c>
      <c r="K2398" s="358"/>
      <c r="L2398" s="358"/>
      <c r="M2398" s="358">
        <f>F2398*5880/3456</f>
        <v>0</v>
      </c>
      <c r="N2398" s="324"/>
      <c r="O2398" s="324"/>
      <c r="P2398" s="324"/>
      <c r="Q2398" s="324" t="s">
        <v>18</v>
      </c>
      <c r="R2398" s="324"/>
      <c r="S2398" s="324" t="s">
        <v>19</v>
      </c>
      <c r="T2398" s="561">
        <v>5</v>
      </c>
      <c r="V2398" s="689"/>
      <c r="W2398" s="561"/>
      <c r="X2398" s="562"/>
      <c r="Y2398" s="323"/>
      <c r="Z2398" s="312">
        <f t="shared" si="896"/>
        <v>0</v>
      </c>
      <c r="AA2398" s="316">
        <f>SUM(Z2398/307+0.25)</f>
        <v>0.25</v>
      </c>
    </row>
    <row r="2399" spans="1:27" ht="77.25" thickBot="1" x14ac:dyDescent="0.45">
      <c r="A2399" s="319" t="s">
        <v>733</v>
      </c>
      <c r="B2399" s="421" t="s">
        <v>992</v>
      </c>
      <c r="C2399" s="528">
        <f>C2198</f>
        <v>0</v>
      </c>
      <c r="D2399" s="528">
        <f>C2399*12</f>
        <v>0</v>
      </c>
      <c r="E2399" s="324">
        <f>D2399*0.25</f>
        <v>0</v>
      </c>
      <c r="F2399" s="324">
        <f>E2399*1.03*0.81/170</f>
        <v>0</v>
      </c>
      <c r="G2399" s="528">
        <f>INT(M2399)</f>
        <v>0</v>
      </c>
      <c r="H2399" s="324" t="s">
        <v>18</v>
      </c>
      <c r="I2399" s="528">
        <f>(M2399-G2399)*64</f>
        <v>0</v>
      </c>
      <c r="J2399" s="324" t="s">
        <v>19</v>
      </c>
      <c r="K2399" s="324"/>
      <c r="L2399" s="324"/>
      <c r="M2399" s="324">
        <f>(F2399*8820/3456)</f>
        <v>0</v>
      </c>
      <c r="N2399" s="324"/>
      <c r="O2399" s="324"/>
      <c r="P2399" s="324"/>
      <c r="Q2399" s="324" t="s">
        <v>18</v>
      </c>
      <c r="R2399" s="324"/>
      <c r="S2399" s="324" t="s">
        <v>19</v>
      </c>
      <c r="T2399" s="528">
        <v>7</v>
      </c>
      <c r="U2399" s="324">
        <f>E2399/220*60</f>
        <v>0</v>
      </c>
      <c r="V2399" s="676"/>
      <c r="W2399" s="528"/>
      <c r="X2399" s="529"/>
      <c r="Y2399" s="323"/>
      <c r="Z2399" s="312">
        <f t="shared" si="896"/>
        <v>0</v>
      </c>
      <c r="AA2399" s="316">
        <f>SUM(Z2399/720+0.25)</f>
        <v>0.25</v>
      </c>
    </row>
    <row r="2400" spans="1:27" ht="77.25" thickBot="1" x14ac:dyDescent="0.45">
      <c r="A2400" s="319" t="s">
        <v>733</v>
      </c>
      <c r="B2400" s="344" t="s">
        <v>1170</v>
      </c>
      <c r="C2400" s="586">
        <f t="shared" ref="C2400:C2407" si="899">C2312</f>
        <v>0</v>
      </c>
      <c r="D2400" s="551">
        <f>C2400*16</f>
        <v>0</v>
      </c>
      <c r="E2400" s="456">
        <f t="shared" ref="E2400:E2408" si="900">D2400*0.25</f>
        <v>0</v>
      </c>
      <c r="F2400" s="358">
        <f t="shared" ref="F2400:F2408" si="901">E2400*0.99*1.03/147</f>
        <v>0</v>
      </c>
      <c r="G2400" s="548">
        <f t="shared" si="893"/>
        <v>0</v>
      </c>
      <c r="H2400" s="358" t="s">
        <v>18</v>
      </c>
      <c r="I2400" s="548">
        <f t="shared" si="894"/>
        <v>0</v>
      </c>
      <c r="J2400" s="358" t="s">
        <v>19</v>
      </c>
      <c r="K2400" s="358"/>
      <c r="L2400" s="358"/>
      <c r="M2400" s="358">
        <f t="shared" ref="M2400:M2415" si="902">(F2400*6989)/2880</f>
        <v>0</v>
      </c>
      <c r="N2400" s="324"/>
      <c r="O2400" s="324"/>
      <c r="P2400" s="324"/>
      <c r="Q2400" s="324" t="s">
        <v>18</v>
      </c>
      <c r="R2400" s="324"/>
      <c r="S2400" s="324" t="s">
        <v>19</v>
      </c>
      <c r="T2400" s="561">
        <v>3</v>
      </c>
      <c r="V2400" s="689"/>
      <c r="W2400" s="561"/>
      <c r="X2400" s="562"/>
      <c r="Y2400" s="323"/>
      <c r="Z2400" s="312">
        <f t="shared" si="896"/>
        <v>0</v>
      </c>
      <c r="AA2400" s="316">
        <f t="shared" ref="AA2400:AA2420" si="903">SUM(Z2400/450+0.25)</f>
        <v>0.25</v>
      </c>
    </row>
    <row r="2401" spans="1:27" ht="77.25" thickBot="1" x14ac:dyDescent="0.45">
      <c r="A2401" s="319" t="s">
        <v>733</v>
      </c>
      <c r="B2401" s="344" t="s">
        <v>1169</v>
      </c>
      <c r="C2401" s="586">
        <f t="shared" si="899"/>
        <v>0</v>
      </c>
      <c r="D2401" s="551">
        <f>C2401*16</f>
        <v>0</v>
      </c>
      <c r="E2401" s="456">
        <f t="shared" si="900"/>
        <v>0</v>
      </c>
      <c r="F2401" s="358">
        <f t="shared" si="901"/>
        <v>0</v>
      </c>
      <c r="G2401" s="548">
        <f t="shared" si="893"/>
        <v>0</v>
      </c>
      <c r="H2401" s="358" t="s">
        <v>18</v>
      </c>
      <c r="I2401" s="548">
        <f t="shared" si="894"/>
        <v>0</v>
      </c>
      <c r="J2401" s="358" t="s">
        <v>19</v>
      </c>
      <c r="K2401" s="358"/>
      <c r="L2401" s="358"/>
      <c r="M2401" s="358">
        <f t="shared" si="902"/>
        <v>0</v>
      </c>
      <c r="N2401" s="324"/>
      <c r="O2401" s="324"/>
      <c r="P2401" s="324"/>
      <c r="Q2401" s="324" t="s">
        <v>18</v>
      </c>
      <c r="R2401" s="324"/>
      <c r="S2401" s="324" t="s">
        <v>19</v>
      </c>
      <c r="T2401" s="561">
        <v>3</v>
      </c>
      <c r="V2401" s="689"/>
      <c r="W2401" s="561"/>
      <c r="X2401" s="562"/>
      <c r="Y2401" s="323"/>
      <c r="Z2401" s="312">
        <f t="shared" si="896"/>
        <v>0</v>
      </c>
      <c r="AA2401" s="316">
        <f t="shared" si="903"/>
        <v>0.25</v>
      </c>
    </row>
    <row r="2402" spans="1:27" ht="105.75" thickBot="1" x14ac:dyDescent="0.45">
      <c r="A2402" s="319" t="s">
        <v>733</v>
      </c>
      <c r="B2402" s="344" t="s">
        <v>701</v>
      </c>
      <c r="C2402" s="586">
        <f t="shared" si="899"/>
        <v>0</v>
      </c>
      <c r="D2402" s="551">
        <f t="shared" ref="D2402:D2408" si="904">C2402*12</f>
        <v>0</v>
      </c>
      <c r="E2402" s="456">
        <f t="shared" si="900"/>
        <v>0</v>
      </c>
      <c r="F2402" s="358">
        <f t="shared" si="901"/>
        <v>0</v>
      </c>
      <c r="G2402" s="548">
        <f t="shared" ref="G2402:G2418" si="905">INT(M2402)</f>
        <v>0</v>
      </c>
      <c r="H2402" s="358" t="s">
        <v>18</v>
      </c>
      <c r="I2402" s="548">
        <f t="shared" ref="I2402:I2418" si="906">(M2402-G2402)*64</f>
        <v>0</v>
      </c>
      <c r="J2402" s="358" t="s">
        <v>19</v>
      </c>
      <c r="K2402" s="358"/>
      <c r="L2402" s="358"/>
      <c r="M2402" s="358">
        <f t="shared" si="902"/>
        <v>0</v>
      </c>
      <c r="N2402" s="324"/>
      <c r="O2402" s="324"/>
      <c r="P2402" s="324"/>
      <c r="Q2402" s="324" t="s">
        <v>18</v>
      </c>
      <c r="R2402" s="324"/>
      <c r="S2402" s="324" t="s">
        <v>19</v>
      </c>
      <c r="T2402" s="600" t="s">
        <v>924</v>
      </c>
      <c r="V2402" s="689"/>
      <c r="W2402" s="561"/>
      <c r="X2402" s="562"/>
      <c r="Y2402" s="360" t="s">
        <v>1062</v>
      </c>
      <c r="Z2402" s="312">
        <f t="shared" si="896"/>
        <v>0</v>
      </c>
      <c r="AA2402" s="316">
        <f t="shared" si="903"/>
        <v>0.25</v>
      </c>
    </row>
    <row r="2403" spans="1:27" ht="105.75" thickBot="1" x14ac:dyDescent="0.45">
      <c r="A2403" s="319" t="s">
        <v>733</v>
      </c>
      <c r="B2403" s="344" t="s">
        <v>702</v>
      </c>
      <c r="C2403" s="586">
        <f t="shared" si="899"/>
        <v>0</v>
      </c>
      <c r="D2403" s="551">
        <f t="shared" si="904"/>
        <v>0</v>
      </c>
      <c r="E2403" s="456">
        <f t="shared" si="900"/>
        <v>0</v>
      </c>
      <c r="F2403" s="358">
        <f t="shared" si="901"/>
        <v>0</v>
      </c>
      <c r="G2403" s="548">
        <f t="shared" si="905"/>
        <v>0</v>
      </c>
      <c r="H2403" s="358" t="s">
        <v>18</v>
      </c>
      <c r="I2403" s="548">
        <f t="shared" si="906"/>
        <v>0</v>
      </c>
      <c r="J2403" s="358" t="s">
        <v>19</v>
      </c>
      <c r="K2403" s="358"/>
      <c r="L2403" s="358"/>
      <c r="M2403" s="358">
        <f t="shared" si="902"/>
        <v>0</v>
      </c>
      <c r="N2403" s="324"/>
      <c r="O2403" s="324"/>
      <c r="P2403" s="324"/>
      <c r="Q2403" s="324" t="s">
        <v>18</v>
      </c>
      <c r="R2403" s="324"/>
      <c r="S2403" s="324" t="s">
        <v>19</v>
      </c>
      <c r="T2403" s="600" t="s">
        <v>924</v>
      </c>
      <c r="V2403" s="689"/>
      <c r="W2403" s="561"/>
      <c r="X2403" s="562"/>
      <c r="Y2403" s="360" t="s">
        <v>1062</v>
      </c>
      <c r="Z2403" s="312">
        <f t="shared" si="896"/>
        <v>0</v>
      </c>
      <c r="AA2403" s="316">
        <f t="shared" si="903"/>
        <v>0.25</v>
      </c>
    </row>
    <row r="2404" spans="1:27" ht="105.75" thickBot="1" x14ac:dyDescent="0.45">
      <c r="A2404" s="319" t="s">
        <v>733</v>
      </c>
      <c r="B2404" s="344" t="s">
        <v>1078</v>
      </c>
      <c r="C2404" s="586">
        <f t="shared" si="899"/>
        <v>0</v>
      </c>
      <c r="D2404" s="530">
        <f>C2404*16</f>
        <v>0</v>
      </c>
      <c r="E2404" s="460">
        <f>D2404*0.25</f>
        <v>0</v>
      </c>
      <c r="F2404" s="324">
        <f>E2404*0.99*1.03/147</f>
        <v>0</v>
      </c>
      <c r="G2404" s="528">
        <f>INT(M2404)</f>
        <v>0</v>
      </c>
      <c r="H2404" s="324" t="s">
        <v>18</v>
      </c>
      <c r="I2404" s="528">
        <f>(M2404-G2404)*64</f>
        <v>0</v>
      </c>
      <c r="J2404" s="324" t="s">
        <v>19</v>
      </c>
      <c r="K2404" s="324"/>
      <c r="L2404" s="324"/>
      <c r="M2404" s="324">
        <f>(F2404*6989)/2880</f>
        <v>0</v>
      </c>
      <c r="N2404" s="324"/>
      <c r="O2404" s="324"/>
      <c r="P2404" s="324"/>
      <c r="Q2404" s="324" t="s">
        <v>18</v>
      </c>
      <c r="R2404" s="324"/>
      <c r="S2404" s="324" t="s">
        <v>19</v>
      </c>
      <c r="T2404" s="600" t="s">
        <v>924</v>
      </c>
      <c r="V2404" s="689"/>
      <c r="W2404" s="561"/>
      <c r="X2404" s="562"/>
      <c r="Y2404" s="360" t="s">
        <v>1062</v>
      </c>
      <c r="Z2404" s="312">
        <f>E2404</f>
        <v>0</v>
      </c>
      <c r="AA2404" s="316">
        <f>SUM(Z2404/450+0.25)</f>
        <v>0.25</v>
      </c>
    </row>
    <row r="2405" spans="1:27" ht="105.75" thickBot="1" x14ac:dyDescent="0.45">
      <c r="A2405" s="319" t="s">
        <v>733</v>
      </c>
      <c r="B2405" s="344" t="s">
        <v>1077</v>
      </c>
      <c r="C2405" s="586">
        <f t="shared" si="899"/>
        <v>0</v>
      </c>
      <c r="D2405" s="530">
        <f>C2405*16</f>
        <v>0</v>
      </c>
      <c r="E2405" s="460">
        <f>D2405*0.25</f>
        <v>0</v>
      </c>
      <c r="F2405" s="324">
        <f>E2405*0.99*1.03/147</f>
        <v>0</v>
      </c>
      <c r="G2405" s="528">
        <f>INT(M2405)</f>
        <v>0</v>
      </c>
      <c r="H2405" s="324" t="s">
        <v>18</v>
      </c>
      <c r="I2405" s="528">
        <f>(M2405-G2405)*64</f>
        <v>0</v>
      </c>
      <c r="J2405" s="324" t="s">
        <v>19</v>
      </c>
      <c r="K2405" s="324"/>
      <c r="L2405" s="324"/>
      <c r="M2405" s="324">
        <f>(F2405*6989)/2880</f>
        <v>0</v>
      </c>
      <c r="N2405" s="324"/>
      <c r="O2405" s="324"/>
      <c r="P2405" s="324"/>
      <c r="Q2405" s="324" t="s">
        <v>18</v>
      </c>
      <c r="R2405" s="324"/>
      <c r="S2405" s="324" t="s">
        <v>19</v>
      </c>
      <c r="T2405" s="600" t="s">
        <v>924</v>
      </c>
      <c r="V2405" s="689"/>
      <c r="W2405" s="561"/>
      <c r="X2405" s="562"/>
      <c r="Y2405" s="360" t="s">
        <v>1062</v>
      </c>
      <c r="Z2405" s="312">
        <f>E2405</f>
        <v>0</v>
      </c>
      <c r="AA2405" s="316">
        <f>SUM(Z2405/450+0.25)</f>
        <v>0.25</v>
      </c>
    </row>
    <row r="2406" spans="1:27" ht="51.75" thickBot="1" x14ac:dyDescent="0.45">
      <c r="A2406" s="319" t="s">
        <v>733</v>
      </c>
      <c r="B2406" s="371" t="s">
        <v>823</v>
      </c>
      <c r="C2406" s="586">
        <f t="shared" si="899"/>
        <v>0</v>
      </c>
      <c r="D2406" s="551">
        <f t="shared" si="904"/>
        <v>0</v>
      </c>
      <c r="E2406" s="456">
        <f t="shared" si="900"/>
        <v>0</v>
      </c>
      <c r="F2406" s="358">
        <f t="shared" si="901"/>
        <v>0</v>
      </c>
      <c r="G2406" s="548">
        <f t="shared" si="905"/>
        <v>0</v>
      </c>
      <c r="H2406" s="358" t="s">
        <v>18</v>
      </c>
      <c r="I2406" s="548">
        <f t="shared" si="906"/>
        <v>0</v>
      </c>
      <c r="J2406" s="358" t="s">
        <v>19</v>
      </c>
      <c r="K2406" s="358"/>
      <c r="L2406" s="358"/>
      <c r="M2406" s="358">
        <f t="shared" si="902"/>
        <v>0</v>
      </c>
      <c r="N2406" s="324"/>
      <c r="O2406" s="324"/>
      <c r="P2406" s="324"/>
      <c r="Q2406" s="324" t="s">
        <v>18</v>
      </c>
      <c r="R2406" s="324"/>
      <c r="S2406" s="324" t="s">
        <v>19</v>
      </c>
      <c r="T2406" s="561">
        <v>4</v>
      </c>
      <c r="V2406" s="689"/>
      <c r="W2406" s="561"/>
      <c r="X2406" s="562"/>
      <c r="Y2406" s="323"/>
      <c r="Z2406" s="312">
        <f t="shared" si="896"/>
        <v>0</v>
      </c>
      <c r="AA2406" s="316">
        <f t="shared" si="903"/>
        <v>0.25</v>
      </c>
    </row>
    <row r="2407" spans="1:27" ht="51.75" thickBot="1" x14ac:dyDescent="0.45">
      <c r="A2407" s="319" t="s">
        <v>733</v>
      </c>
      <c r="B2407" s="371" t="s">
        <v>824</v>
      </c>
      <c r="C2407" s="586">
        <f t="shared" si="899"/>
        <v>0</v>
      </c>
      <c r="D2407" s="551">
        <f t="shared" si="904"/>
        <v>0</v>
      </c>
      <c r="E2407" s="456">
        <f t="shared" si="900"/>
        <v>0</v>
      </c>
      <c r="F2407" s="358">
        <f t="shared" si="901"/>
        <v>0</v>
      </c>
      <c r="G2407" s="548">
        <f t="shared" si="905"/>
        <v>0</v>
      </c>
      <c r="H2407" s="358" t="s">
        <v>18</v>
      </c>
      <c r="I2407" s="548">
        <f t="shared" si="906"/>
        <v>0</v>
      </c>
      <c r="J2407" s="358" t="s">
        <v>19</v>
      </c>
      <c r="K2407" s="358"/>
      <c r="L2407" s="358"/>
      <c r="M2407" s="358">
        <f t="shared" si="902"/>
        <v>0</v>
      </c>
      <c r="N2407" s="324"/>
      <c r="O2407" s="324"/>
      <c r="P2407" s="324"/>
      <c r="Q2407" s="324" t="s">
        <v>18</v>
      </c>
      <c r="R2407" s="324"/>
      <c r="S2407" s="324" t="s">
        <v>19</v>
      </c>
      <c r="T2407" s="561">
        <v>4</v>
      </c>
      <c r="V2407" s="689"/>
      <c r="W2407" s="561"/>
      <c r="X2407" s="562"/>
      <c r="Y2407" s="323"/>
      <c r="Z2407" s="312">
        <f t="shared" si="896"/>
        <v>0</v>
      </c>
      <c r="AA2407" s="316">
        <f t="shared" si="903"/>
        <v>0.25</v>
      </c>
    </row>
    <row r="2408" spans="1:27" ht="105.75" thickBot="1" x14ac:dyDescent="0.45">
      <c r="A2408" s="319" t="s">
        <v>733</v>
      </c>
      <c r="B2408" s="344" t="s">
        <v>703</v>
      </c>
      <c r="C2408" s="586">
        <f>C2322</f>
        <v>0</v>
      </c>
      <c r="D2408" s="551">
        <f t="shared" si="904"/>
        <v>0</v>
      </c>
      <c r="E2408" s="456">
        <f t="shared" si="900"/>
        <v>0</v>
      </c>
      <c r="F2408" s="358">
        <f t="shared" si="901"/>
        <v>0</v>
      </c>
      <c r="G2408" s="548">
        <f t="shared" si="905"/>
        <v>0</v>
      </c>
      <c r="H2408" s="358" t="s">
        <v>18</v>
      </c>
      <c r="I2408" s="548">
        <f t="shared" si="906"/>
        <v>0</v>
      </c>
      <c r="J2408" s="358" t="s">
        <v>19</v>
      </c>
      <c r="K2408" s="358"/>
      <c r="L2408" s="358"/>
      <c r="M2408" s="358">
        <f t="shared" si="902"/>
        <v>0</v>
      </c>
      <c r="N2408" s="324"/>
      <c r="O2408" s="324"/>
      <c r="P2408" s="324"/>
      <c r="Q2408" s="324" t="s">
        <v>18</v>
      </c>
      <c r="R2408" s="324"/>
      <c r="S2408" s="324" t="s">
        <v>19</v>
      </c>
      <c r="T2408" s="600" t="s">
        <v>924</v>
      </c>
      <c r="V2408" s="689"/>
      <c r="W2408" s="561"/>
      <c r="X2408" s="562"/>
      <c r="Y2408" s="360" t="s">
        <v>1062</v>
      </c>
      <c r="Z2408" s="312">
        <f t="shared" si="896"/>
        <v>0</v>
      </c>
      <c r="AA2408" s="316">
        <f t="shared" si="903"/>
        <v>0.25</v>
      </c>
    </row>
    <row r="2409" spans="1:27" ht="79.5" thickBot="1" x14ac:dyDescent="0.45">
      <c r="A2409" s="319" t="s">
        <v>733</v>
      </c>
      <c r="B2409" s="344" t="s">
        <v>798</v>
      </c>
      <c r="C2409" s="586">
        <f>C2323</f>
        <v>0</v>
      </c>
      <c r="D2409" s="548">
        <f>C2409*28</f>
        <v>0</v>
      </c>
      <c r="E2409" s="456">
        <f>D2409*0.125</f>
        <v>0</v>
      </c>
      <c r="F2409" s="358">
        <f t="shared" ref="F2409:F2415" si="907">E2409*0.99*1.03/147</f>
        <v>0</v>
      </c>
      <c r="G2409" s="548">
        <f t="shared" si="905"/>
        <v>0</v>
      </c>
      <c r="H2409" s="358" t="s">
        <v>18</v>
      </c>
      <c r="I2409" s="548">
        <f t="shared" si="906"/>
        <v>0</v>
      </c>
      <c r="J2409" s="358" t="s">
        <v>19</v>
      </c>
      <c r="K2409" s="358"/>
      <c r="L2409" s="358"/>
      <c r="M2409" s="358">
        <f t="shared" si="902"/>
        <v>0</v>
      </c>
      <c r="N2409" s="324"/>
      <c r="O2409" s="324"/>
      <c r="P2409" s="324"/>
      <c r="Q2409" s="324" t="s">
        <v>18</v>
      </c>
      <c r="R2409" s="324"/>
      <c r="S2409" s="324" t="s">
        <v>19</v>
      </c>
      <c r="T2409" s="561" t="s">
        <v>923</v>
      </c>
      <c r="U2409" s="324">
        <f>E2409/403*60</f>
        <v>0</v>
      </c>
      <c r="V2409" s="676"/>
      <c r="W2409" s="528"/>
      <c r="X2409" s="529"/>
      <c r="Y2409" s="360" t="s">
        <v>1061</v>
      </c>
      <c r="Z2409" s="312">
        <f t="shared" si="896"/>
        <v>0</v>
      </c>
      <c r="AA2409" s="316">
        <f>SUM(Z2409/360+0.25)</f>
        <v>0.25</v>
      </c>
    </row>
    <row r="2410" spans="1:27" ht="79.5" thickBot="1" x14ac:dyDescent="0.45">
      <c r="A2410" s="319" t="s">
        <v>733</v>
      </c>
      <c r="B2410" s="344" t="s">
        <v>791</v>
      </c>
      <c r="C2410" s="586">
        <f>C2324</f>
        <v>0</v>
      </c>
      <c r="D2410" s="551">
        <f>C2410*28</f>
        <v>0</v>
      </c>
      <c r="E2410" s="456">
        <f>D2410*0.125</f>
        <v>0</v>
      </c>
      <c r="F2410" s="358">
        <f t="shared" si="907"/>
        <v>0</v>
      </c>
      <c r="G2410" s="548">
        <f t="shared" si="905"/>
        <v>0</v>
      </c>
      <c r="H2410" s="358" t="s">
        <v>18</v>
      </c>
      <c r="I2410" s="548">
        <f t="shared" si="906"/>
        <v>0</v>
      </c>
      <c r="J2410" s="358" t="s">
        <v>19</v>
      </c>
      <c r="K2410" s="358"/>
      <c r="L2410" s="358"/>
      <c r="M2410" s="358">
        <f t="shared" si="902"/>
        <v>0</v>
      </c>
      <c r="N2410" s="324"/>
      <c r="O2410" s="324"/>
      <c r="P2410" s="324"/>
      <c r="Q2410" s="324" t="s">
        <v>18</v>
      </c>
      <c r="R2410" s="324"/>
      <c r="S2410" s="324" t="s">
        <v>19</v>
      </c>
      <c r="T2410" s="561" t="s">
        <v>923</v>
      </c>
      <c r="U2410" s="324">
        <f>E2410/403*60</f>
        <v>0</v>
      </c>
      <c r="V2410" s="676"/>
      <c r="W2410" s="528"/>
      <c r="X2410" s="529"/>
      <c r="Y2410" s="360" t="s">
        <v>1061</v>
      </c>
      <c r="Z2410" s="312">
        <f t="shared" si="896"/>
        <v>0</v>
      </c>
      <c r="AA2410" s="316">
        <f>SUM(Z2410/360+0.25)</f>
        <v>0.25</v>
      </c>
    </row>
    <row r="2411" spans="1:27" ht="53.25" thickBot="1" x14ac:dyDescent="0.45">
      <c r="A2411" s="319" t="s">
        <v>733</v>
      </c>
      <c r="B2411" s="319" t="s">
        <v>999</v>
      </c>
      <c r="C2411" s="586">
        <f>C272+C502+C732</f>
        <v>0</v>
      </c>
      <c r="D2411" s="551">
        <f>C2411*16</f>
        <v>0</v>
      </c>
      <c r="E2411" s="456">
        <f t="shared" ref="E2411:E2420" si="908">D2411*0.25</f>
        <v>0</v>
      </c>
      <c r="F2411" s="358">
        <f t="shared" si="907"/>
        <v>0</v>
      </c>
      <c r="G2411" s="548">
        <f t="shared" si="905"/>
        <v>0</v>
      </c>
      <c r="H2411" s="358" t="s">
        <v>18</v>
      </c>
      <c r="I2411" s="548">
        <f t="shared" si="906"/>
        <v>0</v>
      </c>
      <c r="J2411" s="358" t="s">
        <v>19</v>
      </c>
      <c r="K2411" s="358"/>
      <c r="L2411" s="358"/>
      <c r="M2411" s="358">
        <f t="shared" si="902"/>
        <v>0</v>
      </c>
      <c r="N2411" s="358"/>
      <c r="O2411" s="358"/>
      <c r="P2411" s="358"/>
      <c r="Q2411" s="358" t="s">
        <v>18</v>
      </c>
      <c r="R2411" s="358"/>
      <c r="S2411" s="358" t="s">
        <v>19</v>
      </c>
      <c r="T2411" s="528">
        <v>4</v>
      </c>
      <c r="U2411" s="324">
        <f>E2411/259*60</f>
        <v>0</v>
      </c>
      <c r="V2411" s="676"/>
      <c r="W2411" s="528"/>
      <c r="X2411" s="529"/>
      <c r="Y2411" s="323"/>
      <c r="Z2411" s="312">
        <f t="shared" si="896"/>
        <v>0</v>
      </c>
      <c r="AA2411" s="316">
        <f t="shared" si="903"/>
        <v>0.25</v>
      </c>
    </row>
    <row r="2412" spans="1:27" ht="53.25" thickBot="1" x14ac:dyDescent="0.45">
      <c r="A2412" s="319" t="s">
        <v>733</v>
      </c>
      <c r="B2412" s="319" t="s">
        <v>1002</v>
      </c>
      <c r="C2412" s="586">
        <f>C2297</f>
        <v>0</v>
      </c>
      <c r="D2412" s="551">
        <f>C2412*16</f>
        <v>0</v>
      </c>
      <c r="E2412" s="456">
        <f t="shared" si="908"/>
        <v>0</v>
      </c>
      <c r="F2412" s="358">
        <f t="shared" si="907"/>
        <v>0</v>
      </c>
      <c r="G2412" s="548">
        <f t="shared" si="905"/>
        <v>0</v>
      </c>
      <c r="H2412" s="358" t="s">
        <v>18</v>
      </c>
      <c r="I2412" s="548">
        <f t="shared" si="906"/>
        <v>0</v>
      </c>
      <c r="J2412" s="358" t="s">
        <v>19</v>
      </c>
      <c r="K2412" s="358"/>
      <c r="L2412" s="358"/>
      <c r="M2412" s="358">
        <f t="shared" si="902"/>
        <v>0</v>
      </c>
      <c r="N2412" s="358"/>
      <c r="O2412" s="358"/>
      <c r="P2412" s="358"/>
      <c r="Q2412" s="358" t="s">
        <v>18</v>
      </c>
      <c r="R2412" s="358"/>
      <c r="S2412" s="358" t="s">
        <v>19</v>
      </c>
      <c r="T2412" s="528">
        <v>4</v>
      </c>
      <c r="U2412" s="324">
        <f>E2412/259*60</f>
        <v>0</v>
      </c>
      <c r="V2412" s="676"/>
      <c r="W2412" s="528"/>
      <c r="X2412" s="529"/>
      <c r="Y2412" s="323"/>
      <c r="Z2412" s="312">
        <f t="shared" si="896"/>
        <v>0</v>
      </c>
      <c r="AA2412" s="316">
        <f t="shared" si="903"/>
        <v>0.25</v>
      </c>
    </row>
    <row r="2413" spans="1:27" ht="51.75" thickBot="1" x14ac:dyDescent="0.45">
      <c r="A2413" s="319" t="s">
        <v>733</v>
      </c>
      <c r="B2413" s="320" t="s">
        <v>1000</v>
      </c>
      <c r="C2413" s="586">
        <f>C275+C505+C735</f>
        <v>0</v>
      </c>
      <c r="D2413" s="551">
        <f>C2413*16</f>
        <v>0</v>
      </c>
      <c r="E2413" s="456">
        <f t="shared" si="908"/>
        <v>0</v>
      </c>
      <c r="F2413" s="358">
        <f t="shared" si="907"/>
        <v>0</v>
      </c>
      <c r="G2413" s="548">
        <f t="shared" si="905"/>
        <v>0</v>
      </c>
      <c r="H2413" s="358" t="s">
        <v>18</v>
      </c>
      <c r="I2413" s="548">
        <f t="shared" si="906"/>
        <v>0</v>
      </c>
      <c r="J2413" s="358" t="s">
        <v>19</v>
      </c>
      <c r="K2413" s="358"/>
      <c r="L2413" s="358"/>
      <c r="M2413" s="358">
        <f t="shared" si="902"/>
        <v>0</v>
      </c>
      <c r="N2413" s="358"/>
      <c r="O2413" s="358"/>
      <c r="P2413" s="358"/>
      <c r="Q2413" s="358" t="s">
        <v>18</v>
      </c>
      <c r="R2413" s="358"/>
      <c r="S2413" s="358" t="s">
        <v>19</v>
      </c>
      <c r="T2413" s="528">
        <v>4</v>
      </c>
      <c r="U2413" s="324">
        <f>E2413/259*60</f>
        <v>0</v>
      </c>
      <c r="V2413" s="676"/>
      <c r="W2413" s="528"/>
      <c r="X2413" s="529"/>
      <c r="Y2413" s="323"/>
      <c r="Z2413" s="312">
        <f t="shared" si="896"/>
        <v>0</v>
      </c>
      <c r="AA2413" s="316">
        <f t="shared" si="903"/>
        <v>0.25</v>
      </c>
    </row>
    <row r="2414" spans="1:27" ht="105.75" thickBot="1" x14ac:dyDescent="0.45">
      <c r="A2414" s="319" t="s">
        <v>733</v>
      </c>
      <c r="B2414" s="344" t="s">
        <v>1006</v>
      </c>
      <c r="C2414" s="528">
        <f>C2320</f>
        <v>0</v>
      </c>
      <c r="D2414" s="530">
        <f>C2414*16</f>
        <v>0</v>
      </c>
      <c r="E2414" s="460">
        <f t="shared" si="908"/>
        <v>0</v>
      </c>
      <c r="F2414" s="324">
        <f t="shared" si="907"/>
        <v>0</v>
      </c>
      <c r="G2414" s="528">
        <f t="shared" si="905"/>
        <v>0</v>
      </c>
      <c r="H2414" s="324" t="s">
        <v>18</v>
      </c>
      <c r="I2414" s="528">
        <f t="shared" si="906"/>
        <v>0</v>
      </c>
      <c r="J2414" s="324" t="s">
        <v>19</v>
      </c>
      <c r="K2414" s="324"/>
      <c r="L2414" s="324"/>
      <c r="M2414" s="324">
        <f t="shared" si="902"/>
        <v>0</v>
      </c>
      <c r="N2414" s="324"/>
      <c r="O2414" s="324"/>
      <c r="P2414" s="324"/>
      <c r="Q2414" s="324" t="s">
        <v>18</v>
      </c>
      <c r="R2414" s="324"/>
      <c r="S2414" s="324" t="s">
        <v>19</v>
      </c>
      <c r="T2414" s="528" t="s">
        <v>924</v>
      </c>
      <c r="U2414" s="324">
        <f>E2414/403*60</f>
        <v>0</v>
      </c>
      <c r="V2414" s="676"/>
      <c r="W2414" s="528"/>
      <c r="X2414" s="529"/>
      <c r="Y2414" s="360" t="s">
        <v>1062</v>
      </c>
      <c r="Z2414" s="312">
        <f t="shared" si="896"/>
        <v>0</v>
      </c>
      <c r="AA2414" s="316">
        <f>SUM(Z2414/450+0.25)</f>
        <v>0.25</v>
      </c>
    </row>
    <row r="2415" spans="1:27" ht="105.75" thickBot="1" x14ac:dyDescent="0.45">
      <c r="A2415" s="319" t="s">
        <v>733</v>
      </c>
      <c r="B2415" s="344" t="s">
        <v>1007</v>
      </c>
      <c r="C2415" s="528">
        <f>C2321</f>
        <v>0</v>
      </c>
      <c r="D2415" s="530">
        <f>C2415*16</f>
        <v>0</v>
      </c>
      <c r="E2415" s="460">
        <f t="shared" si="908"/>
        <v>0</v>
      </c>
      <c r="F2415" s="324">
        <f t="shared" si="907"/>
        <v>0</v>
      </c>
      <c r="G2415" s="528">
        <f t="shared" si="905"/>
        <v>0</v>
      </c>
      <c r="H2415" s="324" t="s">
        <v>18</v>
      </c>
      <c r="I2415" s="528">
        <f t="shared" si="906"/>
        <v>0</v>
      </c>
      <c r="J2415" s="324" t="s">
        <v>19</v>
      </c>
      <c r="K2415" s="324"/>
      <c r="L2415" s="324"/>
      <c r="M2415" s="324">
        <f t="shared" si="902"/>
        <v>0</v>
      </c>
      <c r="N2415" s="324"/>
      <c r="O2415" s="324"/>
      <c r="P2415" s="324"/>
      <c r="Q2415" s="324" t="s">
        <v>18</v>
      </c>
      <c r="R2415" s="324"/>
      <c r="S2415" s="324" t="s">
        <v>19</v>
      </c>
      <c r="T2415" s="528" t="s">
        <v>924</v>
      </c>
      <c r="U2415" s="324">
        <f>E2415/403*60</f>
        <v>0</v>
      </c>
      <c r="V2415" s="676"/>
      <c r="W2415" s="528"/>
      <c r="X2415" s="529"/>
      <c r="Y2415" s="360" t="s">
        <v>1062</v>
      </c>
      <c r="Z2415" s="312">
        <f t="shared" si="896"/>
        <v>0</v>
      </c>
      <c r="AA2415" s="316">
        <f>SUM(Z2415/450+0.25)</f>
        <v>0.25</v>
      </c>
    </row>
    <row r="2416" spans="1:27" ht="77.25" thickBot="1" x14ac:dyDescent="0.45">
      <c r="A2416" s="319" t="s">
        <v>733</v>
      </c>
      <c r="B2416" s="320" t="s">
        <v>634</v>
      </c>
      <c r="C2416" s="586">
        <f>C2299</f>
        <v>0</v>
      </c>
      <c r="D2416" s="551">
        <f>C2416*14</f>
        <v>0</v>
      </c>
      <c r="E2416" s="456">
        <f t="shared" si="908"/>
        <v>0</v>
      </c>
      <c r="F2416" s="358">
        <f>E2416*0.99*1.03/147</f>
        <v>0</v>
      </c>
      <c r="G2416" s="548">
        <f t="shared" si="905"/>
        <v>0</v>
      </c>
      <c r="H2416" s="358" t="s">
        <v>18</v>
      </c>
      <c r="I2416" s="548">
        <f t="shared" si="906"/>
        <v>0</v>
      </c>
      <c r="J2416" s="358" t="s">
        <v>19</v>
      </c>
      <c r="K2416" s="358"/>
      <c r="L2416" s="358"/>
      <c r="M2416" s="358">
        <f>(F2416*6989)/2880</f>
        <v>0</v>
      </c>
      <c r="N2416" s="324"/>
      <c r="O2416" s="324"/>
      <c r="P2416" s="324"/>
      <c r="Q2416" s="324" t="s">
        <v>18</v>
      </c>
      <c r="R2416" s="324"/>
      <c r="S2416" s="324" t="s">
        <v>19</v>
      </c>
      <c r="T2416" s="528">
        <v>3</v>
      </c>
      <c r="U2416" s="324">
        <f>E2416/259*60</f>
        <v>0</v>
      </c>
      <c r="V2416" s="676"/>
      <c r="W2416" s="528"/>
      <c r="X2416" s="529"/>
      <c r="Y2416" s="323"/>
      <c r="Z2416" s="312">
        <f t="shared" si="896"/>
        <v>0</v>
      </c>
      <c r="AA2416" s="316">
        <f t="shared" si="903"/>
        <v>0.25</v>
      </c>
    </row>
    <row r="2417" spans="1:28" ht="51.75" thickBot="1" x14ac:dyDescent="0.45">
      <c r="A2417" s="319" t="s">
        <v>733</v>
      </c>
      <c r="B2417" s="320" t="s">
        <v>635</v>
      </c>
      <c r="C2417" s="586">
        <f>C278+C508+C738</f>
        <v>0</v>
      </c>
      <c r="D2417" s="551">
        <f>C2417*14</f>
        <v>0</v>
      </c>
      <c r="E2417" s="456">
        <f t="shared" si="908"/>
        <v>0</v>
      </c>
      <c r="F2417" s="358">
        <f>E2417*0.99*1.03/147</f>
        <v>0</v>
      </c>
      <c r="G2417" s="548">
        <f t="shared" si="905"/>
        <v>0</v>
      </c>
      <c r="H2417" s="358" t="s">
        <v>18</v>
      </c>
      <c r="I2417" s="548">
        <f t="shared" si="906"/>
        <v>0</v>
      </c>
      <c r="J2417" s="358" t="s">
        <v>19</v>
      </c>
      <c r="K2417" s="358"/>
      <c r="L2417" s="358"/>
      <c r="M2417" s="358">
        <f>(F2417*6989)/2880</f>
        <v>0</v>
      </c>
      <c r="N2417" s="324"/>
      <c r="O2417" s="324"/>
      <c r="P2417" s="324"/>
      <c r="Q2417" s="324" t="s">
        <v>18</v>
      </c>
      <c r="R2417" s="324"/>
      <c r="S2417" s="324" t="s">
        <v>19</v>
      </c>
      <c r="T2417" s="528">
        <v>3</v>
      </c>
      <c r="U2417" s="324">
        <f t="shared" ref="U2417:U2424" si="909">E2417/259*60</f>
        <v>0</v>
      </c>
      <c r="V2417" s="676"/>
      <c r="W2417" s="528"/>
      <c r="X2417" s="529"/>
      <c r="Y2417" s="323"/>
      <c r="Z2417" s="312">
        <f t="shared" si="896"/>
        <v>0</v>
      </c>
      <c r="AA2417" s="316">
        <f t="shared" si="903"/>
        <v>0.25</v>
      </c>
    </row>
    <row r="2418" spans="1:28" ht="51.75" thickBot="1" x14ac:dyDescent="0.45">
      <c r="A2418" s="319" t="s">
        <v>733</v>
      </c>
      <c r="B2418" s="320" t="s">
        <v>636</v>
      </c>
      <c r="C2418" s="586">
        <f>C2301</f>
        <v>0</v>
      </c>
      <c r="D2418" s="551">
        <f>C2418*14</f>
        <v>0</v>
      </c>
      <c r="E2418" s="456">
        <f t="shared" si="908"/>
        <v>0</v>
      </c>
      <c r="F2418" s="358">
        <f>E2418*0.99*1.03/147</f>
        <v>0</v>
      </c>
      <c r="G2418" s="548">
        <f t="shared" si="905"/>
        <v>0</v>
      </c>
      <c r="H2418" s="358" t="s">
        <v>18</v>
      </c>
      <c r="I2418" s="548">
        <f t="shared" si="906"/>
        <v>0</v>
      </c>
      <c r="J2418" s="358" t="s">
        <v>19</v>
      </c>
      <c r="K2418" s="358"/>
      <c r="L2418" s="358"/>
      <c r="M2418" s="358">
        <f>(F2418*6989)/2880</f>
        <v>0</v>
      </c>
      <c r="N2418" s="324"/>
      <c r="O2418" s="324"/>
      <c r="P2418" s="324"/>
      <c r="Q2418" s="324" t="s">
        <v>18</v>
      </c>
      <c r="R2418" s="324"/>
      <c r="S2418" s="324" t="s">
        <v>19</v>
      </c>
      <c r="T2418" s="528">
        <v>3</v>
      </c>
      <c r="U2418" s="324">
        <f t="shared" si="909"/>
        <v>0</v>
      </c>
      <c r="V2418" s="676"/>
      <c r="W2418" s="528"/>
      <c r="X2418" s="529"/>
      <c r="Y2418" s="323"/>
      <c r="Z2418" s="312">
        <f t="shared" si="896"/>
        <v>0</v>
      </c>
      <c r="AA2418" s="316">
        <f t="shared" si="903"/>
        <v>0.25</v>
      </c>
    </row>
    <row r="2419" spans="1:28" ht="51.75" thickBot="1" x14ac:dyDescent="0.45">
      <c r="A2419" s="319" t="s">
        <v>733</v>
      </c>
      <c r="B2419" s="320" t="s">
        <v>637</v>
      </c>
      <c r="C2419" s="586">
        <f>C2302</f>
        <v>0</v>
      </c>
      <c r="D2419" s="528">
        <f>C2419*12</f>
        <v>0</v>
      </c>
      <c r="E2419" s="460">
        <f t="shared" si="908"/>
        <v>0</v>
      </c>
      <c r="F2419" s="324">
        <f>E2419*1.05*0.99/135</f>
        <v>0</v>
      </c>
      <c r="G2419" s="528">
        <f>INT(M2419)</f>
        <v>0</v>
      </c>
      <c r="H2419" s="324" t="s">
        <v>18</v>
      </c>
      <c r="I2419" s="528">
        <f>(M2419-G2419)*64</f>
        <v>0</v>
      </c>
      <c r="J2419" s="324" t="s">
        <v>19</v>
      </c>
      <c r="K2419" s="324"/>
      <c r="L2419" s="324"/>
      <c r="M2419" s="324">
        <f>(F2419*6253)/2880</f>
        <v>0</v>
      </c>
      <c r="N2419" s="324"/>
      <c r="O2419" s="324"/>
      <c r="P2419" s="324"/>
      <c r="Q2419" s="324" t="s">
        <v>18</v>
      </c>
      <c r="R2419" s="324"/>
      <c r="S2419" s="324" t="s">
        <v>19</v>
      </c>
      <c r="T2419" s="528">
        <v>3</v>
      </c>
      <c r="U2419" s="324">
        <f t="shared" si="909"/>
        <v>0</v>
      </c>
      <c r="V2419" s="676"/>
      <c r="W2419" s="528"/>
      <c r="X2419" s="529"/>
      <c r="Y2419" s="323"/>
      <c r="Z2419" s="312">
        <f t="shared" si="896"/>
        <v>0</v>
      </c>
      <c r="AA2419" s="316">
        <f t="shared" si="903"/>
        <v>0.25</v>
      </c>
    </row>
    <row r="2420" spans="1:28" ht="77.25" outlineLevel="1" thickBot="1" x14ac:dyDescent="0.45">
      <c r="A2420" s="319" t="s">
        <v>733</v>
      </c>
      <c r="B2420" s="799" t="s">
        <v>1214</v>
      </c>
      <c r="C2420" s="586">
        <f>C2304</f>
        <v>0</v>
      </c>
      <c r="D2420" s="528">
        <f>C2420*14</f>
        <v>0</v>
      </c>
      <c r="E2420" s="460">
        <f t="shared" si="908"/>
        <v>0</v>
      </c>
      <c r="F2420" s="324">
        <f>E2420*1.05*0.99/135</f>
        <v>0</v>
      </c>
      <c r="G2420" s="528">
        <f>INT(M2420)</f>
        <v>0</v>
      </c>
      <c r="H2420" s="324" t="s">
        <v>18</v>
      </c>
      <c r="I2420" s="528">
        <f>(M2420-G2420)*64</f>
        <v>0</v>
      </c>
      <c r="J2420" s="324" t="s">
        <v>19</v>
      </c>
      <c r="K2420" s="324"/>
      <c r="L2420" s="324"/>
      <c r="M2420" s="324">
        <f>(F2420*6253)/2880</f>
        <v>0</v>
      </c>
      <c r="N2420" s="324"/>
      <c r="O2420" s="324"/>
      <c r="P2420" s="324"/>
      <c r="Q2420" s="324" t="s">
        <v>18</v>
      </c>
      <c r="R2420" s="324"/>
      <c r="S2420" s="324" t="s">
        <v>19</v>
      </c>
      <c r="T2420" s="528">
        <v>3</v>
      </c>
      <c r="U2420" s="324">
        <f t="shared" si="909"/>
        <v>0</v>
      </c>
      <c r="V2420" s="676"/>
      <c r="W2420" s="528"/>
      <c r="X2420" s="529"/>
      <c r="Y2420" s="323"/>
      <c r="Z2420" s="312">
        <f t="shared" si="896"/>
        <v>0</v>
      </c>
      <c r="AA2420" s="316">
        <f t="shared" si="903"/>
        <v>0.25</v>
      </c>
    </row>
    <row r="2421" spans="1:28" ht="51.75" thickBot="1" x14ac:dyDescent="0.45">
      <c r="A2421" s="319" t="s">
        <v>733</v>
      </c>
      <c r="B2421" s="362" t="s">
        <v>909</v>
      </c>
      <c r="C2421" s="528">
        <f>C1985</f>
        <v>0</v>
      </c>
      <c r="D2421" s="550">
        <f>C2421*12</f>
        <v>0</v>
      </c>
      <c r="E2421" s="358">
        <f>D2421*0.36</f>
        <v>0</v>
      </c>
      <c r="F2421" s="358">
        <f>E2421*1.03*0.8/147</f>
        <v>0</v>
      </c>
      <c r="G2421" s="548">
        <f>INT(M2421)</f>
        <v>0</v>
      </c>
      <c r="H2421" s="358" t="s">
        <v>18</v>
      </c>
      <c r="I2421" s="548">
        <f>(M2421-G2421)*64</f>
        <v>0</v>
      </c>
      <c r="J2421" s="358" t="s">
        <v>19</v>
      </c>
      <c r="K2421" s="358"/>
      <c r="L2421" s="358"/>
      <c r="M2421" s="358">
        <f>F2421*6000/3456</f>
        <v>0</v>
      </c>
      <c r="N2421" s="358"/>
      <c r="O2421" s="358"/>
      <c r="P2421" s="358"/>
      <c r="Q2421" s="358" t="s">
        <v>18</v>
      </c>
      <c r="R2421" s="358"/>
      <c r="S2421" s="358" t="s">
        <v>19</v>
      </c>
      <c r="T2421" s="528">
        <v>3</v>
      </c>
      <c r="U2421" s="324">
        <f>E2421/220*60</f>
        <v>0</v>
      </c>
      <c r="V2421" s="676"/>
      <c r="W2421" s="528"/>
      <c r="X2421" s="529"/>
      <c r="Y2421" s="323"/>
      <c r="Z2421" s="312">
        <f t="shared" si="896"/>
        <v>0</v>
      </c>
      <c r="AA2421" s="316">
        <f>SUM(E2421/276+0.25)</f>
        <v>0.25</v>
      </c>
    </row>
    <row r="2422" spans="1:28" ht="51.75" thickBot="1" x14ac:dyDescent="0.45">
      <c r="A2422" s="319" t="s">
        <v>733</v>
      </c>
      <c r="B2422" s="320" t="s">
        <v>1037</v>
      </c>
      <c r="C2422" s="586">
        <f t="shared" ref="C2422:C2428" si="910">C2305</f>
        <v>0</v>
      </c>
      <c r="D2422" s="548">
        <f>C2422*16</f>
        <v>0</v>
      </c>
      <c r="E2422" s="456">
        <f>D2422*0.27</f>
        <v>0</v>
      </c>
      <c r="F2422" s="358">
        <f t="shared" ref="F2422:F2429" si="911">E2422*0.99*1.03/147</f>
        <v>0</v>
      </c>
      <c r="G2422" s="548">
        <f t="shared" ref="G2422:G2430" si="912">INT(M2422)</f>
        <v>0</v>
      </c>
      <c r="H2422" s="358" t="s">
        <v>18</v>
      </c>
      <c r="I2422" s="548">
        <f t="shared" ref="I2422:I2430" si="913">(M2422-G2422)*64</f>
        <v>0</v>
      </c>
      <c r="J2422" s="358" t="s">
        <v>19</v>
      </c>
      <c r="K2422" s="358"/>
      <c r="L2422" s="358"/>
      <c r="M2422" s="358">
        <f>(F2422*6391)/2880</f>
        <v>0</v>
      </c>
      <c r="N2422" s="358"/>
      <c r="O2422" s="358"/>
      <c r="P2422" s="358"/>
      <c r="Q2422" s="358" t="s">
        <v>18</v>
      </c>
      <c r="R2422" s="358"/>
      <c r="S2422" s="358" t="s">
        <v>19</v>
      </c>
      <c r="T2422" s="528">
        <v>4</v>
      </c>
      <c r="U2422" s="324">
        <f t="shared" si="909"/>
        <v>0</v>
      </c>
      <c r="V2422" s="676"/>
      <c r="W2422" s="528"/>
      <c r="X2422" s="529"/>
      <c r="Y2422" s="323"/>
      <c r="Z2422" s="312">
        <f t="shared" si="896"/>
        <v>0</v>
      </c>
      <c r="AA2422" s="316">
        <f>SUM(Z2422/480+0.25)</f>
        <v>0.25</v>
      </c>
    </row>
    <row r="2423" spans="1:28" ht="51.75" thickBot="1" x14ac:dyDescent="0.45">
      <c r="A2423" s="319" t="s">
        <v>733</v>
      </c>
      <c r="B2423" s="343" t="s">
        <v>1038</v>
      </c>
      <c r="C2423" s="586">
        <f t="shared" si="910"/>
        <v>0</v>
      </c>
      <c r="D2423" s="548">
        <f>C2423*16</f>
        <v>0</v>
      </c>
      <c r="E2423" s="456">
        <f>D2423*0.27</f>
        <v>0</v>
      </c>
      <c r="F2423" s="358">
        <f t="shared" si="911"/>
        <v>0</v>
      </c>
      <c r="G2423" s="548">
        <f t="shared" si="912"/>
        <v>0</v>
      </c>
      <c r="H2423" s="358" t="s">
        <v>18</v>
      </c>
      <c r="I2423" s="548">
        <f t="shared" si="913"/>
        <v>0</v>
      </c>
      <c r="J2423" s="358" t="s">
        <v>19</v>
      </c>
      <c r="K2423" s="358"/>
      <c r="L2423" s="358"/>
      <c r="M2423" s="358">
        <f>(F2423*6391)/2880</f>
        <v>0</v>
      </c>
      <c r="N2423" s="358"/>
      <c r="O2423" s="358"/>
      <c r="P2423" s="358"/>
      <c r="Q2423" s="358" t="s">
        <v>18</v>
      </c>
      <c r="R2423" s="358"/>
      <c r="S2423" s="358" t="s">
        <v>19</v>
      </c>
      <c r="T2423" s="528">
        <v>4</v>
      </c>
      <c r="U2423" s="324">
        <f t="shared" si="909"/>
        <v>0</v>
      </c>
      <c r="V2423" s="676"/>
      <c r="W2423" s="528"/>
      <c r="X2423" s="529"/>
      <c r="Y2423" s="323"/>
      <c r="Z2423" s="312">
        <f t="shared" si="896"/>
        <v>0</v>
      </c>
      <c r="AA2423" s="316">
        <f>SUM(Z2423/480+0.25)</f>
        <v>0.25</v>
      </c>
    </row>
    <row r="2424" spans="1:28" ht="53.25" thickBot="1" x14ac:dyDescent="0.45">
      <c r="A2424" s="319" t="s">
        <v>733</v>
      </c>
      <c r="B2424" s="319" t="s">
        <v>684</v>
      </c>
      <c r="C2424" s="586">
        <f t="shared" si="910"/>
        <v>0</v>
      </c>
      <c r="D2424" s="548">
        <f>C2424*12</f>
        <v>0</v>
      </c>
      <c r="E2424" s="456">
        <f>D2424*0.3</f>
        <v>0</v>
      </c>
      <c r="F2424" s="358">
        <f t="shared" si="911"/>
        <v>0</v>
      </c>
      <c r="G2424" s="548">
        <f t="shared" si="912"/>
        <v>0</v>
      </c>
      <c r="H2424" s="358" t="s">
        <v>18</v>
      </c>
      <c r="I2424" s="548">
        <f t="shared" si="913"/>
        <v>0</v>
      </c>
      <c r="J2424" s="358" t="s">
        <v>19</v>
      </c>
      <c r="K2424" s="358"/>
      <c r="L2424" s="358"/>
      <c r="M2424" s="358">
        <f>(F2424*5880)/2880</f>
        <v>0</v>
      </c>
      <c r="N2424" s="324"/>
      <c r="O2424" s="324"/>
      <c r="P2424" s="324"/>
      <c r="Q2424" s="324" t="s">
        <v>18</v>
      </c>
      <c r="R2424" s="324"/>
      <c r="S2424" s="324" t="s">
        <v>19</v>
      </c>
      <c r="T2424" s="528">
        <v>4</v>
      </c>
      <c r="U2424" s="324">
        <f t="shared" si="909"/>
        <v>0</v>
      </c>
      <c r="V2424" s="676"/>
      <c r="W2424" s="528"/>
      <c r="X2424" s="529"/>
      <c r="Y2424" s="323"/>
      <c r="Z2424" s="312">
        <f t="shared" si="896"/>
        <v>0</v>
      </c>
      <c r="AA2424" s="316">
        <f>SUM(Z2424/525+0.25)</f>
        <v>0.25</v>
      </c>
    </row>
    <row r="2425" spans="1:28" ht="53.25" thickBot="1" x14ac:dyDescent="0.45">
      <c r="A2425" s="319" t="s">
        <v>733</v>
      </c>
      <c r="B2425" s="319" t="s">
        <v>685</v>
      </c>
      <c r="C2425" s="586">
        <f t="shared" si="910"/>
        <v>0</v>
      </c>
      <c r="D2425" s="548">
        <f>C2425*12</f>
        <v>0</v>
      </c>
      <c r="E2425" s="456">
        <f>D2425*0.3</f>
        <v>0</v>
      </c>
      <c r="F2425" s="358">
        <f t="shared" si="911"/>
        <v>0</v>
      </c>
      <c r="G2425" s="548">
        <f t="shared" si="912"/>
        <v>0</v>
      </c>
      <c r="H2425" s="358" t="s">
        <v>18</v>
      </c>
      <c r="I2425" s="548">
        <f t="shared" si="913"/>
        <v>0</v>
      </c>
      <c r="J2425" s="358" t="s">
        <v>19</v>
      </c>
      <c r="K2425" s="358"/>
      <c r="L2425" s="358"/>
      <c r="M2425" s="358">
        <f>(F2425*5880)/2880</f>
        <v>0</v>
      </c>
      <c r="N2425" s="324"/>
      <c r="O2425" s="324"/>
      <c r="P2425" s="324"/>
      <c r="Q2425" s="324" t="s">
        <v>18</v>
      </c>
      <c r="R2425" s="324"/>
      <c r="S2425" s="324" t="s">
        <v>19</v>
      </c>
      <c r="T2425" s="528">
        <v>4</v>
      </c>
      <c r="U2425" s="324">
        <f>E2425/259*60</f>
        <v>0</v>
      </c>
      <c r="V2425" s="676"/>
      <c r="W2425" s="528"/>
      <c r="X2425" s="529"/>
      <c r="Y2425" s="323"/>
      <c r="Z2425" s="312">
        <f t="shared" si="896"/>
        <v>0</v>
      </c>
      <c r="AA2425" s="316">
        <f>SUM(Z2425/525+0.25)</f>
        <v>0.25</v>
      </c>
    </row>
    <row r="2426" spans="1:28" ht="53.25" thickBot="1" x14ac:dyDescent="0.45">
      <c r="A2426" s="319" t="s">
        <v>733</v>
      </c>
      <c r="B2426" s="854" t="s">
        <v>1196</v>
      </c>
      <c r="C2426" s="528">
        <f t="shared" si="910"/>
        <v>0</v>
      </c>
      <c r="D2426" s="548">
        <f>C2426*14</f>
        <v>0</v>
      </c>
      <c r="E2426" s="456">
        <f>D2426*0.3</f>
        <v>0</v>
      </c>
      <c r="F2426" s="358">
        <f t="shared" si="911"/>
        <v>0</v>
      </c>
      <c r="G2426" s="548">
        <f t="shared" si="912"/>
        <v>0</v>
      </c>
      <c r="H2426" s="358" t="s">
        <v>18</v>
      </c>
      <c r="I2426" s="548">
        <f t="shared" si="913"/>
        <v>0</v>
      </c>
      <c r="J2426" s="358" t="s">
        <v>19</v>
      </c>
      <c r="K2426" s="358"/>
      <c r="L2426" s="358"/>
      <c r="M2426" s="358">
        <f>(F2426*5880)/2880</f>
        <v>0</v>
      </c>
      <c r="N2426" s="324"/>
      <c r="O2426" s="324"/>
      <c r="P2426" s="324"/>
      <c r="Q2426" s="324" t="s">
        <v>18</v>
      </c>
      <c r="R2426" s="324"/>
      <c r="S2426" s="324" t="s">
        <v>19</v>
      </c>
      <c r="T2426" s="528">
        <v>4</v>
      </c>
      <c r="U2426" s="324">
        <f>E2426/403*60</f>
        <v>0</v>
      </c>
      <c r="V2426" s="676"/>
      <c r="W2426" s="528"/>
      <c r="X2426" s="529"/>
      <c r="Y2426" s="360"/>
      <c r="Z2426" s="312">
        <f>E2426</f>
        <v>0</v>
      </c>
      <c r="AA2426" s="316">
        <f>SUM(Z2426/525+0.25)</f>
        <v>0.25</v>
      </c>
    </row>
    <row r="2427" spans="1:28" ht="77.25" thickBot="1" x14ac:dyDescent="0.45">
      <c r="A2427" s="319" t="s">
        <v>733</v>
      </c>
      <c r="B2427" s="862" t="s">
        <v>1197</v>
      </c>
      <c r="C2427" s="853">
        <f t="shared" si="910"/>
        <v>0</v>
      </c>
      <c r="D2427" s="856">
        <f>C2427*16</f>
        <v>0</v>
      </c>
      <c r="E2427" s="629">
        <f>D2427*0.3</f>
        <v>0</v>
      </c>
      <c r="F2427" s="857">
        <f>E2427*0.9*1.01/147</f>
        <v>0</v>
      </c>
      <c r="G2427" s="858">
        <f>INT(M2427)</f>
        <v>0</v>
      </c>
      <c r="H2427" s="366"/>
      <c r="I2427" s="859">
        <f t="shared" si="913"/>
        <v>0</v>
      </c>
      <c r="J2427" s="860" t="s">
        <v>19</v>
      </c>
      <c r="K2427" s="860"/>
      <c r="L2427" s="860"/>
      <c r="M2427" s="861">
        <f>F2427*6533/3456</f>
        <v>0</v>
      </c>
      <c r="N2427" s="860"/>
      <c r="O2427" s="860"/>
      <c r="P2427" s="860"/>
      <c r="Q2427" s="324" t="s">
        <v>18</v>
      </c>
      <c r="R2427" s="324"/>
      <c r="S2427" s="324" t="s">
        <v>19</v>
      </c>
      <c r="T2427" s="528">
        <v>4</v>
      </c>
      <c r="U2427" s="324">
        <f>E2427/403*60</f>
        <v>0</v>
      </c>
      <c r="V2427" s="676"/>
      <c r="W2427" s="528"/>
      <c r="X2427" s="529"/>
      <c r="Y2427" s="711"/>
      <c r="Z2427" s="312">
        <f>E2427</f>
        <v>0</v>
      </c>
      <c r="AA2427" s="316">
        <f>SUM(Z2427/600+0.25)</f>
        <v>0.25</v>
      </c>
      <c r="AB2427" s="310">
        <f>E2427/1.02</f>
        <v>0</v>
      </c>
    </row>
    <row r="2428" spans="1:28" ht="53.25" thickBot="1" x14ac:dyDescent="0.45">
      <c r="A2428" s="319" t="s">
        <v>733</v>
      </c>
      <c r="B2428" s="319" t="s">
        <v>692</v>
      </c>
      <c r="C2428" s="586">
        <f t="shared" si="910"/>
        <v>0</v>
      </c>
      <c r="D2428" s="548">
        <f>C2428*12</f>
        <v>0</v>
      </c>
      <c r="E2428" s="456">
        <f>D2428*0.3</f>
        <v>0</v>
      </c>
      <c r="F2428" s="358">
        <f t="shared" si="911"/>
        <v>0</v>
      </c>
      <c r="G2428" s="548">
        <f t="shared" si="912"/>
        <v>0</v>
      </c>
      <c r="H2428" s="358" t="s">
        <v>18</v>
      </c>
      <c r="I2428" s="548">
        <f t="shared" si="913"/>
        <v>0</v>
      </c>
      <c r="J2428" s="358" t="s">
        <v>19</v>
      </c>
      <c r="K2428" s="358"/>
      <c r="L2428" s="358"/>
      <c r="M2428" s="358">
        <f>(F2428*5880)/2880</f>
        <v>0</v>
      </c>
      <c r="N2428" s="324"/>
      <c r="O2428" s="324"/>
      <c r="P2428" s="324"/>
      <c r="Q2428" s="324" t="s">
        <v>18</v>
      </c>
      <c r="R2428" s="324"/>
      <c r="S2428" s="324" t="s">
        <v>19</v>
      </c>
      <c r="T2428" s="528">
        <v>4</v>
      </c>
      <c r="U2428" s="324">
        <f>E2428/259*60</f>
        <v>0</v>
      </c>
      <c r="V2428" s="676"/>
      <c r="W2428" s="528"/>
      <c r="X2428" s="529"/>
      <c r="Y2428" s="323"/>
      <c r="Z2428" s="312">
        <f t="shared" si="896"/>
        <v>0</v>
      </c>
      <c r="AA2428" s="316">
        <f>SUM(Z2428/525+0.25)</f>
        <v>0.25</v>
      </c>
    </row>
    <row r="2429" spans="1:28" ht="103.5" thickBot="1" x14ac:dyDescent="0.45">
      <c r="A2429" s="319" t="s">
        <v>733</v>
      </c>
      <c r="B2429" s="320" t="s">
        <v>781</v>
      </c>
      <c r="C2429" s="528">
        <f>C2325</f>
        <v>0</v>
      </c>
      <c r="D2429" s="548">
        <f>C2429*10</f>
        <v>0</v>
      </c>
      <c r="E2429" s="456">
        <f>D2429*0.18</f>
        <v>0</v>
      </c>
      <c r="F2429" s="358">
        <f t="shared" si="911"/>
        <v>0</v>
      </c>
      <c r="G2429" s="548">
        <f t="shared" si="912"/>
        <v>0</v>
      </c>
      <c r="H2429" s="358" t="s">
        <v>18</v>
      </c>
      <c r="I2429" s="548">
        <f t="shared" si="913"/>
        <v>0</v>
      </c>
      <c r="J2429" s="358" t="s">
        <v>19</v>
      </c>
      <c r="K2429" s="358"/>
      <c r="L2429" s="358"/>
      <c r="M2429" s="358">
        <f>(F2429*6400)/2880</f>
        <v>0</v>
      </c>
      <c r="N2429" s="324"/>
      <c r="O2429" s="324"/>
      <c r="P2429" s="324"/>
      <c r="Q2429" s="324" t="s">
        <v>18</v>
      </c>
      <c r="R2429" s="324"/>
      <c r="S2429" s="324" t="s">
        <v>19</v>
      </c>
      <c r="T2429" s="528">
        <v>5</v>
      </c>
      <c r="U2429" s="324">
        <f>E2429/237*60</f>
        <v>0</v>
      </c>
      <c r="V2429" s="676"/>
      <c r="W2429" s="528"/>
      <c r="X2429" s="529"/>
      <c r="Y2429" s="397" t="s">
        <v>888</v>
      </c>
      <c r="Z2429" s="312">
        <f t="shared" si="896"/>
        <v>0</v>
      </c>
      <c r="AA2429" s="316">
        <f>SUM(Z2429/480+0.25)</f>
        <v>0.25</v>
      </c>
    </row>
    <row r="2430" spans="1:28" ht="77.25" thickBot="1" x14ac:dyDescent="0.45">
      <c r="A2430" s="319" t="s">
        <v>733</v>
      </c>
      <c r="B2430" s="362" t="s">
        <v>1028</v>
      </c>
      <c r="C2430" s="528"/>
      <c r="D2430" s="567">
        <f>C2430*12</f>
        <v>0</v>
      </c>
      <c r="E2430" s="324">
        <f>D2430*0.18</f>
        <v>0</v>
      </c>
      <c r="F2430" s="324">
        <f>E2430*0.99*1.03/147</f>
        <v>0</v>
      </c>
      <c r="G2430" s="324">
        <f t="shared" si="912"/>
        <v>0</v>
      </c>
      <c r="H2430" s="324" t="s">
        <v>18</v>
      </c>
      <c r="I2430" s="528">
        <f t="shared" si="913"/>
        <v>0</v>
      </c>
      <c r="J2430" s="324" t="s">
        <v>19</v>
      </c>
      <c r="K2430" s="324"/>
      <c r="L2430" s="324"/>
      <c r="M2430" s="324">
        <f>C2430*12*6/45/64*1.03</f>
        <v>0</v>
      </c>
      <c r="N2430" s="324"/>
      <c r="O2430" s="324"/>
      <c r="P2430" s="324"/>
      <c r="Q2430" s="324" t="s">
        <v>18</v>
      </c>
      <c r="R2430" s="324"/>
      <c r="S2430" s="324" t="s">
        <v>19</v>
      </c>
      <c r="T2430" s="528">
        <v>4</v>
      </c>
      <c r="U2430" s="324">
        <f>E2430/237*60</f>
        <v>0</v>
      </c>
      <c r="V2430" s="676"/>
      <c r="W2430" s="528"/>
      <c r="X2430" s="529"/>
      <c r="Y2430" s="323"/>
      <c r="Z2430" s="312">
        <f>E2430</f>
        <v>0</v>
      </c>
      <c r="AA2430" s="316">
        <f>SUM(Z2430/514.1+0.25)</f>
        <v>0.25</v>
      </c>
    </row>
    <row r="2431" spans="1:28" ht="51.75" thickBot="1" x14ac:dyDescent="0.45">
      <c r="A2431" s="319" t="s">
        <v>733</v>
      </c>
      <c r="B2431" s="362" t="s">
        <v>996</v>
      </c>
      <c r="C2431" s="528"/>
      <c r="D2431" s="567">
        <f>C2431*12</f>
        <v>0</v>
      </c>
      <c r="E2431" s="324">
        <f>D2431*0.18</f>
        <v>0</v>
      </c>
      <c r="F2431" s="324">
        <f>E2431*0.99*1.03/147</f>
        <v>0</v>
      </c>
      <c r="G2431" s="324">
        <f t="shared" ref="G2431:G2440" si="914">INT(M2431)</f>
        <v>0</v>
      </c>
      <c r="H2431" s="324" t="s">
        <v>18</v>
      </c>
      <c r="I2431" s="528">
        <f t="shared" ref="I2431:I2440" si="915">(M2431-G2431)*64</f>
        <v>0</v>
      </c>
      <c r="J2431" s="324" t="s">
        <v>19</v>
      </c>
      <c r="K2431" s="324"/>
      <c r="L2431" s="324"/>
      <c r="M2431" s="324">
        <f>C2431*12*6/45/64*1.03</f>
        <v>0</v>
      </c>
      <c r="N2431" s="324"/>
      <c r="O2431" s="324"/>
      <c r="P2431" s="324"/>
      <c r="Q2431" s="324" t="s">
        <v>18</v>
      </c>
      <c r="R2431" s="324"/>
      <c r="S2431" s="324" t="s">
        <v>19</v>
      </c>
      <c r="T2431" s="528">
        <v>4</v>
      </c>
      <c r="U2431" s="324">
        <f>E2431/237*60</f>
        <v>0</v>
      </c>
      <c r="V2431" s="676"/>
      <c r="W2431" s="528"/>
      <c r="X2431" s="529"/>
      <c r="Y2431" s="323"/>
      <c r="Z2431" s="312">
        <f t="shared" si="896"/>
        <v>0</v>
      </c>
      <c r="AA2431" s="316">
        <f>SUM(Z2431/514.1+0.25)</f>
        <v>0.25</v>
      </c>
    </row>
    <row r="2432" spans="1:28" ht="51.75" thickBot="1" x14ac:dyDescent="0.45">
      <c r="A2432" s="319" t="s">
        <v>733</v>
      </c>
      <c r="B2432" s="362" t="s">
        <v>997</v>
      </c>
      <c r="C2432" s="528"/>
      <c r="D2432" s="567">
        <f>C2432*12</f>
        <v>0</v>
      </c>
      <c r="E2432" s="324">
        <f>D2432*0.18</f>
        <v>0</v>
      </c>
      <c r="F2432" s="324">
        <f>E2432*0.99*1.03/147</f>
        <v>0</v>
      </c>
      <c r="G2432" s="324">
        <f t="shared" si="914"/>
        <v>0</v>
      </c>
      <c r="H2432" s="324" t="s">
        <v>18</v>
      </c>
      <c r="I2432" s="528">
        <f t="shared" si="915"/>
        <v>0</v>
      </c>
      <c r="J2432" s="324" t="s">
        <v>19</v>
      </c>
      <c r="K2432" s="324"/>
      <c r="L2432" s="324"/>
      <c r="M2432" s="324">
        <f>C2432*12*6/45/64*1.03</f>
        <v>0</v>
      </c>
      <c r="N2432" s="324"/>
      <c r="O2432" s="324"/>
      <c r="P2432" s="324"/>
      <c r="Q2432" s="324" t="s">
        <v>18</v>
      </c>
      <c r="R2432" s="324"/>
      <c r="S2432" s="324" t="s">
        <v>19</v>
      </c>
      <c r="T2432" s="528">
        <v>4</v>
      </c>
      <c r="U2432" s="324">
        <f>E2432/237*60</f>
        <v>0</v>
      </c>
      <c r="V2432" s="676"/>
      <c r="W2432" s="528"/>
      <c r="X2432" s="529"/>
      <c r="Y2432" s="323"/>
      <c r="Z2432" s="312">
        <f t="shared" si="896"/>
        <v>0</v>
      </c>
      <c r="AA2432" s="316">
        <f>SUM(Z2432/514.1+0.25)</f>
        <v>0.25</v>
      </c>
    </row>
    <row r="2433" spans="1:27" ht="51.75" thickBot="1" x14ac:dyDescent="0.45">
      <c r="A2433" s="319" t="s">
        <v>733</v>
      </c>
      <c r="B2433" s="362" t="s">
        <v>998</v>
      </c>
      <c r="C2433" s="528">
        <f>C1268+C1782</f>
        <v>0</v>
      </c>
      <c r="D2433" s="567">
        <f>C2433*26</f>
        <v>0</v>
      </c>
      <c r="E2433" s="324">
        <f>D2433*0.18</f>
        <v>0</v>
      </c>
      <c r="F2433" s="324">
        <f>E2433*0.99*1.03/147</f>
        <v>0</v>
      </c>
      <c r="G2433" s="324">
        <f t="shared" si="914"/>
        <v>0</v>
      </c>
      <c r="H2433" s="324" t="s">
        <v>18</v>
      </c>
      <c r="I2433" s="528">
        <f t="shared" si="915"/>
        <v>0</v>
      </c>
      <c r="J2433" s="324" t="s">
        <v>19</v>
      </c>
      <c r="K2433" s="324"/>
      <c r="L2433" s="324"/>
      <c r="M2433" s="324">
        <f>C2433*26*6/45/64*1.03</f>
        <v>0</v>
      </c>
      <c r="N2433" s="324"/>
      <c r="O2433" s="324"/>
      <c r="P2433" s="324"/>
      <c r="Q2433" s="324" t="s">
        <v>18</v>
      </c>
      <c r="R2433" s="324"/>
      <c r="S2433" s="324" t="s">
        <v>19</v>
      </c>
      <c r="T2433" s="528">
        <v>5</v>
      </c>
      <c r="U2433" s="324">
        <f>E2433/237*60</f>
        <v>0</v>
      </c>
      <c r="V2433" s="676"/>
      <c r="W2433" s="528"/>
      <c r="X2433" s="529"/>
      <c r="Y2433" s="323"/>
      <c r="Z2433" s="312">
        <f t="shared" si="896"/>
        <v>0</v>
      </c>
      <c r="AA2433" s="316">
        <f>SUM(Z2433/514.1+0.25)</f>
        <v>0.25</v>
      </c>
    </row>
    <row r="2434" spans="1:27" s="728" customFormat="1" ht="77.25" outlineLevel="1" thickBot="1" x14ac:dyDescent="0.45">
      <c r="A2434" s="636" t="s">
        <v>733</v>
      </c>
      <c r="B2434" s="634" t="s">
        <v>1040</v>
      </c>
      <c r="C2434" s="720">
        <f>C1976</f>
        <v>0</v>
      </c>
      <c r="D2434" s="720">
        <f>C2434*12</f>
        <v>0</v>
      </c>
      <c r="E2434" s="721">
        <f t="shared" ref="E2434:E2440" si="916">D2434*0.25</f>
        <v>0</v>
      </c>
      <c r="F2434" s="722">
        <f>E2434*1.03*0.729/147</f>
        <v>0</v>
      </c>
      <c r="G2434" s="720">
        <f t="shared" si="914"/>
        <v>0</v>
      </c>
      <c r="H2434" s="722" t="s">
        <v>18</v>
      </c>
      <c r="I2434" s="720">
        <f t="shared" si="915"/>
        <v>0</v>
      </c>
      <c r="J2434" s="722" t="s">
        <v>19</v>
      </c>
      <c r="K2434" s="722"/>
      <c r="L2434" s="722"/>
      <c r="M2434" s="722">
        <f>(F2434*7840/3456)</f>
        <v>0</v>
      </c>
      <c r="N2434" s="722"/>
      <c r="O2434" s="722"/>
      <c r="P2434" s="722"/>
      <c r="Q2434" s="722" t="s">
        <v>18</v>
      </c>
      <c r="R2434" s="722"/>
      <c r="S2434" s="722" t="s">
        <v>19</v>
      </c>
      <c r="T2434" s="720">
        <v>7</v>
      </c>
      <c r="U2434" s="324">
        <f t="shared" ref="U2434:U2440" si="917">E2434/390*60</f>
        <v>0</v>
      </c>
      <c r="V2434" s="724"/>
      <c r="W2434" s="720"/>
      <c r="X2434" s="725"/>
      <c r="Y2434" s="749"/>
      <c r="Z2434" s="727">
        <f t="shared" si="896"/>
        <v>0</v>
      </c>
      <c r="AA2434" s="815">
        <f>SUM(Z2434/280+0.25)</f>
        <v>0.25</v>
      </c>
    </row>
    <row r="2435" spans="1:27" ht="79.5" thickBot="1" x14ac:dyDescent="0.45">
      <c r="A2435" s="319" t="s">
        <v>733</v>
      </c>
      <c r="B2435" s="320" t="s">
        <v>828</v>
      </c>
      <c r="C2435" s="528">
        <f>C2327</f>
        <v>0</v>
      </c>
      <c r="D2435" s="557">
        <f>C2435*12</f>
        <v>0</v>
      </c>
      <c r="E2435" s="457">
        <f t="shared" si="916"/>
        <v>0</v>
      </c>
      <c r="F2435" s="359">
        <f t="shared" ref="F2435:F2440" si="918">E2435*0.9*1.01/147</f>
        <v>0</v>
      </c>
      <c r="G2435" s="558">
        <f t="shared" si="914"/>
        <v>0</v>
      </c>
      <c r="H2435" s="366" t="s">
        <v>18</v>
      </c>
      <c r="I2435" s="556">
        <f t="shared" si="915"/>
        <v>0</v>
      </c>
      <c r="J2435" s="366" t="s">
        <v>19</v>
      </c>
      <c r="K2435" s="366"/>
      <c r="L2435" s="366"/>
      <c r="M2435" s="366">
        <f t="shared" ref="M2435:M2440" si="919">(F2435*7777/3456)</f>
        <v>0</v>
      </c>
      <c r="N2435" s="366"/>
      <c r="O2435" s="366"/>
      <c r="P2435" s="366"/>
      <c r="Q2435" s="358" t="s">
        <v>18</v>
      </c>
      <c r="R2435" s="358"/>
      <c r="S2435" s="358" t="s">
        <v>19</v>
      </c>
      <c r="T2435" s="528">
        <v>4</v>
      </c>
      <c r="U2435" s="324">
        <f t="shared" si="917"/>
        <v>0</v>
      </c>
      <c r="V2435" s="676"/>
      <c r="W2435" s="528"/>
      <c r="X2435" s="529"/>
      <c r="Y2435" s="663" t="s">
        <v>1016</v>
      </c>
      <c r="Z2435" s="312">
        <f t="shared" si="896"/>
        <v>0</v>
      </c>
      <c r="AA2435" s="316">
        <f t="shared" ref="AA2435:AA2440" si="920">SUM(Z2435/540+0.25)</f>
        <v>0.25</v>
      </c>
    </row>
    <row r="2436" spans="1:27" ht="105.75" thickBot="1" x14ac:dyDescent="0.45">
      <c r="A2436" s="319" t="s">
        <v>733</v>
      </c>
      <c r="B2436" s="320" t="s">
        <v>1017</v>
      </c>
      <c r="C2436" s="528">
        <f>C311+C541+C665</f>
        <v>0</v>
      </c>
      <c r="D2436" s="557">
        <f>C2436*12</f>
        <v>0</v>
      </c>
      <c r="E2436" s="457">
        <f t="shared" si="916"/>
        <v>0</v>
      </c>
      <c r="F2436" s="359">
        <f t="shared" si="918"/>
        <v>0</v>
      </c>
      <c r="G2436" s="558">
        <f t="shared" si="914"/>
        <v>0</v>
      </c>
      <c r="H2436" s="366" t="s">
        <v>18</v>
      </c>
      <c r="I2436" s="556">
        <f t="shared" si="915"/>
        <v>0</v>
      </c>
      <c r="J2436" s="366" t="s">
        <v>19</v>
      </c>
      <c r="K2436" s="366"/>
      <c r="L2436" s="366"/>
      <c r="M2436" s="366">
        <f t="shared" si="919"/>
        <v>0</v>
      </c>
      <c r="N2436" s="366"/>
      <c r="O2436" s="366"/>
      <c r="P2436" s="366"/>
      <c r="Q2436" s="358" t="s">
        <v>18</v>
      </c>
      <c r="R2436" s="358"/>
      <c r="S2436" s="358" t="s">
        <v>19</v>
      </c>
      <c r="T2436" s="528">
        <v>5</v>
      </c>
      <c r="U2436" s="324">
        <f t="shared" si="917"/>
        <v>0</v>
      </c>
      <c r="V2436" s="676"/>
      <c r="W2436" s="528"/>
      <c r="X2436" s="529"/>
      <c r="Y2436" s="666" t="s">
        <v>1062</v>
      </c>
      <c r="Z2436" s="312">
        <f>E2436</f>
        <v>0</v>
      </c>
      <c r="AA2436" s="316">
        <f t="shared" si="920"/>
        <v>0.25</v>
      </c>
    </row>
    <row r="2437" spans="1:27" ht="105.75" thickBot="1" x14ac:dyDescent="0.45">
      <c r="A2437" s="319" t="s">
        <v>733</v>
      </c>
      <c r="B2437" s="320" t="s">
        <v>1073</v>
      </c>
      <c r="C2437" s="528">
        <f>C312+C542+C782</f>
        <v>0</v>
      </c>
      <c r="D2437" s="709">
        <f>C2437*16</f>
        <v>0</v>
      </c>
      <c r="E2437" s="496">
        <f t="shared" si="916"/>
        <v>0</v>
      </c>
      <c r="F2437" s="354">
        <f t="shared" si="918"/>
        <v>0</v>
      </c>
      <c r="G2437" s="710">
        <f>INT(M2437)</f>
        <v>0</v>
      </c>
      <c r="H2437" s="555" t="s">
        <v>18</v>
      </c>
      <c r="I2437" s="553">
        <f>(M2437-G2437)*64</f>
        <v>0</v>
      </c>
      <c r="J2437" s="555" t="s">
        <v>19</v>
      </c>
      <c r="K2437" s="555"/>
      <c r="L2437" s="555"/>
      <c r="M2437" s="555">
        <f t="shared" si="919"/>
        <v>0</v>
      </c>
      <c r="N2437" s="555"/>
      <c r="O2437" s="555"/>
      <c r="P2437" s="555"/>
      <c r="Q2437" s="324" t="s">
        <v>18</v>
      </c>
      <c r="R2437" s="324"/>
      <c r="S2437" s="324" t="s">
        <v>19</v>
      </c>
      <c r="T2437" s="528">
        <v>5</v>
      </c>
      <c r="U2437" s="324">
        <f t="shared" si="917"/>
        <v>0</v>
      </c>
      <c r="V2437" s="676"/>
      <c r="W2437" s="528"/>
      <c r="X2437" s="529"/>
      <c r="Y2437" s="668" t="s">
        <v>1062</v>
      </c>
      <c r="Z2437" s="312">
        <f>E2437</f>
        <v>0</v>
      </c>
      <c r="AA2437" s="316">
        <f t="shared" si="920"/>
        <v>0.25</v>
      </c>
    </row>
    <row r="2438" spans="1:27" ht="105.75" thickBot="1" x14ac:dyDescent="0.45">
      <c r="A2438" s="319" t="s">
        <v>733</v>
      </c>
      <c r="B2438" s="320" t="s">
        <v>1074</v>
      </c>
      <c r="C2438" s="528">
        <f>C313+C543+C783</f>
        <v>0</v>
      </c>
      <c r="D2438" s="709">
        <f>C2438*16</f>
        <v>0</v>
      </c>
      <c r="E2438" s="496">
        <f t="shared" si="916"/>
        <v>0</v>
      </c>
      <c r="F2438" s="354">
        <f t="shared" si="918"/>
        <v>0</v>
      </c>
      <c r="G2438" s="710">
        <f>INT(M2438)</f>
        <v>0</v>
      </c>
      <c r="H2438" s="555" t="s">
        <v>18</v>
      </c>
      <c r="I2438" s="553">
        <f>(M2438-G2438)*64</f>
        <v>0</v>
      </c>
      <c r="J2438" s="555" t="s">
        <v>19</v>
      </c>
      <c r="K2438" s="555"/>
      <c r="L2438" s="555"/>
      <c r="M2438" s="555">
        <f t="shared" si="919"/>
        <v>0</v>
      </c>
      <c r="N2438" s="555"/>
      <c r="O2438" s="555"/>
      <c r="P2438" s="555"/>
      <c r="Q2438" s="324" t="s">
        <v>18</v>
      </c>
      <c r="R2438" s="324"/>
      <c r="S2438" s="324" t="s">
        <v>19</v>
      </c>
      <c r="T2438" s="528">
        <v>5</v>
      </c>
      <c r="U2438" s="324">
        <f t="shared" si="917"/>
        <v>0</v>
      </c>
      <c r="V2438" s="676"/>
      <c r="W2438" s="528"/>
      <c r="X2438" s="529"/>
      <c r="Y2438" s="660" t="s">
        <v>1062</v>
      </c>
      <c r="Z2438" s="312">
        <f>E2438</f>
        <v>0</v>
      </c>
      <c r="AA2438" s="316">
        <f t="shared" si="920"/>
        <v>0.25</v>
      </c>
    </row>
    <row r="2439" spans="1:27" ht="77.25" thickBot="1" x14ac:dyDescent="0.45">
      <c r="A2439" s="319" t="s">
        <v>733</v>
      </c>
      <c r="B2439" s="320" t="s">
        <v>1184</v>
      </c>
      <c r="C2439" s="528">
        <f>C2328</f>
        <v>0</v>
      </c>
      <c r="D2439" s="551">
        <f>C2439*16</f>
        <v>0</v>
      </c>
      <c r="E2439" s="456">
        <f t="shared" si="916"/>
        <v>0</v>
      </c>
      <c r="F2439" s="358">
        <f t="shared" si="918"/>
        <v>0</v>
      </c>
      <c r="G2439" s="556">
        <f t="shared" si="914"/>
        <v>0</v>
      </c>
      <c r="H2439" s="366" t="s">
        <v>18</v>
      </c>
      <c r="I2439" s="556">
        <f t="shared" si="915"/>
        <v>0</v>
      </c>
      <c r="J2439" s="366" t="s">
        <v>19</v>
      </c>
      <c r="K2439" s="366"/>
      <c r="L2439" s="366"/>
      <c r="M2439" s="366">
        <f t="shared" si="919"/>
        <v>0</v>
      </c>
      <c r="N2439" s="366"/>
      <c r="O2439" s="366"/>
      <c r="P2439" s="366"/>
      <c r="Q2439" s="358" t="s">
        <v>18</v>
      </c>
      <c r="R2439" s="358"/>
      <c r="S2439" s="358" t="s">
        <v>19</v>
      </c>
      <c r="T2439" s="528">
        <v>4</v>
      </c>
      <c r="U2439" s="324">
        <f t="shared" si="917"/>
        <v>0</v>
      </c>
      <c r="V2439" s="676"/>
      <c r="W2439" s="528"/>
      <c r="X2439" s="529"/>
      <c r="Y2439" s="381"/>
      <c r="Z2439" s="312">
        <f t="shared" si="896"/>
        <v>0</v>
      </c>
      <c r="AA2439" s="316">
        <f t="shared" si="920"/>
        <v>0.25</v>
      </c>
    </row>
    <row r="2440" spans="1:27" ht="51.75" thickBot="1" x14ac:dyDescent="0.45">
      <c r="A2440" s="319" t="s">
        <v>733</v>
      </c>
      <c r="B2440" s="320" t="s">
        <v>856</v>
      </c>
      <c r="C2440" s="528">
        <f>C2329</f>
        <v>0</v>
      </c>
      <c r="D2440" s="551">
        <f>C2440*16</f>
        <v>0</v>
      </c>
      <c r="E2440" s="456">
        <f t="shared" si="916"/>
        <v>0</v>
      </c>
      <c r="F2440" s="358">
        <f t="shared" si="918"/>
        <v>0</v>
      </c>
      <c r="G2440" s="556">
        <f t="shared" si="914"/>
        <v>0</v>
      </c>
      <c r="H2440" s="366" t="s">
        <v>18</v>
      </c>
      <c r="I2440" s="556">
        <f t="shared" si="915"/>
        <v>0</v>
      </c>
      <c r="J2440" s="366" t="s">
        <v>19</v>
      </c>
      <c r="K2440" s="366"/>
      <c r="L2440" s="366"/>
      <c r="M2440" s="366">
        <f t="shared" si="919"/>
        <v>0</v>
      </c>
      <c r="N2440" s="366"/>
      <c r="O2440" s="366"/>
      <c r="P2440" s="366"/>
      <c r="Q2440" s="358" t="s">
        <v>18</v>
      </c>
      <c r="R2440" s="358"/>
      <c r="S2440" s="358" t="s">
        <v>19</v>
      </c>
      <c r="T2440" s="528">
        <v>4</v>
      </c>
      <c r="U2440" s="324">
        <f t="shared" si="917"/>
        <v>0</v>
      </c>
      <c r="V2440" s="676"/>
      <c r="W2440" s="528"/>
      <c r="X2440" s="529"/>
      <c r="Y2440" s="323"/>
      <c r="Z2440" s="312">
        <f t="shared" si="896"/>
        <v>0</v>
      </c>
      <c r="AA2440" s="316">
        <f t="shared" si="920"/>
        <v>0.25</v>
      </c>
    </row>
    <row r="2441" spans="1:27" ht="51.75" thickBot="1" x14ac:dyDescent="0.45">
      <c r="A2441" s="319" t="s">
        <v>733</v>
      </c>
      <c r="B2441" s="344" t="s">
        <v>860</v>
      </c>
      <c r="C2441" s="528">
        <f>C2335</f>
        <v>0</v>
      </c>
      <c r="D2441" s="548">
        <f>C2441*12</f>
        <v>0</v>
      </c>
      <c r="E2441" s="456">
        <f>D2441*0.2</f>
        <v>0</v>
      </c>
      <c r="F2441" s="358">
        <f>E2441*0.99*1.03/147</f>
        <v>0</v>
      </c>
      <c r="G2441" s="548">
        <f t="shared" ref="G2441:G2449" si="921">INT(M2441)</f>
        <v>0</v>
      </c>
      <c r="H2441" s="358" t="s">
        <v>18</v>
      </c>
      <c r="I2441" s="548">
        <f t="shared" ref="I2441:I2449" si="922">(M2441-G2441)*64</f>
        <v>0</v>
      </c>
      <c r="J2441" s="358" t="s">
        <v>19</v>
      </c>
      <c r="K2441" s="358"/>
      <c r="L2441" s="358"/>
      <c r="M2441" s="358">
        <f>(F2441*8655)/2880</f>
        <v>0</v>
      </c>
      <c r="N2441" s="358"/>
      <c r="O2441" s="358"/>
      <c r="P2441" s="358"/>
      <c r="Q2441" s="358" t="s">
        <v>18</v>
      </c>
      <c r="R2441" s="358"/>
      <c r="S2441" s="358" t="s">
        <v>19</v>
      </c>
      <c r="T2441" s="528">
        <v>4</v>
      </c>
      <c r="U2441" s="324">
        <f>E2441/403*60</f>
        <v>0</v>
      </c>
      <c r="V2441" s="676"/>
      <c r="W2441" s="528"/>
      <c r="X2441" s="529"/>
      <c r="Y2441" s="323"/>
      <c r="Z2441" s="312">
        <f t="shared" si="896"/>
        <v>0</v>
      </c>
      <c r="AA2441" s="316">
        <f>SUM(Z2441/406+0.25)</f>
        <v>0.25</v>
      </c>
    </row>
    <row r="2442" spans="1:27" ht="51.75" thickBot="1" x14ac:dyDescent="0.45">
      <c r="A2442" s="319" t="s">
        <v>733</v>
      </c>
      <c r="B2442" s="344" t="s">
        <v>861</v>
      </c>
      <c r="C2442" s="528">
        <f>C2336</f>
        <v>0</v>
      </c>
      <c r="D2442" s="548">
        <f>C2442*12</f>
        <v>0</v>
      </c>
      <c r="E2442" s="456">
        <f>D2442*0.2</f>
        <v>0</v>
      </c>
      <c r="F2442" s="358">
        <f>E2442*0.99*1.03/147</f>
        <v>0</v>
      </c>
      <c r="G2442" s="548">
        <f t="shared" si="921"/>
        <v>0</v>
      </c>
      <c r="H2442" s="358" t="s">
        <v>18</v>
      </c>
      <c r="I2442" s="548">
        <f t="shared" si="922"/>
        <v>0</v>
      </c>
      <c r="J2442" s="358" t="s">
        <v>19</v>
      </c>
      <c r="K2442" s="358"/>
      <c r="L2442" s="358"/>
      <c r="M2442" s="358">
        <f>(F2442*8655)/2880</f>
        <v>0</v>
      </c>
      <c r="N2442" s="358"/>
      <c r="O2442" s="358"/>
      <c r="P2442" s="358"/>
      <c r="Q2442" s="358" t="s">
        <v>18</v>
      </c>
      <c r="R2442" s="358"/>
      <c r="S2442" s="358" t="s">
        <v>19</v>
      </c>
      <c r="T2442" s="528">
        <v>4</v>
      </c>
      <c r="U2442" s="324">
        <f>E2442/403*60</f>
        <v>0</v>
      </c>
      <c r="V2442" s="676"/>
      <c r="W2442" s="528"/>
      <c r="X2442" s="529"/>
      <c r="Y2442" s="323"/>
      <c r="Z2442" s="312">
        <f t="shared" si="896"/>
        <v>0</v>
      </c>
      <c r="AA2442" s="316">
        <f>SUM(Z2442/406+0.25)</f>
        <v>0.25</v>
      </c>
    </row>
    <row r="2443" spans="1:27" s="728" customFormat="1" ht="51.75" outlineLevel="1" thickBot="1" x14ac:dyDescent="0.45">
      <c r="A2443" s="636" t="s">
        <v>733</v>
      </c>
      <c r="B2443" s="634" t="s">
        <v>1041</v>
      </c>
      <c r="C2443" s="720">
        <f>C2326</f>
        <v>0</v>
      </c>
      <c r="D2443" s="720">
        <f>C2443*12</f>
        <v>0</v>
      </c>
      <c r="E2443" s="721">
        <f t="shared" ref="E2443:E2448" si="923">D2443*0.25</f>
        <v>0</v>
      </c>
      <c r="F2443" s="722">
        <f>E2443*0.9*1.01/147</f>
        <v>0</v>
      </c>
      <c r="G2443" s="720">
        <f>INT(M2443)</f>
        <v>0</v>
      </c>
      <c r="H2443" s="722" t="s">
        <v>18</v>
      </c>
      <c r="I2443" s="720">
        <f>(M2443-G2443)*64</f>
        <v>0</v>
      </c>
      <c r="J2443" s="722" t="s">
        <v>19</v>
      </c>
      <c r="K2443" s="722"/>
      <c r="L2443" s="722"/>
      <c r="M2443" s="722">
        <f>(F2443*6533/3456)</f>
        <v>0</v>
      </c>
      <c r="N2443" s="722"/>
      <c r="O2443" s="722"/>
      <c r="P2443" s="722"/>
      <c r="Q2443" s="722" t="s">
        <v>18</v>
      </c>
      <c r="R2443" s="722"/>
      <c r="S2443" s="722" t="s">
        <v>19</v>
      </c>
      <c r="T2443" s="720">
        <v>7</v>
      </c>
      <c r="U2443" s="324">
        <f>E2443/390*60</f>
        <v>0</v>
      </c>
      <c r="V2443" s="724"/>
      <c r="W2443" s="720"/>
      <c r="X2443" s="725"/>
      <c r="Y2443" s="736"/>
      <c r="Z2443" s="727">
        <f t="shared" si="896"/>
        <v>0</v>
      </c>
      <c r="AA2443" s="815">
        <f>SUM(Z2443/625+0.25)</f>
        <v>0.25</v>
      </c>
    </row>
    <row r="2444" spans="1:27" s="728" customFormat="1" outlineLevel="1" thickBot="1" x14ac:dyDescent="0.45">
      <c r="A2444" s="636" t="s">
        <v>733</v>
      </c>
      <c r="B2444" s="634" t="s">
        <v>1042</v>
      </c>
      <c r="C2444" s="720">
        <f>C2337</f>
        <v>0</v>
      </c>
      <c r="D2444" s="741">
        <f>C2444*12</f>
        <v>0</v>
      </c>
      <c r="E2444" s="721">
        <f t="shared" si="923"/>
        <v>0</v>
      </c>
      <c r="F2444" s="722">
        <f>E2444*0.99*1.02/147</f>
        <v>0</v>
      </c>
      <c r="G2444" s="720">
        <f>INT(M2444)</f>
        <v>0</v>
      </c>
      <c r="H2444" s="722" t="s">
        <v>18</v>
      </c>
      <c r="I2444" s="720">
        <f>(M2444-G2444)*64</f>
        <v>0</v>
      </c>
      <c r="J2444" s="722" t="s">
        <v>19</v>
      </c>
      <c r="K2444" s="722"/>
      <c r="L2444" s="722"/>
      <c r="M2444" s="722">
        <f>(F2444*5880)/3456</f>
        <v>0</v>
      </c>
      <c r="N2444" s="722"/>
      <c r="O2444" s="722"/>
      <c r="P2444" s="722"/>
      <c r="Q2444" s="722" t="s">
        <v>18</v>
      </c>
      <c r="R2444" s="722"/>
      <c r="S2444" s="722" t="s">
        <v>19</v>
      </c>
      <c r="T2444" s="720">
        <v>7</v>
      </c>
      <c r="U2444" s="324">
        <f>E2444/390*60</f>
        <v>0</v>
      </c>
      <c r="V2444" s="724"/>
      <c r="W2444" s="720"/>
      <c r="X2444" s="725"/>
      <c r="Y2444" s="736"/>
      <c r="Z2444" s="727">
        <f t="shared" si="896"/>
        <v>0</v>
      </c>
      <c r="AA2444" s="815">
        <f>SUM(Z2444/635+0.25)</f>
        <v>0.25</v>
      </c>
    </row>
    <row r="2445" spans="1:27" ht="77.25" thickBot="1" x14ac:dyDescent="0.45">
      <c r="A2445" s="319" t="s">
        <v>733</v>
      </c>
      <c r="B2445" s="364" t="s">
        <v>694</v>
      </c>
      <c r="C2445" s="528">
        <f>C1980</f>
        <v>0</v>
      </c>
      <c r="D2445" s="548">
        <f>C2445*10</f>
        <v>0</v>
      </c>
      <c r="E2445" s="456">
        <f t="shared" si="923"/>
        <v>0</v>
      </c>
      <c r="F2445" s="358">
        <f>E2445*1.03*0.81/147</f>
        <v>0</v>
      </c>
      <c r="G2445" s="548">
        <f>INT(M2445)</f>
        <v>0</v>
      </c>
      <c r="H2445" s="358" t="s">
        <v>18</v>
      </c>
      <c r="I2445" s="548">
        <f>(M2445-G2445)*64</f>
        <v>0</v>
      </c>
      <c r="J2445" s="358" t="s">
        <v>19</v>
      </c>
      <c r="K2445" s="358"/>
      <c r="L2445" s="358"/>
      <c r="M2445" s="358">
        <f>(F2445*8820/3456)</f>
        <v>0</v>
      </c>
      <c r="N2445" s="324"/>
      <c r="O2445" s="324"/>
      <c r="P2445" s="324"/>
      <c r="Q2445" s="324" t="s">
        <v>18</v>
      </c>
      <c r="R2445" s="324"/>
      <c r="S2445" s="324" t="s">
        <v>19</v>
      </c>
      <c r="T2445" s="528">
        <v>7</v>
      </c>
      <c r="U2445" s="324">
        <f>E2445/220*60</f>
        <v>0</v>
      </c>
      <c r="V2445" s="676"/>
      <c r="W2445" s="528"/>
      <c r="X2445" s="529"/>
      <c r="Y2445" s="323"/>
      <c r="Z2445" s="312">
        <f t="shared" si="896"/>
        <v>0</v>
      </c>
      <c r="AA2445" s="316">
        <f>SUM(Z2445/280+0.25)</f>
        <v>0.25</v>
      </c>
    </row>
    <row r="2446" spans="1:27" ht="77.25" thickBot="1" x14ac:dyDescent="0.45">
      <c r="A2446" s="319" t="s">
        <v>733</v>
      </c>
      <c r="B2446" s="364" t="s">
        <v>1068</v>
      </c>
      <c r="C2446" s="528">
        <f>C1981</f>
        <v>0</v>
      </c>
      <c r="D2446" s="528">
        <f>C2446*10</f>
        <v>0</v>
      </c>
      <c r="E2446" s="460">
        <f t="shared" si="923"/>
        <v>0</v>
      </c>
      <c r="F2446" s="324">
        <f>E2446*1.03*0.81/147</f>
        <v>0</v>
      </c>
      <c r="G2446" s="528">
        <f>INT(M2446)</f>
        <v>0</v>
      </c>
      <c r="H2446" s="324" t="s">
        <v>18</v>
      </c>
      <c r="I2446" s="528">
        <f>(M2446-G2446)*64</f>
        <v>0</v>
      </c>
      <c r="J2446" s="324" t="s">
        <v>19</v>
      </c>
      <c r="K2446" s="324"/>
      <c r="L2446" s="324"/>
      <c r="M2446" s="324">
        <f>(F2446*8820/3456)</f>
        <v>0</v>
      </c>
      <c r="N2446" s="324"/>
      <c r="O2446" s="324"/>
      <c r="P2446" s="324"/>
      <c r="Q2446" s="324" t="s">
        <v>18</v>
      </c>
      <c r="R2446" s="324"/>
      <c r="S2446" s="324" t="s">
        <v>19</v>
      </c>
      <c r="T2446" s="528">
        <v>7</v>
      </c>
      <c r="U2446" s="324">
        <f>E2446/220*60</f>
        <v>0</v>
      </c>
      <c r="V2446" s="676"/>
      <c r="W2446" s="528"/>
      <c r="X2446" s="529"/>
      <c r="Y2446" s="323"/>
      <c r="Z2446" s="312">
        <f>E2446</f>
        <v>0</v>
      </c>
      <c r="AA2446" s="316">
        <f>SUM(Z2446/280+0.25)</f>
        <v>0.25</v>
      </c>
    </row>
    <row r="2447" spans="1:27" ht="77.25" thickBot="1" x14ac:dyDescent="0.45">
      <c r="A2447" s="319" t="s">
        <v>733</v>
      </c>
      <c r="B2447" s="364" t="s">
        <v>1072</v>
      </c>
      <c r="C2447" s="528">
        <f>C1982</f>
        <v>0</v>
      </c>
      <c r="D2447" s="528">
        <f>C2447*10</f>
        <v>0</v>
      </c>
      <c r="E2447" s="460">
        <f t="shared" si="923"/>
        <v>0</v>
      </c>
      <c r="F2447" s="324">
        <f>E2447*1.03*0.81/147</f>
        <v>0</v>
      </c>
      <c r="G2447" s="528">
        <f>INT(M2447)</f>
        <v>0</v>
      </c>
      <c r="H2447" s="324" t="s">
        <v>18</v>
      </c>
      <c r="I2447" s="528">
        <f>(M2447-G2447)*64</f>
        <v>0</v>
      </c>
      <c r="J2447" s="324" t="s">
        <v>19</v>
      </c>
      <c r="K2447" s="324"/>
      <c r="L2447" s="324"/>
      <c r="M2447" s="324">
        <f>(F2447*8820/3456)</f>
        <v>0</v>
      </c>
      <c r="N2447" s="324"/>
      <c r="O2447" s="324"/>
      <c r="P2447" s="324"/>
      <c r="Q2447" s="324" t="s">
        <v>18</v>
      </c>
      <c r="R2447" s="324"/>
      <c r="S2447" s="324" t="s">
        <v>19</v>
      </c>
      <c r="T2447" s="528">
        <v>7</v>
      </c>
      <c r="U2447" s="324">
        <f>E2447/220*60</f>
        <v>0</v>
      </c>
      <c r="V2447" s="676"/>
      <c r="W2447" s="528"/>
      <c r="X2447" s="529"/>
      <c r="Y2447" s="323"/>
      <c r="Z2447" s="312">
        <f>E2447</f>
        <v>0</v>
      </c>
      <c r="AA2447" s="316">
        <f>SUM(Z2447/192+0.25)</f>
        <v>0.25</v>
      </c>
    </row>
    <row r="2448" spans="1:27" ht="51.75" thickBot="1" x14ac:dyDescent="0.45">
      <c r="A2448" s="319" t="s">
        <v>733</v>
      </c>
      <c r="B2448" s="320" t="s">
        <v>773</v>
      </c>
      <c r="C2448" s="528">
        <f>C2303</f>
        <v>0</v>
      </c>
      <c r="D2448" s="528">
        <f>C2448*6</f>
        <v>0</v>
      </c>
      <c r="E2448" s="460">
        <f t="shared" si="923"/>
        <v>0</v>
      </c>
      <c r="F2448" s="324">
        <f>E2448*1.05*0.99/135</f>
        <v>0</v>
      </c>
      <c r="G2448" s="528">
        <f t="shared" si="921"/>
        <v>0</v>
      </c>
      <c r="H2448" s="324" t="s">
        <v>18</v>
      </c>
      <c r="I2448" s="528">
        <f t="shared" si="922"/>
        <v>0</v>
      </c>
      <c r="J2448" s="324" t="s">
        <v>19</v>
      </c>
      <c r="K2448" s="324"/>
      <c r="L2448" s="324"/>
      <c r="M2448" s="324">
        <f>(F2448*6253)/2880</f>
        <v>0</v>
      </c>
      <c r="N2448" s="324"/>
      <c r="O2448" s="324"/>
      <c r="P2448" s="324"/>
      <c r="Q2448" s="324" t="s">
        <v>18</v>
      </c>
      <c r="R2448" s="324"/>
      <c r="S2448" s="324" t="s">
        <v>19</v>
      </c>
      <c r="T2448" s="528">
        <v>3</v>
      </c>
      <c r="U2448" s="324">
        <f>E2448/226*60</f>
        <v>0</v>
      </c>
      <c r="V2448" s="676"/>
      <c r="W2448" s="528"/>
      <c r="X2448" s="529"/>
      <c r="Y2448" s="323"/>
      <c r="Z2448" s="312">
        <f t="shared" si="896"/>
        <v>0</v>
      </c>
      <c r="AA2448" s="316">
        <f>SUM(Z2448/450+0.25)</f>
        <v>0.25</v>
      </c>
    </row>
    <row r="2449" spans="1:27" ht="51.75" thickBot="1" x14ac:dyDescent="0.45">
      <c r="A2449" s="319" t="s">
        <v>733</v>
      </c>
      <c r="B2449" s="363" t="s">
        <v>683</v>
      </c>
      <c r="C2449" s="528">
        <f>C1975</f>
        <v>0</v>
      </c>
      <c r="D2449" s="548">
        <f>C2449*10</f>
        <v>0</v>
      </c>
      <c r="E2449" s="456">
        <f>D2449*0.2</f>
        <v>0</v>
      </c>
      <c r="F2449" s="358">
        <f>E2449*1.03*0.82/147</f>
        <v>0</v>
      </c>
      <c r="G2449" s="548">
        <f t="shared" si="921"/>
        <v>0</v>
      </c>
      <c r="H2449" s="358" t="s">
        <v>18</v>
      </c>
      <c r="I2449" s="548">
        <f t="shared" si="922"/>
        <v>0</v>
      </c>
      <c r="J2449" s="358" t="s">
        <v>19</v>
      </c>
      <c r="K2449" s="358"/>
      <c r="L2449" s="358"/>
      <c r="M2449" s="358">
        <f>(F2449*8750/3456)</f>
        <v>0</v>
      </c>
      <c r="N2449" s="324"/>
      <c r="O2449" s="324"/>
      <c r="P2449" s="324"/>
      <c r="Q2449" s="324" t="s">
        <v>18</v>
      </c>
      <c r="R2449" s="324"/>
      <c r="S2449" s="324" t="s">
        <v>19</v>
      </c>
      <c r="T2449" s="528">
        <v>7</v>
      </c>
      <c r="U2449" s="324">
        <f>E2449/220*60</f>
        <v>0</v>
      </c>
      <c r="V2449" s="676"/>
      <c r="W2449" s="528"/>
      <c r="X2449" s="529"/>
      <c r="Y2449" s="323"/>
      <c r="Z2449" s="312">
        <f t="shared" si="896"/>
        <v>0</v>
      </c>
      <c r="AA2449" s="316">
        <f>SUM(Z2449/576+0.25)</f>
        <v>0.25</v>
      </c>
    </row>
    <row r="2450" spans="1:27" ht="77.25" thickBot="1" x14ac:dyDescent="0.45">
      <c r="A2450" s="319" t="s">
        <v>733</v>
      </c>
      <c r="B2450" s="344" t="s">
        <v>910</v>
      </c>
      <c r="C2450" s="528">
        <f>C2351</f>
        <v>0</v>
      </c>
      <c r="D2450" s="548">
        <f>C2450*12</f>
        <v>0</v>
      </c>
      <c r="E2450" s="456">
        <f>D2450*0.25</f>
        <v>0</v>
      </c>
      <c r="F2450" s="358">
        <f>E2450*0.99*1.03/147</f>
        <v>0</v>
      </c>
      <c r="G2450" s="548">
        <f t="shared" ref="G2450:G2459" si="924">INT(M2450)</f>
        <v>0</v>
      </c>
      <c r="H2450" s="358" t="s">
        <v>18</v>
      </c>
      <c r="I2450" s="548">
        <f t="shared" ref="I2450:I2459" si="925">(M2450-G2450)*64</f>
        <v>0</v>
      </c>
      <c r="J2450" s="358" t="s">
        <v>19</v>
      </c>
      <c r="K2450" s="358"/>
      <c r="L2450" s="358"/>
      <c r="M2450" s="358">
        <f>(F2450*7000)/2880</f>
        <v>0</v>
      </c>
      <c r="N2450" s="358"/>
      <c r="O2450" s="358"/>
      <c r="P2450" s="358"/>
      <c r="Q2450" s="358" t="s">
        <v>18</v>
      </c>
      <c r="R2450" s="358"/>
      <c r="S2450" s="358" t="s">
        <v>19</v>
      </c>
      <c r="T2450" s="528">
        <v>5</v>
      </c>
      <c r="U2450" s="324">
        <f>E2450/403*60</f>
        <v>0</v>
      </c>
      <c r="V2450" s="676"/>
      <c r="W2450" s="528"/>
      <c r="X2450" s="529"/>
      <c r="Y2450" s="323"/>
      <c r="Z2450" s="312">
        <f t="shared" si="896"/>
        <v>0</v>
      </c>
      <c r="AA2450" s="316">
        <f>SUM(Z2450/450+0.25)</f>
        <v>0.25</v>
      </c>
    </row>
    <row r="2451" spans="1:27" ht="51.75" thickBot="1" x14ac:dyDescent="0.45">
      <c r="A2451" s="319" t="s">
        <v>733</v>
      </c>
      <c r="B2451" s="320" t="s">
        <v>1021</v>
      </c>
      <c r="C2451" s="528">
        <f>C335+C565+C793</f>
        <v>0</v>
      </c>
      <c r="D2451" s="530">
        <f>C2451*22</f>
        <v>0</v>
      </c>
      <c r="E2451" s="460">
        <f>D2451*0.13</f>
        <v>0</v>
      </c>
      <c r="F2451" s="324">
        <f>E2451*0.99*1.02/170</f>
        <v>0</v>
      </c>
      <c r="G2451" s="324">
        <f t="shared" si="924"/>
        <v>0</v>
      </c>
      <c r="H2451" s="324" t="s">
        <v>18</v>
      </c>
      <c r="I2451" s="528">
        <f t="shared" si="925"/>
        <v>0</v>
      </c>
      <c r="J2451" s="324" t="s">
        <v>19</v>
      </c>
      <c r="K2451" s="324"/>
      <c r="L2451" s="324"/>
      <c r="M2451" s="324">
        <f>(F2451*8500)/3456</f>
        <v>0</v>
      </c>
      <c r="N2451" s="324"/>
      <c r="O2451" s="324"/>
      <c r="P2451" s="324"/>
      <c r="Q2451" s="324" t="s">
        <v>18</v>
      </c>
      <c r="R2451" s="324"/>
      <c r="S2451" s="324" t="s">
        <v>19</v>
      </c>
      <c r="T2451" s="528">
        <v>3</v>
      </c>
      <c r="U2451" s="324">
        <f>E2451/237*60</f>
        <v>0</v>
      </c>
      <c r="V2451" s="676"/>
      <c r="W2451" s="528"/>
      <c r="X2451" s="529"/>
      <c r="Y2451" s="323"/>
      <c r="Z2451" s="312">
        <f t="shared" si="896"/>
        <v>0</v>
      </c>
      <c r="AA2451" s="316">
        <f>SUM(Z2451/406+0.25)</f>
        <v>0.25</v>
      </c>
    </row>
    <row r="2452" spans="1:27" ht="51.75" thickBot="1" x14ac:dyDescent="0.45">
      <c r="A2452" s="319" t="s">
        <v>733</v>
      </c>
      <c r="B2452" s="799" t="s">
        <v>1223</v>
      </c>
      <c r="C2452" s="528">
        <f>C336+C566+C794</f>
        <v>0</v>
      </c>
      <c r="D2452" s="530">
        <f>C2452*12</f>
        <v>0</v>
      </c>
      <c r="E2452" s="460">
        <f>D2452*0.13</f>
        <v>0</v>
      </c>
      <c r="F2452" s="324">
        <f>E2452*0.99*1.02/170</f>
        <v>0</v>
      </c>
      <c r="G2452" s="324">
        <f>INT(M2452)</f>
        <v>0</v>
      </c>
      <c r="H2452" s="324" t="s">
        <v>18</v>
      </c>
      <c r="I2452" s="528">
        <f>(M2452-G2452)*64</f>
        <v>0</v>
      </c>
      <c r="J2452" s="324" t="s">
        <v>19</v>
      </c>
      <c r="K2452" s="324"/>
      <c r="L2452" s="324"/>
      <c r="M2452" s="324">
        <f>(F2452*8500)/3456</f>
        <v>0</v>
      </c>
      <c r="N2452" s="324"/>
      <c r="O2452" s="324"/>
      <c r="P2452" s="324"/>
      <c r="Q2452" s="324" t="s">
        <v>18</v>
      </c>
      <c r="R2452" s="324"/>
      <c r="S2452" s="324" t="s">
        <v>19</v>
      </c>
      <c r="T2452" s="528">
        <v>3</v>
      </c>
      <c r="U2452" s="324">
        <f>E2452/237*60</f>
        <v>0</v>
      </c>
      <c r="V2452" s="676"/>
      <c r="W2452" s="528"/>
      <c r="X2452" s="529"/>
      <c r="Y2452" s="323"/>
      <c r="Z2452" s="312">
        <f>E2452</f>
        <v>0</v>
      </c>
      <c r="AA2452" s="316">
        <f>SUM(Z2452/406+0.25)</f>
        <v>0.25</v>
      </c>
    </row>
    <row r="2453" spans="1:27" ht="51.75" thickBot="1" x14ac:dyDescent="0.45">
      <c r="A2453" s="319" t="s">
        <v>733</v>
      </c>
      <c r="B2453" s="344" t="s">
        <v>846</v>
      </c>
      <c r="C2453" s="528">
        <f>C328+C558+C786</f>
        <v>0</v>
      </c>
      <c r="D2453" s="551">
        <f>C2453*12</f>
        <v>0</v>
      </c>
      <c r="E2453" s="456">
        <f t="shared" ref="E2453:E2458" si="926">D2453*0.25</f>
        <v>0</v>
      </c>
      <c r="F2453" s="358">
        <f t="shared" ref="F2453:F2458" si="927">E2453*0.99*1.03/147</f>
        <v>0</v>
      </c>
      <c r="G2453" s="548">
        <f t="shared" si="924"/>
        <v>0</v>
      </c>
      <c r="H2453" s="358" t="s">
        <v>18</v>
      </c>
      <c r="I2453" s="548">
        <f t="shared" si="925"/>
        <v>0</v>
      </c>
      <c r="J2453" s="358" t="s">
        <v>19</v>
      </c>
      <c r="K2453" s="358"/>
      <c r="L2453" s="358"/>
      <c r="M2453" s="358">
        <f t="shared" ref="M2453:M2458" si="928">(F2453*6989)/2880</f>
        <v>0</v>
      </c>
      <c r="N2453" s="358"/>
      <c r="O2453" s="358"/>
      <c r="P2453" s="358"/>
      <c r="Q2453" s="358" t="s">
        <v>18</v>
      </c>
      <c r="R2453" s="358"/>
      <c r="S2453" s="358" t="s">
        <v>19</v>
      </c>
      <c r="T2453" s="528">
        <v>3</v>
      </c>
      <c r="U2453" s="324">
        <f t="shared" ref="U2453:U2458" si="929">E2453/403*60</f>
        <v>0</v>
      </c>
      <c r="V2453" s="676"/>
      <c r="W2453" s="528"/>
      <c r="X2453" s="529"/>
      <c r="Y2453" s="323"/>
      <c r="Z2453" s="312">
        <f t="shared" si="896"/>
        <v>0</v>
      </c>
      <c r="AA2453" s="316">
        <f t="shared" ref="AA2453:AA2458" si="930">SUM(Z2453/450+0.25)</f>
        <v>0.25</v>
      </c>
    </row>
    <row r="2454" spans="1:27" ht="51.75" thickBot="1" x14ac:dyDescent="0.45">
      <c r="A2454" s="319" t="s">
        <v>733</v>
      </c>
      <c r="B2454" s="344" t="s">
        <v>847</v>
      </c>
      <c r="C2454" s="528">
        <f>C2346</f>
        <v>0</v>
      </c>
      <c r="D2454" s="551">
        <f>C2454*12</f>
        <v>0</v>
      </c>
      <c r="E2454" s="456">
        <f t="shared" si="926"/>
        <v>0</v>
      </c>
      <c r="F2454" s="358">
        <f t="shared" si="927"/>
        <v>0</v>
      </c>
      <c r="G2454" s="548">
        <f t="shared" si="924"/>
        <v>0</v>
      </c>
      <c r="H2454" s="358" t="s">
        <v>18</v>
      </c>
      <c r="I2454" s="548">
        <f t="shared" si="925"/>
        <v>0</v>
      </c>
      <c r="J2454" s="358" t="s">
        <v>19</v>
      </c>
      <c r="K2454" s="358"/>
      <c r="L2454" s="358"/>
      <c r="M2454" s="358">
        <f t="shared" si="928"/>
        <v>0</v>
      </c>
      <c r="N2454" s="358"/>
      <c r="O2454" s="358"/>
      <c r="P2454" s="358"/>
      <c r="Q2454" s="358" t="s">
        <v>18</v>
      </c>
      <c r="R2454" s="358"/>
      <c r="S2454" s="358" t="s">
        <v>19</v>
      </c>
      <c r="T2454" s="528">
        <v>3</v>
      </c>
      <c r="U2454" s="324">
        <f t="shared" si="929"/>
        <v>0</v>
      </c>
      <c r="V2454" s="676"/>
      <c r="W2454" s="528"/>
      <c r="X2454" s="529"/>
      <c r="Y2454" s="323"/>
      <c r="Z2454" s="312">
        <f t="shared" si="896"/>
        <v>0</v>
      </c>
      <c r="AA2454" s="316">
        <f t="shared" si="930"/>
        <v>0.25</v>
      </c>
    </row>
    <row r="2455" spans="1:27" ht="51.75" thickBot="1" x14ac:dyDescent="0.45">
      <c r="A2455" s="319" t="s">
        <v>733</v>
      </c>
      <c r="B2455" s="344" t="s">
        <v>848</v>
      </c>
      <c r="C2455" s="528">
        <f>C2347</f>
        <v>0</v>
      </c>
      <c r="D2455" s="551">
        <f>C2455*12</f>
        <v>0</v>
      </c>
      <c r="E2455" s="456">
        <f t="shared" si="926"/>
        <v>0</v>
      </c>
      <c r="F2455" s="358">
        <f t="shared" si="927"/>
        <v>0</v>
      </c>
      <c r="G2455" s="548">
        <f t="shared" si="924"/>
        <v>0</v>
      </c>
      <c r="H2455" s="358" t="s">
        <v>18</v>
      </c>
      <c r="I2455" s="548">
        <f t="shared" si="925"/>
        <v>0</v>
      </c>
      <c r="J2455" s="358" t="s">
        <v>19</v>
      </c>
      <c r="K2455" s="358"/>
      <c r="L2455" s="358"/>
      <c r="M2455" s="358">
        <f t="shared" si="928"/>
        <v>0</v>
      </c>
      <c r="N2455" s="358"/>
      <c r="O2455" s="358"/>
      <c r="P2455" s="358"/>
      <c r="Q2455" s="358" t="s">
        <v>18</v>
      </c>
      <c r="R2455" s="358"/>
      <c r="S2455" s="358" t="s">
        <v>19</v>
      </c>
      <c r="T2455" s="528">
        <v>3</v>
      </c>
      <c r="U2455" s="324">
        <f t="shared" si="929"/>
        <v>0</v>
      </c>
      <c r="V2455" s="676"/>
      <c r="W2455" s="528"/>
      <c r="X2455" s="529"/>
      <c r="Y2455" s="323"/>
      <c r="Z2455" s="312">
        <f t="shared" si="896"/>
        <v>0</v>
      </c>
      <c r="AA2455" s="316">
        <f t="shared" si="930"/>
        <v>0.25</v>
      </c>
    </row>
    <row r="2456" spans="1:27" ht="51.75" thickBot="1" x14ac:dyDescent="0.45">
      <c r="A2456" s="319" t="s">
        <v>733</v>
      </c>
      <c r="B2456" s="879" t="s">
        <v>1211</v>
      </c>
      <c r="C2456" s="528">
        <f>C2348</f>
        <v>0</v>
      </c>
      <c r="D2456" s="551">
        <f>C2456*14</f>
        <v>0</v>
      </c>
      <c r="E2456" s="456">
        <f t="shared" si="926"/>
        <v>0</v>
      </c>
      <c r="F2456" s="358">
        <f t="shared" si="927"/>
        <v>0</v>
      </c>
      <c r="G2456" s="548">
        <f>INT(M2456)</f>
        <v>0</v>
      </c>
      <c r="H2456" s="358" t="s">
        <v>18</v>
      </c>
      <c r="I2456" s="548">
        <f>(M2456-G2456)*64</f>
        <v>0</v>
      </c>
      <c r="J2456" s="358" t="s">
        <v>19</v>
      </c>
      <c r="K2456" s="358"/>
      <c r="L2456" s="358"/>
      <c r="M2456" s="358">
        <f t="shared" si="928"/>
        <v>0</v>
      </c>
      <c r="N2456" s="358"/>
      <c r="O2456" s="358"/>
      <c r="P2456" s="358"/>
      <c r="Q2456" s="358" t="s">
        <v>18</v>
      </c>
      <c r="R2456" s="358"/>
      <c r="S2456" s="358" t="s">
        <v>19</v>
      </c>
      <c r="T2456" s="528">
        <v>3</v>
      </c>
      <c r="U2456" s="324">
        <f t="shared" si="929"/>
        <v>0</v>
      </c>
      <c r="V2456" s="676"/>
      <c r="W2456" s="528"/>
      <c r="X2456" s="529"/>
      <c r="Y2456" s="323"/>
      <c r="Z2456" s="312">
        <f>E2456</f>
        <v>0</v>
      </c>
      <c r="AA2456" s="316">
        <f t="shared" si="930"/>
        <v>0.25</v>
      </c>
    </row>
    <row r="2457" spans="1:27" ht="51.75" thickBot="1" x14ac:dyDescent="0.45">
      <c r="A2457" s="319" t="s">
        <v>733</v>
      </c>
      <c r="B2457" s="879" t="s">
        <v>1213</v>
      </c>
      <c r="C2457" s="528">
        <f>C2349</f>
        <v>0</v>
      </c>
      <c r="D2457" s="551">
        <f>C2457*14</f>
        <v>0</v>
      </c>
      <c r="E2457" s="456">
        <f t="shared" si="926"/>
        <v>0</v>
      </c>
      <c r="F2457" s="358">
        <f t="shared" si="927"/>
        <v>0</v>
      </c>
      <c r="G2457" s="548">
        <f>INT(M2457)</f>
        <v>0</v>
      </c>
      <c r="H2457" s="358" t="s">
        <v>18</v>
      </c>
      <c r="I2457" s="548">
        <f>(M2457-G2457)*64</f>
        <v>0</v>
      </c>
      <c r="J2457" s="358" t="s">
        <v>19</v>
      </c>
      <c r="K2457" s="358"/>
      <c r="L2457" s="358"/>
      <c r="M2457" s="358">
        <f t="shared" si="928"/>
        <v>0</v>
      </c>
      <c r="N2457" s="358"/>
      <c r="O2457" s="358"/>
      <c r="P2457" s="358"/>
      <c r="Q2457" s="358" t="s">
        <v>18</v>
      </c>
      <c r="R2457" s="358"/>
      <c r="S2457" s="358" t="s">
        <v>19</v>
      </c>
      <c r="T2457" s="528">
        <v>3</v>
      </c>
      <c r="U2457" s="324">
        <f t="shared" si="929"/>
        <v>0</v>
      </c>
      <c r="V2457" s="676"/>
      <c r="W2457" s="528"/>
      <c r="X2457" s="529"/>
      <c r="Y2457" s="323"/>
      <c r="Z2457" s="312">
        <f>E2457</f>
        <v>0</v>
      </c>
      <c r="AA2457" s="316">
        <f t="shared" si="930"/>
        <v>0.25</v>
      </c>
    </row>
    <row r="2458" spans="1:27" ht="51.75" thickBot="1" x14ac:dyDescent="0.45">
      <c r="A2458" s="319" t="s">
        <v>733</v>
      </c>
      <c r="B2458" s="879" t="s">
        <v>1212</v>
      </c>
      <c r="C2458" s="528">
        <f>C2350</f>
        <v>0</v>
      </c>
      <c r="D2458" s="551">
        <f>C2458*14</f>
        <v>0</v>
      </c>
      <c r="E2458" s="456">
        <f t="shared" si="926"/>
        <v>0</v>
      </c>
      <c r="F2458" s="358">
        <f t="shared" si="927"/>
        <v>0</v>
      </c>
      <c r="G2458" s="548">
        <f>INT(M2458)</f>
        <v>0</v>
      </c>
      <c r="H2458" s="358" t="s">
        <v>18</v>
      </c>
      <c r="I2458" s="548">
        <f>(M2458-G2458)*64</f>
        <v>0</v>
      </c>
      <c r="J2458" s="358" t="s">
        <v>19</v>
      </c>
      <c r="K2458" s="358"/>
      <c r="L2458" s="358"/>
      <c r="M2458" s="358">
        <f t="shared" si="928"/>
        <v>0</v>
      </c>
      <c r="N2458" s="358"/>
      <c r="O2458" s="358"/>
      <c r="P2458" s="358"/>
      <c r="Q2458" s="358" t="s">
        <v>18</v>
      </c>
      <c r="R2458" s="358"/>
      <c r="S2458" s="358" t="s">
        <v>19</v>
      </c>
      <c r="T2458" s="528">
        <v>4</v>
      </c>
      <c r="U2458" s="324">
        <f t="shared" si="929"/>
        <v>0</v>
      </c>
      <c r="V2458" s="676"/>
      <c r="W2458" s="528"/>
      <c r="X2458" s="529"/>
      <c r="Y2458" s="323"/>
      <c r="Z2458" s="312">
        <f>E2458</f>
        <v>0</v>
      </c>
      <c r="AA2458" s="316">
        <f t="shared" si="930"/>
        <v>0.25</v>
      </c>
    </row>
    <row r="2459" spans="1:27" ht="77.25" thickBot="1" x14ac:dyDescent="0.45">
      <c r="A2459" s="319" t="s">
        <v>733</v>
      </c>
      <c r="B2459" s="320" t="s">
        <v>1182</v>
      </c>
      <c r="C2459" s="528">
        <f>C2357</f>
        <v>0</v>
      </c>
      <c r="D2459" s="530">
        <f>C2459*10</f>
        <v>0</v>
      </c>
      <c r="E2459" s="460">
        <f>D2459*0.26</f>
        <v>0</v>
      </c>
      <c r="F2459" s="324">
        <f>E2459*0.99*1.02/170</f>
        <v>0</v>
      </c>
      <c r="G2459" s="324">
        <f t="shared" si="924"/>
        <v>0</v>
      </c>
      <c r="H2459" s="324" t="s">
        <v>18</v>
      </c>
      <c r="I2459" s="528">
        <f t="shared" si="925"/>
        <v>0</v>
      </c>
      <c r="J2459" s="324" t="s">
        <v>19</v>
      </c>
      <c r="K2459" s="324"/>
      <c r="L2459" s="324"/>
      <c r="M2459" s="324">
        <f>(F2459*8500)/3456</f>
        <v>0</v>
      </c>
      <c r="N2459" s="324"/>
      <c r="O2459" s="324"/>
      <c r="P2459" s="324"/>
      <c r="Q2459" s="324" t="s">
        <v>18</v>
      </c>
      <c r="R2459" s="324"/>
      <c r="S2459" s="324" t="s">
        <v>19</v>
      </c>
      <c r="T2459" s="528">
        <v>3</v>
      </c>
      <c r="U2459" s="324">
        <f>E2459/237*60</f>
        <v>0</v>
      </c>
      <c r="V2459" s="676"/>
      <c r="W2459" s="528"/>
      <c r="X2459" s="529"/>
      <c r="Y2459" s="323"/>
      <c r="Z2459" s="312">
        <f>E2459</f>
        <v>0</v>
      </c>
      <c r="AA2459" s="316">
        <f>SUM(Z2459/406+0.25)</f>
        <v>0.25</v>
      </c>
    </row>
    <row r="2460" spans="1:27" thickBot="1" x14ac:dyDescent="0.45">
      <c r="A2460" s="319"/>
      <c r="B2460" s="477" t="s">
        <v>989</v>
      </c>
      <c r="C2460" s="572"/>
      <c r="D2460" s="551"/>
      <c r="E2460" s="456"/>
      <c r="F2460" s="358"/>
      <c r="G2460" s="548"/>
      <c r="H2460" s="358"/>
      <c r="I2460" s="548"/>
      <c r="J2460" s="358"/>
      <c r="K2460" s="358"/>
      <c r="L2460" s="358"/>
      <c r="M2460" s="358"/>
      <c r="N2460" s="358"/>
      <c r="O2460" s="358"/>
      <c r="P2460" s="358"/>
      <c r="Q2460" s="358"/>
      <c r="R2460" s="358"/>
      <c r="S2460" s="358"/>
      <c r="T2460" s="528"/>
      <c r="U2460" s="324"/>
      <c r="V2460" s="676"/>
      <c r="W2460" s="528"/>
      <c r="X2460" s="529"/>
      <c r="Y2460" s="323"/>
    </row>
    <row r="2461" spans="1:27" ht="51.75" thickBot="1" x14ac:dyDescent="0.45">
      <c r="A2461" s="319" t="s">
        <v>733</v>
      </c>
      <c r="B2461" s="320" t="s">
        <v>614</v>
      </c>
      <c r="C2461" s="586">
        <f>C1931</f>
        <v>0</v>
      </c>
      <c r="D2461" s="533">
        <f>C2461*12</f>
        <v>0</v>
      </c>
      <c r="E2461" s="534">
        <f>D2461*0.2</f>
        <v>0</v>
      </c>
      <c r="F2461" s="321">
        <f>D2461*22*0.0086/24.7</f>
        <v>0</v>
      </c>
      <c r="G2461" s="533">
        <f>INT(M2461)</f>
        <v>0</v>
      </c>
      <c r="H2461" s="321" t="s">
        <v>18</v>
      </c>
      <c r="I2461" s="533">
        <f>(M2461-G2461)*64</f>
        <v>0</v>
      </c>
      <c r="J2461" s="321" t="s">
        <v>19</v>
      </c>
      <c r="K2461" s="324"/>
      <c r="L2461" s="324"/>
      <c r="M2461" s="321">
        <f>F2461*3024/16128</f>
        <v>0</v>
      </c>
      <c r="N2461" s="324"/>
      <c r="O2461" s="324"/>
      <c r="P2461" s="324"/>
      <c r="Q2461" s="324" t="s">
        <v>18</v>
      </c>
      <c r="R2461" s="324"/>
      <c r="S2461" s="324" t="s">
        <v>19</v>
      </c>
      <c r="T2461" s="528">
        <v>7</v>
      </c>
      <c r="U2461" s="324">
        <f>E2461/207*60</f>
        <v>0</v>
      </c>
      <c r="V2461" s="676"/>
      <c r="W2461" s="528"/>
      <c r="X2461" s="529"/>
      <c r="Y2461" s="360"/>
      <c r="Z2461" s="312">
        <f>E2461</f>
        <v>0</v>
      </c>
      <c r="AA2461" s="316">
        <f>AA1931</f>
        <v>0.25</v>
      </c>
    </row>
    <row r="2462" spans="1:27" ht="51.75" thickBot="1" x14ac:dyDescent="0.45">
      <c r="A2462" s="319" t="s">
        <v>733</v>
      </c>
      <c r="B2462" s="328" t="s">
        <v>615</v>
      </c>
      <c r="C2462" s="586">
        <f>C1932</f>
        <v>0</v>
      </c>
      <c r="D2462" s="533">
        <f>C2462*12</f>
        <v>0</v>
      </c>
      <c r="E2462" s="534">
        <f>D2462*0.2</f>
        <v>0</v>
      </c>
      <c r="F2462" s="321">
        <f>D2462*22*0.0086/24.7</f>
        <v>0</v>
      </c>
      <c r="G2462" s="533">
        <f>INT(M2462)</f>
        <v>0</v>
      </c>
      <c r="H2462" s="321" t="s">
        <v>18</v>
      </c>
      <c r="I2462" s="533">
        <f>(M2462-G2462)*64</f>
        <v>0</v>
      </c>
      <c r="J2462" s="321" t="s">
        <v>19</v>
      </c>
      <c r="K2462" s="324"/>
      <c r="L2462" s="324"/>
      <c r="M2462" s="321">
        <f>F2462*3024/16128</f>
        <v>0</v>
      </c>
      <c r="N2462" s="324"/>
      <c r="O2462" s="324"/>
      <c r="P2462" s="324"/>
      <c r="Q2462" s="324" t="s">
        <v>18</v>
      </c>
      <c r="R2462" s="324"/>
      <c r="S2462" s="324" t="s">
        <v>19</v>
      </c>
      <c r="T2462" s="528">
        <v>7</v>
      </c>
      <c r="U2462" s="324">
        <f>E2462/207*60</f>
        <v>0</v>
      </c>
      <c r="V2462" s="689"/>
      <c r="W2462" s="561"/>
      <c r="X2462" s="562"/>
      <c r="Y2462" s="360"/>
      <c r="Z2462" s="312">
        <f>E2462</f>
        <v>0</v>
      </c>
      <c r="AA2462" s="316">
        <f>AA1932</f>
        <v>0.25</v>
      </c>
    </row>
    <row r="2463" spans="1:27" thickBot="1" x14ac:dyDescent="0.45">
      <c r="A2463" s="329"/>
      <c r="B2463" s="344"/>
      <c r="C2463" s="536"/>
      <c r="D2463" s="528"/>
      <c r="E2463" s="460"/>
      <c r="F2463" s="324"/>
      <c r="G2463" s="528"/>
      <c r="H2463" s="324"/>
      <c r="I2463" s="528"/>
      <c r="J2463" s="324"/>
      <c r="K2463" s="324"/>
      <c r="L2463" s="324"/>
      <c r="M2463" s="324"/>
      <c r="N2463" s="324"/>
      <c r="O2463" s="324"/>
      <c r="P2463" s="324"/>
      <c r="Q2463" s="324"/>
      <c r="R2463" s="324"/>
      <c r="S2463" s="324"/>
      <c r="T2463" s="561"/>
      <c r="U2463" s="324"/>
      <c r="V2463" s="676"/>
      <c r="W2463" s="528"/>
      <c r="X2463" s="529"/>
      <c r="Y2463" s="323"/>
    </row>
    <row r="2464" spans="1:27" thickBot="1" x14ac:dyDescent="0.45">
      <c r="A2464" s="329"/>
      <c r="B2464" s="344"/>
      <c r="C2464" s="536"/>
      <c r="D2464" s="528"/>
      <c r="E2464" s="460"/>
      <c r="F2464" s="324"/>
      <c r="G2464" s="528"/>
      <c r="H2464" s="324"/>
      <c r="I2464" s="528"/>
      <c r="J2464" s="324"/>
      <c r="K2464" s="324"/>
      <c r="L2464" s="324"/>
      <c r="M2464" s="324"/>
      <c r="N2464" s="324"/>
      <c r="O2464" s="324"/>
      <c r="P2464" s="324"/>
      <c r="Q2464" s="324"/>
      <c r="R2464" s="324"/>
      <c r="S2464" s="324"/>
      <c r="T2464" s="561"/>
      <c r="U2464" s="324"/>
      <c r="V2464" s="676"/>
      <c r="W2464" s="528"/>
      <c r="X2464" s="529"/>
      <c r="Y2464" s="323"/>
    </row>
    <row r="2465" spans="1:27" ht="53.25" thickBot="1" x14ac:dyDescent="0.45">
      <c r="A2465" s="319"/>
      <c r="B2465" s="394" t="s">
        <v>695</v>
      </c>
      <c r="C2465" s="537"/>
      <c r="D2465" s="537"/>
      <c r="E2465" s="496"/>
      <c r="F2465" s="354"/>
      <c r="G2465" s="537"/>
      <c r="H2465" s="354"/>
      <c r="I2465" s="537"/>
      <c r="J2465" s="354"/>
      <c r="K2465" s="354"/>
      <c r="L2465" s="354"/>
      <c r="M2465" s="354"/>
      <c r="N2465" s="354"/>
      <c r="O2465" s="354"/>
      <c r="P2465" s="354"/>
      <c r="Q2465" s="354"/>
      <c r="R2465" s="354"/>
      <c r="S2465" s="354"/>
      <c r="T2465" s="537"/>
      <c r="U2465" s="354"/>
      <c r="V2465" s="682" t="s">
        <v>697</v>
      </c>
      <c r="W2465" s="537"/>
      <c r="X2465" s="540"/>
      <c r="Y2465" s="323"/>
    </row>
    <row r="2466" spans="1:27" thickBot="1" x14ac:dyDescent="0.45">
      <c r="A2466" s="319"/>
      <c r="B2466" s="418"/>
      <c r="C2466" s="528"/>
      <c r="D2466" s="528"/>
      <c r="E2466" s="460"/>
      <c r="F2466" s="324"/>
      <c r="G2466" s="528"/>
      <c r="H2466" s="324"/>
      <c r="I2466" s="528"/>
      <c r="J2466" s="324"/>
      <c r="K2466" s="324"/>
      <c r="L2466" s="324"/>
      <c r="M2466" s="324"/>
      <c r="N2466" s="324"/>
      <c r="O2466" s="324"/>
      <c r="P2466" s="324"/>
      <c r="Q2466" s="324"/>
      <c r="R2466" s="324"/>
      <c r="S2466" s="324"/>
      <c r="T2466" s="528"/>
      <c r="U2466" s="324"/>
      <c r="V2466" s="676"/>
      <c r="W2466" s="528"/>
      <c r="X2466" s="529"/>
      <c r="Y2466" s="323"/>
    </row>
    <row r="2467" spans="1:27" thickBot="1" x14ac:dyDescent="0.45">
      <c r="A2467" s="329"/>
      <c r="B2467" s="346"/>
      <c r="C2467" s="528"/>
      <c r="D2467" s="528"/>
      <c r="E2467" s="460"/>
      <c r="F2467" s="324"/>
      <c r="G2467" s="528"/>
      <c r="H2467" s="324"/>
      <c r="I2467" s="528"/>
      <c r="J2467" s="324"/>
      <c r="K2467" s="324"/>
      <c r="L2467" s="324"/>
      <c r="M2467" s="324"/>
      <c r="N2467" s="324"/>
      <c r="O2467" s="324"/>
      <c r="P2467" s="324"/>
      <c r="Q2467" s="324"/>
      <c r="R2467" s="324"/>
      <c r="S2467" s="324"/>
      <c r="T2467" s="528"/>
      <c r="U2467" s="324"/>
      <c r="V2467" s="676"/>
      <c r="W2467" s="528"/>
      <c r="X2467" s="529"/>
      <c r="Y2467" s="323"/>
    </row>
    <row r="2468" spans="1:27" thickBot="1" x14ac:dyDescent="0.45">
      <c r="A2468" s="329"/>
      <c r="B2468" s="382" t="s">
        <v>147</v>
      </c>
      <c r="C2468" s="537"/>
      <c r="D2468" s="537"/>
      <c r="E2468" s="496">
        <f>SUM(E2370:E2459)</f>
        <v>0</v>
      </c>
      <c r="F2468" s="324"/>
      <c r="G2468" s="528"/>
      <c r="H2468" s="324"/>
      <c r="I2468" s="528"/>
      <c r="J2468" s="324"/>
      <c r="K2468" s="324"/>
      <c r="L2468" s="324"/>
      <c r="M2468" s="324"/>
      <c r="N2468" s="324"/>
      <c r="O2468" s="324"/>
      <c r="P2468" s="324"/>
      <c r="Q2468" s="324"/>
      <c r="R2468" s="324"/>
      <c r="S2468" s="324"/>
      <c r="T2468" s="528"/>
      <c r="U2468" s="324"/>
      <c r="V2468" s="676"/>
      <c r="W2468" s="528"/>
      <c r="X2468" s="529"/>
      <c r="Y2468" s="323"/>
    </row>
    <row r="2469" spans="1:27" thickBot="1" x14ac:dyDescent="0.45">
      <c r="A2469" s="329"/>
      <c r="B2469" s="382" t="s">
        <v>709</v>
      </c>
      <c r="C2469" s="537"/>
      <c r="D2469" s="537"/>
      <c r="E2469" s="496">
        <f>E2461+E2462</f>
        <v>0</v>
      </c>
      <c r="F2469" s="324"/>
      <c r="G2469" s="528"/>
      <c r="H2469" s="324"/>
      <c r="I2469" s="528"/>
      <c r="J2469" s="324"/>
      <c r="K2469" s="324"/>
      <c r="L2469" s="324"/>
      <c r="M2469" s="324"/>
      <c r="N2469" s="324"/>
      <c r="O2469" s="324"/>
      <c r="P2469" s="324"/>
      <c r="Q2469" s="324"/>
      <c r="R2469" s="324"/>
      <c r="S2469" s="324"/>
      <c r="T2469" s="528"/>
      <c r="U2469" s="324"/>
      <c r="V2469" s="676"/>
      <c r="W2469" s="528"/>
      <c r="X2469" s="529"/>
      <c r="Y2469" s="323"/>
    </row>
    <row r="2470" spans="1:27" thickBot="1" x14ac:dyDescent="0.45">
      <c r="A2470" s="350"/>
      <c r="B2470" s="356"/>
      <c r="C2470" s="528"/>
      <c r="D2470" s="528"/>
      <c r="E2470" s="460"/>
      <c r="F2470" s="324"/>
      <c r="G2470" s="528"/>
      <c r="H2470" s="324"/>
      <c r="I2470" s="528"/>
      <c r="J2470" s="324"/>
      <c r="K2470" s="324"/>
      <c r="L2470" s="324"/>
      <c r="M2470" s="324"/>
      <c r="N2470" s="324"/>
      <c r="O2470" s="324"/>
      <c r="P2470" s="324"/>
      <c r="Q2470" s="324"/>
      <c r="R2470" s="324"/>
      <c r="S2470" s="324"/>
      <c r="T2470" s="528"/>
      <c r="U2470" s="324"/>
      <c r="V2470" s="676"/>
      <c r="W2470" s="528"/>
      <c r="X2470" s="529"/>
      <c r="Y2470" s="323"/>
    </row>
    <row r="2471" spans="1:27" thickBot="1" x14ac:dyDescent="0.45">
      <c r="A2471" s="350"/>
      <c r="B2471" s="356"/>
      <c r="C2471" s="528"/>
      <c r="D2471" s="528"/>
      <c r="E2471" s="460"/>
      <c r="F2471" s="324"/>
      <c r="G2471" s="528"/>
      <c r="H2471" s="324"/>
      <c r="I2471" s="528"/>
      <c r="J2471" s="324"/>
      <c r="K2471" s="324"/>
      <c r="L2471" s="324"/>
      <c r="M2471" s="324"/>
      <c r="N2471" s="324"/>
      <c r="O2471" s="324"/>
      <c r="P2471" s="324"/>
      <c r="Q2471" s="324"/>
      <c r="R2471" s="324"/>
      <c r="S2471" s="324"/>
      <c r="T2471" s="528"/>
      <c r="U2471" s="324"/>
      <c r="V2471" s="676"/>
      <c r="W2471" s="528"/>
      <c r="X2471" s="529"/>
      <c r="Y2471" s="323"/>
    </row>
    <row r="2472" spans="1:27" s="728" customFormat="1" outlineLevel="1" thickBot="1" x14ac:dyDescent="0.45">
      <c r="A2472" s="833"/>
      <c r="B2472" s="775" t="s">
        <v>774</v>
      </c>
      <c r="C2472" s="776"/>
      <c r="D2472" s="776"/>
      <c r="E2472" s="777"/>
      <c r="F2472" s="778"/>
      <c r="G2472" s="776"/>
      <c r="H2472" s="778"/>
      <c r="I2472" s="776"/>
      <c r="J2472" s="778"/>
      <c r="K2472" s="778"/>
      <c r="L2472" s="778"/>
      <c r="M2472" s="778"/>
      <c r="N2472" s="778"/>
      <c r="O2472" s="778"/>
      <c r="P2472" s="778"/>
      <c r="Q2472" s="778"/>
      <c r="R2472" s="778"/>
      <c r="S2472" s="778"/>
      <c r="T2472" s="776"/>
      <c r="U2472" s="778"/>
      <c r="V2472" s="779"/>
      <c r="W2472" s="778"/>
      <c r="X2472" s="778"/>
      <c r="Y2472" s="780"/>
      <c r="Z2472" s="727"/>
      <c r="AA2472" s="391" t="s">
        <v>678</v>
      </c>
    </row>
    <row r="2473" spans="1:27" s="728" customFormat="1" ht="52.5" outlineLevel="1" thickBot="1" x14ac:dyDescent="0.45">
      <c r="A2473" s="636" t="s">
        <v>775</v>
      </c>
      <c r="B2473" s="634" t="s">
        <v>620</v>
      </c>
      <c r="C2473" s="720"/>
      <c r="D2473" s="720">
        <f>C2473*12</f>
        <v>0</v>
      </c>
      <c r="E2473" s="721">
        <f>D2473*0.255</f>
        <v>0</v>
      </c>
      <c r="F2473" s="722">
        <f>E2473*1.03*1.05/173</f>
        <v>0</v>
      </c>
      <c r="G2473" s="720">
        <f>INT(M2473)</f>
        <v>0</v>
      </c>
      <c r="H2473" s="722" t="s">
        <v>18</v>
      </c>
      <c r="I2473" s="720">
        <f>(M2473-G2473)*64</f>
        <v>0</v>
      </c>
      <c r="J2473" s="722" t="s">
        <v>19</v>
      </c>
      <c r="K2473" s="722"/>
      <c r="L2473" s="722"/>
      <c r="M2473" s="722">
        <f>(F2473*7673)/2880</f>
        <v>0</v>
      </c>
      <c r="N2473" s="722"/>
      <c r="O2473" s="723"/>
      <c r="P2473" s="723"/>
      <c r="Q2473" s="722" t="s">
        <v>18</v>
      </c>
      <c r="R2473" s="722"/>
      <c r="S2473" s="722" t="s">
        <v>19</v>
      </c>
      <c r="T2473" s="720">
        <v>8</v>
      </c>
      <c r="U2473" s="324">
        <f>E2473/272*60</f>
        <v>0</v>
      </c>
      <c r="V2473" s="724"/>
      <c r="W2473" s="720"/>
      <c r="X2473" s="725"/>
      <c r="Y2473" s="726" t="s">
        <v>966</v>
      </c>
      <c r="Z2473" s="727">
        <f>E2473</f>
        <v>0</v>
      </c>
      <c r="AA2473" s="316">
        <f>SUM(Z2473/240+0.25)</f>
        <v>0.25</v>
      </c>
    </row>
    <row r="2474" spans="1:27" s="728" customFormat="1" ht="52.5" outlineLevel="1" thickBot="1" x14ac:dyDescent="0.45">
      <c r="A2474" s="636" t="s">
        <v>775</v>
      </c>
      <c r="B2474" s="634" t="s">
        <v>621</v>
      </c>
      <c r="C2474" s="720"/>
      <c r="D2474" s="720">
        <f>C2474*12</f>
        <v>0</v>
      </c>
      <c r="E2474" s="721">
        <f>D2474*0.255</f>
        <v>0</v>
      </c>
      <c r="F2474" s="722">
        <f>E2474*1.03*1.05/173</f>
        <v>0</v>
      </c>
      <c r="G2474" s="720">
        <f>INT(M2474)</f>
        <v>0</v>
      </c>
      <c r="H2474" s="722" t="s">
        <v>18</v>
      </c>
      <c r="I2474" s="720">
        <f>(M2474-G2474)*64</f>
        <v>0</v>
      </c>
      <c r="J2474" s="722" t="s">
        <v>19</v>
      </c>
      <c r="K2474" s="722"/>
      <c r="L2474" s="722"/>
      <c r="M2474" s="722">
        <f>(F2474*7673)/2880</f>
        <v>0</v>
      </c>
      <c r="N2474" s="722"/>
      <c r="O2474" s="723"/>
      <c r="P2474" s="723"/>
      <c r="Q2474" s="722" t="s">
        <v>18</v>
      </c>
      <c r="R2474" s="722"/>
      <c r="S2474" s="722" t="s">
        <v>19</v>
      </c>
      <c r="T2474" s="720">
        <v>8</v>
      </c>
      <c r="U2474" s="324">
        <f>E2474/272*60</f>
        <v>0</v>
      </c>
      <c r="V2474" s="724"/>
      <c r="W2474" s="720"/>
      <c r="X2474" s="725"/>
      <c r="Y2474" s="726" t="s">
        <v>966</v>
      </c>
      <c r="Z2474" s="727">
        <f>E2474</f>
        <v>0</v>
      </c>
      <c r="AA2474" s="316">
        <f>SUM(Z2474/240+0.25)</f>
        <v>0.25</v>
      </c>
    </row>
    <row r="2475" spans="1:27" s="728" customFormat="1" ht="52.5" outlineLevel="1" thickBot="1" x14ac:dyDescent="0.45">
      <c r="A2475" s="636" t="s">
        <v>775</v>
      </c>
      <c r="B2475" s="634" t="s">
        <v>622</v>
      </c>
      <c r="C2475" s="720"/>
      <c r="D2475" s="720">
        <f>C2475*12</f>
        <v>0</v>
      </c>
      <c r="E2475" s="721">
        <f>D2475*0.255</f>
        <v>0</v>
      </c>
      <c r="F2475" s="722">
        <f>E2475*1.03*1.05/173</f>
        <v>0</v>
      </c>
      <c r="G2475" s="720">
        <f>INT(M2475)</f>
        <v>0</v>
      </c>
      <c r="H2475" s="722" t="s">
        <v>18</v>
      </c>
      <c r="I2475" s="720">
        <f>(M2475-G2475)*64</f>
        <v>0</v>
      </c>
      <c r="J2475" s="722" t="s">
        <v>19</v>
      </c>
      <c r="K2475" s="722"/>
      <c r="L2475" s="722"/>
      <c r="M2475" s="722">
        <f>(F2475*7673)/2880</f>
        <v>0</v>
      </c>
      <c r="N2475" s="722"/>
      <c r="O2475" s="723"/>
      <c r="P2475" s="723"/>
      <c r="Q2475" s="722" t="s">
        <v>18</v>
      </c>
      <c r="R2475" s="722"/>
      <c r="S2475" s="722" t="s">
        <v>19</v>
      </c>
      <c r="T2475" s="720">
        <v>8</v>
      </c>
      <c r="U2475" s="324">
        <f>E2475/272*60</f>
        <v>0</v>
      </c>
      <c r="V2475" s="724"/>
      <c r="W2475" s="720"/>
      <c r="X2475" s="725"/>
      <c r="Y2475" s="726" t="s">
        <v>966</v>
      </c>
      <c r="Z2475" s="727">
        <f>E2475</f>
        <v>0</v>
      </c>
      <c r="AA2475" s="316">
        <f>SUM(Z2475/240+0.25)</f>
        <v>0.25</v>
      </c>
    </row>
    <row r="2476" spans="1:27" s="728" customFormat="1" outlineLevel="1" thickBot="1" x14ac:dyDescent="0.45">
      <c r="A2476" s="834"/>
      <c r="B2476" s="754" t="s">
        <v>287</v>
      </c>
      <c r="C2476" s="755"/>
      <c r="D2476" s="755"/>
      <c r="E2476" s="756"/>
      <c r="F2476" s="757"/>
      <c r="G2476" s="755"/>
      <c r="H2476" s="757"/>
      <c r="I2476" s="755"/>
      <c r="J2476" s="757"/>
      <c r="K2476" s="757"/>
      <c r="L2476" s="757"/>
      <c r="M2476" s="757"/>
      <c r="N2476" s="757"/>
      <c r="O2476" s="757"/>
      <c r="P2476" s="757"/>
      <c r="Q2476" s="757"/>
      <c r="R2476" s="757"/>
      <c r="S2476" s="757"/>
      <c r="T2476" s="755"/>
      <c r="U2476" s="757"/>
      <c r="V2476" s="759"/>
      <c r="W2476" s="757"/>
      <c r="X2476" s="760"/>
      <c r="Y2476" s="761"/>
      <c r="Z2476" s="727"/>
      <c r="AA2476" s="316"/>
    </row>
    <row r="2477" spans="1:27" s="728" customFormat="1" outlineLevel="1" thickBot="1" x14ac:dyDescent="0.45">
      <c r="A2477" s="834"/>
      <c r="B2477" s="754" t="s">
        <v>299</v>
      </c>
      <c r="C2477" s="755"/>
      <c r="D2477" s="755"/>
      <c r="E2477" s="756"/>
      <c r="F2477" s="757"/>
      <c r="G2477" s="755"/>
      <c r="H2477" s="757"/>
      <c r="I2477" s="755"/>
      <c r="J2477" s="757"/>
      <c r="K2477" s="757"/>
      <c r="L2477" s="757"/>
      <c r="M2477" s="757"/>
      <c r="N2477" s="757"/>
      <c r="O2477" s="757"/>
      <c r="P2477" s="757"/>
      <c r="Q2477" s="757"/>
      <c r="R2477" s="757"/>
      <c r="S2477" s="757"/>
      <c r="T2477" s="774"/>
      <c r="U2477" s="757"/>
      <c r="V2477" s="759"/>
      <c r="W2477" s="757"/>
      <c r="X2477" s="760"/>
      <c r="Y2477" s="761"/>
      <c r="Z2477" s="727"/>
      <c r="AA2477" s="316"/>
    </row>
    <row r="2478" spans="1:27" s="728" customFormat="1" ht="51.75" outlineLevel="1" thickBot="1" x14ac:dyDescent="0.45">
      <c r="A2478" s="636" t="s">
        <v>775</v>
      </c>
      <c r="B2478" s="635" t="s">
        <v>868</v>
      </c>
      <c r="C2478" s="729"/>
      <c r="D2478" s="720"/>
      <c r="E2478" s="721">
        <f>C2478*2.4</f>
        <v>0</v>
      </c>
      <c r="F2478" s="722">
        <f t="shared" ref="F2478:F2488" si="931">E2478*1.02*0.99/147</f>
        <v>0</v>
      </c>
      <c r="G2478" s="720">
        <f>INT(M2478)</f>
        <v>0</v>
      </c>
      <c r="H2478" s="722" t="s">
        <v>18</v>
      </c>
      <c r="I2478" s="720">
        <f>(M2478-G2478)*64</f>
        <v>0</v>
      </c>
      <c r="J2478" s="722" t="s">
        <v>19</v>
      </c>
      <c r="K2478" s="722"/>
      <c r="L2478" s="722"/>
      <c r="M2478" s="722">
        <f t="shared" ref="M2478:M2487" si="932">F2478*4983/2880</f>
        <v>0</v>
      </c>
      <c r="N2478" s="722"/>
      <c r="O2478" s="722"/>
      <c r="P2478" s="722"/>
      <c r="Q2478" s="722" t="s">
        <v>18</v>
      </c>
      <c r="R2478" s="722"/>
      <c r="S2478" s="722" t="s">
        <v>19</v>
      </c>
      <c r="T2478" s="730">
        <v>8</v>
      </c>
      <c r="U2478" s="585">
        <f>E2478/420*60</f>
        <v>0</v>
      </c>
      <c r="V2478" s="724"/>
      <c r="W2478" s="720"/>
      <c r="X2478" s="725"/>
      <c r="Y2478" s="736"/>
      <c r="Z2478" s="727">
        <f t="shared" ref="Z2478:Z2507" si="933">E2478</f>
        <v>0</v>
      </c>
      <c r="AA2478" s="316">
        <f t="shared" ref="AA2478:AA2487" si="934">SUM(Z2478/330+0.25)</f>
        <v>0.25</v>
      </c>
    </row>
    <row r="2479" spans="1:27" s="728" customFormat="1" ht="77.25" outlineLevel="1" thickBot="1" x14ac:dyDescent="0.45">
      <c r="A2479" s="636" t="s">
        <v>775</v>
      </c>
      <c r="B2479" s="635" t="s">
        <v>628</v>
      </c>
      <c r="C2479" s="729"/>
      <c r="D2479" s="720"/>
      <c r="E2479" s="721">
        <f>C2479*3.2</f>
        <v>0</v>
      </c>
      <c r="F2479" s="722">
        <f t="shared" si="931"/>
        <v>0</v>
      </c>
      <c r="G2479" s="720">
        <f>INT(M2479)</f>
        <v>0</v>
      </c>
      <c r="H2479" s="722" t="s">
        <v>18</v>
      </c>
      <c r="I2479" s="720">
        <f>(M2479-G2479)*64</f>
        <v>0</v>
      </c>
      <c r="J2479" s="722" t="s">
        <v>19</v>
      </c>
      <c r="K2479" s="722"/>
      <c r="L2479" s="722"/>
      <c r="M2479" s="722">
        <f t="shared" si="932"/>
        <v>0</v>
      </c>
      <c r="N2479" s="722"/>
      <c r="O2479" s="722"/>
      <c r="P2479" s="722"/>
      <c r="Q2479" s="722" t="s">
        <v>18</v>
      </c>
      <c r="R2479" s="722"/>
      <c r="S2479" s="722" t="s">
        <v>19</v>
      </c>
      <c r="T2479" s="730">
        <v>8</v>
      </c>
      <c r="U2479" s="585">
        <f>E2479/259*60</f>
        <v>0</v>
      </c>
      <c r="V2479" s="724"/>
      <c r="W2479" s="720"/>
      <c r="X2479" s="725"/>
      <c r="Y2479" s="736"/>
      <c r="Z2479" s="727">
        <f t="shared" si="933"/>
        <v>0</v>
      </c>
      <c r="AA2479" s="316">
        <f t="shared" si="934"/>
        <v>0.25</v>
      </c>
    </row>
    <row r="2480" spans="1:27" s="728" customFormat="1" ht="51.75" outlineLevel="1" thickBot="1" x14ac:dyDescent="0.45">
      <c r="A2480" s="636" t="s">
        <v>775</v>
      </c>
      <c r="B2480" s="635" t="s">
        <v>629</v>
      </c>
      <c r="C2480" s="729"/>
      <c r="D2480" s="720"/>
      <c r="E2480" s="721">
        <f>C2480*4</f>
        <v>0</v>
      </c>
      <c r="F2480" s="722">
        <f t="shared" si="931"/>
        <v>0</v>
      </c>
      <c r="G2480" s="720">
        <f>INT(M2480)</f>
        <v>0</v>
      </c>
      <c r="H2480" s="722" t="s">
        <v>18</v>
      </c>
      <c r="I2480" s="720">
        <f>(M2480-G2480)*64</f>
        <v>0</v>
      </c>
      <c r="J2480" s="722" t="s">
        <v>19</v>
      </c>
      <c r="K2480" s="722"/>
      <c r="L2480" s="722"/>
      <c r="M2480" s="722">
        <f t="shared" si="932"/>
        <v>0</v>
      </c>
      <c r="N2480" s="722"/>
      <c r="O2480" s="722"/>
      <c r="P2480" s="722"/>
      <c r="Q2480" s="722" t="s">
        <v>18</v>
      </c>
      <c r="R2480" s="722"/>
      <c r="S2480" s="722" t="s">
        <v>19</v>
      </c>
      <c r="T2480" s="730">
        <v>8</v>
      </c>
      <c r="U2480" s="585">
        <f>E2480/259*60</f>
        <v>0</v>
      </c>
      <c r="V2480" s="724"/>
      <c r="W2480" s="720"/>
      <c r="X2480" s="725"/>
      <c r="Y2480" s="736"/>
      <c r="Z2480" s="727">
        <f t="shared" si="933"/>
        <v>0</v>
      </c>
      <c r="AA2480" s="316">
        <f t="shared" si="934"/>
        <v>0.25</v>
      </c>
    </row>
    <row r="2481" spans="1:27" s="728" customFormat="1" ht="51.75" outlineLevel="1" thickBot="1" x14ac:dyDescent="0.45">
      <c r="A2481" s="636" t="s">
        <v>775</v>
      </c>
      <c r="B2481" s="634" t="s">
        <v>869</v>
      </c>
      <c r="C2481" s="720"/>
      <c r="D2481" s="720"/>
      <c r="E2481" s="721">
        <f>C2481*2.4</f>
        <v>0</v>
      </c>
      <c r="F2481" s="722">
        <f t="shared" si="931"/>
        <v>0</v>
      </c>
      <c r="G2481" s="720">
        <f>INT(M2481)</f>
        <v>0</v>
      </c>
      <c r="H2481" s="722" t="s">
        <v>18</v>
      </c>
      <c r="I2481" s="720">
        <f>(M2481-G2481)*64</f>
        <v>0</v>
      </c>
      <c r="J2481" s="722" t="s">
        <v>19</v>
      </c>
      <c r="K2481" s="722"/>
      <c r="L2481" s="722"/>
      <c r="M2481" s="722">
        <f t="shared" si="932"/>
        <v>0</v>
      </c>
      <c r="N2481" s="722"/>
      <c r="O2481" s="722"/>
      <c r="P2481" s="722"/>
      <c r="Q2481" s="722" t="s">
        <v>18</v>
      </c>
      <c r="R2481" s="722"/>
      <c r="S2481" s="722" t="s">
        <v>19</v>
      </c>
      <c r="T2481" s="720">
        <v>8</v>
      </c>
      <c r="U2481" s="324">
        <f>E2481/420*60</f>
        <v>0</v>
      </c>
      <c r="V2481" s="724"/>
      <c r="W2481" s="720"/>
      <c r="X2481" s="725"/>
      <c r="Y2481" s="736"/>
      <c r="Z2481" s="727">
        <f t="shared" si="933"/>
        <v>0</v>
      </c>
      <c r="AA2481" s="316">
        <f t="shared" si="934"/>
        <v>0.25</v>
      </c>
    </row>
    <row r="2482" spans="1:27" s="728" customFormat="1" ht="51.75" outlineLevel="1" thickBot="1" x14ac:dyDescent="0.45">
      <c r="A2482" s="636" t="s">
        <v>775</v>
      </c>
      <c r="B2482" s="634" t="s">
        <v>870</v>
      </c>
      <c r="C2482" s="720"/>
      <c r="D2482" s="720"/>
      <c r="E2482" s="721">
        <f>C2482*2.4</f>
        <v>0</v>
      </c>
      <c r="F2482" s="722">
        <f t="shared" si="931"/>
        <v>0</v>
      </c>
      <c r="G2482" s="720">
        <f>INT(M2482)</f>
        <v>0</v>
      </c>
      <c r="H2482" s="722" t="s">
        <v>18</v>
      </c>
      <c r="I2482" s="720">
        <f>(M2482-G2482)*64</f>
        <v>0</v>
      </c>
      <c r="J2482" s="722" t="s">
        <v>19</v>
      </c>
      <c r="K2482" s="722"/>
      <c r="L2482" s="722"/>
      <c r="M2482" s="722">
        <f t="shared" si="932"/>
        <v>0</v>
      </c>
      <c r="N2482" s="722"/>
      <c r="O2482" s="722"/>
      <c r="P2482" s="722"/>
      <c r="Q2482" s="722" t="s">
        <v>18</v>
      </c>
      <c r="R2482" s="722"/>
      <c r="S2482" s="722" t="s">
        <v>19</v>
      </c>
      <c r="T2482" s="720">
        <v>8</v>
      </c>
      <c r="U2482" s="324">
        <f>E2482/420*60</f>
        <v>0</v>
      </c>
      <c r="V2482" s="724"/>
      <c r="W2482" s="720"/>
      <c r="X2482" s="725"/>
      <c r="Y2482" s="736"/>
      <c r="Z2482" s="727">
        <f t="shared" si="933"/>
        <v>0</v>
      </c>
      <c r="AA2482" s="316">
        <f t="shared" si="934"/>
        <v>0.25</v>
      </c>
    </row>
    <row r="2483" spans="1:27" s="728" customFormat="1" ht="51.75" outlineLevel="1" thickBot="1" x14ac:dyDescent="0.45">
      <c r="A2483" s="636" t="s">
        <v>775</v>
      </c>
      <c r="B2483" s="634" t="s">
        <v>871</v>
      </c>
      <c r="C2483" s="729"/>
      <c r="D2483" s="720"/>
      <c r="E2483" s="721">
        <f>C2483*2.4</f>
        <v>0</v>
      </c>
      <c r="F2483" s="722">
        <f t="shared" si="931"/>
        <v>0</v>
      </c>
      <c r="G2483" s="720">
        <f t="shared" ref="G2483:G2504" si="935">INT(M2483)</f>
        <v>0</v>
      </c>
      <c r="H2483" s="722" t="s">
        <v>18</v>
      </c>
      <c r="I2483" s="720">
        <f t="shared" ref="I2483:I2504" si="936">(M2483-G2483)*64</f>
        <v>0</v>
      </c>
      <c r="J2483" s="722" t="s">
        <v>19</v>
      </c>
      <c r="K2483" s="722"/>
      <c r="L2483" s="722"/>
      <c r="M2483" s="722">
        <f t="shared" si="932"/>
        <v>0</v>
      </c>
      <c r="N2483" s="722"/>
      <c r="O2483" s="722"/>
      <c r="P2483" s="722"/>
      <c r="Q2483" s="722" t="s">
        <v>18</v>
      </c>
      <c r="R2483" s="722"/>
      <c r="S2483" s="722" t="s">
        <v>19</v>
      </c>
      <c r="T2483" s="730">
        <v>8</v>
      </c>
      <c r="U2483" s="585">
        <f>E2483/420*60</f>
        <v>0</v>
      </c>
      <c r="V2483" s="724"/>
      <c r="W2483" s="720"/>
      <c r="X2483" s="725"/>
      <c r="Y2483" s="736"/>
      <c r="Z2483" s="727">
        <f t="shared" si="933"/>
        <v>0</v>
      </c>
      <c r="AA2483" s="316">
        <f t="shared" si="934"/>
        <v>0.25</v>
      </c>
    </row>
    <row r="2484" spans="1:27" s="728" customFormat="1" ht="51.75" outlineLevel="1" thickBot="1" x14ac:dyDescent="0.45">
      <c r="A2484" s="636" t="s">
        <v>775</v>
      </c>
      <c r="B2484" s="634" t="s">
        <v>786</v>
      </c>
      <c r="C2484" s="720"/>
      <c r="D2484" s="720"/>
      <c r="E2484" s="721">
        <f t="shared" ref="E2484:E2490" si="937">C2484*4</f>
        <v>0</v>
      </c>
      <c r="F2484" s="722">
        <f t="shared" si="931"/>
        <v>0</v>
      </c>
      <c r="G2484" s="720">
        <f t="shared" si="935"/>
        <v>0</v>
      </c>
      <c r="H2484" s="722" t="s">
        <v>18</v>
      </c>
      <c r="I2484" s="720">
        <f t="shared" si="936"/>
        <v>0</v>
      </c>
      <c r="J2484" s="722" t="s">
        <v>19</v>
      </c>
      <c r="K2484" s="722"/>
      <c r="L2484" s="722"/>
      <c r="M2484" s="722">
        <f t="shared" si="932"/>
        <v>0</v>
      </c>
      <c r="N2484" s="722"/>
      <c r="O2484" s="722"/>
      <c r="P2484" s="722"/>
      <c r="Q2484" s="722" t="s">
        <v>18</v>
      </c>
      <c r="R2484" s="722"/>
      <c r="S2484" s="722" t="s">
        <v>19</v>
      </c>
      <c r="T2484" s="720">
        <v>8</v>
      </c>
      <c r="U2484" s="324">
        <f>E2484/259*60</f>
        <v>0</v>
      </c>
      <c r="V2484" s="724"/>
      <c r="W2484" s="720"/>
      <c r="X2484" s="725"/>
      <c r="Y2484" s="736"/>
      <c r="Z2484" s="727">
        <f t="shared" si="933"/>
        <v>0</v>
      </c>
      <c r="AA2484" s="316">
        <f t="shared" si="934"/>
        <v>0.25</v>
      </c>
    </row>
    <row r="2485" spans="1:27" s="728" customFormat="1" ht="51.75" outlineLevel="1" thickBot="1" x14ac:dyDescent="0.45">
      <c r="A2485" s="636" t="s">
        <v>775</v>
      </c>
      <c r="B2485" s="634" t="s">
        <v>630</v>
      </c>
      <c r="C2485" s="729"/>
      <c r="D2485" s="720"/>
      <c r="E2485" s="721">
        <f t="shared" si="937"/>
        <v>0</v>
      </c>
      <c r="F2485" s="722">
        <f t="shared" si="931"/>
        <v>0</v>
      </c>
      <c r="G2485" s="720">
        <f t="shared" si="935"/>
        <v>0</v>
      </c>
      <c r="H2485" s="722" t="s">
        <v>18</v>
      </c>
      <c r="I2485" s="720">
        <f t="shared" si="936"/>
        <v>0</v>
      </c>
      <c r="J2485" s="722" t="s">
        <v>19</v>
      </c>
      <c r="K2485" s="722"/>
      <c r="L2485" s="722"/>
      <c r="M2485" s="722">
        <f t="shared" si="932"/>
        <v>0</v>
      </c>
      <c r="N2485" s="722"/>
      <c r="O2485" s="722"/>
      <c r="P2485" s="722"/>
      <c r="Q2485" s="722" t="s">
        <v>18</v>
      </c>
      <c r="R2485" s="722"/>
      <c r="S2485" s="722" t="s">
        <v>19</v>
      </c>
      <c r="T2485" s="730">
        <v>8</v>
      </c>
      <c r="U2485" s="585">
        <f>E2485/259*60</f>
        <v>0</v>
      </c>
      <c r="V2485" s="724"/>
      <c r="W2485" s="720"/>
      <c r="X2485" s="725"/>
      <c r="Y2485" s="736"/>
      <c r="Z2485" s="727">
        <f t="shared" si="933"/>
        <v>0</v>
      </c>
      <c r="AA2485" s="316">
        <f t="shared" si="934"/>
        <v>0.25</v>
      </c>
    </row>
    <row r="2486" spans="1:27" s="728" customFormat="1" outlineLevel="1" thickBot="1" x14ac:dyDescent="0.45">
      <c r="A2486" s="636" t="s">
        <v>775</v>
      </c>
      <c r="B2486" s="634" t="s">
        <v>1065</v>
      </c>
      <c r="C2486" s="729"/>
      <c r="D2486" s="720"/>
      <c r="E2486" s="721">
        <f>C2486*4</f>
        <v>0</v>
      </c>
      <c r="F2486" s="722">
        <f>E2486*1.02*0.99/147</f>
        <v>0</v>
      </c>
      <c r="G2486" s="720">
        <f>INT(M2486)</f>
        <v>0</v>
      </c>
      <c r="H2486" s="722" t="s">
        <v>18</v>
      </c>
      <c r="I2486" s="720">
        <f>(M2486-G2486)*64</f>
        <v>0</v>
      </c>
      <c r="J2486" s="722" t="s">
        <v>19</v>
      </c>
      <c r="K2486" s="722"/>
      <c r="L2486" s="722"/>
      <c r="M2486" s="722">
        <f>F2486*4983/2880</f>
        <v>0</v>
      </c>
      <c r="N2486" s="722"/>
      <c r="O2486" s="722"/>
      <c r="P2486" s="722"/>
      <c r="Q2486" s="722" t="s">
        <v>18</v>
      </c>
      <c r="R2486" s="722"/>
      <c r="S2486" s="722" t="s">
        <v>19</v>
      </c>
      <c r="T2486" s="730">
        <v>8</v>
      </c>
      <c r="U2486" s="585">
        <f>E2486/259*60</f>
        <v>0</v>
      </c>
      <c r="V2486" s="724"/>
      <c r="W2486" s="720"/>
      <c r="X2486" s="725"/>
      <c r="Y2486" s="736"/>
      <c r="Z2486" s="727">
        <f>E2486</f>
        <v>0</v>
      </c>
      <c r="AA2486" s="316">
        <f>SUM(Z2486/330+0.25)</f>
        <v>0.25</v>
      </c>
    </row>
    <row r="2487" spans="1:27" s="728" customFormat="1" ht="51.75" outlineLevel="1" thickBot="1" x14ac:dyDescent="0.45">
      <c r="A2487" s="636" t="s">
        <v>775</v>
      </c>
      <c r="B2487" s="634" t="s">
        <v>631</v>
      </c>
      <c r="C2487" s="729"/>
      <c r="D2487" s="720"/>
      <c r="E2487" s="721">
        <f t="shared" si="937"/>
        <v>0</v>
      </c>
      <c r="F2487" s="722">
        <f t="shared" si="931"/>
        <v>0</v>
      </c>
      <c r="G2487" s="720">
        <f t="shared" si="935"/>
        <v>0</v>
      </c>
      <c r="H2487" s="722" t="s">
        <v>18</v>
      </c>
      <c r="I2487" s="720">
        <f t="shared" si="936"/>
        <v>0</v>
      </c>
      <c r="J2487" s="722" t="s">
        <v>19</v>
      </c>
      <c r="K2487" s="722"/>
      <c r="L2487" s="722"/>
      <c r="M2487" s="722">
        <f t="shared" si="932"/>
        <v>0</v>
      </c>
      <c r="N2487" s="722"/>
      <c r="O2487" s="722"/>
      <c r="P2487" s="722"/>
      <c r="Q2487" s="722" t="s">
        <v>18</v>
      </c>
      <c r="R2487" s="722"/>
      <c r="S2487" s="722" t="s">
        <v>19</v>
      </c>
      <c r="T2487" s="730">
        <v>8</v>
      </c>
      <c r="U2487" s="585">
        <f>E2487/259*60</f>
        <v>0</v>
      </c>
      <c r="V2487" s="724"/>
      <c r="W2487" s="720"/>
      <c r="X2487" s="725"/>
      <c r="Y2487" s="736"/>
      <c r="Z2487" s="727">
        <f t="shared" si="933"/>
        <v>0</v>
      </c>
      <c r="AA2487" s="316">
        <f t="shared" si="934"/>
        <v>0.25</v>
      </c>
    </row>
    <row r="2488" spans="1:27" s="728" customFormat="1" ht="102.75" outlineLevel="1" thickBot="1" x14ac:dyDescent="0.45">
      <c r="A2488" s="636" t="s">
        <v>775</v>
      </c>
      <c r="B2488" s="634" t="s">
        <v>1219</v>
      </c>
      <c r="C2488" s="720"/>
      <c r="D2488" s="720"/>
      <c r="E2488" s="721">
        <f t="shared" si="937"/>
        <v>0</v>
      </c>
      <c r="F2488" s="722">
        <f t="shared" si="931"/>
        <v>0</v>
      </c>
      <c r="G2488" s="720">
        <f t="shared" si="935"/>
        <v>0</v>
      </c>
      <c r="H2488" s="722" t="s">
        <v>18</v>
      </c>
      <c r="I2488" s="720">
        <f t="shared" si="936"/>
        <v>0</v>
      </c>
      <c r="J2488" s="722" t="s">
        <v>19</v>
      </c>
      <c r="K2488" s="722"/>
      <c r="L2488" s="722"/>
      <c r="M2488" s="722">
        <f>F2488*5764/2880</f>
        <v>0</v>
      </c>
      <c r="N2488" s="722"/>
      <c r="O2488" s="722"/>
      <c r="P2488" s="722"/>
      <c r="Q2488" s="722" t="s">
        <v>18</v>
      </c>
      <c r="R2488" s="722"/>
      <c r="S2488" s="722" t="s">
        <v>19</v>
      </c>
      <c r="T2488" s="720">
        <v>8</v>
      </c>
      <c r="U2488" s="722">
        <f>E2488/324*60</f>
        <v>0</v>
      </c>
      <c r="V2488" s="724"/>
      <c r="W2488" s="720"/>
      <c r="X2488" s="725"/>
      <c r="Y2488" s="736"/>
      <c r="Z2488" s="727">
        <f>E2488</f>
        <v>0</v>
      </c>
      <c r="AA2488" s="815">
        <f>SUM(Z2488/290+0.25)</f>
        <v>0.25</v>
      </c>
    </row>
    <row r="2489" spans="1:27" s="728" customFormat="1" ht="102.75" outlineLevel="1" thickBot="1" x14ac:dyDescent="0.45">
      <c r="A2489" s="636" t="s">
        <v>775</v>
      </c>
      <c r="B2489" s="634" t="s">
        <v>1220</v>
      </c>
      <c r="C2489" s="720"/>
      <c r="D2489" s="720"/>
      <c r="E2489" s="721">
        <f>C2489*4</f>
        <v>0</v>
      </c>
      <c r="F2489" s="722">
        <f>E2489*1.02*0.99/147</f>
        <v>0</v>
      </c>
      <c r="G2489" s="720">
        <f t="shared" si="935"/>
        <v>0</v>
      </c>
      <c r="H2489" s="722" t="s">
        <v>18</v>
      </c>
      <c r="I2489" s="720">
        <f t="shared" si="936"/>
        <v>0</v>
      </c>
      <c r="J2489" s="722" t="s">
        <v>19</v>
      </c>
      <c r="K2489" s="722"/>
      <c r="L2489" s="722"/>
      <c r="M2489" s="722">
        <f>F2489*5764/2880</f>
        <v>0</v>
      </c>
      <c r="N2489" s="722"/>
      <c r="O2489" s="722"/>
      <c r="P2489" s="722"/>
      <c r="Q2489" s="722" t="s">
        <v>18</v>
      </c>
      <c r="R2489" s="722"/>
      <c r="S2489" s="722" t="s">
        <v>19</v>
      </c>
      <c r="T2489" s="720">
        <v>8</v>
      </c>
      <c r="U2489" s="722">
        <f>E2489/324*60</f>
        <v>0</v>
      </c>
      <c r="V2489" s="724"/>
      <c r="W2489" s="720"/>
      <c r="X2489" s="725"/>
      <c r="Y2489" s="737"/>
      <c r="Z2489" s="727">
        <f>E2489</f>
        <v>0</v>
      </c>
      <c r="AA2489" s="815">
        <f>SUM(Z2489/290+0.25)</f>
        <v>0.25</v>
      </c>
    </row>
    <row r="2490" spans="1:27" s="728" customFormat="1" ht="77.25" outlineLevel="1" thickBot="1" x14ac:dyDescent="0.45">
      <c r="A2490" s="636" t="s">
        <v>775</v>
      </c>
      <c r="B2490" s="634" t="s">
        <v>840</v>
      </c>
      <c r="C2490" s="720"/>
      <c r="D2490" s="720"/>
      <c r="E2490" s="721">
        <f t="shared" si="937"/>
        <v>0</v>
      </c>
      <c r="F2490" s="722">
        <f>E2490*0.9*1.01/147</f>
        <v>0</v>
      </c>
      <c r="G2490" s="720">
        <f t="shared" si="935"/>
        <v>0</v>
      </c>
      <c r="H2490" s="722" t="s">
        <v>18</v>
      </c>
      <c r="I2490" s="720">
        <f t="shared" si="936"/>
        <v>0</v>
      </c>
      <c r="J2490" s="722" t="s">
        <v>19</v>
      </c>
      <c r="K2490" s="722"/>
      <c r="L2490" s="722"/>
      <c r="M2490" s="722">
        <f>(F2490*6533/3456)</f>
        <v>0</v>
      </c>
      <c r="N2490" s="722"/>
      <c r="O2490" s="722"/>
      <c r="P2490" s="722"/>
      <c r="Q2490" s="722" t="s">
        <v>18</v>
      </c>
      <c r="R2490" s="722"/>
      <c r="S2490" s="722" t="s">
        <v>19</v>
      </c>
      <c r="T2490" s="720">
        <v>8</v>
      </c>
      <c r="U2490" s="324">
        <f>E2490/324*60</f>
        <v>0</v>
      </c>
      <c r="V2490" s="724"/>
      <c r="W2490" s="720"/>
      <c r="X2490" s="725"/>
      <c r="Y2490" s="736"/>
      <c r="Z2490" s="727">
        <f t="shared" si="933"/>
        <v>0</v>
      </c>
      <c r="AA2490" s="316">
        <f>SUM(Z2490/370+0.25)</f>
        <v>0.25</v>
      </c>
    </row>
    <row r="2491" spans="1:27" s="728" customFormat="1" ht="77.25" outlineLevel="1" thickBot="1" x14ac:dyDescent="0.45">
      <c r="A2491" s="636" t="s">
        <v>775</v>
      </c>
      <c r="B2491" s="634" t="s">
        <v>1192</v>
      </c>
      <c r="C2491" s="720"/>
      <c r="D2491" s="720"/>
      <c r="E2491" s="721">
        <f>C2491*1.3</f>
        <v>0</v>
      </c>
      <c r="F2491" s="722">
        <f>E2491*1.02*1/135</f>
        <v>0</v>
      </c>
      <c r="G2491" s="720">
        <f t="shared" si="935"/>
        <v>0</v>
      </c>
      <c r="H2491" s="722" t="s">
        <v>18</v>
      </c>
      <c r="I2491" s="720">
        <f t="shared" si="936"/>
        <v>0</v>
      </c>
      <c r="J2491" s="722" t="s">
        <v>19</v>
      </c>
      <c r="K2491" s="722"/>
      <c r="L2491" s="722"/>
      <c r="M2491" s="722">
        <f>F2491*5252/2880</f>
        <v>0</v>
      </c>
      <c r="N2491" s="722"/>
      <c r="O2491" s="722"/>
      <c r="P2491" s="722"/>
      <c r="Q2491" s="722" t="s">
        <v>18</v>
      </c>
      <c r="R2491" s="722"/>
      <c r="S2491" s="722" t="s">
        <v>19</v>
      </c>
      <c r="T2491" s="720">
        <v>8</v>
      </c>
      <c r="U2491" s="324">
        <f>E2491/237*60</f>
        <v>0</v>
      </c>
      <c r="V2491" s="724"/>
      <c r="W2491" s="720"/>
      <c r="X2491" s="725"/>
      <c r="Y2491" s="737"/>
      <c r="Z2491" s="727">
        <f>E2491</f>
        <v>0</v>
      </c>
      <c r="AA2491" s="316">
        <f>SUM(Z2491/370+0.25)</f>
        <v>0.25</v>
      </c>
    </row>
    <row r="2492" spans="1:27" s="728" customFormat="1" ht="51.75" outlineLevel="1" thickBot="1" x14ac:dyDescent="0.45">
      <c r="A2492" s="636" t="s">
        <v>775</v>
      </c>
      <c r="B2492" s="634" t="s">
        <v>632</v>
      </c>
      <c r="C2492" s="729"/>
      <c r="D2492" s="720"/>
      <c r="E2492" s="721">
        <f t="shared" ref="E2492:E2497" si="938">C2492*3.2</f>
        <v>0</v>
      </c>
      <c r="F2492" s="722">
        <f t="shared" ref="F2492:F2497" si="939">E2492*1.02*0.99/147</f>
        <v>0</v>
      </c>
      <c r="G2492" s="720">
        <f t="shared" si="935"/>
        <v>0</v>
      </c>
      <c r="H2492" s="722" t="s">
        <v>18</v>
      </c>
      <c r="I2492" s="720">
        <f t="shared" si="936"/>
        <v>0</v>
      </c>
      <c r="J2492" s="722" t="s">
        <v>19</v>
      </c>
      <c r="K2492" s="722"/>
      <c r="L2492" s="722"/>
      <c r="M2492" s="722">
        <f>F2492*4983/2880</f>
        <v>0</v>
      </c>
      <c r="N2492" s="722"/>
      <c r="O2492" s="722"/>
      <c r="P2492" s="722"/>
      <c r="Q2492" s="722" t="s">
        <v>18</v>
      </c>
      <c r="R2492" s="722"/>
      <c r="S2492" s="722" t="s">
        <v>19</v>
      </c>
      <c r="T2492" s="730">
        <v>8</v>
      </c>
      <c r="U2492" s="585">
        <f t="shared" ref="U2492:U2497" si="940">E2492/259*60</f>
        <v>0</v>
      </c>
      <c r="V2492" s="724"/>
      <c r="W2492" s="720"/>
      <c r="X2492" s="725"/>
      <c r="Y2492" s="736"/>
      <c r="Z2492" s="727">
        <f t="shared" si="933"/>
        <v>0</v>
      </c>
      <c r="AA2492" s="316">
        <f t="shared" ref="AA2492:AA2497" si="941">SUM(Z2492/330+0.25)</f>
        <v>0.25</v>
      </c>
    </row>
    <row r="2493" spans="1:27" s="728" customFormat="1" ht="51.75" outlineLevel="1" thickBot="1" x14ac:dyDescent="0.45">
      <c r="A2493" s="636" t="s">
        <v>775</v>
      </c>
      <c r="B2493" s="634" t="s">
        <v>1033</v>
      </c>
      <c r="C2493" s="720"/>
      <c r="D2493" s="720"/>
      <c r="E2493" s="722">
        <f t="shared" si="938"/>
        <v>0</v>
      </c>
      <c r="F2493" s="722">
        <f t="shared" si="939"/>
        <v>0</v>
      </c>
      <c r="G2493" s="720">
        <f>INT(M2493)</f>
        <v>0</v>
      </c>
      <c r="H2493" s="722" t="s">
        <v>18</v>
      </c>
      <c r="I2493" s="720">
        <f>(M2493-G2493)*64</f>
        <v>0</v>
      </c>
      <c r="J2493" s="722"/>
      <c r="K2493" s="722"/>
      <c r="L2493" s="722"/>
      <c r="M2493" s="722">
        <f>E2493/0.0233/2880</f>
        <v>0</v>
      </c>
      <c r="N2493" s="722"/>
      <c r="O2493" s="722"/>
      <c r="P2493" s="722"/>
      <c r="Q2493" s="722" t="s">
        <v>18</v>
      </c>
      <c r="R2493" s="722"/>
      <c r="S2493" s="722" t="s">
        <v>19</v>
      </c>
      <c r="T2493" s="720">
        <v>9</v>
      </c>
      <c r="U2493" s="324">
        <f t="shared" si="940"/>
        <v>0</v>
      </c>
      <c r="V2493" s="724"/>
      <c r="W2493" s="720"/>
      <c r="X2493" s="725"/>
      <c r="Y2493" s="736"/>
      <c r="Z2493" s="727">
        <f>E2493</f>
        <v>0</v>
      </c>
      <c r="AA2493" s="316">
        <f t="shared" si="941"/>
        <v>0.25</v>
      </c>
    </row>
    <row r="2494" spans="1:27" s="728" customFormat="1" ht="77.25" outlineLevel="1" thickBot="1" x14ac:dyDescent="0.45">
      <c r="A2494" s="636" t="s">
        <v>775</v>
      </c>
      <c r="B2494" s="634" t="s">
        <v>633</v>
      </c>
      <c r="C2494" s="729"/>
      <c r="D2494" s="720"/>
      <c r="E2494" s="721">
        <f t="shared" si="938"/>
        <v>0</v>
      </c>
      <c r="F2494" s="722">
        <f t="shared" si="939"/>
        <v>0</v>
      </c>
      <c r="G2494" s="720">
        <f t="shared" si="935"/>
        <v>0</v>
      </c>
      <c r="H2494" s="722" t="s">
        <v>18</v>
      </c>
      <c r="I2494" s="720">
        <f t="shared" si="936"/>
        <v>0</v>
      </c>
      <c r="J2494" s="722" t="s">
        <v>19</v>
      </c>
      <c r="K2494" s="722"/>
      <c r="L2494" s="722"/>
      <c r="M2494" s="722">
        <f>F2494*4983/2880</f>
        <v>0</v>
      </c>
      <c r="N2494" s="722"/>
      <c r="O2494" s="722"/>
      <c r="P2494" s="722"/>
      <c r="Q2494" s="722" t="s">
        <v>18</v>
      </c>
      <c r="R2494" s="722"/>
      <c r="S2494" s="722" t="s">
        <v>19</v>
      </c>
      <c r="T2494" s="730">
        <v>8</v>
      </c>
      <c r="U2494" s="585">
        <f t="shared" si="940"/>
        <v>0</v>
      </c>
      <c r="V2494" s="724"/>
      <c r="W2494" s="720"/>
      <c r="X2494" s="725"/>
      <c r="Y2494" s="736"/>
      <c r="Z2494" s="727">
        <f t="shared" si="933"/>
        <v>0</v>
      </c>
      <c r="AA2494" s="316">
        <f t="shared" si="941"/>
        <v>0.25</v>
      </c>
    </row>
    <row r="2495" spans="1:27" s="728" customFormat="1" ht="51.75" outlineLevel="1" thickBot="1" x14ac:dyDescent="0.45">
      <c r="A2495" s="636" t="s">
        <v>775</v>
      </c>
      <c r="B2495" s="634" t="s">
        <v>1066</v>
      </c>
      <c r="C2495" s="729"/>
      <c r="D2495" s="720"/>
      <c r="E2495" s="721">
        <f t="shared" si="938"/>
        <v>0</v>
      </c>
      <c r="F2495" s="722">
        <f t="shared" si="939"/>
        <v>0</v>
      </c>
      <c r="G2495" s="720">
        <f>INT(M2495)</f>
        <v>0</v>
      </c>
      <c r="H2495" s="722" t="s">
        <v>18</v>
      </c>
      <c r="I2495" s="720">
        <f>(M2495-G2495)*64</f>
        <v>0</v>
      </c>
      <c r="J2495" s="722" t="s">
        <v>19</v>
      </c>
      <c r="K2495" s="722"/>
      <c r="L2495" s="722"/>
      <c r="M2495" s="722">
        <f>F2495*4983/2880</f>
        <v>0</v>
      </c>
      <c r="N2495" s="722"/>
      <c r="O2495" s="722"/>
      <c r="P2495" s="722"/>
      <c r="Q2495" s="722" t="s">
        <v>18</v>
      </c>
      <c r="R2495" s="722"/>
      <c r="S2495" s="722" t="s">
        <v>19</v>
      </c>
      <c r="T2495" s="730">
        <v>8</v>
      </c>
      <c r="U2495" s="585">
        <f t="shared" si="940"/>
        <v>0</v>
      </c>
      <c r="V2495" s="724"/>
      <c r="W2495" s="720"/>
      <c r="X2495" s="725"/>
      <c r="Y2495" s="736"/>
      <c r="Z2495" s="727">
        <f>E2495</f>
        <v>0</v>
      </c>
      <c r="AA2495" s="316">
        <f t="shared" si="941"/>
        <v>0.25</v>
      </c>
    </row>
    <row r="2496" spans="1:27" s="728" customFormat="1" ht="51.75" outlineLevel="1" thickBot="1" x14ac:dyDescent="0.45">
      <c r="A2496" s="636" t="s">
        <v>775</v>
      </c>
      <c r="B2496" s="634" t="s">
        <v>1067</v>
      </c>
      <c r="C2496" s="729"/>
      <c r="D2496" s="720"/>
      <c r="E2496" s="721">
        <f t="shared" si="938"/>
        <v>0</v>
      </c>
      <c r="F2496" s="722">
        <f t="shared" si="939"/>
        <v>0</v>
      </c>
      <c r="G2496" s="720">
        <f>INT(M2496)</f>
        <v>0</v>
      </c>
      <c r="H2496" s="722" t="s">
        <v>18</v>
      </c>
      <c r="I2496" s="720">
        <f>(M2496-G2496)*64</f>
        <v>0</v>
      </c>
      <c r="J2496" s="722" t="s">
        <v>19</v>
      </c>
      <c r="K2496" s="722"/>
      <c r="L2496" s="722"/>
      <c r="M2496" s="722">
        <f>F2496*4983/2880</f>
        <v>0</v>
      </c>
      <c r="N2496" s="722"/>
      <c r="O2496" s="722"/>
      <c r="P2496" s="722"/>
      <c r="Q2496" s="722" t="s">
        <v>18</v>
      </c>
      <c r="R2496" s="722"/>
      <c r="S2496" s="722" t="s">
        <v>19</v>
      </c>
      <c r="T2496" s="730">
        <v>8</v>
      </c>
      <c r="U2496" s="585">
        <f t="shared" si="940"/>
        <v>0</v>
      </c>
      <c r="V2496" s="724"/>
      <c r="W2496" s="720"/>
      <c r="X2496" s="725"/>
      <c r="Y2496" s="736"/>
      <c r="Z2496" s="727">
        <f>E2496</f>
        <v>0</v>
      </c>
      <c r="AA2496" s="316">
        <f t="shared" si="941"/>
        <v>0.25</v>
      </c>
    </row>
    <row r="2497" spans="1:27" s="728" customFormat="1" ht="51.75" outlineLevel="1" thickBot="1" x14ac:dyDescent="0.45">
      <c r="A2497" s="636" t="s">
        <v>775</v>
      </c>
      <c r="B2497" s="634" t="s">
        <v>1081</v>
      </c>
      <c r="C2497" s="729"/>
      <c r="D2497" s="720"/>
      <c r="E2497" s="721">
        <f t="shared" si="938"/>
        <v>0</v>
      </c>
      <c r="F2497" s="722">
        <f t="shared" si="939"/>
        <v>0</v>
      </c>
      <c r="G2497" s="720">
        <f>INT(M2497)</f>
        <v>0</v>
      </c>
      <c r="H2497" s="722" t="s">
        <v>18</v>
      </c>
      <c r="I2497" s="720">
        <f>(M2497-G2497)*64</f>
        <v>0</v>
      </c>
      <c r="J2497" s="722" t="s">
        <v>19</v>
      </c>
      <c r="K2497" s="722"/>
      <c r="L2497" s="722"/>
      <c r="M2497" s="722">
        <f>F2497*4983/2880</f>
        <v>0</v>
      </c>
      <c r="N2497" s="722"/>
      <c r="O2497" s="722"/>
      <c r="P2497" s="722"/>
      <c r="Q2497" s="722" t="s">
        <v>18</v>
      </c>
      <c r="R2497" s="722"/>
      <c r="S2497" s="722" t="s">
        <v>19</v>
      </c>
      <c r="T2497" s="730">
        <v>8</v>
      </c>
      <c r="U2497" s="585">
        <f t="shared" si="940"/>
        <v>0</v>
      </c>
      <c r="V2497" s="724"/>
      <c r="W2497" s="720"/>
      <c r="X2497" s="725"/>
      <c r="Y2497" s="736"/>
      <c r="Z2497" s="727">
        <f>E2497</f>
        <v>0</v>
      </c>
      <c r="AA2497" s="316">
        <f t="shared" si="941"/>
        <v>0.25</v>
      </c>
    </row>
    <row r="2498" spans="1:27" s="740" customFormat="1" ht="53.25" outlineLevel="1" thickBot="1" x14ac:dyDescent="0.45">
      <c r="A2498" s="636" t="s">
        <v>775</v>
      </c>
      <c r="B2498" s="731" t="s">
        <v>839</v>
      </c>
      <c r="C2498" s="732"/>
      <c r="D2498" s="733"/>
      <c r="E2498" s="734">
        <f>C2498*4.5</f>
        <v>0</v>
      </c>
      <c r="F2498" s="722">
        <f>E2498*0.9*1.01/147</f>
        <v>0</v>
      </c>
      <c r="G2498" s="720">
        <f t="shared" si="935"/>
        <v>0</v>
      </c>
      <c r="H2498" s="722" t="s">
        <v>18</v>
      </c>
      <c r="I2498" s="720">
        <f t="shared" si="936"/>
        <v>0</v>
      </c>
      <c r="J2498" s="722" t="s">
        <v>19</v>
      </c>
      <c r="K2498" s="722"/>
      <c r="L2498" s="722"/>
      <c r="M2498" s="722">
        <f>(F2498*6533/3456)</f>
        <v>0</v>
      </c>
      <c r="N2498" s="735"/>
      <c r="O2498" s="735"/>
      <c r="P2498" s="735"/>
      <c r="Q2498" s="735" t="s">
        <v>18</v>
      </c>
      <c r="R2498" s="735"/>
      <c r="S2498" s="735" t="s">
        <v>19</v>
      </c>
      <c r="T2498" s="720">
        <v>8</v>
      </c>
      <c r="U2498" s="555">
        <f>E2498/324*60</f>
        <v>0</v>
      </c>
      <c r="V2498" s="738"/>
      <c r="W2498" s="732"/>
      <c r="X2498" s="735"/>
      <c r="Y2498" s="739"/>
      <c r="Z2498" s="727">
        <f t="shared" si="933"/>
        <v>0</v>
      </c>
      <c r="AA2498" s="316">
        <f>SUM(Z2498/370+0.25)</f>
        <v>0.25</v>
      </c>
    </row>
    <row r="2499" spans="1:27" s="740" customFormat="1" ht="53.25" outlineLevel="1" thickBot="1" x14ac:dyDescent="0.45">
      <c r="A2499" s="636" t="s">
        <v>775</v>
      </c>
      <c r="B2499" s="731" t="s">
        <v>867</v>
      </c>
      <c r="C2499" s="732"/>
      <c r="D2499" s="733"/>
      <c r="E2499" s="734">
        <f>C2499*3.5</f>
        <v>0</v>
      </c>
      <c r="F2499" s="722">
        <f>E2499*0.9*1.01/147</f>
        <v>0</v>
      </c>
      <c r="G2499" s="732">
        <f t="shared" si="935"/>
        <v>0</v>
      </c>
      <c r="H2499" s="735" t="s">
        <v>18</v>
      </c>
      <c r="I2499" s="732">
        <f t="shared" si="936"/>
        <v>0</v>
      </c>
      <c r="J2499" s="735" t="s">
        <v>19</v>
      </c>
      <c r="K2499" s="735"/>
      <c r="L2499" s="735"/>
      <c r="M2499" s="722">
        <f>(F2499*6533/3456)</f>
        <v>0</v>
      </c>
      <c r="N2499" s="735"/>
      <c r="O2499" s="735"/>
      <c r="P2499" s="735"/>
      <c r="Q2499" s="735" t="s">
        <v>18</v>
      </c>
      <c r="R2499" s="735"/>
      <c r="S2499" s="735" t="s">
        <v>19</v>
      </c>
      <c r="T2499" s="720">
        <v>8</v>
      </c>
      <c r="U2499" s="555">
        <f>E2499/324*60</f>
        <v>0</v>
      </c>
      <c r="V2499" s="738"/>
      <c r="W2499" s="732"/>
      <c r="X2499" s="735"/>
      <c r="Y2499" s="739"/>
      <c r="Z2499" s="727">
        <f t="shared" si="933"/>
        <v>0</v>
      </c>
      <c r="AA2499" s="316">
        <f>SUM(Z2499/370+0.25)</f>
        <v>0.25</v>
      </c>
    </row>
    <row r="2500" spans="1:27" s="740" customFormat="1" ht="53.25" outlineLevel="1" thickBot="1" x14ac:dyDescent="0.45">
      <c r="A2500" s="636" t="s">
        <v>775</v>
      </c>
      <c r="B2500" s="731" t="s">
        <v>864</v>
      </c>
      <c r="C2500" s="732"/>
      <c r="D2500" s="733"/>
      <c r="E2500" s="734">
        <f>C2500*2.5</f>
        <v>0</v>
      </c>
      <c r="F2500" s="722">
        <f>E2500*0.9*1.01/147</f>
        <v>0</v>
      </c>
      <c r="G2500" s="732">
        <f t="shared" si="935"/>
        <v>0</v>
      </c>
      <c r="H2500" s="735" t="s">
        <v>18</v>
      </c>
      <c r="I2500" s="732">
        <f t="shared" si="936"/>
        <v>0</v>
      </c>
      <c r="J2500" s="735" t="s">
        <v>19</v>
      </c>
      <c r="K2500" s="735"/>
      <c r="L2500" s="735"/>
      <c r="M2500" s="722">
        <f>(F2500*6533/3456)</f>
        <v>0</v>
      </c>
      <c r="N2500" s="735"/>
      <c r="O2500" s="735"/>
      <c r="P2500" s="735"/>
      <c r="Q2500" s="735" t="s">
        <v>18</v>
      </c>
      <c r="R2500" s="735"/>
      <c r="S2500" s="735" t="s">
        <v>19</v>
      </c>
      <c r="T2500" s="720">
        <v>8</v>
      </c>
      <c r="U2500" s="555">
        <f>E2500/324*60</f>
        <v>0</v>
      </c>
      <c r="V2500" s="738"/>
      <c r="W2500" s="732"/>
      <c r="X2500" s="735"/>
      <c r="Y2500" s="739"/>
      <c r="Z2500" s="727">
        <f t="shared" si="933"/>
        <v>0</v>
      </c>
      <c r="AA2500" s="316">
        <f>SUM(Z2500/370+0.25)</f>
        <v>0.25</v>
      </c>
    </row>
    <row r="2501" spans="1:27" s="728" customFormat="1" ht="51.75" outlineLevel="1" thickBot="1" x14ac:dyDescent="0.45">
      <c r="A2501" s="636" t="s">
        <v>775</v>
      </c>
      <c r="B2501" s="634" t="s">
        <v>872</v>
      </c>
      <c r="C2501" s="729"/>
      <c r="D2501" s="720"/>
      <c r="E2501" s="721">
        <f>C2501*2.4</f>
        <v>0</v>
      </c>
      <c r="F2501" s="722">
        <f>E2501*1.02*0.99/147</f>
        <v>0</v>
      </c>
      <c r="G2501" s="720">
        <f t="shared" si="935"/>
        <v>0</v>
      </c>
      <c r="H2501" s="722" t="s">
        <v>18</v>
      </c>
      <c r="I2501" s="720">
        <f t="shared" si="936"/>
        <v>0</v>
      </c>
      <c r="J2501" s="722" t="s">
        <v>19</v>
      </c>
      <c r="K2501" s="722"/>
      <c r="L2501" s="722"/>
      <c r="M2501" s="722">
        <f>F2501*4983/2880</f>
        <v>0</v>
      </c>
      <c r="N2501" s="722"/>
      <c r="O2501" s="722"/>
      <c r="P2501" s="722"/>
      <c r="Q2501" s="722" t="s">
        <v>18</v>
      </c>
      <c r="R2501" s="722"/>
      <c r="S2501" s="722" t="s">
        <v>19</v>
      </c>
      <c r="T2501" s="730">
        <v>8</v>
      </c>
      <c r="U2501" s="585">
        <f>E2501/420*60</f>
        <v>0</v>
      </c>
      <c r="V2501" s="724"/>
      <c r="W2501" s="720"/>
      <c r="X2501" s="725"/>
      <c r="Y2501" s="736"/>
      <c r="Z2501" s="727">
        <f t="shared" si="933"/>
        <v>0</v>
      </c>
      <c r="AA2501" s="316">
        <f>SUM(Z2501/330+0.25)</f>
        <v>0.25</v>
      </c>
    </row>
    <row r="2502" spans="1:27" s="740" customFormat="1" ht="53.25" outlineLevel="1" thickBot="1" x14ac:dyDescent="0.45">
      <c r="A2502" s="636" t="s">
        <v>775</v>
      </c>
      <c r="B2502" s="731" t="s">
        <v>841</v>
      </c>
      <c r="C2502" s="732"/>
      <c r="D2502" s="733"/>
      <c r="E2502" s="734">
        <f>C2502*4.5</f>
        <v>0</v>
      </c>
      <c r="F2502" s="722">
        <f>E2502*0.9*1.01/147</f>
        <v>0</v>
      </c>
      <c r="G2502" s="720">
        <f t="shared" si="935"/>
        <v>0</v>
      </c>
      <c r="H2502" s="722" t="s">
        <v>18</v>
      </c>
      <c r="I2502" s="720">
        <f t="shared" si="936"/>
        <v>0</v>
      </c>
      <c r="J2502" s="722" t="s">
        <v>19</v>
      </c>
      <c r="K2502" s="722"/>
      <c r="L2502" s="722"/>
      <c r="M2502" s="722">
        <f>(F2502*6533/3456)</f>
        <v>0</v>
      </c>
      <c r="N2502" s="735"/>
      <c r="O2502" s="735"/>
      <c r="P2502" s="735"/>
      <c r="Q2502" s="735" t="s">
        <v>18</v>
      </c>
      <c r="R2502" s="735"/>
      <c r="S2502" s="735" t="s">
        <v>19</v>
      </c>
      <c r="T2502" s="720">
        <v>8</v>
      </c>
      <c r="U2502" s="555">
        <f>E2502/324*60</f>
        <v>0</v>
      </c>
      <c r="V2502" s="738"/>
      <c r="W2502" s="732"/>
      <c r="X2502" s="735"/>
      <c r="Y2502" s="739"/>
      <c r="Z2502" s="727">
        <f t="shared" si="933"/>
        <v>0</v>
      </c>
      <c r="AA2502" s="316">
        <f>SUM(Z2502/370+0.25)</f>
        <v>0.25</v>
      </c>
    </row>
    <row r="2503" spans="1:27" s="740" customFormat="1" ht="53.25" outlineLevel="1" thickBot="1" x14ac:dyDescent="0.45">
      <c r="A2503" s="636" t="s">
        <v>775</v>
      </c>
      <c r="B2503" s="731" t="s">
        <v>903</v>
      </c>
      <c r="C2503" s="732"/>
      <c r="D2503" s="733"/>
      <c r="E2503" s="734">
        <f>C2503*4.5</f>
        <v>0</v>
      </c>
      <c r="F2503" s="722">
        <f>E2503*0.9*1.01/147</f>
        <v>0</v>
      </c>
      <c r="G2503" s="720">
        <f t="shared" si="935"/>
        <v>0</v>
      </c>
      <c r="H2503" s="722" t="s">
        <v>18</v>
      </c>
      <c r="I2503" s="720">
        <f t="shared" si="936"/>
        <v>0</v>
      </c>
      <c r="J2503" s="722" t="s">
        <v>19</v>
      </c>
      <c r="K2503" s="722"/>
      <c r="L2503" s="722"/>
      <c r="M2503" s="722">
        <f>(F2503*6533/3456)</f>
        <v>0</v>
      </c>
      <c r="N2503" s="735"/>
      <c r="O2503" s="735"/>
      <c r="P2503" s="735"/>
      <c r="Q2503" s="735" t="s">
        <v>18</v>
      </c>
      <c r="R2503" s="735"/>
      <c r="S2503" s="735" t="s">
        <v>19</v>
      </c>
      <c r="T2503" s="720">
        <v>8</v>
      </c>
      <c r="U2503" s="555">
        <f>E2503/324*60</f>
        <v>0</v>
      </c>
      <c r="V2503" s="738"/>
      <c r="W2503" s="732"/>
      <c r="X2503" s="735"/>
      <c r="Y2503" s="739"/>
      <c r="Z2503" s="727">
        <f t="shared" si="933"/>
        <v>0</v>
      </c>
      <c r="AA2503" s="316">
        <f>SUM(Z2503/360+0.25)</f>
        <v>0.25</v>
      </c>
    </row>
    <row r="2504" spans="1:27" s="740" customFormat="1" ht="53.25" outlineLevel="1" thickBot="1" x14ac:dyDescent="0.45">
      <c r="A2504" s="636" t="s">
        <v>775</v>
      </c>
      <c r="B2504" s="731" t="s">
        <v>914</v>
      </c>
      <c r="C2504" s="732"/>
      <c r="D2504" s="733"/>
      <c r="E2504" s="734">
        <f>C2504*4.5</f>
        <v>0</v>
      </c>
      <c r="F2504" s="722">
        <f>E2504*0.9*1.01/147</f>
        <v>0</v>
      </c>
      <c r="G2504" s="720">
        <f t="shared" si="935"/>
        <v>0</v>
      </c>
      <c r="H2504" s="722" t="s">
        <v>18</v>
      </c>
      <c r="I2504" s="720">
        <f t="shared" si="936"/>
        <v>0</v>
      </c>
      <c r="J2504" s="722" t="s">
        <v>19</v>
      </c>
      <c r="K2504" s="722"/>
      <c r="L2504" s="722"/>
      <c r="M2504" s="722">
        <f>(F2504*6533/3456)</f>
        <v>0</v>
      </c>
      <c r="N2504" s="735"/>
      <c r="O2504" s="735"/>
      <c r="P2504" s="735"/>
      <c r="Q2504" s="735" t="s">
        <v>18</v>
      </c>
      <c r="R2504" s="735"/>
      <c r="S2504" s="735" t="s">
        <v>19</v>
      </c>
      <c r="T2504" s="720">
        <v>8</v>
      </c>
      <c r="U2504" s="555">
        <f>E2504/324*60</f>
        <v>0</v>
      </c>
      <c r="V2504" s="738"/>
      <c r="W2504" s="732"/>
      <c r="X2504" s="735"/>
      <c r="Y2504" s="739"/>
      <c r="Z2504" s="727">
        <f t="shared" si="933"/>
        <v>0</v>
      </c>
      <c r="AA2504" s="316">
        <f>SUM(Z2504/360+0.25)</f>
        <v>0.25</v>
      </c>
    </row>
    <row r="2505" spans="1:27" s="740" customFormat="1" ht="53.25" outlineLevel="1" thickBot="1" x14ac:dyDescent="0.45">
      <c r="A2505" s="636" t="s">
        <v>775</v>
      </c>
      <c r="B2505" s="731" t="s">
        <v>853</v>
      </c>
      <c r="C2505" s="732"/>
      <c r="D2505" s="733"/>
      <c r="E2505" s="734">
        <f>C2505*3.5</f>
        <v>0</v>
      </c>
      <c r="F2505" s="722">
        <f>E2505*0.9*1.01/147</f>
        <v>0</v>
      </c>
      <c r="G2505" s="720">
        <f>INT(M2505)</f>
        <v>0</v>
      </c>
      <c r="H2505" s="722" t="s">
        <v>18</v>
      </c>
      <c r="I2505" s="720">
        <f>(M2505-G2505)*64</f>
        <v>0</v>
      </c>
      <c r="J2505" s="722" t="s">
        <v>19</v>
      </c>
      <c r="K2505" s="722"/>
      <c r="L2505" s="722"/>
      <c r="M2505" s="722">
        <f>(F2505*6533/3456)</f>
        <v>0</v>
      </c>
      <c r="N2505" s="735"/>
      <c r="O2505" s="735"/>
      <c r="P2505" s="735"/>
      <c r="Q2505" s="735" t="s">
        <v>18</v>
      </c>
      <c r="R2505" s="735"/>
      <c r="S2505" s="735" t="s">
        <v>19</v>
      </c>
      <c r="T2505" s="720">
        <v>8</v>
      </c>
      <c r="U2505" s="555">
        <f>E2505/324*60</f>
        <v>0</v>
      </c>
      <c r="V2505" s="738"/>
      <c r="W2505" s="732"/>
      <c r="X2505" s="735"/>
      <c r="Y2505" s="739"/>
      <c r="Z2505" s="727">
        <f t="shared" si="933"/>
        <v>0</v>
      </c>
      <c r="AA2505" s="316">
        <f>SUM(Z2505/370+0.25)</f>
        <v>0.25</v>
      </c>
    </row>
    <row r="2506" spans="1:27" s="728" customFormat="1" outlineLevel="1" thickBot="1" x14ac:dyDescent="0.45">
      <c r="A2506" s="636" t="s">
        <v>775</v>
      </c>
      <c r="B2506" s="634" t="s">
        <v>817</v>
      </c>
      <c r="C2506" s="729"/>
      <c r="D2506" s="720"/>
      <c r="E2506" s="721">
        <f>C2506*4</f>
        <v>0</v>
      </c>
      <c r="F2506" s="722">
        <f>E2506*1.02*0.99/147</f>
        <v>0</v>
      </c>
      <c r="G2506" s="720">
        <f>INT(M2506)</f>
        <v>0</v>
      </c>
      <c r="H2506" s="722" t="s">
        <v>18</v>
      </c>
      <c r="I2506" s="720">
        <f>(M2506-G2506)*64</f>
        <v>0</v>
      </c>
      <c r="J2506" s="722" t="s">
        <v>19</v>
      </c>
      <c r="K2506" s="722"/>
      <c r="L2506" s="722"/>
      <c r="M2506" s="722">
        <f>F2506*4983/2880</f>
        <v>0</v>
      </c>
      <c r="N2506" s="722"/>
      <c r="O2506" s="722"/>
      <c r="P2506" s="722"/>
      <c r="Q2506" s="722" t="s">
        <v>18</v>
      </c>
      <c r="R2506" s="722"/>
      <c r="S2506" s="722" t="s">
        <v>19</v>
      </c>
      <c r="T2506" s="730">
        <v>8</v>
      </c>
      <c r="U2506" s="585">
        <f>E2506/259*60</f>
        <v>0</v>
      </c>
      <c r="V2506" s="724"/>
      <c r="W2506" s="720"/>
      <c r="X2506" s="725"/>
      <c r="Y2506" s="736"/>
      <c r="Z2506" s="727">
        <f t="shared" si="933"/>
        <v>0</v>
      </c>
      <c r="AA2506" s="316">
        <f>SUM(Z2506/330+0.25)</f>
        <v>0.25</v>
      </c>
    </row>
    <row r="2507" spans="1:27" s="728" customFormat="1" ht="102.75" outlineLevel="1" thickBot="1" x14ac:dyDescent="0.45">
      <c r="A2507" s="636" t="s">
        <v>775</v>
      </c>
      <c r="B2507" s="634" t="s">
        <v>918</v>
      </c>
      <c r="C2507" s="729"/>
      <c r="D2507" s="720"/>
      <c r="E2507" s="721">
        <f>C2507*4</f>
        <v>0</v>
      </c>
      <c r="F2507" s="722">
        <f>E2507*1.02*0.99/147</f>
        <v>0</v>
      </c>
      <c r="G2507" s="720">
        <f>INT(M2507)</f>
        <v>0</v>
      </c>
      <c r="H2507" s="722" t="s">
        <v>18</v>
      </c>
      <c r="I2507" s="720">
        <f>(M2507-G2507)*64</f>
        <v>0</v>
      </c>
      <c r="J2507" s="722" t="s">
        <v>19</v>
      </c>
      <c r="K2507" s="722"/>
      <c r="L2507" s="722"/>
      <c r="M2507" s="722">
        <f>F2507*4983/2880</f>
        <v>0</v>
      </c>
      <c r="N2507" s="722"/>
      <c r="O2507" s="722"/>
      <c r="P2507" s="722"/>
      <c r="Q2507" s="722" t="s">
        <v>18</v>
      </c>
      <c r="R2507" s="722"/>
      <c r="S2507" s="722" t="s">
        <v>19</v>
      </c>
      <c r="T2507" s="730">
        <v>8</v>
      </c>
      <c r="U2507" s="585">
        <f>E2507/259*60</f>
        <v>0</v>
      </c>
      <c r="V2507" s="724"/>
      <c r="W2507" s="720"/>
      <c r="X2507" s="725"/>
      <c r="Y2507" s="736"/>
      <c r="Z2507" s="727">
        <f t="shared" si="933"/>
        <v>0</v>
      </c>
      <c r="AA2507" s="316">
        <f>SUM(E2507/330+0.25)</f>
        <v>0.25</v>
      </c>
    </row>
    <row r="2508" spans="1:27" s="728" customFormat="1" outlineLevel="1" thickBot="1" x14ac:dyDescent="0.45">
      <c r="A2508" s="834"/>
      <c r="B2508" s="754" t="s">
        <v>286</v>
      </c>
      <c r="C2508" s="755"/>
      <c r="D2508" s="755"/>
      <c r="E2508" s="756"/>
      <c r="F2508" s="757"/>
      <c r="G2508" s="755"/>
      <c r="H2508" s="757"/>
      <c r="I2508" s="755"/>
      <c r="J2508" s="757"/>
      <c r="K2508" s="757"/>
      <c r="L2508" s="757"/>
      <c r="M2508" s="757"/>
      <c r="N2508" s="757"/>
      <c r="O2508" s="757"/>
      <c r="P2508" s="757"/>
      <c r="Q2508" s="757"/>
      <c r="R2508" s="757"/>
      <c r="S2508" s="757"/>
      <c r="T2508" s="758"/>
      <c r="U2508" s="757"/>
      <c r="V2508" s="759"/>
      <c r="W2508" s="757"/>
      <c r="X2508" s="760"/>
      <c r="Y2508" s="761"/>
      <c r="Z2508" s="727"/>
      <c r="AA2508" s="316"/>
    </row>
    <row r="2509" spans="1:27" s="728" customFormat="1" ht="53.25" outlineLevel="1" thickBot="1" x14ac:dyDescent="0.45">
      <c r="A2509" s="636" t="s">
        <v>775</v>
      </c>
      <c r="B2509" s="636" t="s">
        <v>999</v>
      </c>
      <c r="C2509" s="729"/>
      <c r="D2509" s="741">
        <f>C2509*16</f>
        <v>0</v>
      </c>
      <c r="E2509" s="721">
        <f t="shared" ref="E2509:E2514" si="942">D2509*0.25</f>
        <v>0</v>
      </c>
      <c r="F2509" s="722">
        <f>E2509*0.99*1.03/147</f>
        <v>0</v>
      </c>
      <c r="G2509" s="720">
        <f t="shared" ref="G2509:G2522" si="943">INT(M2509)</f>
        <v>0</v>
      </c>
      <c r="H2509" s="722" t="s">
        <v>18</v>
      </c>
      <c r="I2509" s="720">
        <f t="shared" ref="I2509:I2522" si="944">(M2509-G2509)*64</f>
        <v>0</v>
      </c>
      <c r="J2509" s="722" t="s">
        <v>19</v>
      </c>
      <c r="K2509" s="722"/>
      <c r="L2509" s="722"/>
      <c r="M2509" s="722">
        <f t="shared" ref="M2509:M2514" si="945">(F2509*6989)/2880</f>
        <v>0</v>
      </c>
      <c r="N2509" s="722"/>
      <c r="O2509" s="722"/>
      <c r="P2509" s="722"/>
      <c r="Q2509" s="722" t="s">
        <v>18</v>
      </c>
      <c r="R2509" s="722"/>
      <c r="S2509" s="722" t="s">
        <v>19</v>
      </c>
      <c r="T2509" s="730">
        <v>8</v>
      </c>
      <c r="U2509" s="515"/>
      <c r="V2509" s="724"/>
      <c r="W2509" s="720"/>
      <c r="X2509" s="725"/>
      <c r="Y2509" s="736"/>
      <c r="Z2509" s="727">
        <f>E2509</f>
        <v>0</v>
      </c>
      <c r="AA2509" s="316">
        <f t="shared" ref="AA2509:AA2514" si="946">SUM(Z2509/240+0.25)</f>
        <v>0.25</v>
      </c>
    </row>
    <row r="2510" spans="1:27" s="728" customFormat="1" ht="53.25" outlineLevel="1" thickBot="1" x14ac:dyDescent="0.45">
      <c r="A2510" s="636" t="s">
        <v>775</v>
      </c>
      <c r="B2510" s="742" t="s">
        <v>1002</v>
      </c>
      <c r="C2510" s="729"/>
      <c r="D2510" s="741">
        <f>C2510*16</f>
        <v>0</v>
      </c>
      <c r="E2510" s="721">
        <f t="shared" si="942"/>
        <v>0</v>
      </c>
      <c r="F2510" s="722">
        <f>E2510*0.99*1.03/147</f>
        <v>0</v>
      </c>
      <c r="G2510" s="720">
        <f t="shared" si="943"/>
        <v>0</v>
      </c>
      <c r="H2510" s="722" t="s">
        <v>18</v>
      </c>
      <c r="I2510" s="720">
        <f t="shared" si="944"/>
        <v>0</v>
      </c>
      <c r="J2510" s="722" t="s">
        <v>19</v>
      </c>
      <c r="K2510" s="722"/>
      <c r="L2510" s="722"/>
      <c r="M2510" s="722">
        <f t="shared" si="945"/>
        <v>0</v>
      </c>
      <c r="N2510" s="722"/>
      <c r="O2510" s="722"/>
      <c r="P2510" s="722"/>
      <c r="Q2510" s="722" t="s">
        <v>18</v>
      </c>
      <c r="R2510" s="722"/>
      <c r="S2510" s="722" t="s">
        <v>19</v>
      </c>
      <c r="T2510" s="730">
        <v>8</v>
      </c>
      <c r="U2510" s="515"/>
      <c r="V2510" s="724"/>
      <c r="W2510" s="720"/>
      <c r="X2510" s="725"/>
      <c r="Y2510" s="736"/>
      <c r="Z2510" s="727">
        <f t="shared" ref="Z2510:Z2561" si="947">E2510</f>
        <v>0</v>
      </c>
      <c r="AA2510" s="316">
        <f t="shared" si="946"/>
        <v>0.25</v>
      </c>
    </row>
    <row r="2511" spans="1:27" s="728" customFormat="1" ht="51.75" outlineLevel="1" thickBot="1" x14ac:dyDescent="0.45">
      <c r="A2511" s="636" t="s">
        <v>775</v>
      </c>
      <c r="B2511" s="634" t="s">
        <v>1000</v>
      </c>
      <c r="C2511" s="729"/>
      <c r="D2511" s="741">
        <f>C2511*16</f>
        <v>0</v>
      </c>
      <c r="E2511" s="721">
        <f t="shared" si="942"/>
        <v>0</v>
      </c>
      <c r="F2511" s="722">
        <f>E2511*0.99*1.03/147</f>
        <v>0</v>
      </c>
      <c r="G2511" s="720">
        <f t="shared" si="943"/>
        <v>0</v>
      </c>
      <c r="H2511" s="722" t="s">
        <v>18</v>
      </c>
      <c r="I2511" s="720">
        <f t="shared" si="944"/>
        <v>0</v>
      </c>
      <c r="J2511" s="722" t="s">
        <v>19</v>
      </c>
      <c r="K2511" s="722"/>
      <c r="L2511" s="722"/>
      <c r="M2511" s="722">
        <f t="shared" si="945"/>
        <v>0</v>
      </c>
      <c r="N2511" s="722"/>
      <c r="O2511" s="722"/>
      <c r="P2511" s="722"/>
      <c r="Q2511" s="722" t="s">
        <v>18</v>
      </c>
      <c r="R2511" s="722"/>
      <c r="S2511" s="722" t="s">
        <v>19</v>
      </c>
      <c r="T2511" s="730">
        <v>8</v>
      </c>
      <c r="U2511" s="585"/>
      <c r="V2511" s="724"/>
      <c r="W2511" s="720"/>
      <c r="X2511" s="725"/>
      <c r="Y2511" s="749"/>
      <c r="Z2511" s="727">
        <f t="shared" si="947"/>
        <v>0</v>
      </c>
      <c r="AA2511" s="316">
        <f t="shared" si="946"/>
        <v>0.25</v>
      </c>
    </row>
    <row r="2512" spans="1:27" s="728" customFormat="1" ht="77.25" outlineLevel="1" thickBot="1" x14ac:dyDescent="0.45">
      <c r="A2512" s="636" t="s">
        <v>775</v>
      </c>
      <c r="B2512" s="634" t="s">
        <v>1017</v>
      </c>
      <c r="C2512" s="720"/>
      <c r="D2512" s="743">
        <f>C2512*12</f>
        <v>0</v>
      </c>
      <c r="E2512" s="744">
        <f t="shared" si="942"/>
        <v>0</v>
      </c>
      <c r="F2512" s="745">
        <f>E2512*0.9*1.01/147</f>
        <v>0</v>
      </c>
      <c r="G2512" s="746">
        <f t="shared" si="943"/>
        <v>0</v>
      </c>
      <c r="H2512" s="735" t="s">
        <v>18</v>
      </c>
      <c r="I2512" s="732">
        <f t="shared" si="944"/>
        <v>0</v>
      </c>
      <c r="J2512" s="735" t="s">
        <v>19</v>
      </c>
      <c r="K2512" s="735"/>
      <c r="L2512" s="735"/>
      <c r="M2512" s="735">
        <f>(F2512*7777/3456)</f>
        <v>0</v>
      </c>
      <c r="N2512" s="735"/>
      <c r="O2512" s="735"/>
      <c r="P2512" s="735"/>
      <c r="Q2512" s="722" t="s">
        <v>18</v>
      </c>
      <c r="R2512" s="722"/>
      <c r="S2512" s="722" t="s">
        <v>19</v>
      </c>
      <c r="T2512" s="720">
        <v>10</v>
      </c>
      <c r="U2512" s="324">
        <f>E2512/390*60</f>
        <v>0</v>
      </c>
      <c r="V2512" s="724"/>
      <c r="W2512" s="720"/>
      <c r="X2512" s="725"/>
      <c r="Y2512" s="750"/>
      <c r="Z2512" s="727">
        <f>E2512</f>
        <v>0</v>
      </c>
      <c r="AA2512" s="316">
        <f>SUM(Z2512/288+0.25)</f>
        <v>0.25</v>
      </c>
    </row>
    <row r="2513" spans="1:28" s="728" customFormat="1" ht="77.25" outlineLevel="1" thickBot="1" x14ac:dyDescent="0.45">
      <c r="A2513" s="636" t="s">
        <v>775</v>
      </c>
      <c r="B2513" s="635" t="s">
        <v>634</v>
      </c>
      <c r="C2513" s="729"/>
      <c r="D2513" s="741">
        <f>C2513*14</f>
        <v>0</v>
      </c>
      <c r="E2513" s="721">
        <f t="shared" si="942"/>
        <v>0</v>
      </c>
      <c r="F2513" s="722">
        <f t="shared" ref="F2513:F2522" si="948">E2513*0.99*1.03/147</f>
        <v>0</v>
      </c>
      <c r="G2513" s="720">
        <f t="shared" si="943"/>
        <v>0</v>
      </c>
      <c r="H2513" s="722" t="s">
        <v>18</v>
      </c>
      <c r="I2513" s="720">
        <f t="shared" si="944"/>
        <v>0</v>
      </c>
      <c r="J2513" s="722" t="s">
        <v>19</v>
      </c>
      <c r="K2513" s="722"/>
      <c r="L2513" s="722"/>
      <c r="M2513" s="722">
        <f t="shared" si="945"/>
        <v>0</v>
      </c>
      <c r="N2513" s="722"/>
      <c r="O2513" s="722"/>
      <c r="P2513" s="722"/>
      <c r="Q2513" s="722" t="s">
        <v>18</v>
      </c>
      <c r="R2513" s="722"/>
      <c r="S2513" s="722" t="s">
        <v>19</v>
      </c>
      <c r="T2513" s="730">
        <v>8</v>
      </c>
      <c r="U2513" s="585">
        <f>E2513/390*60</f>
        <v>0</v>
      </c>
      <c r="V2513" s="724"/>
      <c r="W2513" s="720"/>
      <c r="X2513" s="725"/>
      <c r="Y2513" s="751"/>
      <c r="Z2513" s="727">
        <f t="shared" si="947"/>
        <v>0</v>
      </c>
      <c r="AA2513" s="316">
        <f t="shared" si="946"/>
        <v>0.25</v>
      </c>
    </row>
    <row r="2514" spans="1:28" s="728" customFormat="1" ht="51.75" outlineLevel="1" thickBot="1" x14ac:dyDescent="0.45">
      <c r="A2514" s="636" t="s">
        <v>775</v>
      </c>
      <c r="B2514" s="634" t="s">
        <v>636</v>
      </c>
      <c r="C2514" s="729"/>
      <c r="D2514" s="741">
        <f>C2514*14</f>
        <v>0</v>
      </c>
      <c r="E2514" s="721">
        <f t="shared" si="942"/>
        <v>0</v>
      </c>
      <c r="F2514" s="722">
        <f t="shared" si="948"/>
        <v>0</v>
      </c>
      <c r="G2514" s="720">
        <f t="shared" si="943"/>
        <v>0</v>
      </c>
      <c r="H2514" s="722" t="s">
        <v>18</v>
      </c>
      <c r="I2514" s="720">
        <f t="shared" si="944"/>
        <v>0</v>
      </c>
      <c r="J2514" s="722" t="s">
        <v>19</v>
      </c>
      <c r="K2514" s="722"/>
      <c r="L2514" s="722"/>
      <c r="M2514" s="722">
        <f t="shared" si="945"/>
        <v>0</v>
      </c>
      <c r="N2514" s="722"/>
      <c r="O2514" s="722"/>
      <c r="P2514" s="722"/>
      <c r="Q2514" s="722" t="s">
        <v>18</v>
      </c>
      <c r="R2514" s="722"/>
      <c r="S2514" s="722" t="s">
        <v>19</v>
      </c>
      <c r="T2514" s="730">
        <v>8</v>
      </c>
      <c r="U2514" s="585">
        <f>E2514/403*60</f>
        <v>0</v>
      </c>
      <c r="V2514" s="724"/>
      <c r="W2514" s="720"/>
      <c r="X2514" s="725"/>
      <c r="Y2514" s="736"/>
      <c r="Z2514" s="727">
        <f t="shared" si="947"/>
        <v>0</v>
      </c>
      <c r="AA2514" s="316">
        <f t="shared" si="946"/>
        <v>0.25</v>
      </c>
    </row>
    <row r="2515" spans="1:28" s="728" customFormat="1" ht="51.75" outlineLevel="1" thickBot="1" x14ac:dyDescent="0.45">
      <c r="A2515" s="636" t="s">
        <v>775</v>
      </c>
      <c r="B2515" s="634" t="s">
        <v>1037</v>
      </c>
      <c r="C2515" s="729"/>
      <c r="D2515" s="720">
        <f>C2515*16</f>
        <v>0</v>
      </c>
      <c r="E2515" s="721">
        <f>D2515*0.27</f>
        <v>0</v>
      </c>
      <c r="F2515" s="722">
        <f t="shared" si="948"/>
        <v>0</v>
      </c>
      <c r="G2515" s="720">
        <f t="shared" si="943"/>
        <v>0</v>
      </c>
      <c r="H2515" s="722" t="s">
        <v>18</v>
      </c>
      <c r="I2515" s="720">
        <f t="shared" si="944"/>
        <v>0</v>
      </c>
      <c r="J2515" s="722" t="s">
        <v>19</v>
      </c>
      <c r="K2515" s="722"/>
      <c r="L2515" s="722"/>
      <c r="M2515" s="722">
        <f>(F2515*6391)/2880</f>
        <v>0</v>
      </c>
      <c r="N2515" s="722"/>
      <c r="O2515" s="722"/>
      <c r="P2515" s="722"/>
      <c r="Q2515" s="722" t="s">
        <v>18</v>
      </c>
      <c r="R2515" s="722"/>
      <c r="S2515" s="722" t="s">
        <v>19</v>
      </c>
      <c r="T2515" s="730">
        <v>8</v>
      </c>
      <c r="U2515" s="585">
        <f>E2515/403*60</f>
        <v>0</v>
      </c>
      <c r="V2515" s="724"/>
      <c r="W2515" s="720"/>
      <c r="X2515" s="725"/>
      <c r="Y2515" s="736"/>
      <c r="Z2515" s="727">
        <f t="shared" si="947"/>
        <v>0</v>
      </c>
      <c r="AA2515" s="316">
        <f>SUM(Z2515/256+0.25)</f>
        <v>0.25</v>
      </c>
    </row>
    <row r="2516" spans="1:28" s="728" customFormat="1" ht="51.75" outlineLevel="1" thickBot="1" x14ac:dyDescent="0.45">
      <c r="A2516" s="636" t="s">
        <v>775</v>
      </c>
      <c r="B2516" s="672" t="s">
        <v>1038</v>
      </c>
      <c r="C2516" s="729"/>
      <c r="D2516" s="720">
        <f>C2516*16</f>
        <v>0</v>
      </c>
      <c r="E2516" s="721">
        <f>D2516*0.27</f>
        <v>0</v>
      </c>
      <c r="F2516" s="722">
        <f t="shared" si="948"/>
        <v>0</v>
      </c>
      <c r="G2516" s="720">
        <f t="shared" si="943"/>
        <v>0</v>
      </c>
      <c r="H2516" s="722" t="s">
        <v>18</v>
      </c>
      <c r="I2516" s="720">
        <f t="shared" si="944"/>
        <v>0</v>
      </c>
      <c r="J2516" s="722" t="s">
        <v>19</v>
      </c>
      <c r="K2516" s="722"/>
      <c r="L2516" s="722"/>
      <c r="M2516" s="722">
        <f>(F2516*6391)/2880</f>
        <v>0</v>
      </c>
      <c r="N2516" s="722"/>
      <c r="O2516" s="722"/>
      <c r="P2516" s="722"/>
      <c r="Q2516" s="722" t="s">
        <v>18</v>
      </c>
      <c r="R2516" s="722"/>
      <c r="S2516" s="722" t="s">
        <v>19</v>
      </c>
      <c r="T2516" s="730">
        <v>8</v>
      </c>
      <c r="U2516" s="515"/>
      <c r="V2516" s="724"/>
      <c r="W2516" s="720"/>
      <c r="X2516" s="725"/>
      <c r="Y2516" s="736"/>
      <c r="Z2516" s="727">
        <f t="shared" si="947"/>
        <v>0</v>
      </c>
      <c r="AA2516" s="316">
        <f>SUM(Z2516/256+0.25)</f>
        <v>0.25</v>
      </c>
    </row>
    <row r="2517" spans="1:28" s="728" customFormat="1" ht="53.25" outlineLevel="1" thickBot="1" x14ac:dyDescent="0.45">
      <c r="A2517" s="636" t="s">
        <v>775</v>
      </c>
      <c r="B2517" s="636" t="s">
        <v>684</v>
      </c>
      <c r="C2517" s="729"/>
      <c r="D2517" s="720">
        <f>C2517*12</f>
        <v>0</v>
      </c>
      <c r="E2517" s="721">
        <f>D2517*0.3</f>
        <v>0</v>
      </c>
      <c r="F2517" s="722">
        <f t="shared" si="948"/>
        <v>0</v>
      </c>
      <c r="G2517" s="720">
        <f t="shared" si="943"/>
        <v>0</v>
      </c>
      <c r="H2517" s="722" t="s">
        <v>18</v>
      </c>
      <c r="I2517" s="720">
        <f t="shared" si="944"/>
        <v>0</v>
      </c>
      <c r="J2517" s="722" t="s">
        <v>19</v>
      </c>
      <c r="K2517" s="722"/>
      <c r="L2517" s="722"/>
      <c r="M2517" s="722">
        <f>(F2517*5880)/2880</f>
        <v>0</v>
      </c>
      <c r="N2517" s="722"/>
      <c r="O2517" s="722"/>
      <c r="P2517" s="722"/>
      <c r="Q2517" s="722" t="s">
        <v>18</v>
      </c>
      <c r="R2517" s="722"/>
      <c r="S2517" s="722" t="s">
        <v>19</v>
      </c>
      <c r="T2517" s="730">
        <v>8</v>
      </c>
      <c r="U2517" s="515"/>
      <c r="V2517" s="724"/>
      <c r="W2517" s="720"/>
      <c r="X2517" s="725"/>
      <c r="Y2517" s="736"/>
      <c r="Z2517" s="727">
        <f t="shared" si="947"/>
        <v>0</v>
      </c>
      <c r="AA2517" s="316">
        <f>SUM(Z2517/280+0.25)</f>
        <v>0.25</v>
      </c>
    </row>
    <row r="2518" spans="1:28" s="728" customFormat="1" ht="53.25" outlineLevel="1" thickBot="1" x14ac:dyDescent="0.45">
      <c r="A2518" s="636" t="s">
        <v>775</v>
      </c>
      <c r="B2518" s="636" t="s">
        <v>685</v>
      </c>
      <c r="C2518" s="729"/>
      <c r="D2518" s="720">
        <f>C2518*12</f>
        <v>0</v>
      </c>
      <c r="E2518" s="721">
        <f>D2518*0.3</f>
        <v>0</v>
      </c>
      <c r="F2518" s="722">
        <f t="shared" si="948"/>
        <v>0</v>
      </c>
      <c r="G2518" s="720">
        <f t="shared" si="943"/>
        <v>0</v>
      </c>
      <c r="H2518" s="722" t="s">
        <v>18</v>
      </c>
      <c r="I2518" s="720">
        <f t="shared" si="944"/>
        <v>0</v>
      </c>
      <c r="J2518" s="722" t="s">
        <v>19</v>
      </c>
      <c r="K2518" s="722"/>
      <c r="L2518" s="722"/>
      <c r="M2518" s="722">
        <f>(F2518*5880)/2880</f>
        <v>0</v>
      </c>
      <c r="N2518" s="722"/>
      <c r="O2518" s="722"/>
      <c r="P2518" s="722"/>
      <c r="Q2518" s="722" t="s">
        <v>18</v>
      </c>
      <c r="R2518" s="722"/>
      <c r="S2518" s="722" t="s">
        <v>19</v>
      </c>
      <c r="T2518" s="730">
        <v>8</v>
      </c>
      <c r="U2518" s="515"/>
      <c r="V2518" s="724"/>
      <c r="W2518" s="720"/>
      <c r="X2518" s="725"/>
      <c r="Y2518" s="736"/>
      <c r="Z2518" s="727">
        <f>E2518</f>
        <v>0</v>
      </c>
      <c r="AA2518" s="316">
        <f>SUM(Z2518/280+0.25)</f>
        <v>0.25</v>
      </c>
    </row>
    <row r="2519" spans="1:28" s="728" customFormat="1" ht="53.25" thickBot="1" x14ac:dyDescent="0.45">
      <c r="A2519" s="636" t="s">
        <v>775</v>
      </c>
      <c r="B2519" s="636" t="s">
        <v>1196</v>
      </c>
      <c r="C2519" s="720">
        <f>C287+C517+C747</f>
        <v>0</v>
      </c>
      <c r="D2519" s="720">
        <f>C2519*14</f>
        <v>0</v>
      </c>
      <c r="E2519" s="721">
        <f>D2519*0.3</f>
        <v>0</v>
      </c>
      <c r="F2519" s="722">
        <f t="shared" si="948"/>
        <v>0</v>
      </c>
      <c r="G2519" s="720">
        <f t="shared" si="943"/>
        <v>0</v>
      </c>
      <c r="H2519" s="722" t="s">
        <v>18</v>
      </c>
      <c r="I2519" s="720">
        <f t="shared" si="944"/>
        <v>0</v>
      </c>
      <c r="J2519" s="722" t="s">
        <v>19</v>
      </c>
      <c r="K2519" s="722"/>
      <c r="L2519" s="722"/>
      <c r="M2519" s="722">
        <f>(F2519*5880)/2880</f>
        <v>0</v>
      </c>
      <c r="N2519" s="722"/>
      <c r="O2519" s="722"/>
      <c r="P2519" s="722"/>
      <c r="Q2519" s="722" t="s">
        <v>18</v>
      </c>
      <c r="R2519" s="722"/>
      <c r="S2519" s="722" t="s">
        <v>19</v>
      </c>
      <c r="T2519" s="720">
        <v>8</v>
      </c>
      <c r="U2519" s="722">
        <f>E2519/403*60</f>
        <v>0</v>
      </c>
      <c r="V2519" s="724"/>
      <c r="W2519" s="720"/>
      <c r="X2519" s="725"/>
      <c r="Y2519" s="737"/>
      <c r="Z2519" s="727">
        <f>E2519</f>
        <v>0</v>
      </c>
      <c r="AA2519" s="316">
        <f>SUM(Z2519/280+0.25)</f>
        <v>0.25</v>
      </c>
    </row>
    <row r="2520" spans="1:28" s="728" customFormat="1" ht="77.25" thickBot="1" x14ac:dyDescent="0.45">
      <c r="A2520" s="636" t="s">
        <v>775</v>
      </c>
      <c r="B2520" s="811" t="s">
        <v>1197</v>
      </c>
      <c r="C2520" s="863">
        <f>C288+C518+C748</f>
        <v>0</v>
      </c>
      <c r="D2520" s="864">
        <f>C2520*16</f>
        <v>0</v>
      </c>
      <c r="E2520" s="865">
        <f>D2520*0.3</f>
        <v>0</v>
      </c>
      <c r="F2520" s="866">
        <f>E2520*0.9*1.01/147</f>
        <v>0</v>
      </c>
      <c r="G2520" s="867">
        <f>INT(M2520)</f>
        <v>0</v>
      </c>
      <c r="H2520" s="735"/>
      <c r="I2520" s="868">
        <f t="shared" si="944"/>
        <v>0</v>
      </c>
      <c r="J2520" s="869" t="s">
        <v>19</v>
      </c>
      <c r="K2520" s="869"/>
      <c r="L2520" s="869"/>
      <c r="M2520" s="870">
        <f>F2520*6533/3456</f>
        <v>0</v>
      </c>
      <c r="N2520" s="869"/>
      <c r="O2520" s="869"/>
      <c r="P2520" s="869"/>
      <c r="Q2520" s="722" t="s">
        <v>18</v>
      </c>
      <c r="R2520" s="722"/>
      <c r="S2520" s="722" t="s">
        <v>19</v>
      </c>
      <c r="T2520" s="720">
        <v>8</v>
      </c>
      <c r="U2520" s="722">
        <f>E2520/403*60</f>
        <v>0</v>
      </c>
      <c r="V2520" s="724"/>
      <c r="W2520" s="720"/>
      <c r="X2520" s="725"/>
      <c r="Y2520" s="871"/>
      <c r="Z2520" s="727">
        <f>E2520</f>
        <v>0</v>
      </c>
      <c r="AA2520" s="815">
        <f>SUM(Z2520/280+0.25)</f>
        <v>0.25</v>
      </c>
      <c r="AB2520" s="728">
        <f>E2520/1.02</f>
        <v>0</v>
      </c>
    </row>
    <row r="2521" spans="1:28" s="728" customFormat="1" ht="53.25" outlineLevel="1" thickBot="1" x14ac:dyDescent="0.45">
      <c r="A2521" s="636" t="s">
        <v>775</v>
      </c>
      <c r="B2521" s="742" t="s">
        <v>692</v>
      </c>
      <c r="C2521" s="729"/>
      <c r="D2521" s="720">
        <f>C2521*12</f>
        <v>0</v>
      </c>
      <c r="E2521" s="721">
        <f>D2521*0.3</f>
        <v>0</v>
      </c>
      <c r="F2521" s="722">
        <f t="shared" si="948"/>
        <v>0</v>
      </c>
      <c r="G2521" s="720">
        <f t="shared" si="943"/>
        <v>0</v>
      </c>
      <c r="H2521" s="722" t="s">
        <v>18</v>
      </c>
      <c r="I2521" s="720">
        <f t="shared" si="944"/>
        <v>0</v>
      </c>
      <c r="J2521" s="722" t="s">
        <v>19</v>
      </c>
      <c r="K2521" s="722"/>
      <c r="L2521" s="722"/>
      <c r="M2521" s="722">
        <f>(F2521*5880)/2880</f>
        <v>0</v>
      </c>
      <c r="N2521" s="722"/>
      <c r="O2521" s="722"/>
      <c r="P2521" s="722"/>
      <c r="Q2521" s="722" t="s">
        <v>18</v>
      </c>
      <c r="R2521" s="722"/>
      <c r="S2521" s="722" t="s">
        <v>19</v>
      </c>
      <c r="T2521" s="730">
        <v>8</v>
      </c>
      <c r="U2521" s="585">
        <f t="shared" ref="U2521:U2535" si="949">E2521/403*60</f>
        <v>0</v>
      </c>
      <c r="V2521" s="724"/>
      <c r="W2521" s="720"/>
      <c r="X2521" s="725"/>
      <c r="Y2521" s="736"/>
      <c r="Z2521" s="727">
        <f t="shared" si="947"/>
        <v>0</v>
      </c>
      <c r="AA2521" s="316">
        <f>SUM(Z2521/280+0.25)</f>
        <v>0.25</v>
      </c>
    </row>
    <row r="2522" spans="1:28" s="728" customFormat="1" ht="51.75" outlineLevel="1" thickBot="1" x14ac:dyDescent="0.45">
      <c r="A2522" s="636" t="s">
        <v>775</v>
      </c>
      <c r="B2522" s="634" t="s">
        <v>635</v>
      </c>
      <c r="C2522" s="729"/>
      <c r="D2522" s="741">
        <f>C2522*14</f>
        <v>0</v>
      </c>
      <c r="E2522" s="721">
        <f>D2522*0.25</f>
        <v>0</v>
      </c>
      <c r="F2522" s="722">
        <f t="shared" si="948"/>
        <v>0</v>
      </c>
      <c r="G2522" s="720">
        <f t="shared" si="943"/>
        <v>0</v>
      </c>
      <c r="H2522" s="722" t="s">
        <v>18</v>
      </c>
      <c r="I2522" s="720">
        <f t="shared" si="944"/>
        <v>0</v>
      </c>
      <c r="J2522" s="722" t="s">
        <v>19</v>
      </c>
      <c r="K2522" s="722"/>
      <c r="L2522" s="722"/>
      <c r="M2522" s="722">
        <f>(F2522*6989)/2880</f>
        <v>0</v>
      </c>
      <c r="N2522" s="722"/>
      <c r="O2522" s="722"/>
      <c r="P2522" s="722"/>
      <c r="Q2522" s="722" t="s">
        <v>18</v>
      </c>
      <c r="R2522" s="722"/>
      <c r="S2522" s="722" t="s">
        <v>19</v>
      </c>
      <c r="T2522" s="730">
        <v>8</v>
      </c>
      <c r="U2522" s="585">
        <f t="shared" si="949"/>
        <v>0</v>
      </c>
      <c r="V2522" s="724"/>
      <c r="W2522" s="720"/>
      <c r="X2522" s="725"/>
      <c r="Y2522" s="736"/>
      <c r="Z2522" s="727">
        <f t="shared" si="947"/>
        <v>0</v>
      </c>
      <c r="AA2522" s="316">
        <f t="shared" ref="AA2522:AA2535" si="950">SUM(Z2522/240+0.25)</f>
        <v>0.25</v>
      </c>
    </row>
    <row r="2523" spans="1:28" s="728" customFormat="1" ht="77.25" outlineLevel="1" thickBot="1" x14ac:dyDescent="0.45">
      <c r="A2523" s="636" t="s">
        <v>775</v>
      </c>
      <c r="B2523" s="747" t="s">
        <v>1170</v>
      </c>
      <c r="C2523" s="729"/>
      <c r="D2523" s="741">
        <f>C2523*16</f>
        <v>0</v>
      </c>
      <c r="E2523" s="721">
        <f t="shared" ref="E2523:E2532" si="951">D2523*0.25</f>
        <v>0</v>
      </c>
      <c r="F2523" s="722">
        <f t="shared" ref="F2523:F2533" si="952">E2523*0.99*1.03/147</f>
        <v>0</v>
      </c>
      <c r="G2523" s="720">
        <f t="shared" ref="G2523:G2539" si="953">INT(M2523)</f>
        <v>0</v>
      </c>
      <c r="H2523" s="722" t="s">
        <v>18</v>
      </c>
      <c r="I2523" s="720">
        <f t="shared" ref="I2523:I2539" si="954">(M2523-G2523)*64</f>
        <v>0</v>
      </c>
      <c r="J2523" s="722" t="s">
        <v>19</v>
      </c>
      <c r="K2523" s="722"/>
      <c r="L2523" s="722"/>
      <c r="M2523" s="722">
        <f t="shared" ref="M2523:M2532" si="955">(F2523*6989)/2880</f>
        <v>0</v>
      </c>
      <c r="N2523" s="722"/>
      <c r="O2523" s="722"/>
      <c r="P2523" s="722"/>
      <c r="Q2523" s="722" t="s">
        <v>18</v>
      </c>
      <c r="R2523" s="722"/>
      <c r="S2523" s="722" t="s">
        <v>19</v>
      </c>
      <c r="T2523" s="730">
        <v>8</v>
      </c>
      <c r="U2523" s="585">
        <f t="shared" si="949"/>
        <v>0</v>
      </c>
      <c r="V2523" s="724"/>
      <c r="W2523" s="720"/>
      <c r="X2523" s="725"/>
      <c r="Y2523" s="736"/>
      <c r="Z2523" s="727">
        <f t="shared" si="947"/>
        <v>0</v>
      </c>
      <c r="AA2523" s="316">
        <f t="shared" si="950"/>
        <v>0.25</v>
      </c>
    </row>
    <row r="2524" spans="1:28" s="728" customFormat="1" ht="77.25" outlineLevel="1" thickBot="1" x14ac:dyDescent="0.45">
      <c r="A2524" s="636" t="s">
        <v>775</v>
      </c>
      <c r="B2524" s="747" t="s">
        <v>1169</v>
      </c>
      <c r="C2524" s="729"/>
      <c r="D2524" s="741">
        <f>C2524*16</f>
        <v>0</v>
      </c>
      <c r="E2524" s="721">
        <f t="shared" si="951"/>
        <v>0</v>
      </c>
      <c r="F2524" s="722">
        <f t="shared" si="952"/>
        <v>0</v>
      </c>
      <c r="G2524" s="720">
        <f t="shared" si="953"/>
        <v>0</v>
      </c>
      <c r="H2524" s="722" t="s">
        <v>18</v>
      </c>
      <c r="I2524" s="720">
        <f t="shared" si="954"/>
        <v>0</v>
      </c>
      <c r="J2524" s="722" t="s">
        <v>19</v>
      </c>
      <c r="K2524" s="722"/>
      <c r="L2524" s="722"/>
      <c r="M2524" s="722">
        <f t="shared" si="955"/>
        <v>0</v>
      </c>
      <c r="N2524" s="722"/>
      <c r="O2524" s="722"/>
      <c r="P2524" s="722"/>
      <c r="Q2524" s="722" t="s">
        <v>18</v>
      </c>
      <c r="R2524" s="722"/>
      <c r="S2524" s="722" t="s">
        <v>19</v>
      </c>
      <c r="T2524" s="730">
        <v>8</v>
      </c>
      <c r="U2524" s="585">
        <f t="shared" si="949"/>
        <v>0</v>
      </c>
      <c r="V2524" s="724"/>
      <c r="W2524" s="720"/>
      <c r="X2524" s="725"/>
      <c r="Y2524" s="736"/>
      <c r="Z2524" s="727">
        <f t="shared" si="947"/>
        <v>0</v>
      </c>
      <c r="AA2524" s="316">
        <f t="shared" si="950"/>
        <v>0.25</v>
      </c>
    </row>
    <row r="2525" spans="1:28" s="728" customFormat="1" ht="51.75" outlineLevel="1" thickBot="1" x14ac:dyDescent="0.45">
      <c r="A2525" s="636" t="s">
        <v>775</v>
      </c>
      <c r="B2525" s="747" t="s">
        <v>701</v>
      </c>
      <c r="C2525" s="729"/>
      <c r="D2525" s="741">
        <f t="shared" ref="D2525:D2533" si="956">C2525*12</f>
        <v>0</v>
      </c>
      <c r="E2525" s="721">
        <f t="shared" si="951"/>
        <v>0</v>
      </c>
      <c r="F2525" s="722">
        <f t="shared" si="952"/>
        <v>0</v>
      </c>
      <c r="G2525" s="720">
        <f t="shared" si="953"/>
        <v>0</v>
      </c>
      <c r="H2525" s="722" t="s">
        <v>18</v>
      </c>
      <c r="I2525" s="720">
        <f t="shared" si="954"/>
        <v>0</v>
      </c>
      <c r="J2525" s="722" t="s">
        <v>19</v>
      </c>
      <c r="K2525" s="722"/>
      <c r="L2525" s="722"/>
      <c r="M2525" s="722">
        <f t="shared" si="955"/>
        <v>0</v>
      </c>
      <c r="N2525" s="722"/>
      <c r="O2525" s="722"/>
      <c r="P2525" s="722"/>
      <c r="Q2525" s="722" t="s">
        <v>18</v>
      </c>
      <c r="R2525" s="722"/>
      <c r="S2525" s="722" t="s">
        <v>19</v>
      </c>
      <c r="T2525" s="730">
        <v>8</v>
      </c>
      <c r="U2525" s="585">
        <f t="shared" si="949"/>
        <v>0</v>
      </c>
      <c r="V2525" s="724"/>
      <c r="W2525" s="720"/>
      <c r="X2525" s="725"/>
      <c r="Y2525" s="736"/>
      <c r="Z2525" s="727">
        <f t="shared" si="947"/>
        <v>0</v>
      </c>
      <c r="AA2525" s="316">
        <f t="shared" si="950"/>
        <v>0.25</v>
      </c>
    </row>
    <row r="2526" spans="1:28" s="728" customFormat="1" ht="51.75" outlineLevel="1" thickBot="1" x14ac:dyDescent="0.45">
      <c r="A2526" s="636" t="s">
        <v>775</v>
      </c>
      <c r="B2526" s="747" t="s">
        <v>702</v>
      </c>
      <c r="C2526" s="729"/>
      <c r="D2526" s="741">
        <f t="shared" si="956"/>
        <v>0</v>
      </c>
      <c r="E2526" s="721">
        <f t="shared" si="951"/>
        <v>0</v>
      </c>
      <c r="F2526" s="722">
        <f t="shared" si="952"/>
        <v>0</v>
      </c>
      <c r="G2526" s="720">
        <f t="shared" si="953"/>
        <v>0</v>
      </c>
      <c r="H2526" s="722" t="s">
        <v>18</v>
      </c>
      <c r="I2526" s="720">
        <f t="shared" si="954"/>
        <v>0</v>
      </c>
      <c r="J2526" s="722" t="s">
        <v>19</v>
      </c>
      <c r="K2526" s="722"/>
      <c r="L2526" s="722"/>
      <c r="M2526" s="722">
        <f t="shared" si="955"/>
        <v>0</v>
      </c>
      <c r="N2526" s="722"/>
      <c r="O2526" s="722"/>
      <c r="P2526" s="722"/>
      <c r="Q2526" s="722" t="s">
        <v>18</v>
      </c>
      <c r="R2526" s="722"/>
      <c r="S2526" s="722" t="s">
        <v>19</v>
      </c>
      <c r="T2526" s="730">
        <v>8</v>
      </c>
      <c r="U2526" s="585">
        <f t="shared" si="949"/>
        <v>0</v>
      </c>
      <c r="V2526" s="724"/>
      <c r="W2526" s="720"/>
      <c r="X2526" s="725"/>
      <c r="Y2526" s="736"/>
      <c r="Z2526" s="727">
        <f t="shared" si="947"/>
        <v>0</v>
      </c>
      <c r="AA2526" s="316">
        <f t="shared" si="950"/>
        <v>0.25</v>
      </c>
    </row>
    <row r="2527" spans="1:28" s="728" customFormat="1" ht="77.25" outlineLevel="1" thickBot="1" x14ac:dyDescent="0.45">
      <c r="A2527" s="636" t="s">
        <v>775</v>
      </c>
      <c r="B2527" s="747" t="s">
        <v>1078</v>
      </c>
      <c r="C2527" s="729"/>
      <c r="D2527" s="741">
        <f>C2527*16</f>
        <v>0</v>
      </c>
      <c r="E2527" s="721">
        <f>D2527*0.25</f>
        <v>0</v>
      </c>
      <c r="F2527" s="722">
        <f>E2527*0.99*1.03/147</f>
        <v>0</v>
      </c>
      <c r="G2527" s="720">
        <f>INT(M2527)</f>
        <v>0</v>
      </c>
      <c r="H2527" s="722" t="s">
        <v>18</v>
      </c>
      <c r="I2527" s="720">
        <f>(M2527-G2527)*64</f>
        <v>0</v>
      </c>
      <c r="J2527" s="722" t="s">
        <v>19</v>
      </c>
      <c r="K2527" s="722"/>
      <c r="L2527" s="722"/>
      <c r="M2527" s="722">
        <f>(F2527*6989)/2880</f>
        <v>0</v>
      </c>
      <c r="N2527" s="722"/>
      <c r="O2527" s="722"/>
      <c r="P2527" s="722"/>
      <c r="Q2527" s="722" t="s">
        <v>18</v>
      </c>
      <c r="R2527" s="722"/>
      <c r="S2527" s="722" t="s">
        <v>19</v>
      </c>
      <c r="T2527" s="730">
        <v>8</v>
      </c>
      <c r="U2527" s="585">
        <f>E2527/403*60</f>
        <v>0</v>
      </c>
      <c r="V2527" s="724"/>
      <c r="W2527" s="720"/>
      <c r="X2527" s="725"/>
      <c r="Y2527" s="736"/>
      <c r="Z2527" s="727">
        <f>E2527</f>
        <v>0</v>
      </c>
      <c r="AA2527" s="316">
        <f>SUM(Z2527/240+0.25)</f>
        <v>0.25</v>
      </c>
    </row>
    <row r="2528" spans="1:28" s="728" customFormat="1" ht="51.75" outlineLevel="1" thickBot="1" x14ac:dyDescent="0.45">
      <c r="A2528" s="636" t="s">
        <v>775</v>
      </c>
      <c r="B2528" s="747" t="s">
        <v>1077</v>
      </c>
      <c r="C2528" s="729"/>
      <c r="D2528" s="741">
        <f>C2528*16</f>
        <v>0</v>
      </c>
      <c r="E2528" s="721">
        <f>D2528*0.25</f>
        <v>0</v>
      </c>
      <c r="F2528" s="722">
        <f>E2528*0.99*1.03/147</f>
        <v>0</v>
      </c>
      <c r="G2528" s="720">
        <f>INT(M2528)</f>
        <v>0</v>
      </c>
      <c r="H2528" s="722" t="s">
        <v>18</v>
      </c>
      <c r="I2528" s="720">
        <f>(M2528-G2528)*64</f>
        <v>0</v>
      </c>
      <c r="J2528" s="722" t="s">
        <v>19</v>
      </c>
      <c r="K2528" s="722"/>
      <c r="L2528" s="722"/>
      <c r="M2528" s="722">
        <f>(F2528*6989)/2880</f>
        <v>0</v>
      </c>
      <c r="N2528" s="722"/>
      <c r="O2528" s="722"/>
      <c r="P2528" s="722"/>
      <c r="Q2528" s="722" t="s">
        <v>18</v>
      </c>
      <c r="R2528" s="722"/>
      <c r="S2528" s="722" t="s">
        <v>19</v>
      </c>
      <c r="T2528" s="730">
        <v>8</v>
      </c>
      <c r="U2528" s="585">
        <f>E2528/403*60</f>
        <v>0</v>
      </c>
      <c r="V2528" s="724"/>
      <c r="W2528" s="720"/>
      <c r="X2528" s="725"/>
      <c r="Y2528" s="736"/>
      <c r="Z2528" s="727">
        <f>E2528</f>
        <v>0</v>
      </c>
      <c r="AA2528" s="316">
        <f>SUM(Z2528/240+0.25)</f>
        <v>0.25</v>
      </c>
    </row>
    <row r="2529" spans="1:27" s="728" customFormat="1" ht="51.75" outlineLevel="1" thickBot="1" x14ac:dyDescent="0.45">
      <c r="A2529" s="636" t="s">
        <v>775</v>
      </c>
      <c r="B2529" s="748" t="s">
        <v>823</v>
      </c>
      <c r="C2529" s="729"/>
      <c r="D2529" s="741">
        <f t="shared" si="956"/>
        <v>0</v>
      </c>
      <c r="E2529" s="721">
        <f t="shared" si="951"/>
        <v>0</v>
      </c>
      <c r="F2529" s="722">
        <f t="shared" si="952"/>
        <v>0</v>
      </c>
      <c r="G2529" s="720">
        <f t="shared" si="953"/>
        <v>0</v>
      </c>
      <c r="H2529" s="722" t="s">
        <v>18</v>
      </c>
      <c r="I2529" s="720">
        <f t="shared" si="954"/>
        <v>0</v>
      </c>
      <c r="J2529" s="722" t="s">
        <v>19</v>
      </c>
      <c r="K2529" s="722"/>
      <c r="L2529" s="722"/>
      <c r="M2529" s="722">
        <f t="shared" si="955"/>
        <v>0</v>
      </c>
      <c r="N2529" s="722"/>
      <c r="O2529" s="722"/>
      <c r="P2529" s="722"/>
      <c r="Q2529" s="722" t="s">
        <v>18</v>
      </c>
      <c r="R2529" s="722"/>
      <c r="S2529" s="722" t="s">
        <v>19</v>
      </c>
      <c r="T2529" s="730">
        <v>8</v>
      </c>
      <c r="U2529" s="585">
        <f t="shared" si="949"/>
        <v>0</v>
      </c>
      <c r="V2529" s="724"/>
      <c r="W2529" s="720"/>
      <c r="X2529" s="725"/>
      <c r="Y2529" s="736"/>
      <c r="Z2529" s="727">
        <f t="shared" si="947"/>
        <v>0</v>
      </c>
      <c r="AA2529" s="316">
        <f t="shared" si="950"/>
        <v>0.25</v>
      </c>
    </row>
    <row r="2530" spans="1:27" s="728" customFormat="1" ht="51.75" outlineLevel="1" thickBot="1" x14ac:dyDescent="0.45">
      <c r="A2530" s="636" t="s">
        <v>775</v>
      </c>
      <c r="B2530" s="748" t="s">
        <v>824</v>
      </c>
      <c r="C2530" s="729"/>
      <c r="D2530" s="741">
        <f t="shared" si="956"/>
        <v>0</v>
      </c>
      <c r="E2530" s="721">
        <f t="shared" si="951"/>
        <v>0</v>
      </c>
      <c r="F2530" s="722">
        <f t="shared" si="952"/>
        <v>0</v>
      </c>
      <c r="G2530" s="720">
        <f t="shared" si="953"/>
        <v>0</v>
      </c>
      <c r="H2530" s="722" t="s">
        <v>18</v>
      </c>
      <c r="I2530" s="720">
        <f t="shared" si="954"/>
        <v>0</v>
      </c>
      <c r="J2530" s="722" t="s">
        <v>19</v>
      </c>
      <c r="K2530" s="722"/>
      <c r="L2530" s="722"/>
      <c r="M2530" s="722">
        <f t="shared" si="955"/>
        <v>0</v>
      </c>
      <c r="N2530" s="722"/>
      <c r="O2530" s="722"/>
      <c r="P2530" s="722"/>
      <c r="Q2530" s="722" t="s">
        <v>18</v>
      </c>
      <c r="R2530" s="722"/>
      <c r="S2530" s="722" t="s">
        <v>19</v>
      </c>
      <c r="T2530" s="730">
        <v>8</v>
      </c>
      <c r="U2530" s="585">
        <f>E2530/403*60</f>
        <v>0</v>
      </c>
      <c r="V2530" s="724"/>
      <c r="W2530" s="720"/>
      <c r="X2530" s="725"/>
      <c r="Y2530" s="736"/>
      <c r="Z2530" s="727">
        <f t="shared" si="947"/>
        <v>0</v>
      </c>
      <c r="AA2530" s="316">
        <f t="shared" si="950"/>
        <v>0.25</v>
      </c>
    </row>
    <row r="2531" spans="1:27" s="728" customFormat="1" ht="51.75" outlineLevel="1" thickBot="1" x14ac:dyDescent="0.45">
      <c r="A2531" s="636" t="s">
        <v>775</v>
      </c>
      <c r="B2531" s="747" t="s">
        <v>1006</v>
      </c>
      <c r="C2531" s="720"/>
      <c r="D2531" s="741">
        <f>C2531*16</f>
        <v>0</v>
      </c>
      <c r="E2531" s="721">
        <f t="shared" si="951"/>
        <v>0</v>
      </c>
      <c r="F2531" s="722">
        <f t="shared" si="952"/>
        <v>0</v>
      </c>
      <c r="G2531" s="720">
        <f t="shared" si="953"/>
        <v>0</v>
      </c>
      <c r="H2531" s="722" t="s">
        <v>18</v>
      </c>
      <c r="I2531" s="720">
        <f t="shared" si="954"/>
        <v>0</v>
      </c>
      <c r="J2531" s="722" t="s">
        <v>19</v>
      </c>
      <c r="K2531" s="722"/>
      <c r="L2531" s="722"/>
      <c r="M2531" s="722">
        <f t="shared" si="955"/>
        <v>0</v>
      </c>
      <c r="N2531" s="722"/>
      <c r="O2531" s="722"/>
      <c r="P2531" s="722"/>
      <c r="Q2531" s="722" t="s">
        <v>18</v>
      </c>
      <c r="R2531" s="722"/>
      <c r="S2531" s="722" t="s">
        <v>19</v>
      </c>
      <c r="T2531" s="720">
        <v>8</v>
      </c>
      <c r="U2531" s="324">
        <f>E2531/403*60</f>
        <v>0</v>
      </c>
      <c r="V2531" s="724"/>
      <c r="W2531" s="720"/>
      <c r="X2531" s="725"/>
      <c r="Y2531" s="737"/>
      <c r="Z2531" s="727">
        <f t="shared" si="947"/>
        <v>0</v>
      </c>
      <c r="AA2531" s="316">
        <f>SUM(Z2531/240+0.25)</f>
        <v>0.25</v>
      </c>
    </row>
    <row r="2532" spans="1:27" s="728" customFormat="1" ht="51.75" outlineLevel="1" thickBot="1" x14ac:dyDescent="0.45">
      <c r="A2532" s="636" t="s">
        <v>775</v>
      </c>
      <c r="B2532" s="747" t="s">
        <v>1007</v>
      </c>
      <c r="C2532" s="720"/>
      <c r="D2532" s="741">
        <f>C2532*16</f>
        <v>0</v>
      </c>
      <c r="E2532" s="721">
        <f t="shared" si="951"/>
        <v>0</v>
      </c>
      <c r="F2532" s="722">
        <f t="shared" si="952"/>
        <v>0</v>
      </c>
      <c r="G2532" s="720">
        <f t="shared" si="953"/>
        <v>0</v>
      </c>
      <c r="H2532" s="722" t="s">
        <v>18</v>
      </c>
      <c r="I2532" s="720">
        <f t="shared" si="954"/>
        <v>0</v>
      </c>
      <c r="J2532" s="722" t="s">
        <v>19</v>
      </c>
      <c r="K2532" s="722"/>
      <c r="L2532" s="722"/>
      <c r="M2532" s="722">
        <f t="shared" si="955"/>
        <v>0</v>
      </c>
      <c r="N2532" s="722"/>
      <c r="O2532" s="722"/>
      <c r="P2532" s="722"/>
      <c r="Q2532" s="722" t="s">
        <v>18</v>
      </c>
      <c r="R2532" s="722"/>
      <c r="S2532" s="722" t="s">
        <v>19</v>
      </c>
      <c r="T2532" s="720">
        <v>8</v>
      </c>
      <c r="U2532" s="324">
        <f>E2532/403*60</f>
        <v>0</v>
      </c>
      <c r="V2532" s="724"/>
      <c r="W2532" s="720"/>
      <c r="X2532" s="725"/>
      <c r="Y2532" s="737"/>
      <c r="Z2532" s="727">
        <f t="shared" si="947"/>
        <v>0</v>
      </c>
      <c r="AA2532" s="316">
        <f>SUM(Z2532/240+0.25)</f>
        <v>0.25</v>
      </c>
    </row>
    <row r="2533" spans="1:27" s="728" customFormat="1" ht="51.75" outlineLevel="1" thickBot="1" x14ac:dyDescent="0.45">
      <c r="A2533" s="636" t="s">
        <v>775</v>
      </c>
      <c r="B2533" s="747" t="s">
        <v>703</v>
      </c>
      <c r="C2533" s="729"/>
      <c r="D2533" s="741">
        <f t="shared" si="956"/>
        <v>0</v>
      </c>
      <c r="E2533" s="721">
        <f>D2533*0.25</f>
        <v>0</v>
      </c>
      <c r="F2533" s="722">
        <f t="shared" si="952"/>
        <v>0</v>
      </c>
      <c r="G2533" s="720">
        <f>INT(M2533)</f>
        <v>0</v>
      </c>
      <c r="H2533" s="722" t="s">
        <v>18</v>
      </c>
      <c r="I2533" s="720">
        <f>(M2533-G2533)*64</f>
        <v>0</v>
      </c>
      <c r="J2533" s="722" t="s">
        <v>19</v>
      </c>
      <c r="K2533" s="722"/>
      <c r="L2533" s="722"/>
      <c r="M2533" s="722">
        <f>(F2533*6989)/2880</f>
        <v>0</v>
      </c>
      <c r="N2533" s="722"/>
      <c r="O2533" s="722"/>
      <c r="P2533" s="722"/>
      <c r="Q2533" s="722" t="s">
        <v>18</v>
      </c>
      <c r="R2533" s="722"/>
      <c r="S2533" s="722" t="s">
        <v>19</v>
      </c>
      <c r="T2533" s="730">
        <v>8</v>
      </c>
      <c r="U2533" s="585">
        <f t="shared" si="949"/>
        <v>0</v>
      </c>
      <c r="V2533" s="724"/>
      <c r="W2533" s="720"/>
      <c r="X2533" s="725"/>
      <c r="Y2533" s="736"/>
      <c r="Z2533" s="727">
        <f t="shared" si="947"/>
        <v>0</v>
      </c>
      <c r="AA2533" s="316">
        <f t="shared" si="950"/>
        <v>0.25</v>
      </c>
    </row>
    <row r="2534" spans="1:27" s="728" customFormat="1" ht="51.75" outlineLevel="1" thickBot="1" x14ac:dyDescent="0.45">
      <c r="A2534" s="636" t="s">
        <v>775</v>
      </c>
      <c r="B2534" s="747" t="s">
        <v>798</v>
      </c>
      <c r="C2534" s="729"/>
      <c r="D2534" s="720">
        <f>C2534*28</f>
        <v>0</v>
      </c>
      <c r="E2534" s="721">
        <f>D2534*0.125</f>
        <v>0</v>
      </c>
      <c r="F2534" s="722">
        <f>E2534*0.99*1.03/147</f>
        <v>0</v>
      </c>
      <c r="G2534" s="720">
        <f>INT(M2534)</f>
        <v>0</v>
      </c>
      <c r="H2534" s="722" t="s">
        <v>18</v>
      </c>
      <c r="I2534" s="720">
        <f>(M2534-G2534)*64</f>
        <v>0</v>
      </c>
      <c r="J2534" s="722" t="s">
        <v>19</v>
      </c>
      <c r="K2534" s="722"/>
      <c r="L2534" s="722"/>
      <c r="M2534" s="722">
        <f>(F2534*6989)/2880</f>
        <v>0</v>
      </c>
      <c r="N2534" s="722"/>
      <c r="O2534" s="722"/>
      <c r="P2534" s="722"/>
      <c r="Q2534" s="722" t="s">
        <v>18</v>
      </c>
      <c r="R2534" s="722"/>
      <c r="S2534" s="722" t="s">
        <v>19</v>
      </c>
      <c r="T2534" s="730">
        <v>8</v>
      </c>
      <c r="U2534" s="324">
        <f t="shared" si="949"/>
        <v>0</v>
      </c>
      <c r="V2534" s="724"/>
      <c r="W2534" s="720"/>
      <c r="X2534" s="725"/>
      <c r="Y2534" s="736"/>
      <c r="Z2534" s="727">
        <f t="shared" si="947"/>
        <v>0</v>
      </c>
      <c r="AA2534" s="316">
        <f t="shared" si="950"/>
        <v>0.25</v>
      </c>
    </row>
    <row r="2535" spans="1:27" s="728" customFormat="1" ht="51.75" outlineLevel="1" thickBot="1" x14ac:dyDescent="0.45">
      <c r="A2535" s="636" t="s">
        <v>775</v>
      </c>
      <c r="B2535" s="747" t="s">
        <v>791</v>
      </c>
      <c r="C2535" s="729"/>
      <c r="D2535" s="741">
        <f>C2535*28</f>
        <v>0</v>
      </c>
      <c r="E2535" s="721">
        <f>D2535*0.125</f>
        <v>0</v>
      </c>
      <c r="F2535" s="722">
        <f>E2535*0.99*1.03/147</f>
        <v>0</v>
      </c>
      <c r="G2535" s="720">
        <f>INT(M2535)</f>
        <v>0</v>
      </c>
      <c r="H2535" s="722" t="s">
        <v>18</v>
      </c>
      <c r="I2535" s="720">
        <f>(M2535-G2535)*64</f>
        <v>0</v>
      </c>
      <c r="J2535" s="722" t="s">
        <v>19</v>
      </c>
      <c r="K2535" s="722"/>
      <c r="L2535" s="722"/>
      <c r="M2535" s="722">
        <f>(F2535*6989)/2880</f>
        <v>0</v>
      </c>
      <c r="N2535" s="722"/>
      <c r="O2535" s="722"/>
      <c r="P2535" s="722"/>
      <c r="Q2535" s="722" t="s">
        <v>18</v>
      </c>
      <c r="R2535" s="722"/>
      <c r="S2535" s="722" t="s">
        <v>19</v>
      </c>
      <c r="T2535" s="730">
        <v>8</v>
      </c>
      <c r="U2535" s="324">
        <f t="shared" si="949"/>
        <v>0</v>
      </c>
      <c r="V2535" s="724"/>
      <c r="W2535" s="720"/>
      <c r="X2535" s="725"/>
      <c r="Y2535" s="736"/>
      <c r="Z2535" s="727">
        <f t="shared" si="947"/>
        <v>0</v>
      </c>
      <c r="AA2535" s="316">
        <f t="shared" si="950"/>
        <v>0.25</v>
      </c>
    </row>
    <row r="2536" spans="1:27" s="728" customFormat="1" ht="51.75" outlineLevel="1" thickBot="1" x14ac:dyDescent="0.45">
      <c r="A2536" s="636" t="s">
        <v>775</v>
      </c>
      <c r="B2536" s="634" t="s">
        <v>781</v>
      </c>
      <c r="C2536" s="720"/>
      <c r="D2536" s="720">
        <f>C2536*10</f>
        <v>0</v>
      </c>
      <c r="E2536" s="721">
        <f>D2536*0.18</f>
        <v>0</v>
      </c>
      <c r="F2536" s="722">
        <f>E2536*0.99*1.03/147</f>
        <v>0</v>
      </c>
      <c r="G2536" s="720">
        <f>INT(M2536)</f>
        <v>0</v>
      </c>
      <c r="H2536" s="722" t="s">
        <v>18</v>
      </c>
      <c r="I2536" s="720">
        <f>(M2536-G2536)*64</f>
        <v>0</v>
      </c>
      <c r="J2536" s="722" t="s">
        <v>19</v>
      </c>
      <c r="K2536" s="722"/>
      <c r="L2536" s="722"/>
      <c r="M2536" s="722">
        <f>(F2536*6400)/2880</f>
        <v>0</v>
      </c>
      <c r="N2536" s="722"/>
      <c r="O2536" s="722"/>
      <c r="P2536" s="722"/>
      <c r="Q2536" s="722" t="s">
        <v>18</v>
      </c>
      <c r="R2536" s="722"/>
      <c r="S2536" s="722" t="s">
        <v>19</v>
      </c>
      <c r="T2536" s="720">
        <v>11</v>
      </c>
      <c r="U2536" s="324">
        <f>E2536/237*60</f>
        <v>0</v>
      </c>
      <c r="V2536" s="724"/>
      <c r="W2536" s="720"/>
      <c r="X2536" s="725"/>
      <c r="Y2536" s="736"/>
      <c r="Z2536" s="727">
        <f t="shared" si="947"/>
        <v>0</v>
      </c>
      <c r="AA2536" s="316">
        <f>SUM(Z2536/265+0.25)</f>
        <v>0.25</v>
      </c>
    </row>
    <row r="2537" spans="1:27" s="728" customFormat="1" ht="51.75" outlineLevel="1" thickBot="1" x14ac:dyDescent="0.45">
      <c r="A2537" s="636" t="s">
        <v>775</v>
      </c>
      <c r="B2537" s="634" t="s">
        <v>1041</v>
      </c>
      <c r="C2537" s="720"/>
      <c r="D2537" s="720">
        <f>C2537*12</f>
        <v>0</v>
      </c>
      <c r="E2537" s="721">
        <f t="shared" ref="E2537:E2542" si="957">D2537*0.25</f>
        <v>0</v>
      </c>
      <c r="F2537" s="722">
        <f t="shared" ref="F2537:F2542" si="958">E2537*0.9*1.01/147</f>
        <v>0</v>
      </c>
      <c r="G2537" s="720">
        <f>INT(M2537)</f>
        <v>0</v>
      </c>
      <c r="H2537" s="722" t="s">
        <v>18</v>
      </c>
      <c r="I2537" s="720">
        <f>(M2537-G2537)*64</f>
        <v>0</v>
      </c>
      <c r="J2537" s="722" t="s">
        <v>19</v>
      </c>
      <c r="K2537" s="722"/>
      <c r="L2537" s="722"/>
      <c r="M2537" s="722">
        <f>(F2537*6533/3456)</f>
        <v>0</v>
      </c>
      <c r="N2537" s="722"/>
      <c r="O2537" s="722"/>
      <c r="P2537" s="722"/>
      <c r="Q2537" s="722" t="s">
        <v>18</v>
      </c>
      <c r="R2537" s="722"/>
      <c r="S2537" s="722" t="s">
        <v>19</v>
      </c>
      <c r="T2537" s="720">
        <v>10</v>
      </c>
      <c r="U2537" s="324">
        <f t="shared" ref="U2537:U2542" si="959">E2537/390*60</f>
        <v>0</v>
      </c>
      <c r="V2537" s="724"/>
      <c r="W2537" s="720"/>
      <c r="X2537" s="725"/>
      <c r="Y2537" s="749"/>
      <c r="Z2537" s="727">
        <f t="shared" si="947"/>
        <v>0</v>
      </c>
      <c r="AA2537" s="815">
        <f>SUM(Z2537/330+0.25)</f>
        <v>0.25</v>
      </c>
    </row>
    <row r="2538" spans="1:27" s="728" customFormat="1" ht="77.25" outlineLevel="1" thickBot="1" x14ac:dyDescent="0.45">
      <c r="A2538" s="636" t="s">
        <v>775</v>
      </c>
      <c r="B2538" s="634" t="s">
        <v>828</v>
      </c>
      <c r="C2538" s="720"/>
      <c r="D2538" s="743">
        <f>C2538*12</f>
        <v>0</v>
      </c>
      <c r="E2538" s="744">
        <f t="shared" si="957"/>
        <v>0</v>
      </c>
      <c r="F2538" s="745">
        <f t="shared" si="958"/>
        <v>0</v>
      </c>
      <c r="G2538" s="746">
        <f t="shared" si="953"/>
        <v>0</v>
      </c>
      <c r="H2538" s="735" t="s">
        <v>18</v>
      </c>
      <c r="I2538" s="732">
        <f t="shared" si="954"/>
        <v>0</v>
      </c>
      <c r="J2538" s="735" t="s">
        <v>19</v>
      </c>
      <c r="K2538" s="735"/>
      <c r="L2538" s="735"/>
      <c r="M2538" s="735">
        <f>(F2538*7777/3456)</f>
        <v>0</v>
      </c>
      <c r="N2538" s="735"/>
      <c r="O2538" s="735"/>
      <c r="P2538" s="735"/>
      <c r="Q2538" s="722" t="s">
        <v>18</v>
      </c>
      <c r="R2538" s="722"/>
      <c r="S2538" s="722" t="s">
        <v>19</v>
      </c>
      <c r="T2538" s="720">
        <v>10</v>
      </c>
      <c r="U2538" s="324">
        <f t="shared" si="959"/>
        <v>0</v>
      </c>
      <c r="V2538" s="724"/>
      <c r="W2538" s="720"/>
      <c r="X2538" s="725"/>
      <c r="Y2538" s="752"/>
      <c r="Z2538" s="727">
        <f t="shared" si="947"/>
        <v>0</v>
      </c>
      <c r="AA2538" s="316">
        <f>SUM(Z2538/288+0.25)</f>
        <v>0.25</v>
      </c>
    </row>
    <row r="2539" spans="1:27" s="728" customFormat="1" ht="77.25" outlineLevel="1" thickBot="1" x14ac:dyDescent="0.45">
      <c r="A2539" s="636" t="s">
        <v>775</v>
      </c>
      <c r="B2539" s="634" t="s">
        <v>1184</v>
      </c>
      <c r="C2539" s="720"/>
      <c r="D2539" s="741">
        <f>C2539*16</f>
        <v>0</v>
      </c>
      <c r="E2539" s="721">
        <f t="shared" si="957"/>
        <v>0</v>
      </c>
      <c r="F2539" s="722">
        <f t="shared" si="958"/>
        <v>0</v>
      </c>
      <c r="G2539" s="732">
        <f t="shared" si="953"/>
        <v>0</v>
      </c>
      <c r="H2539" s="735" t="s">
        <v>18</v>
      </c>
      <c r="I2539" s="732">
        <f t="shared" si="954"/>
        <v>0</v>
      </c>
      <c r="J2539" s="735" t="s">
        <v>19</v>
      </c>
      <c r="K2539" s="735"/>
      <c r="L2539" s="735"/>
      <c r="M2539" s="735">
        <f>(F2539*7777/3456)</f>
        <v>0</v>
      </c>
      <c r="N2539" s="735"/>
      <c r="O2539" s="735"/>
      <c r="P2539" s="735"/>
      <c r="Q2539" s="722" t="s">
        <v>18</v>
      </c>
      <c r="R2539" s="722"/>
      <c r="S2539" s="722" t="s">
        <v>19</v>
      </c>
      <c r="T2539" s="720">
        <v>10</v>
      </c>
      <c r="U2539" s="324">
        <f t="shared" si="959"/>
        <v>0</v>
      </c>
      <c r="V2539" s="724"/>
      <c r="W2539" s="720"/>
      <c r="X2539" s="725"/>
      <c r="Y2539" s="751"/>
      <c r="Z2539" s="727">
        <f t="shared" si="947"/>
        <v>0</v>
      </c>
      <c r="AA2539" s="316">
        <f>SUM(Z2539/288+0.25)</f>
        <v>0.25</v>
      </c>
    </row>
    <row r="2540" spans="1:27" s="728" customFormat="1" ht="51.75" outlineLevel="1" thickBot="1" x14ac:dyDescent="0.45">
      <c r="A2540" s="636" t="s">
        <v>775</v>
      </c>
      <c r="B2540" s="634" t="s">
        <v>856</v>
      </c>
      <c r="C2540" s="720"/>
      <c r="D2540" s="741">
        <f>C2540*16</f>
        <v>0</v>
      </c>
      <c r="E2540" s="721">
        <f t="shared" si="957"/>
        <v>0</v>
      </c>
      <c r="F2540" s="722">
        <f t="shared" si="958"/>
        <v>0</v>
      </c>
      <c r="G2540" s="732">
        <f t="shared" ref="G2540:G2545" si="960">INT(M2540)</f>
        <v>0</v>
      </c>
      <c r="H2540" s="735" t="s">
        <v>18</v>
      </c>
      <c r="I2540" s="732">
        <f t="shared" ref="I2540:I2545" si="961">(M2540-G2540)*64</f>
        <v>0</v>
      </c>
      <c r="J2540" s="735" t="s">
        <v>19</v>
      </c>
      <c r="K2540" s="735"/>
      <c r="L2540" s="735"/>
      <c r="M2540" s="735">
        <f>(F2540*7777/3456)</f>
        <v>0</v>
      </c>
      <c r="N2540" s="735"/>
      <c r="O2540" s="735"/>
      <c r="P2540" s="735"/>
      <c r="Q2540" s="722" t="s">
        <v>18</v>
      </c>
      <c r="R2540" s="722"/>
      <c r="S2540" s="722" t="s">
        <v>19</v>
      </c>
      <c r="T2540" s="720">
        <v>10</v>
      </c>
      <c r="U2540" s="324">
        <f t="shared" si="959"/>
        <v>0</v>
      </c>
      <c r="V2540" s="724"/>
      <c r="W2540" s="720"/>
      <c r="X2540" s="725"/>
      <c r="Y2540" s="749"/>
      <c r="Z2540" s="727">
        <f t="shared" si="947"/>
        <v>0</v>
      </c>
      <c r="AA2540" s="316">
        <f>SUM(Z2540/288+0.25)</f>
        <v>0.25</v>
      </c>
    </row>
    <row r="2541" spans="1:27" s="728" customFormat="1" ht="77.25" outlineLevel="1" thickBot="1" x14ac:dyDescent="0.45">
      <c r="A2541" s="636" t="s">
        <v>775</v>
      </c>
      <c r="B2541" s="634" t="s">
        <v>1073</v>
      </c>
      <c r="C2541" s="720"/>
      <c r="D2541" s="743">
        <f>C2541*16</f>
        <v>0</v>
      </c>
      <c r="E2541" s="744">
        <f t="shared" si="957"/>
        <v>0</v>
      </c>
      <c r="F2541" s="745">
        <f t="shared" si="958"/>
        <v>0</v>
      </c>
      <c r="G2541" s="746">
        <f t="shared" si="960"/>
        <v>0</v>
      </c>
      <c r="H2541" s="735" t="s">
        <v>18</v>
      </c>
      <c r="I2541" s="732">
        <f t="shared" si="961"/>
        <v>0</v>
      </c>
      <c r="J2541" s="735" t="s">
        <v>19</v>
      </c>
      <c r="K2541" s="735"/>
      <c r="L2541" s="735"/>
      <c r="M2541" s="735">
        <f>(F2541*7777/3456)</f>
        <v>0</v>
      </c>
      <c r="N2541" s="735"/>
      <c r="O2541" s="735"/>
      <c r="P2541" s="735"/>
      <c r="Q2541" s="722" t="s">
        <v>18</v>
      </c>
      <c r="R2541" s="722"/>
      <c r="S2541" s="722" t="s">
        <v>19</v>
      </c>
      <c r="T2541" s="720">
        <v>10</v>
      </c>
      <c r="U2541" s="324">
        <f t="shared" si="959"/>
        <v>0</v>
      </c>
      <c r="V2541" s="724"/>
      <c r="W2541" s="720"/>
      <c r="X2541" s="725"/>
      <c r="Y2541" s="753"/>
      <c r="Z2541" s="727">
        <f>E2541</f>
        <v>0</v>
      </c>
      <c r="AA2541" s="316">
        <f>SUM(Z2541/288+0.25)</f>
        <v>0.25</v>
      </c>
    </row>
    <row r="2542" spans="1:27" s="728" customFormat="1" ht="77.25" outlineLevel="1" thickBot="1" x14ac:dyDescent="0.45">
      <c r="A2542" s="636" t="s">
        <v>775</v>
      </c>
      <c r="B2542" s="634" t="s">
        <v>1074</v>
      </c>
      <c r="C2542" s="720"/>
      <c r="D2542" s="743">
        <f>C2542*16</f>
        <v>0</v>
      </c>
      <c r="E2542" s="744">
        <f t="shared" si="957"/>
        <v>0</v>
      </c>
      <c r="F2542" s="745">
        <f t="shared" si="958"/>
        <v>0</v>
      </c>
      <c r="G2542" s="746">
        <f t="shared" si="960"/>
        <v>0</v>
      </c>
      <c r="H2542" s="735" t="s">
        <v>18</v>
      </c>
      <c r="I2542" s="732">
        <f t="shared" si="961"/>
        <v>0</v>
      </c>
      <c r="J2542" s="735" t="s">
        <v>19</v>
      </c>
      <c r="K2542" s="735"/>
      <c r="L2542" s="735"/>
      <c r="M2542" s="735">
        <f>(F2542*7777/3456)</f>
        <v>0</v>
      </c>
      <c r="N2542" s="735"/>
      <c r="O2542" s="735"/>
      <c r="P2542" s="735"/>
      <c r="Q2542" s="722" t="s">
        <v>18</v>
      </c>
      <c r="R2542" s="722"/>
      <c r="S2542" s="722" t="s">
        <v>19</v>
      </c>
      <c r="T2542" s="720">
        <v>10</v>
      </c>
      <c r="U2542" s="324">
        <f t="shared" si="959"/>
        <v>0</v>
      </c>
      <c r="V2542" s="724"/>
      <c r="W2542" s="720"/>
      <c r="X2542" s="725"/>
      <c r="Y2542" s="750"/>
      <c r="Z2542" s="727">
        <f>E2542</f>
        <v>0</v>
      </c>
      <c r="AA2542" s="316">
        <f>SUM(Z2542/288+0.25)</f>
        <v>0.25</v>
      </c>
    </row>
    <row r="2543" spans="1:27" s="728" customFormat="1" ht="51.75" outlineLevel="1" thickBot="1" x14ac:dyDescent="0.45">
      <c r="A2543" s="636" t="s">
        <v>775</v>
      </c>
      <c r="B2543" s="747" t="s">
        <v>860</v>
      </c>
      <c r="C2543" s="720"/>
      <c r="D2543" s="720">
        <f>C2543*12</f>
        <v>0</v>
      </c>
      <c r="E2543" s="721">
        <f>D2543*0.2</f>
        <v>0</v>
      </c>
      <c r="F2543" s="722">
        <f>E2543*0.99*1.03/147</f>
        <v>0</v>
      </c>
      <c r="G2543" s="720">
        <f t="shared" si="960"/>
        <v>0</v>
      </c>
      <c r="H2543" s="722" t="s">
        <v>18</v>
      </c>
      <c r="I2543" s="720">
        <f t="shared" si="961"/>
        <v>0</v>
      </c>
      <c r="J2543" s="722" t="s">
        <v>19</v>
      </c>
      <c r="K2543" s="722"/>
      <c r="L2543" s="722"/>
      <c r="M2543" s="722">
        <f>(F2543*8655)/2880</f>
        <v>0</v>
      </c>
      <c r="N2543" s="722"/>
      <c r="O2543" s="722"/>
      <c r="P2543" s="722"/>
      <c r="Q2543" s="722" t="s">
        <v>18</v>
      </c>
      <c r="R2543" s="722"/>
      <c r="S2543" s="722" t="s">
        <v>19</v>
      </c>
      <c r="T2543" s="720">
        <v>12</v>
      </c>
      <c r="U2543" s="324">
        <f>E2543/403*60</f>
        <v>0</v>
      </c>
      <c r="V2543" s="724"/>
      <c r="W2543" s="720"/>
      <c r="X2543" s="725"/>
      <c r="Y2543" s="751"/>
      <c r="Z2543" s="727">
        <f t="shared" si="947"/>
        <v>0</v>
      </c>
      <c r="AA2543" s="316">
        <f>SUM(Z2543/380+0.25)</f>
        <v>0.25</v>
      </c>
    </row>
    <row r="2544" spans="1:27" s="728" customFormat="1" ht="51.75" outlineLevel="1" thickBot="1" x14ac:dyDescent="0.45">
      <c r="A2544" s="636" t="s">
        <v>775</v>
      </c>
      <c r="B2544" s="747" t="s">
        <v>861</v>
      </c>
      <c r="C2544" s="720"/>
      <c r="D2544" s="720">
        <f>C2544*12</f>
        <v>0</v>
      </c>
      <c r="E2544" s="721">
        <f>D2544*0.2</f>
        <v>0</v>
      </c>
      <c r="F2544" s="722">
        <f>E2544*0.99*1.03/147</f>
        <v>0</v>
      </c>
      <c r="G2544" s="720">
        <f t="shared" si="960"/>
        <v>0</v>
      </c>
      <c r="H2544" s="722" t="s">
        <v>18</v>
      </c>
      <c r="I2544" s="720">
        <f t="shared" si="961"/>
        <v>0</v>
      </c>
      <c r="J2544" s="722" t="s">
        <v>19</v>
      </c>
      <c r="K2544" s="722"/>
      <c r="L2544" s="722"/>
      <c r="M2544" s="722">
        <f>(F2544*8655)/2880</f>
        <v>0</v>
      </c>
      <c r="N2544" s="722"/>
      <c r="O2544" s="722"/>
      <c r="P2544" s="722"/>
      <c r="Q2544" s="722" t="s">
        <v>18</v>
      </c>
      <c r="R2544" s="722"/>
      <c r="S2544" s="722" t="s">
        <v>19</v>
      </c>
      <c r="T2544" s="720">
        <v>12</v>
      </c>
      <c r="U2544" s="324">
        <f>E2544/403*60</f>
        <v>0</v>
      </c>
      <c r="V2544" s="724"/>
      <c r="W2544" s="720"/>
      <c r="X2544" s="725"/>
      <c r="Y2544" s="736"/>
      <c r="Z2544" s="727">
        <f t="shared" si="947"/>
        <v>0</v>
      </c>
      <c r="AA2544" s="316">
        <f>SUM(Z2544/380+0.25)</f>
        <v>0.25</v>
      </c>
    </row>
    <row r="2545" spans="1:27" s="728" customFormat="1" outlineLevel="1" thickBot="1" x14ac:dyDescent="0.45">
      <c r="A2545" s="636" t="s">
        <v>775</v>
      </c>
      <c r="B2545" s="634" t="s">
        <v>1042</v>
      </c>
      <c r="C2545" s="720"/>
      <c r="D2545" s="741">
        <f>C2545*12</f>
        <v>0</v>
      </c>
      <c r="E2545" s="721">
        <f>D2545*0.25</f>
        <v>0</v>
      </c>
      <c r="F2545" s="722">
        <f>E2545*0.99*1.02/147</f>
        <v>0</v>
      </c>
      <c r="G2545" s="720">
        <f t="shared" si="960"/>
        <v>0</v>
      </c>
      <c r="H2545" s="722" t="s">
        <v>18</v>
      </c>
      <c r="I2545" s="720">
        <f t="shared" si="961"/>
        <v>0</v>
      </c>
      <c r="J2545" s="722" t="s">
        <v>19</v>
      </c>
      <c r="K2545" s="722"/>
      <c r="L2545" s="722"/>
      <c r="M2545" s="722">
        <f>(F2545*5880)/3456</f>
        <v>0</v>
      </c>
      <c r="N2545" s="722"/>
      <c r="O2545" s="722"/>
      <c r="P2545" s="722"/>
      <c r="Q2545" s="722" t="s">
        <v>18</v>
      </c>
      <c r="R2545" s="722"/>
      <c r="S2545" s="722" t="s">
        <v>19</v>
      </c>
      <c r="T2545" s="720">
        <v>10</v>
      </c>
      <c r="U2545" s="324">
        <f>E2545/390*60</f>
        <v>0</v>
      </c>
      <c r="V2545" s="724"/>
      <c r="W2545" s="720"/>
      <c r="X2545" s="725"/>
      <c r="Y2545" s="736"/>
      <c r="Z2545" s="727">
        <f t="shared" si="947"/>
        <v>0</v>
      </c>
      <c r="AA2545" s="815">
        <f>SUM(Z2545/340+0.25)</f>
        <v>0.25</v>
      </c>
    </row>
    <row r="2546" spans="1:27" s="728" customFormat="1" ht="53.25" outlineLevel="1" thickBot="1" x14ac:dyDescent="0.45">
      <c r="A2546" s="636" t="s">
        <v>775</v>
      </c>
      <c r="B2546" s="634" t="s">
        <v>637</v>
      </c>
      <c r="C2546" s="720"/>
      <c r="D2546" s="720">
        <f>C2546*12</f>
        <v>0</v>
      </c>
      <c r="E2546" s="721">
        <f>D2546*0.25</f>
        <v>0</v>
      </c>
      <c r="F2546" s="722">
        <f>E2546*1.05*0.99/135</f>
        <v>0</v>
      </c>
      <c r="G2546" s="720">
        <f t="shared" ref="G2546:G2561" si="962">INT(M2546)</f>
        <v>0</v>
      </c>
      <c r="H2546" s="722" t="s">
        <v>18</v>
      </c>
      <c r="I2546" s="720">
        <f t="shared" ref="I2546:I2561" si="963">(M2546-G2546)*64</f>
        <v>0</v>
      </c>
      <c r="J2546" s="722" t="s">
        <v>19</v>
      </c>
      <c r="K2546" s="722"/>
      <c r="L2546" s="722"/>
      <c r="M2546" s="722">
        <f>(F2546*6253)/2880</f>
        <v>0</v>
      </c>
      <c r="N2546" s="722"/>
      <c r="O2546" s="722"/>
      <c r="P2546" s="722"/>
      <c r="Q2546" s="722" t="s">
        <v>18</v>
      </c>
      <c r="R2546" s="722"/>
      <c r="S2546" s="722" t="s">
        <v>19</v>
      </c>
      <c r="T2546" s="720">
        <v>8</v>
      </c>
      <c r="U2546" s="324">
        <f>E2546/226*60</f>
        <v>0</v>
      </c>
      <c r="V2546" s="724"/>
      <c r="W2546" s="720"/>
      <c r="X2546" s="725"/>
      <c r="Y2546" s="737" t="s">
        <v>1029</v>
      </c>
      <c r="Z2546" s="727">
        <f t="shared" si="947"/>
        <v>0</v>
      </c>
      <c r="AA2546" s="316">
        <f>SUM(Z2546/240+0.25)</f>
        <v>0.25</v>
      </c>
    </row>
    <row r="2547" spans="1:27" s="728" customFormat="1" ht="53.25" outlineLevel="1" thickBot="1" x14ac:dyDescent="0.45">
      <c r="A2547" s="636" t="s">
        <v>775</v>
      </c>
      <c r="B2547" s="634" t="s">
        <v>773</v>
      </c>
      <c r="C2547" s="720"/>
      <c r="D2547" s="720">
        <f>C2547*6</f>
        <v>0</v>
      </c>
      <c r="E2547" s="721">
        <f>D2547*0.25</f>
        <v>0</v>
      </c>
      <c r="F2547" s="722">
        <f>E2547*1.05*0.99/135</f>
        <v>0</v>
      </c>
      <c r="G2547" s="720">
        <f t="shared" si="962"/>
        <v>0</v>
      </c>
      <c r="H2547" s="722" t="s">
        <v>18</v>
      </c>
      <c r="I2547" s="720">
        <f t="shared" si="963"/>
        <v>0</v>
      </c>
      <c r="J2547" s="722" t="s">
        <v>19</v>
      </c>
      <c r="K2547" s="722"/>
      <c r="L2547" s="722"/>
      <c r="M2547" s="722">
        <f>(F2547*6253)/2880</f>
        <v>0</v>
      </c>
      <c r="N2547" s="722"/>
      <c r="O2547" s="722"/>
      <c r="P2547" s="722"/>
      <c r="Q2547" s="722" t="s">
        <v>18</v>
      </c>
      <c r="R2547" s="722"/>
      <c r="S2547" s="722" t="s">
        <v>19</v>
      </c>
      <c r="T2547" s="720">
        <v>8</v>
      </c>
      <c r="U2547" s="324">
        <f>E2547/226*60</f>
        <v>0</v>
      </c>
      <c r="V2547" s="724"/>
      <c r="W2547" s="720"/>
      <c r="X2547" s="725"/>
      <c r="Y2547" s="737" t="s">
        <v>1029</v>
      </c>
      <c r="Z2547" s="727">
        <f t="shared" si="947"/>
        <v>0</v>
      </c>
      <c r="AA2547" s="316">
        <f>SUM(Z2547/240+0.25)</f>
        <v>0.25</v>
      </c>
    </row>
    <row r="2548" spans="1:27" s="728" customFormat="1" ht="77.25" outlineLevel="1" thickBot="1" x14ac:dyDescent="0.45">
      <c r="A2548" s="636" t="s">
        <v>775</v>
      </c>
      <c r="B2548" s="634" t="s">
        <v>1214</v>
      </c>
      <c r="C2548" s="720"/>
      <c r="D2548" s="720">
        <f>C2548*14</f>
        <v>0</v>
      </c>
      <c r="E2548" s="721">
        <f>D2548*0.25</f>
        <v>0</v>
      </c>
      <c r="F2548" s="722">
        <f>E2548*1.05*0.99/135</f>
        <v>0</v>
      </c>
      <c r="G2548" s="720">
        <f t="shared" si="962"/>
        <v>0</v>
      </c>
      <c r="H2548" s="722" t="s">
        <v>18</v>
      </c>
      <c r="I2548" s="720">
        <f t="shared" si="963"/>
        <v>0</v>
      </c>
      <c r="J2548" s="722" t="s">
        <v>19</v>
      </c>
      <c r="K2548" s="722"/>
      <c r="L2548" s="722"/>
      <c r="M2548" s="722">
        <f>(F2548*6253)/2880</f>
        <v>0</v>
      </c>
      <c r="N2548" s="722"/>
      <c r="O2548" s="722"/>
      <c r="P2548" s="722"/>
      <c r="Q2548" s="722" t="s">
        <v>18</v>
      </c>
      <c r="R2548" s="722"/>
      <c r="S2548" s="722" t="s">
        <v>19</v>
      </c>
      <c r="T2548" s="720">
        <v>8</v>
      </c>
      <c r="U2548" s="722">
        <f>E2548/226*60</f>
        <v>0</v>
      </c>
      <c r="V2548" s="724"/>
      <c r="W2548" s="720"/>
      <c r="X2548" s="725"/>
      <c r="Y2548" s="737" t="s">
        <v>1029</v>
      </c>
      <c r="Z2548" s="727">
        <f t="shared" si="947"/>
        <v>0</v>
      </c>
      <c r="AA2548" s="815">
        <f>SUM(Z2548/240+0.25)</f>
        <v>0.25</v>
      </c>
    </row>
    <row r="2549" spans="1:27" s="728" customFormat="1" ht="51.75" outlineLevel="1" thickBot="1" x14ac:dyDescent="0.45">
      <c r="A2549" s="636" t="s">
        <v>775</v>
      </c>
      <c r="B2549" s="635" t="s">
        <v>809</v>
      </c>
      <c r="C2549" s="729"/>
      <c r="D2549" s="741">
        <f>C2549*8</f>
        <v>0</v>
      </c>
      <c r="E2549" s="721">
        <f>D2549*0.34</f>
        <v>0</v>
      </c>
      <c r="F2549" s="722">
        <f>E2549*0.99*1.01/147</f>
        <v>0</v>
      </c>
      <c r="G2549" s="720">
        <f t="shared" si="962"/>
        <v>0</v>
      </c>
      <c r="H2549" s="722" t="s">
        <v>18</v>
      </c>
      <c r="I2549" s="720">
        <f t="shared" si="963"/>
        <v>0</v>
      </c>
      <c r="J2549" s="722" t="s">
        <v>19</v>
      </c>
      <c r="K2549" s="722"/>
      <c r="L2549" s="722"/>
      <c r="M2549" s="722">
        <f>(F2549*5250)/2880</f>
        <v>0</v>
      </c>
      <c r="N2549" s="722"/>
      <c r="O2549" s="722"/>
      <c r="P2549" s="722"/>
      <c r="Q2549" s="722" t="s">
        <v>18</v>
      </c>
      <c r="R2549" s="722"/>
      <c r="S2549" s="722" t="s">
        <v>19</v>
      </c>
      <c r="T2549" s="730">
        <v>18</v>
      </c>
      <c r="U2549" s="585"/>
      <c r="V2549" s="724"/>
      <c r="W2549" s="720"/>
      <c r="X2549" s="725"/>
      <c r="Y2549" s="736"/>
      <c r="Z2549" s="727">
        <f t="shared" si="947"/>
        <v>0</v>
      </c>
      <c r="AA2549" s="316">
        <f>SUM(Z2549/280+0.25)</f>
        <v>0.25</v>
      </c>
    </row>
    <row r="2550" spans="1:27" s="728" customFormat="1" ht="51.75" outlineLevel="1" thickBot="1" x14ac:dyDescent="0.45">
      <c r="A2550" s="636" t="s">
        <v>775</v>
      </c>
      <c r="B2550" s="634" t="s">
        <v>810</v>
      </c>
      <c r="C2550" s="729"/>
      <c r="D2550" s="741">
        <f>C2550*8</f>
        <v>0</v>
      </c>
      <c r="E2550" s="721">
        <f>D2550*0.34</f>
        <v>0</v>
      </c>
      <c r="F2550" s="722">
        <f>E2550*0.99*1.01/147</f>
        <v>0</v>
      </c>
      <c r="G2550" s="720">
        <f t="shared" si="962"/>
        <v>0</v>
      </c>
      <c r="H2550" s="722" t="s">
        <v>18</v>
      </c>
      <c r="I2550" s="720">
        <f t="shared" si="963"/>
        <v>0</v>
      </c>
      <c r="J2550" s="722" t="s">
        <v>19</v>
      </c>
      <c r="K2550" s="722"/>
      <c r="L2550" s="722"/>
      <c r="M2550" s="722">
        <f>(F2550*5250)/2880</f>
        <v>0</v>
      </c>
      <c r="N2550" s="722"/>
      <c r="O2550" s="722"/>
      <c r="P2550" s="722"/>
      <c r="Q2550" s="722" t="s">
        <v>18</v>
      </c>
      <c r="R2550" s="722"/>
      <c r="S2550" s="722" t="s">
        <v>19</v>
      </c>
      <c r="T2550" s="730">
        <v>18</v>
      </c>
      <c r="U2550" s="585">
        <f>E2550/390*60</f>
        <v>0</v>
      </c>
      <c r="V2550" s="724"/>
      <c r="W2550" s="720"/>
      <c r="X2550" s="725"/>
      <c r="Y2550" s="736"/>
      <c r="Z2550" s="727">
        <f t="shared" si="947"/>
        <v>0</v>
      </c>
      <c r="AA2550" s="316">
        <f>SUM(Z2550/280+0.25)</f>
        <v>0.25</v>
      </c>
    </row>
    <row r="2551" spans="1:27" s="728" customFormat="1" ht="51.75" outlineLevel="1" thickBot="1" x14ac:dyDescent="0.45">
      <c r="A2551" s="636" t="s">
        <v>775</v>
      </c>
      <c r="B2551" s="634" t="s">
        <v>812</v>
      </c>
      <c r="C2551" s="720"/>
      <c r="D2551" s="741">
        <f>C2551*15</f>
        <v>0</v>
      </c>
      <c r="E2551" s="721">
        <f>D2551*0.18</f>
        <v>0</v>
      </c>
      <c r="F2551" s="722">
        <f t="shared" ref="F2551:F2557" si="964">E2551*0.99*1.03/147</f>
        <v>0</v>
      </c>
      <c r="G2551" s="720">
        <f t="shared" si="962"/>
        <v>0</v>
      </c>
      <c r="H2551" s="722" t="s">
        <v>18</v>
      </c>
      <c r="I2551" s="720">
        <f t="shared" si="963"/>
        <v>0</v>
      </c>
      <c r="J2551" s="722" t="s">
        <v>19</v>
      </c>
      <c r="K2551" s="722"/>
      <c r="L2551" s="722"/>
      <c r="M2551" s="722">
        <f>(F2551*6450)/2880</f>
        <v>0</v>
      </c>
      <c r="N2551" s="722"/>
      <c r="O2551" s="722"/>
      <c r="P2551" s="722"/>
      <c r="Q2551" s="722" t="s">
        <v>18</v>
      </c>
      <c r="R2551" s="722"/>
      <c r="S2551" s="722" t="s">
        <v>19</v>
      </c>
      <c r="T2551" s="720">
        <v>16</v>
      </c>
      <c r="U2551" s="324">
        <f>E2551/237*60</f>
        <v>0</v>
      </c>
      <c r="V2551" s="724"/>
      <c r="W2551" s="720"/>
      <c r="X2551" s="725"/>
      <c r="Y2551" s="736"/>
      <c r="Z2551" s="727">
        <f t="shared" si="947"/>
        <v>0</v>
      </c>
      <c r="AA2551" s="316">
        <f>SUM(Z2551/256+0.25)</f>
        <v>0.25</v>
      </c>
    </row>
    <row r="2552" spans="1:27" s="728" customFormat="1" ht="51.75" outlineLevel="1" thickBot="1" x14ac:dyDescent="0.45">
      <c r="A2552" s="636" t="s">
        <v>775</v>
      </c>
      <c r="B2552" s="747" t="s">
        <v>846</v>
      </c>
      <c r="C2552" s="720"/>
      <c r="D2552" s="741">
        <f>C2552*12</f>
        <v>0</v>
      </c>
      <c r="E2552" s="721">
        <f t="shared" ref="E2552:E2557" si="965">D2552*0.25</f>
        <v>0</v>
      </c>
      <c r="F2552" s="722">
        <f t="shared" si="964"/>
        <v>0</v>
      </c>
      <c r="G2552" s="720">
        <f t="shared" si="962"/>
        <v>0</v>
      </c>
      <c r="H2552" s="722" t="s">
        <v>18</v>
      </c>
      <c r="I2552" s="720">
        <f t="shared" si="963"/>
        <v>0</v>
      </c>
      <c r="J2552" s="722" t="s">
        <v>19</v>
      </c>
      <c r="K2552" s="722"/>
      <c r="L2552" s="722"/>
      <c r="M2552" s="722">
        <f t="shared" ref="M2552:M2557" si="966">(F2552*6989)/2880</f>
        <v>0</v>
      </c>
      <c r="N2552" s="722"/>
      <c r="O2552" s="722"/>
      <c r="P2552" s="722"/>
      <c r="Q2552" s="722" t="s">
        <v>18</v>
      </c>
      <c r="R2552" s="722"/>
      <c r="S2552" s="722" t="s">
        <v>19</v>
      </c>
      <c r="T2552" s="720">
        <v>8</v>
      </c>
      <c r="U2552" s="324">
        <f t="shared" ref="U2552:U2557" si="967">E2552/403*60</f>
        <v>0</v>
      </c>
      <c r="V2552" s="724"/>
      <c r="W2552" s="720"/>
      <c r="X2552" s="725"/>
      <c r="Y2552" s="736"/>
      <c r="Z2552" s="727">
        <f t="shared" si="947"/>
        <v>0</v>
      </c>
      <c r="AA2552" s="316">
        <f t="shared" ref="AA2552:AA2557" si="968">SUM(Z2552/240+0.25)</f>
        <v>0.25</v>
      </c>
    </row>
    <row r="2553" spans="1:27" s="728" customFormat="1" ht="51.75" outlineLevel="1" thickBot="1" x14ac:dyDescent="0.45">
      <c r="A2553" s="636" t="s">
        <v>775</v>
      </c>
      <c r="B2553" s="747" t="s">
        <v>847</v>
      </c>
      <c r="C2553" s="720"/>
      <c r="D2553" s="741">
        <f>C2553*12</f>
        <v>0</v>
      </c>
      <c r="E2553" s="721">
        <f t="shared" si="965"/>
        <v>0</v>
      </c>
      <c r="F2553" s="722">
        <f t="shared" si="964"/>
        <v>0</v>
      </c>
      <c r="G2553" s="720">
        <f t="shared" si="962"/>
        <v>0</v>
      </c>
      <c r="H2553" s="722" t="s">
        <v>18</v>
      </c>
      <c r="I2553" s="720">
        <f t="shared" si="963"/>
        <v>0</v>
      </c>
      <c r="J2553" s="722" t="s">
        <v>19</v>
      </c>
      <c r="K2553" s="722"/>
      <c r="L2553" s="722"/>
      <c r="M2553" s="722">
        <f t="shared" si="966"/>
        <v>0</v>
      </c>
      <c r="N2553" s="722"/>
      <c r="O2553" s="722"/>
      <c r="P2553" s="722"/>
      <c r="Q2553" s="722" t="s">
        <v>18</v>
      </c>
      <c r="R2553" s="722"/>
      <c r="S2553" s="722" t="s">
        <v>19</v>
      </c>
      <c r="T2553" s="720">
        <v>8</v>
      </c>
      <c r="U2553" s="324">
        <f t="shared" si="967"/>
        <v>0</v>
      </c>
      <c r="V2553" s="724"/>
      <c r="W2553" s="720"/>
      <c r="X2553" s="725"/>
      <c r="Y2553" s="736"/>
      <c r="Z2553" s="727">
        <f t="shared" si="947"/>
        <v>0</v>
      </c>
      <c r="AA2553" s="316">
        <f t="shared" si="968"/>
        <v>0.25</v>
      </c>
    </row>
    <row r="2554" spans="1:27" s="728" customFormat="1" ht="51.75" outlineLevel="1" thickBot="1" x14ac:dyDescent="0.45">
      <c r="A2554" s="636" t="s">
        <v>775</v>
      </c>
      <c r="B2554" s="747" t="s">
        <v>848</v>
      </c>
      <c r="C2554" s="720"/>
      <c r="D2554" s="741">
        <f>C2554*12</f>
        <v>0</v>
      </c>
      <c r="E2554" s="721">
        <f t="shared" si="965"/>
        <v>0</v>
      </c>
      <c r="F2554" s="722">
        <f t="shared" si="964"/>
        <v>0</v>
      </c>
      <c r="G2554" s="720">
        <f t="shared" si="962"/>
        <v>0</v>
      </c>
      <c r="H2554" s="722" t="s">
        <v>18</v>
      </c>
      <c r="I2554" s="720">
        <f t="shared" si="963"/>
        <v>0</v>
      </c>
      <c r="J2554" s="722" t="s">
        <v>19</v>
      </c>
      <c r="K2554" s="722"/>
      <c r="L2554" s="722"/>
      <c r="M2554" s="722">
        <f t="shared" si="966"/>
        <v>0</v>
      </c>
      <c r="N2554" s="722"/>
      <c r="O2554" s="722"/>
      <c r="P2554" s="722"/>
      <c r="Q2554" s="722" t="s">
        <v>18</v>
      </c>
      <c r="R2554" s="722"/>
      <c r="S2554" s="722" t="s">
        <v>19</v>
      </c>
      <c r="T2554" s="720">
        <v>8</v>
      </c>
      <c r="U2554" s="324">
        <f t="shared" si="967"/>
        <v>0</v>
      </c>
      <c r="V2554" s="724"/>
      <c r="W2554" s="720"/>
      <c r="X2554" s="725"/>
      <c r="Y2554" s="736"/>
      <c r="Z2554" s="727">
        <f t="shared" si="947"/>
        <v>0</v>
      </c>
      <c r="AA2554" s="316">
        <f t="shared" si="968"/>
        <v>0.25</v>
      </c>
    </row>
    <row r="2555" spans="1:27" s="728" customFormat="1" ht="51.75" outlineLevel="1" thickBot="1" x14ac:dyDescent="0.45">
      <c r="A2555" s="636" t="s">
        <v>775</v>
      </c>
      <c r="B2555" s="747" t="s">
        <v>1211</v>
      </c>
      <c r="C2555" s="720"/>
      <c r="D2555" s="741">
        <f>C2555*14</f>
        <v>0</v>
      </c>
      <c r="E2555" s="721">
        <f t="shared" si="965"/>
        <v>0</v>
      </c>
      <c r="F2555" s="722">
        <f t="shared" si="964"/>
        <v>0</v>
      </c>
      <c r="G2555" s="720">
        <f t="shared" ref="G2555:G2560" si="969">INT(M2555)</f>
        <v>0</v>
      </c>
      <c r="H2555" s="722" t="s">
        <v>18</v>
      </c>
      <c r="I2555" s="720">
        <f t="shared" ref="I2555:I2560" si="970">(M2555-G2555)*64</f>
        <v>0</v>
      </c>
      <c r="J2555" s="722" t="s">
        <v>19</v>
      </c>
      <c r="K2555" s="722"/>
      <c r="L2555" s="722"/>
      <c r="M2555" s="722">
        <f t="shared" si="966"/>
        <v>0</v>
      </c>
      <c r="N2555" s="722"/>
      <c r="O2555" s="722"/>
      <c r="P2555" s="722"/>
      <c r="Q2555" s="722" t="s">
        <v>18</v>
      </c>
      <c r="R2555" s="722"/>
      <c r="S2555" s="722" t="s">
        <v>19</v>
      </c>
      <c r="T2555" s="720">
        <v>8</v>
      </c>
      <c r="U2555" s="324">
        <f t="shared" si="967"/>
        <v>0</v>
      </c>
      <c r="V2555" s="724"/>
      <c r="W2555" s="720"/>
      <c r="X2555" s="725"/>
      <c r="Y2555" s="736"/>
      <c r="Z2555" s="727">
        <f>E2555</f>
        <v>0</v>
      </c>
      <c r="AA2555" s="316">
        <f t="shared" si="968"/>
        <v>0.25</v>
      </c>
    </row>
    <row r="2556" spans="1:27" s="728" customFormat="1" ht="51.75" outlineLevel="1" thickBot="1" x14ac:dyDescent="0.45">
      <c r="A2556" s="636" t="s">
        <v>775</v>
      </c>
      <c r="B2556" s="747" t="s">
        <v>1213</v>
      </c>
      <c r="C2556" s="720"/>
      <c r="D2556" s="741">
        <f>C2556*14</f>
        <v>0</v>
      </c>
      <c r="E2556" s="721">
        <f t="shared" si="965"/>
        <v>0</v>
      </c>
      <c r="F2556" s="722">
        <f t="shared" si="964"/>
        <v>0</v>
      </c>
      <c r="G2556" s="720">
        <f t="shared" si="969"/>
        <v>0</v>
      </c>
      <c r="H2556" s="722" t="s">
        <v>18</v>
      </c>
      <c r="I2556" s="720">
        <f t="shared" si="970"/>
        <v>0</v>
      </c>
      <c r="J2556" s="722" t="s">
        <v>19</v>
      </c>
      <c r="K2556" s="722"/>
      <c r="L2556" s="722"/>
      <c r="M2556" s="722">
        <f t="shared" si="966"/>
        <v>0</v>
      </c>
      <c r="N2556" s="722"/>
      <c r="O2556" s="722"/>
      <c r="P2556" s="722"/>
      <c r="Q2556" s="722" t="s">
        <v>18</v>
      </c>
      <c r="R2556" s="722"/>
      <c r="S2556" s="722" t="s">
        <v>19</v>
      </c>
      <c r="T2556" s="720">
        <v>8</v>
      </c>
      <c r="U2556" s="324">
        <f t="shared" si="967"/>
        <v>0</v>
      </c>
      <c r="V2556" s="724"/>
      <c r="W2556" s="720"/>
      <c r="X2556" s="725"/>
      <c r="Y2556" s="736"/>
      <c r="Z2556" s="727">
        <f>E2556</f>
        <v>0</v>
      </c>
      <c r="AA2556" s="316">
        <f t="shared" si="968"/>
        <v>0.25</v>
      </c>
    </row>
    <row r="2557" spans="1:27" s="728" customFormat="1" ht="51.75" outlineLevel="1" thickBot="1" x14ac:dyDescent="0.45">
      <c r="A2557" s="636" t="s">
        <v>775</v>
      </c>
      <c r="B2557" s="747" t="s">
        <v>1212</v>
      </c>
      <c r="C2557" s="720"/>
      <c r="D2557" s="741">
        <f>C2557*14</f>
        <v>0</v>
      </c>
      <c r="E2557" s="721">
        <f t="shared" si="965"/>
        <v>0</v>
      </c>
      <c r="F2557" s="722">
        <f t="shared" si="964"/>
        <v>0</v>
      </c>
      <c r="G2557" s="720">
        <f t="shared" si="969"/>
        <v>0</v>
      </c>
      <c r="H2557" s="722" t="s">
        <v>18</v>
      </c>
      <c r="I2557" s="720">
        <f t="shared" si="970"/>
        <v>0</v>
      </c>
      <c r="J2557" s="722" t="s">
        <v>19</v>
      </c>
      <c r="K2557" s="722"/>
      <c r="L2557" s="722"/>
      <c r="M2557" s="722">
        <f t="shared" si="966"/>
        <v>0</v>
      </c>
      <c r="N2557" s="722"/>
      <c r="O2557" s="722"/>
      <c r="P2557" s="722"/>
      <c r="Q2557" s="722" t="s">
        <v>18</v>
      </c>
      <c r="R2557" s="722"/>
      <c r="S2557" s="722" t="s">
        <v>19</v>
      </c>
      <c r="T2557" s="720">
        <v>8</v>
      </c>
      <c r="U2557" s="324">
        <f t="shared" si="967"/>
        <v>0</v>
      </c>
      <c r="V2557" s="724"/>
      <c r="W2557" s="720"/>
      <c r="X2557" s="725"/>
      <c r="Y2557" s="736"/>
      <c r="Z2557" s="727">
        <f>E2557</f>
        <v>0</v>
      </c>
      <c r="AA2557" s="316">
        <f t="shared" si="968"/>
        <v>0.25</v>
      </c>
    </row>
    <row r="2558" spans="1:27" s="728" customFormat="1" ht="51.75" outlineLevel="1" thickBot="1" x14ac:dyDescent="0.45">
      <c r="A2558" s="636" t="s">
        <v>775</v>
      </c>
      <c r="B2558" s="634" t="s">
        <v>1021</v>
      </c>
      <c r="C2558" s="720"/>
      <c r="D2558" s="741">
        <f>C2558*22</f>
        <v>0</v>
      </c>
      <c r="E2558" s="721">
        <f>D2558*0.13</f>
        <v>0</v>
      </c>
      <c r="F2558" s="722">
        <f>E2558*0.99*1.02/170</f>
        <v>0</v>
      </c>
      <c r="G2558" s="722">
        <f t="shared" si="969"/>
        <v>0</v>
      </c>
      <c r="H2558" s="722" t="s">
        <v>18</v>
      </c>
      <c r="I2558" s="720">
        <f t="shared" si="970"/>
        <v>0</v>
      </c>
      <c r="J2558" s="722" t="s">
        <v>19</v>
      </c>
      <c r="K2558" s="722"/>
      <c r="L2558" s="722"/>
      <c r="M2558" s="722">
        <f>(F2558*8500)/3456</f>
        <v>0</v>
      </c>
      <c r="N2558" s="722"/>
      <c r="O2558" s="722"/>
      <c r="P2558" s="722"/>
      <c r="Q2558" s="722" t="s">
        <v>18</v>
      </c>
      <c r="R2558" s="722"/>
      <c r="S2558" s="722" t="s">
        <v>19</v>
      </c>
      <c r="T2558" s="720">
        <v>8</v>
      </c>
      <c r="U2558" s="324">
        <f>E2558/237*60</f>
        <v>0</v>
      </c>
      <c r="V2558" s="724"/>
      <c r="W2558" s="720"/>
      <c r="X2558" s="725"/>
      <c r="Y2558" s="736"/>
      <c r="Z2558" s="727">
        <f t="shared" si="947"/>
        <v>0</v>
      </c>
      <c r="AA2558" s="316">
        <f>SUM(Z2558/217+0.25)</f>
        <v>0.25</v>
      </c>
    </row>
    <row r="2559" spans="1:27" s="728" customFormat="1" ht="51.75" outlineLevel="1" thickBot="1" x14ac:dyDescent="0.45">
      <c r="A2559" s="636" t="s">
        <v>775</v>
      </c>
      <c r="B2559" s="634" t="s">
        <v>1223</v>
      </c>
      <c r="C2559" s="720"/>
      <c r="D2559" s="741">
        <f>C2559*12</f>
        <v>0</v>
      </c>
      <c r="E2559" s="721">
        <f>D2559*0.13</f>
        <v>0</v>
      </c>
      <c r="F2559" s="722">
        <f>E2559*0.99*1.02/170</f>
        <v>0</v>
      </c>
      <c r="G2559" s="722">
        <f t="shared" si="969"/>
        <v>0</v>
      </c>
      <c r="H2559" s="722" t="s">
        <v>18</v>
      </c>
      <c r="I2559" s="720">
        <f t="shared" si="970"/>
        <v>0</v>
      </c>
      <c r="J2559" s="722" t="s">
        <v>19</v>
      </c>
      <c r="K2559" s="722"/>
      <c r="L2559" s="722"/>
      <c r="M2559" s="722">
        <f>(F2559*8500)/3456</f>
        <v>0</v>
      </c>
      <c r="N2559" s="722"/>
      <c r="O2559" s="722"/>
      <c r="P2559" s="722"/>
      <c r="Q2559" s="722" t="s">
        <v>18</v>
      </c>
      <c r="R2559" s="722"/>
      <c r="S2559" s="722" t="s">
        <v>19</v>
      </c>
      <c r="T2559" s="720">
        <v>8</v>
      </c>
      <c r="U2559" s="324">
        <f>E2559/237*60</f>
        <v>0</v>
      </c>
      <c r="V2559" s="724"/>
      <c r="W2559" s="720"/>
      <c r="X2559" s="725"/>
      <c r="Y2559" s="736"/>
      <c r="Z2559" s="727">
        <f>E2559</f>
        <v>0</v>
      </c>
      <c r="AA2559" s="316">
        <f>SUM(Z2559/217+0.25)</f>
        <v>0.25</v>
      </c>
    </row>
    <row r="2560" spans="1:27" s="728" customFormat="1" outlineLevel="1" thickBot="1" x14ac:dyDescent="0.45">
      <c r="A2560" s="636" t="s">
        <v>775</v>
      </c>
      <c r="B2560" s="634" t="s">
        <v>1023</v>
      </c>
      <c r="C2560" s="720"/>
      <c r="D2560" s="741">
        <f>C2560*8</f>
        <v>0</v>
      </c>
      <c r="E2560" s="721">
        <f>D2560*0.16</f>
        <v>0</v>
      </c>
      <c r="F2560" s="722">
        <f>E2560*0.99*1.02/170</f>
        <v>0</v>
      </c>
      <c r="G2560" s="722">
        <f t="shared" si="969"/>
        <v>0</v>
      </c>
      <c r="H2560" s="722" t="s">
        <v>18</v>
      </c>
      <c r="I2560" s="720">
        <f t="shared" si="970"/>
        <v>0</v>
      </c>
      <c r="J2560" s="722" t="s">
        <v>19</v>
      </c>
      <c r="K2560" s="722"/>
      <c r="L2560" s="722"/>
      <c r="M2560" s="722">
        <f>(F2560*8500)/3456</f>
        <v>0</v>
      </c>
      <c r="N2560" s="722"/>
      <c r="O2560" s="722"/>
      <c r="P2560" s="722"/>
      <c r="Q2560" s="722" t="s">
        <v>18</v>
      </c>
      <c r="R2560" s="722"/>
      <c r="S2560" s="722" t="s">
        <v>19</v>
      </c>
      <c r="T2560" s="720">
        <v>8</v>
      </c>
      <c r="U2560" s="324">
        <f>E2560/237*60</f>
        <v>0</v>
      </c>
      <c r="V2560" s="724"/>
      <c r="W2560" s="720"/>
      <c r="X2560" s="725"/>
      <c r="Y2560" s="736"/>
      <c r="Z2560" s="727">
        <f t="shared" si="947"/>
        <v>0</v>
      </c>
      <c r="AA2560" s="316">
        <f>SUM(Z2560/197+0.25)</f>
        <v>0.25</v>
      </c>
    </row>
    <row r="2561" spans="1:27" s="728" customFormat="1" ht="51.75" outlineLevel="1" thickBot="1" x14ac:dyDescent="0.45">
      <c r="A2561" s="636" t="s">
        <v>775</v>
      </c>
      <c r="B2561" s="672" t="s">
        <v>863</v>
      </c>
      <c r="C2561" s="720"/>
      <c r="D2561" s="741">
        <f>C2561*10</f>
        <v>0</v>
      </c>
      <c r="E2561" s="721">
        <f>D2561*0.16</f>
        <v>0</v>
      </c>
      <c r="F2561" s="722">
        <f>E2561*0.99*1.02/170</f>
        <v>0</v>
      </c>
      <c r="G2561" s="722">
        <f t="shared" si="962"/>
        <v>0</v>
      </c>
      <c r="H2561" s="722" t="s">
        <v>18</v>
      </c>
      <c r="I2561" s="720">
        <f t="shared" si="963"/>
        <v>0</v>
      </c>
      <c r="J2561" s="722" t="s">
        <v>19</v>
      </c>
      <c r="K2561" s="722"/>
      <c r="L2561" s="722"/>
      <c r="M2561" s="722">
        <f>(F2561*8500)/3456</f>
        <v>0</v>
      </c>
      <c r="N2561" s="722"/>
      <c r="O2561" s="722"/>
      <c r="P2561" s="722"/>
      <c r="Q2561" s="722" t="s">
        <v>18</v>
      </c>
      <c r="R2561" s="722"/>
      <c r="S2561" s="722" t="s">
        <v>19</v>
      </c>
      <c r="T2561" s="720">
        <v>8</v>
      </c>
      <c r="U2561" s="324">
        <f>E2561/226*60</f>
        <v>0</v>
      </c>
      <c r="V2561" s="724"/>
      <c r="W2561" s="720"/>
      <c r="X2561" s="725"/>
      <c r="Y2561" s="736"/>
      <c r="Z2561" s="727">
        <f t="shared" si="947"/>
        <v>0</v>
      </c>
      <c r="AA2561" s="316">
        <f>SUM(Z2561/197+0.25)</f>
        <v>0.25</v>
      </c>
    </row>
    <row r="2562" spans="1:27" s="728" customFormat="1" outlineLevel="1" thickBot="1" x14ac:dyDescent="0.45">
      <c r="A2562" s="762"/>
      <c r="B2562" s="747"/>
      <c r="C2562" s="763"/>
      <c r="D2562" s="741"/>
      <c r="E2562" s="721"/>
      <c r="F2562" s="722"/>
      <c r="G2562" s="722"/>
      <c r="H2562" s="722"/>
      <c r="I2562" s="720"/>
      <c r="J2562" s="722"/>
      <c r="K2562" s="722"/>
      <c r="L2562" s="722"/>
      <c r="M2562" s="722"/>
      <c r="N2562" s="722"/>
      <c r="O2562" s="722"/>
      <c r="P2562" s="722"/>
      <c r="Q2562" s="722"/>
      <c r="R2562" s="722"/>
      <c r="S2562" s="722"/>
      <c r="T2562" s="764"/>
      <c r="U2562" s="722"/>
      <c r="V2562" s="724"/>
      <c r="W2562" s="720"/>
      <c r="X2562" s="725"/>
      <c r="Y2562" s="736"/>
      <c r="Z2562" s="727"/>
      <c r="AA2562" s="316"/>
    </row>
    <row r="2563" spans="1:27" s="728" customFormat="1" outlineLevel="1" thickBot="1" x14ac:dyDescent="0.45">
      <c r="A2563" s="762"/>
      <c r="B2563" s="747"/>
      <c r="C2563" s="763"/>
      <c r="D2563" s="741"/>
      <c r="E2563" s="721"/>
      <c r="F2563" s="722"/>
      <c r="G2563" s="722"/>
      <c r="H2563" s="722"/>
      <c r="I2563" s="720"/>
      <c r="J2563" s="722"/>
      <c r="K2563" s="722"/>
      <c r="L2563" s="722"/>
      <c r="M2563" s="722"/>
      <c r="N2563" s="722"/>
      <c r="O2563" s="722"/>
      <c r="P2563" s="722"/>
      <c r="Q2563" s="722"/>
      <c r="R2563" s="722"/>
      <c r="S2563" s="722"/>
      <c r="T2563" s="764"/>
      <c r="U2563" s="722"/>
      <c r="V2563" s="724"/>
      <c r="W2563" s="720"/>
      <c r="X2563" s="725"/>
      <c r="Y2563" s="736"/>
      <c r="Z2563" s="727"/>
      <c r="AA2563" s="316"/>
    </row>
    <row r="2564" spans="1:27" s="728" customFormat="1" ht="53.25" outlineLevel="1" thickBot="1" x14ac:dyDescent="0.45">
      <c r="A2564" s="636"/>
      <c r="B2564" s="765" t="s">
        <v>695</v>
      </c>
      <c r="C2564" s="766"/>
      <c r="D2564" s="766"/>
      <c r="E2564" s="744"/>
      <c r="F2564" s="745"/>
      <c r="G2564" s="766"/>
      <c r="H2564" s="745"/>
      <c r="I2564" s="766"/>
      <c r="J2564" s="745"/>
      <c r="K2564" s="745"/>
      <c r="L2564" s="745"/>
      <c r="M2564" s="745"/>
      <c r="N2564" s="745"/>
      <c r="O2564" s="745"/>
      <c r="P2564" s="745"/>
      <c r="Q2564" s="745"/>
      <c r="R2564" s="745"/>
      <c r="S2564" s="745"/>
      <c r="T2564" s="766"/>
      <c r="U2564" s="745"/>
      <c r="V2564" s="767" t="s">
        <v>696</v>
      </c>
      <c r="W2564" s="766"/>
      <c r="X2564" s="768"/>
      <c r="Y2564" s="736"/>
      <c r="Z2564" s="727"/>
      <c r="AA2564" s="316"/>
    </row>
    <row r="2565" spans="1:27" s="728" customFormat="1" outlineLevel="1" thickBot="1" x14ac:dyDescent="0.45">
      <c r="A2565" s="636"/>
      <c r="B2565" s="636"/>
      <c r="C2565" s="720"/>
      <c r="D2565" s="720"/>
      <c r="E2565" s="721"/>
      <c r="F2565" s="722"/>
      <c r="G2565" s="720"/>
      <c r="H2565" s="722"/>
      <c r="I2565" s="720"/>
      <c r="J2565" s="722"/>
      <c r="K2565" s="722"/>
      <c r="L2565" s="722"/>
      <c r="M2565" s="722"/>
      <c r="N2565" s="722"/>
      <c r="O2565" s="722"/>
      <c r="P2565" s="722"/>
      <c r="Q2565" s="722"/>
      <c r="R2565" s="722"/>
      <c r="S2565" s="722"/>
      <c r="T2565" s="720"/>
      <c r="U2565" s="722"/>
      <c r="V2565" s="724"/>
      <c r="W2565" s="720"/>
      <c r="X2565" s="725"/>
      <c r="Y2565" s="736"/>
      <c r="Z2565" s="727"/>
      <c r="AA2565" s="316"/>
    </row>
    <row r="2566" spans="1:27" s="728" customFormat="1" outlineLevel="1" thickBot="1" x14ac:dyDescent="0.45">
      <c r="A2566" s="636"/>
      <c r="B2566" s="636"/>
      <c r="C2566" s="720"/>
      <c r="D2566" s="720"/>
      <c r="E2566" s="721"/>
      <c r="F2566" s="722"/>
      <c r="G2566" s="720"/>
      <c r="H2566" s="722"/>
      <c r="I2566" s="720"/>
      <c r="J2566" s="722"/>
      <c r="K2566" s="722"/>
      <c r="L2566" s="722"/>
      <c r="M2566" s="722"/>
      <c r="N2566" s="722"/>
      <c r="O2566" s="722"/>
      <c r="P2566" s="722"/>
      <c r="Q2566" s="722"/>
      <c r="R2566" s="722"/>
      <c r="S2566" s="722"/>
      <c r="T2566" s="720"/>
      <c r="U2566" s="722"/>
      <c r="V2566" s="724"/>
      <c r="W2566" s="720"/>
      <c r="X2566" s="725"/>
      <c r="Y2566" s="736"/>
      <c r="Z2566" s="727"/>
      <c r="AA2566" s="316"/>
    </row>
    <row r="2567" spans="1:27" s="728" customFormat="1" outlineLevel="1" thickBot="1" x14ac:dyDescent="0.45">
      <c r="A2567" s="636"/>
      <c r="B2567" s="769" t="s">
        <v>1055</v>
      </c>
      <c r="C2567" s="770"/>
      <c r="D2567" s="770"/>
      <c r="E2567" s="771">
        <f>E2568*2.5%</f>
        <v>0</v>
      </c>
      <c r="F2567" s="772"/>
      <c r="G2567" s="720"/>
      <c r="H2567" s="722"/>
      <c r="I2567" s="720"/>
      <c r="J2567" s="722"/>
      <c r="K2567" s="722"/>
      <c r="L2567" s="722"/>
      <c r="M2567" s="722"/>
      <c r="N2567" s="722"/>
      <c r="O2567" s="722"/>
      <c r="P2567" s="722"/>
      <c r="Q2567" s="722"/>
      <c r="R2567" s="722"/>
      <c r="S2567" s="722"/>
      <c r="T2567" s="720"/>
      <c r="U2567" s="722"/>
      <c r="V2567" s="724"/>
      <c r="W2567" s="720"/>
      <c r="X2567" s="725"/>
      <c r="Y2567" s="736"/>
      <c r="Z2567" s="727"/>
      <c r="AA2567" s="316"/>
    </row>
    <row r="2568" spans="1:27" s="728" customFormat="1" outlineLevel="1" thickBot="1" x14ac:dyDescent="0.45">
      <c r="A2568" s="833"/>
      <c r="B2568" s="773" t="s">
        <v>147</v>
      </c>
      <c r="C2568" s="766"/>
      <c r="D2568" s="766"/>
      <c r="E2568" s="744">
        <f>SUM(E2473:E2561)</f>
        <v>0</v>
      </c>
      <c r="F2568" s="722"/>
      <c r="G2568" s="720"/>
      <c r="H2568" s="722"/>
      <c r="I2568" s="720"/>
      <c r="J2568" s="722"/>
      <c r="K2568" s="722"/>
      <c r="L2568" s="722"/>
      <c r="M2568" s="722"/>
      <c r="N2568" s="722"/>
      <c r="O2568" s="722"/>
      <c r="P2568" s="722"/>
      <c r="Q2568" s="722"/>
      <c r="R2568" s="722"/>
      <c r="S2568" s="722"/>
      <c r="T2568" s="720"/>
      <c r="U2568" s="722"/>
      <c r="V2568" s="724"/>
      <c r="W2568" s="720"/>
      <c r="X2568" s="725"/>
      <c r="Y2568" s="736"/>
      <c r="Z2568" s="727"/>
      <c r="AA2568" s="316"/>
    </row>
    <row r="2569" spans="1:27" outlineLevel="1" thickBot="1" x14ac:dyDescent="0.45">
      <c r="A2569" s="356"/>
      <c r="B2569" s="356"/>
      <c r="C2569" s="528"/>
      <c r="D2569" s="528"/>
      <c r="E2569" s="460"/>
      <c r="F2569" s="324"/>
      <c r="G2569" s="528"/>
      <c r="H2569" s="324"/>
      <c r="I2569" s="528"/>
      <c r="J2569" s="324"/>
      <c r="K2569" s="324"/>
      <c r="L2569" s="324"/>
      <c r="M2569" s="324"/>
      <c r="N2569" s="324"/>
      <c r="O2569" s="324"/>
      <c r="P2569" s="324"/>
      <c r="Q2569" s="324"/>
      <c r="R2569" s="324"/>
      <c r="S2569" s="324"/>
      <c r="T2569" s="528"/>
      <c r="U2569" s="324"/>
      <c r="V2569" s="676"/>
      <c r="W2569" s="528"/>
      <c r="X2569" s="529"/>
      <c r="Y2569" s="323"/>
    </row>
    <row r="2570" spans="1:27" outlineLevel="1" thickBot="1" x14ac:dyDescent="0.45">
      <c r="A2570" s="356"/>
      <c r="B2570" s="356"/>
      <c r="C2570" s="528"/>
      <c r="D2570" s="528"/>
      <c r="E2570" s="460"/>
      <c r="F2570" s="324"/>
      <c r="G2570" s="528"/>
      <c r="H2570" s="324"/>
      <c r="I2570" s="528"/>
      <c r="J2570" s="324"/>
      <c r="K2570" s="324"/>
      <c r="L2570" s="324"/>
      <c r="M2570" s="324"/>
      <c r="N2570" s="324"/>
      <c r="O2570" s="324"/>
      <c r="P2570" s="324"/>
      <c r="Q2570" s="324"/>
      <c r="R2570" s="324"/>
      <c r="S2570" s="324"/>
      <c r="T2570" s="528"/>
      <c r="U2570" s="324"/>
      <c r="V2570" s="676"/>
      <c r="W2570" s="528"/>
      <c r="X2570" s="529"/>
      <c r="Y2570" s="323"/>
    </row>
    <row r="2571" spans="1:27" thickBot="1" x14ac:dyDescent="0.45">
      <c r="A2571" s="829"/>
      <c r="B2571" s="303" t="s">
        <v>645</v>
      </c>
      <c r="C2571" s="537"/>
      <c r="D2571" s="537"/>
      <c r="E2571" s="496"/>
      <c r="F2571" s="354"/>
      <c r="G2571" s="537"/>
      <c r="H2571" s="354"/>
      <c r="I2571" s="537"/>
      <c r="J2571" s="354"/>
      <c r="K2571" s="354"/>
      <c r="L2571" s="354"/>
      <c r="M2571" s="354"/>
      <c r="N2571" s="354"/>
      <c r="O2571" s="354"/>
      <c r="P2571" s="354"/>
      <c r="Q2571" s="354"/>
      <c r="R2571" s="354"/>
      <c r="S2571" s="354"/>
      <c r="T2571" s="537"/>
      <c r="U2571" s="354"/>
      <c r="V2571" s="682"/>
      <c r="W2571" s="354"/>
      <c r="X2571" s="540"/>
      <c r="Y2571" s="301"/>
      <c r="AA2571" s="391" t="s">
        <v>679</v>
      </c>
    </row>
    <row r="2572" spans="1:27" ht="77.25" thickBot="1" x14ac:dyDescent="0.45">
      <c r="A2572" s="319" t="s">
        <v>734</v>
      </c>
      <c r="B2572" s="320" t="s">
        <v>840</v>
      </c>
      <c r="C2572" s="586">
        <f>C240+C470+C700+C885+C1066</f>
        <v>0</v>
      </c>
      <c r="D2572" s="528"/>
      <c r="E2572" s="456">
        <f t="shared" ref="E2572:E2578" si="971">C2572*4</f>
        <v>0</v>
      </c>
      <c r="F2572" s="358">
        <f>E2572*0.9*1.01/147</f>
        <v>0</v>
      </c>
      <c r="G2572" s="548">
        <f>INT(M2572)</f>
        <v>0</v>
      </c>
      <c r="H2572" s="358" t="s">
        <v>18</v>
      </c>
      <c r="I2572" s="548">
        <f>(M2572-G2572)*64</f>
        <v>0</v>
      </c>
      <c r="J2572" s="358" t="s">
        <v>19</v>
      </c>
      <c r="K2572" s="358"/>
      <c r="L2572" s="358"/>
      <c r="M2572" s="358">
        <f>(F2572*6533/3456)</f>
        <v>0</v>
      </c>
      <c r="N2572" s="358"/>
      <c r="O2572" s="358"/>
      <c r="P2572" s="358"/>
      <c r="Q2572" s="358" t="s">
        <v>18</v>
      </c>
      <c r="R2572" s="358"/>
      <c r="S2572" s="358" t="s">
        <v>19</v>
      </c>
      <c r="T2572" s="528">
        <v>4</v>
      </c>
      <c r="U2572" s="324">
        <f>E2572/324*60</f>
        <v>0</v>
      </c>
      <c r="V2572" s="676"/>
      <c r="W2572" s="528"/>
      <c r="X2572" s="529"/>
      <c r="Y2572" s="323"/>
      <c r="Z2572" s="312">
        <f t="shared" ref="Z2572:Z2582" si="972">E2572</f>
        <v>0</v>
      </c>
      <c r="AA2572" s="316">
        <f t="shared" ref="AA2572:AA2577" si="973">SUM(Z2572/148+0.25)</f>
        <v>0.25</v>
      </c>
    </row>
    <row r="2573" spans="1:27" ht="77.25" thickBot="1" x14ac:dyDescent="0.45">
      <c r="A2573" s="319" t="s">
        <v>734</v>
      </c>
      <c r="B2573" s="799" t="s">
        <v>1192</v>
      </c>
      <c r="C2573" s="586">
        <f>C241+C471+C701+C892+C1067</f>
        <v>0</v>
      </c>
      <c r="D2573" s="528"/>
      <c r="E2573" s="460">
        <f>C2573*1.3</f>
        <v>0</v>
      </c>
      <c r="F2573" s="324">
        <f>E2573*1.02*1/135</f>
        <v>0</v>
      </c>
      <c r="G2573" s="528">
        <f t="shared" ref="G2573:G2581" si="974">INT(M2573)</f>
        <v>0</v>
      </c>
      <c r="H2573" s="324" t="s">
        <v>18</v>
      </c>
      <c r="I2573" s="528">
        <f t="shared" ref="I2573:I2581" si="975">(M2573-G2573)*64</f>
        <v>0</v>
      </c>
      <c r="J2573" s="324" t="s">
        <v>19</v>
      </c>
      <c r="K2573" s="324"/>
      <c r="L2573" s="324"/>
      <c r="M2573" s="324">
        <f>F2573*5252/2880</f>
        <v>0</v>
      </c>
      <c r="N2573" s="324"/>
      <c r="O2573" s="324"/>
      <c r="P2573" s="324"/>
      <c r="Q2573" s="324" t="s">
        <v>18</v>
      </c>
      <c r="R2573" s="324"/>
      <c r="S2573" s="324" t="s">
        <v>19</v>
      </c>
      <c r="T2573" s="528">
        <v>4</v>
      </c>
      <c r="U2573" s="324">
        <f>E2573/237*60</f>
        <v>0</v>
      </c>
      <c r="V2573" s="676"/>
      <c r="W2573" s="528"/>
      <c r="X2573" s="529"/>
      <c r="Y2573" s="323"/>
      <c r="Z2573" s="312">
        <f>E2573</f>
        <v>0</v>
      </c>
      <c r="AA2573" s="316">
        <f t="shared" si="973"/>
        <v>0.25</v>
      </c>
    </row>
    <row r="2574" spans="1:27" ht="102.75" outlineLevel="1" thickBot="1" x14ac:dyDescent="0.45">
      <c r="A2574" s="319" t="s">
        <v>734</v>
      </c>
      <c r="B2574" s="320" t="s">
        <v>1219</v>
      </c>
      <c r="C2574" s="528">
        <f>C238+C468+C698+C883+C1064</f>
        <v>0</v>
      </c>
      <c r="D2574" s="528"/>
      <c r="E2574" s="460">
        <f t="shared" si="971"/>
        <v>0</v>
      </c>
      <c r="F2574" s="324">
        <f>E2574*1.02*0.99/147</f>
        <v>0</v>
      </c>
      <c r="G2574" s="528">
        <f t="shared" si="974"/>
        <v>0</v>
      </c>
      <c r="H2574" s="324" t="s">
        <v>18</v>
      </c>
      <c r="I2574" s="528">
        <f t="shared" si="975"/>
        <v>0</v>
      </c>
      <c r="J2574" s="324" t="s">
        <v>19</v>
      </c>
      <c r="K2574" s="324"/>
      <c r="L2574" s="324"/>
      <c r="M2574" s="324">
        <f>F2574*5764/2880</f>
        <v>0</v>
      </c>
      <c r="N2574" s="324"/>
      <c r="O2574" s="324"/>
      <c r="P2574" s="324"/>
      <c r="Q2574" s="324" t="s">
        <v>18</v>
      </c>
      <c r="R2574" s="324"/>
      <c r="S2574" s="324" t="s">
        <v>19</v>
      </c>
      <c r="T2574" s="528">
        <v>4</v>
      </c>
      <c r="U2574" s="324">
        <f>E2574/324*60</f>
        <v>0</v>
      </c>
      <c r="V2574" s="676"/>
      <c r="W2574" s="528"/>
      <c r="X2574" s="529"/>
      <c r="Y2574" s="323"/>
      <c r="Z2574" s="312">
        <f>E2574</f>
        <v>0</v>
      </c>
      <c r="AA2574" s="316">
        <f t="shared" si="973"/>
        <v>0.25</v>
      </c>
    </row>
    <row r="2575" spans="1:27" ht="102.75" outlineLevel="1" thickBot="1" x14ac:dyDescent="0.45">
      <c r="A2575" s="319" t="s">
        <v>734</v>
      </c>
      <c r="B2575" s="320" t="s">
        <v>1220</v>
      </c>
      <c r="C2575" s="528">
        <f>C239+C469+C699+C884+C1065</f>
        <v>0</v>
      </c>
      <c r="D2575" s="528"/>
      <c r="E2575" s="460">
        <f>C2575*4</f>
        <v>0</v>
      </c>
      <c r="F2575" s="324">
        <f>E2575*1.02*0.99/147</f>
        <v>0</v>
      </c>
      <c r="G2575" s="528">
        <f t="shared" si="974"/>
        <v>0</v>
      </c>
      <c r="H2575" s="324" t="s">
        <v>18</v>
      </c>
      <c r="I2575" s="528">
        <f t="shared" si="975"/>
        <v>0</v>
      </c>
      <c r="J2575" s="324" t="s">
        <v>19</v>
      </c>
      <c r="K2575" s="324"/>
      <c r="L2575" s="324"/>
      <c r="M2575" s="324">
        <f>F2575*5764/2880</f>
        <v>0</v>
      </c>
      <c r="N2575" s="324"/>
      <c r="O2575" s="324"/>
      <c r="P2575" s="324"/>
      <c r="Q2575" s="324" t="s">
        <v>18</v>
      </c>
      <c r="R2575" s="324"/>
      <c r="S2575" s="324" t="s">
        <v>19</v>
      </c>
      <c r="T2575" s="528">
        <v>4</v>
      </c>
      <c r="U2575" s="324">
        <f>E2575/324*60</f>
        <v>0</v>
      </c>
      <c r="V2575" s="676"/>
      <c r="W2575" s="528"/>
      <c r="X2575" s="529"/>
      <c r="Y2575" s="360"/>
      <c r="Z2575" s="312">
        <f>E2575</f>
        <v>0</v>
      </c>
      <c r="AA2575" s="316">
        <f t="shared" si="973"/>
        <v>0.25</v>
      </c>
    </row>
    <row r="2576" spans="1:27" ht="77.25" thickBot="1" x14ac:dyDescent="0.45">
      <c r="A2576" s="319" t="s">
        <v>734</v>
      </c>
      <c r="B2576" s="320" t="s">
        <v>917</v>
      </c>
      <c r="C2576" s="528">
        <f>C1733+C1233</f>
        <v>0</v>
      </c>
      <c r="D2576" s="528"/>
      <c r="E2576" s="456">
        <f t="shared" si="971"/>
        <v>0</v>
      </c>
      <c r="F2576" s="358">
        <f>E2576*1.02*0.99/147</f>
        <v>0</v>
      </c>
      <c r="G2576" s="548">
        <f t="shared" si="974"/>
        <v>0</v>
      </c>
      <c r="H2576" s="358" t="s">
        <v>18</v>
      </c>
      <c r="I2576" s="548">
        <f t="shared" si="975"/>
        <v>0</v>
      </c>
      <c r="J2576" s="358" t="s">
        <v>19</v>
      </c>
      <c r="K2576" s="358"/>
      <c r="L2576" s="358"/>
      <c r="M2576" s="358">
        <f>F2576*4983/2880</f>
        <v>0</v>
      </c>
      <c r="N2576" s="358"/>
      <c r="O2576" s="358"/>
      <c r="P2576" s="358"/>
      <c r="Q2576" s="358" t="s">
        <v>18</v>
      </c>
      <c r="R2576" s="358"/>
      <c r="S2576" s="358" t="s">
        <v>19</v>
      </c>
      <c r="T2576" s="528">
        <v>4</v>
      </c>
      <c r="U2576" s="324">
        <f>E2576/324*60</f>
        <v>0</v>
      </c>
      <c r="V2576" s="676"/>
      <c r="W2576" s="528"/>
      <c r="X2576" s="529"/>
      <c r="Y2576" s="323"/>
      <c r="Z2576" s="312">
        <f t="shared" si="972"/>
        <v>0</v>
      </c>
      <c r="AA2576" s="316">
        <f t="shared" si="973"/>
        <v>0.25</v>
      </c>
    </row>
    <row r="2577" spans="1:27" ht="77.25" thickBot="1" x14ac:dyDescent="0.45">
      <c r="A2577" s="319" t="s">
        <v>734</v>
      </c>
      <c r="B2577" s="320" t="s">
        <v>1063</v>
      </c>
      <c r="C2577" s="528">
        <f>C1732+C1234</f>
        <v>0</v>
      </c>
      <c r="D2577" s="528"/>
      <c r="E2577" s="460">
        <f>C2577*2</f>
        <v>0</v>
      </c>
      <c r="F2577" s="324">
        <f>E2577*1.02*0.99/147</f>
        <v>0</v>
      </c>
      <c r="G2577" s="528">
        <f>INT(M2577)</f>
        <v>0</v>
      </c>
      <c r="H2577" s="324" t="s">
        <v>18</v>
      </c>
      <c r="I2577" s="528">
        <f>(M2577-G2577)*64</f>
        <v>0</v>
      </c>
      <c r="J2577" s="324" t="s">
        <v>19</v>
      </c>
      <c r="K2577" s="324"/>
      <c r="L2577" s="324"/>
      <c r="M2577" s="324">
        <f>F2577*4983/2880</f>
        <v>0</v>
      </c>
      <c r="N2577" s="324"/>
      <c r="O2577" s="324"/>
      <c r="P2577" s="324"/>
      <c r="Q2577" s="324" t="s">
        <v>18</v>
      </c>
      <c r="R2577" s="324"/>
      <c r="S2577" s="324" t="s">
        <v>19</v>
      </c>
      <c r="T2577" s="528">
        <v>4</v>
      </c>
      <c r="U2577" s="324">
        <f>E2577/324*60</f>
        <v>0</v>
      </c>
      <c r="V2577" s="676"/>
      <c r="W2577" s="528"/>
      <c r="X2577" s="529"/>
      <c r="Y2577" s="360"/>
      <c r="Z2577" s="312">
        <f>E2577</f>
        <v>0</v>
      </c>
      <c r="AA2577" s="316">
        <f t="shared" si="973"/>
        <v>0.25</v>
      </c>
    </row>
    <row r="2578" spans="1:27" ht="102.75" thickBot="1" x14ac:dyDescent="0.45">
      <c r="A2578" s="319" t="s">
        <v>734</v>
      </c>
      <c r="B2578" s="320" t="s">
        <v>918</v>
      </c>
      <c r="C2578" s="528">
        <f>C2220</f>
        <v>0</v>
      </c>
      <c r="D2578" s="528"/>
      <c r="E2578" s="456">
        <f t="shared" si="971"/>
        <v>0</v>
      </c>
      <c r="F2578" s="358">
        <f>E2578*1.02*0.99/147</f>
        <v>0</v>
      </c>
      <c r="G2578" s="548">
        <f t="shared" si="974"/>
        <v>0</v>
      </c>
      <c r="H2578" s="358" t="s">
        <v>18</v>
      </c>
      <c r="I2578" s="548">
        <f t="shared" si="975"/>
        <v>0</v>
      </c>
      <c r="J2578" s="358" t="s">
        <v>19</v>
      </c>
      <c r="K2578" s="358"/>
      <c r="L2578" s="358"/>
      <c r="M2578" s="358">
        <f>F2578*4983/2880</f>
        <v>0</v>
      </c>
      <c r="N2578" s="358"/>
      <c r="O2578" s="358"/>
      <c r="P2578" s="358"/>
      <c r="Q2578" s="358" t="s">
        <v>18</v>
      </c>
      <c r="R2578" s="358"/>
      <c r="S2578" s="358" t="s">
        <v>19</v>
      </c>
      <c r="T2578" s="528">
        <v>4</v>
      </c>
      <c r="U2578" s="324">
        <f>E2578/324*60</f>
        <v>0</v>
      </c>
      <c r="V2578" s="676"/>
      <c r="W2578" s="528"/>
      <c r="X2578" s="529"/>
      <c r="Y2578" s="323"/>
      <c r="Z2578" s="312">
        <f t="shared" si="972"/>
        <v>0</v>
      </c>
      <c r="AA2578" s="316">
        <f>SUM(E2578/148+0.25)</f>
        <v>0.25</v>
      </c>
    </row>
    <row r="2579" spans="1:27" ht="102.75" thickBot="1" x14ac:dyDescent="0.45">
      <c r="A2579" s="319" t="s">
        <v>734</v>
      </c>
      <c r="B2579" s="320" t="s">
        <v>843</v>
      </c>
      <c r="C2579" s="586">
        <f>C2344</f>
        <v>0</v>
      </c>
      <c r="D2579" s="528"/>
      <c r="E2579" s="546">
        <f>C2579*2</f>
        <v>0</v>
      </c>
      <c r="F2579" s="546">
        <f>E2579*1.03*0.87/19.3</f>
        <v>0</v>
      </c>
      <c r="G2579" s="639">
        <f>INT(M2579)</f>
        <v>0</v>
      </c>
      <c r="H2579" s="546" t="s">
        <v>18</v>
      </c>
      <c r="I2579" s="639">
        <f>(M2579-G2579)*64</f>
        <v>0</v>
      </c>
      <c r="J2579" s="546" t="s">
        <v>19</v>
      </c>
      <c r="K2579" s="546"/>
      <c r="L2579" s="546"/>
      <c r="M2579" s="546">
        <f>(F2579*877/2880)</f>
        <v>0</v>
      </c>
      <c r="N2579" s="546"/>
      <c r="O2579" s="324"/>
      <c r="P2579" s="324"/>
      <c r="Q2579" s="324" t="s">
        <v>18</v>
      </c>
      <c r="R2579" s="324"/>
      <c r="S2579" s="324" t="s">
        <v>19</v>
      </c>
      <c r="T2579" s="528">
        <v>5</v>
      </c>
      <c r="U2579" s="324">
        <f>E2579/259*60</f>
        <v>0</v>
      </c>
      <c r="V2579" s="670" t="s">
        <v>862</v>
      </c>
      <c r="W2579" s="528"/>
      <c r="X2579" s="529"/>
      <c r="Y2579" s="323"/>
      <c r="Z2579" s="312">
        <f t="shared" si="972"/>
        <v>0</v>
      </c>
      <c r="AA2579" s="316">
        <f>SUM(Z2579/108+0.25)</f>
        <v>0.25</v>
      </c>
    </row>
    <row r="2580" spans="1:27" thickBot="1" x14ac:dyDescent="0.45">
      <c r="A2580" s="319" t="s">
        <v>734</v>
      </c>
      <c r="B2580" s="343" t="s">
        <v>1023</v>
      </c>
      <c r="C2580" s="528">
        <f>C337+C567+C795+C975+C1156</f>
        <v>0</v>
      </c>
      <c r="D2580" s="530">
        <f>C2580*8</f>
        <v>0</v>
      </c>
      <c r="E2580" s="460">
        <f>D2580*0.16</f>
        <v>0</v>
      </c>
      <c r="F2580" s="324">
        <f>E2580*0.99*1.02/170</f>
        <v>0</v>
      </c>
      <c r="G2580" s="324">
        <f>INT(M2580)</f>
        <v>0</v>
      </c>
      <c r="H2580" s="324" t="s">
        <v>18</v>
      </c>
      <c r="I2580" s="528">
        <f>(M2580-G2580)*64</f>
        <v>0</v>
      </c>
      <c r="J2580" s="324" t="s">
        <v>19</v>
      </c>
      <c r="K2580" s="324"/>
      <c r="L2580" s="324"/>
      <c r="M2580" s="324">
        <f>(F2580*8500)/3456</f>
        <v>0</v>
      </c>
      <c r="N2580" s="324"/>
      <c r="O2580" s="324"/>
      <c r="P2580" s="324"/>
      <c r="Q2580" s="324" t="s">
        <v>18</v>
      </c>
      <c r="R2580" s="324"/>
      <c r="S2580" s="324" t="s">
        <v>19</v>
      </c>
      <c r="T2580" s="528">
        <v>6</v>
      </c>
      <c r="U2580" s="324">
        <f>E2580/259*60</f>
        <v>0</v>
      </c>
      <c r="V2580" s="670"/>
      <c r="W2580" s="528"/>
      <c r="X2580" s="529"/>
      <c r="Y2580" s="323"/>
      <c r="Z2580" s="312">
        <f t="shared" si="972"/>
        <v>0</v>
      </c>
      <c r="AA2580" s="316">
        <f>SUM(Z2580/96+0.25)</f>
        <v>0.25</v>
      </c>
    </row>
    <row r="2581" spans="1:27" ht="51.75" thickBot="1" x14ac:dyDescent="0.45">
      <c r="A2581" s="319" t="s">
        <v>734</v>
      </c>
      <c r="B2581" s="343" t="s">
        <v>1194</v>
      </c>
      <c r="C2581" s="528">
        <f>C338+C568+C796+C976+C1157</f>
        <v>0</v>
      </c>
      <c r="D2581" s="551">
        <f>C2581*12</f>
        <v>0</v>
      </c>
      <c r="E2581" s="456">
        <f>D2581*0.16</f>
        <v>0</v>
      </c>
      <c r="F2581" s="358">
        <f>E2581*0.99*1.02/170</f>
        <v>0</v>
      </c>
      <c r="G2581" s="358">
        <f t="shared" si="974"/>
        <v>0</v>
      </c>
      <c r="H2581" s="358" t="s">
        <v>18</v>
      </c>
      <c r="I2581" s="548">
        <f t="shared" si="975"/>
        <v>0</v>
      </c>
      <c r="J2581" s="358" t="s">
        <v>19</v>
      </c>
      <c r="K2581" s="358"/>
      <c r="L2581" s="358"/>
      <c r="M2581" s="358">
        <f>(F2581*8500)/3456</f>
        <v>0</v>
      </c>
      <c r="N2581" s="324"/>
      <c r="O2581" s="324"/>
      <c r="P2581" s="324"/>
      <c r="Q2581" s="324" t="s">
        <v>18</v>
      </c>
      <c r="R2581" s="324"/>
      <c r="S2581" s="324" t="s">
        <v>19</v>
      </c>
      <c r="T2581" s="528">
        <v>6</v>
      </c>
      <c r="U2581" s="324">
        <f>E2581/259*60</f>
        <v>0</v>
      </c>
      <c r="V2581" s="670"/>
      <c r="W2581" s="528"/>
      <c r="X2581" s="529"/>
      <c r="Y2581" s="323"/>
      <c r="Z2581" s="312">
        <f t="shared" si="972"/>
        <v>0</v>
      </c>
      <c r="AA2581" s="316">
        <f>SUM(Z2581/96+0.25)</f>
        <v>0.25</v>
      </c>
    </row>
    <row r="2582" spans="1:27" ht="77.25" thickBot="1" x14ac:dyDescent="0.45">
      <c r="A2582" s="319" t="s">
        <v>734</v>
      </c>
      <c r="B2582" s="873" t="s">
        <v>1207</v>
      </c>
      <c r="C2582" s="528">
        <f>C1276+C1777+C2330</f>
        <v>0</v>
      </c>
      <c r="D2582" s="550">
        <f>C2582*12</f>
        <v>0</v>
      </c>
      <c r="E2582" s="456">
        <f>D2582*0.27</f>
        <v>0</v>
      </c>
      <c r="F2582" s="358">
        <f>E2582*0.87*1.01/151</f>
        <v>0</v>
      </c>
      <c r="G2582" s="358">
        <f>INT(M2582)</f>
        <v>0</v>
      </c>
      <c r="H2582" s="358" t="s">
        <v>18</v>
      </c>
      <c r="I2582" s="548">
        <f>(M2582-G2582)*64</f>
        <v>0</v>
      </c>
      <c r="J2582" s="358" t="s">
        <v>19</v>
      </c>
      <c r="K2582" s="358"/>
      <c r="L2582" s="358"/>
      <c r="M2582" s="358">
        <f>F2582*7889/3456</f>
        <v>0</v>
      </c>
      <c r="N2582" s="461"/>
      <c r="O2582" s="461"/>
      <c r="P2582" s="366"/>
      <c r="Q2582" s="358" t="s">
        <v>18</v>
      </c>
      <c r="R2582" s="358"/>
      <c r="S2582" s="358" t="s">
        <v>19</v>
      </c>
      <c r="T2582" s="528">
        <v>6</v>
      </c>
      <c r="U2582" s="324">
        <f>E2582/390*60</f>
        <v>0</v>
      </c>
      <c r="V2582" s="676"/>
      <c r="W2582" s="528"/>
      <c r="X2582" s="529"/>
      <c r="Y2582" s="367"/>
      <c r="Z2582" s="312">
        <f t="shared" si="972"/>
        <v>0</v>
      </c>
      <c r="AA2582" s="316">
        <f>SUM(Z2582/108+0.25)</f>
        <v>0.25</v>
      </c>
    </row>
    <row r="2583" spans="1:27" ht="77.25" thickBot="1" x14ac:dyDescent="0.45">
      <c r="A2583" s="319" t="s">
        <v>734</v>
      </c>
      <c r="B2583" s="873" t="s">
        <v>1221</v>
      </c>
      <c r="C2583" s="528">
        <f>C1277+C1778+C2331</f>
        <v>0</v>
      </c>
      <c r="D2583" s="550">
        <f>C2583*7</f>
        <v>0</v>
      </c>
      <c r="E2583" s="456">
        <f>D2583*0.27</f>
        <v>0</v>
      </c>
      <c r="F2583" s="358">
        <f>E2583*0.87*1.01/151</f>
        <v>0</v>
      </c>
      <c r="G2583" s="358">
        <f>INT(M2583)</f>
        <v>0</v>
      </c>
      <c r="H2583" s="358" t="s">
        <v>18</v>
      </c>
      <c r="I2583" s="548">
        <f>(M2583-G2583)*64</f>
        <v>0</v>
      </c>
      <c r="J2583" s="358" t="s">
        <v>19</v>
      </c>
      <c r="K2583" s="358"/>
      <c r="L2583" s="358"/>
      <c r="M2583" s="358">
        <f>F2583*7889/3456</f>
        <v>0</v>
      </c>
      <c r="N2583" s="461"/>
      <c r="O2583" s="461"/>
      <c r="P2583" s="366"/>
      <c r="Q2583" s="358" t="s">
        <v>18</v>
      </c>
      <c r="R2583" s="358"/>
      <c r="S2583" s="358" t="s">
        <v>19</v>
      </c>
      <c r="T2583" s="528">
        <v>6</v>
      </c>
      <c r="U2583" s="324">
        <f>E2583/390*60</f>
        <v>0</v>
      </c>
      <c r="V2583" s="676"/>
      <c r="W2583" s="528"/>
      <c r="X2583" s="529"/>
      <c r="Y2583" s="367"/>
      <c r="Z2583" s="312">
        <f>E2583</f>
        <v>0</v>
      </c>
      <c r="AA2583" s="316">
        <f>SUM(Z2583/108+0.25)</f>
        <v>0.25</v>
      </c>
    </row>
    <row r="2584" spans="1:27" ht="51.75" thickBot="1" x14ac:dyDescent="0.45">
      <c r="A2584" s="329" t="s">
        <v>734</v>
      </c>
      <c r="B2584" s="878" t="s">
        <v>1208</v>
      </c>
      <c r="C2584" s="872">
        <f>C212+C440+C670+C857+C1038</f>
        <v>0</v>
      </c>
      <c r="D2584" s="548">
        <f>C2584*12</f>
        <v>0</v>
      </c>
      <c r="E2584" s="456">
        <f>D2584*0.3</f>
        <v>0</v>
      </c>
      <c r="F2584" s="358">
        <f>E2584*1.01*0.79/152</f>
        <v>0</v>
      </c>
      <c r="G2584" s="549">
        <f>INT(M2584)</f>
        <v>0</v>
      </c>
      <c r="H2584" s="359" t="s">
        <v>18</v>
      </c>
      <c r="I2584" s="549">
        <f>(M2584-G2584)*64</f>
        <v>0</v>
      </c>
      <c r="J2584" s="359" t="s">
        <v>19</v>
      </c>
      <c r="K2584" s="358"/>
      <c r="L2584" s="358"/>
      <c r="M2584" s="358">
        <f>F2584*7696/3456</f>
        <v>0</v>
      </c>
      <c r="N2584" s="461"/>
      <c r="O2584" s="461"/>
      <c r="P2584" s="358"/>
      <c r="Q2584" s="358" t="s">
        <v>18</v>
      </c>
      <c r="R2584" s="358"/>
      <c r="S2584" s="358" t="s">
        <v>19</v>
      </c>
      <c r="T2584" s="528">
        <v>6</v>
      </c>
      <c r="U2584" s="324">
        <f>E2584/220*60</f>
        <v>0</v>
      </c>
      <c r="V2584" s="676"/>
      <c r="W2584" s="528"/>
      <c r="X2584" s="529"/>
      <c r="Y2584" s="323"/>
      <c r="Z2584" s="312">
        <f>E2584</f>
        <v>0</v>
      </c>
      <c r="AA2584" s="316">
        <f>SUM(Z2584/96+0.25)</f>
        <v>0.25</v>
      </c>
    </row>
    <row r="2585" spans="1:27" ht="51.75" thickBot="1" x14ac:dyDescent="0.45">
      <c r="A2585" s="329" t="s">
        <v>734</v>
      </c>
      <c r="B2585" s="799" t="s">
        <v>1215</v>
      </c>
      <c r="C2585" s="528">
        <f>C1802+C2356+C1294</f>
        <v>0</v>
      </c>
      <c r="D2585" s="530">
        <f>C2585*10</f>
        <v>0</v>
      </c>
      <c r="E2585" s="460">
        <f>D2585*0.16</f>
        <v>0</v>
      </c>
      <c r="F2585" s="324">
        <f>E2585*0.99*1.02/170</f>
        <v>0</v>
      </c>
      <c r="G2585" s="324">
        <f>INT(M2585)</f>
        <v>0</v>
      </c>
      <c r="H2585" s="324" t="s">
        <v>18</v>
      </c>
      <c r="I2585" s="528">
        <f>(M2585-G2585)*64</f>
        <v>0</v>
      </c>
      <c r="J2585" s="324" t="s">
        <v>19</v>
      </c>
      <c r="K2585" s="324"/>
      <c r="L2585" s="324"/>
      <c r="M2585" s="324">
        <f>(F2585*8500)/3456</f>
        <v>0</v>
      </c>
      <c r="N2585" s="324"/>
      <c r="O2585" s="324"/>
      <c r="P2585" s="324"/>
      <c r="Q2585" s="324" t="s">
        <v>18</v>
      </c>
      <c r="R2585" s="324"/>
      <c r="S2585" s="324" t="s">
        <v>19</v>
      </c>
      <c r="T2585" s="528">
        <v>6</v>
      </c>
      <c r="U2585" s="324">
        <f>E2585/237*60</f>
        <v>0</v>
      </c>
      <c r="V2585" s="676"/>
      <c r="W2585" s="528"/>
      <c r="X2585" s="529"/>
      <c r="Y2585" s="323"/>
      <c r="Z2585" s="312">
        <f>E2585</f>
        <v>0</v>
      </c>
      <c r="AA2585" s="316">
        <f>SUM(Z2585/96+0.25)</f>
        <v>0.25</v>
      </c>
    </row>
    <row r="2586" spans="1:27" thickBot="1" x14ac:dyDescent="0.45">
      <c r="A2586" s="329"/>
      <c r="B2586" s="877"/>
      <c r="C2586" s="536"/>
      <c r="D2586" s="530"/>
      <c r="E2586" s="460"/>
      <c r="F2586" s="324"/>
      <c r="G2586" s="324"/>
      <c r="H2586" s="324"/>
      <c r="I2586" s="528"/>
      <c r="J2586" s="324"/>
      <c r="K2586" s="324"/>
      <c r="L2586" s="324"/>
      <c r="M2586" s="324"/>
      <c r="N2586" s="324"/>
      <c r="O2586" s="324"/>
      <c r="P2586" s="324"/>
      <c r="Q2586" s="324"/>
      <c r="R2586" s="324"/>
      <c r="S2586" s="324"/>
      <c r="T2586" s="528"/>
      <c r="U2586" s="324"/>
      <c r="V2586" s="670"/>
      <c r="W2586" s="528"/>
      <c r="X2586" s="529"/>
      <c r="Y2586" s="323"/>
    </row>
    <row r="2587" spans="1:27" thickBot="1" x14ac:dyDescent="0.45">
      <c r="A2587" s="329"/>
      <c r="B2587" s="344"/>
      <c r="C2587" s="536"/>
      <c r="D2587" s="530"/>
      <c r="E2587" s="460"/>
      <c r="F2587" s="324"/>
      <c r="G2587" s="324"/>
      <c r="H2587" s="324"/>
      <c r="I2587" s="528"/>
      <c r="J2587" s="324"/>
      <c r="K2587" s="324"/>
      <c r="L2587" s="324"/>
      <c r="M2587" s="324"/>
      <c r="N2587" s="324"/>
      <c r="O2587" s="324"/>
      <c r="P2587" s="324"/>
      <c r="Q2587" s="324"/>
      <c r="R2587" s="324"/>
      <c r="S2587" s="324"/>
      <c r="T2587" s="528"/>
      <c r="U2587" s="324"/>
      <c r="V2587" s="670"/>
      <c r="W2587" s="528"/>
      <c r="X2587" s="529"/>
      <c r="Y2587" s="323"/>
    </row>
    <row r="2588" spans="1:27" ht="53.25" thickBot="1" x14ac:dyDescent="0.45">
      <c r="A2588" s="319"/>
      <c r="B2588" s="394" t="s">
        <v>695</v>
      </c>
      <c r="C2588" s="537"/>
      <c r="D2588" s="537"/>
      <c r="E2588" s="496"/>
      <c r="F2588" s="354"/>
      <c r="G2588" s="537"/>
      <c r="H2588" s="354"/>
      <c r="I2588" s="537"/>
      <c r="J2588" s="354"/>
      <c r="K2588" s="354"/>
      <c r="L2588" s="354"/>
      <c r="M2588" s="354"/>
      <c r="N2588" s="354"/>
      <c r="O2588" s="354"/>
      <c r="P2588" s="354"/>
      <c r="Q2588" s="354"/>
      <c r="R2588" s="354"/>
      <c r="S2588" s="354"/>
      <c r="T2588" s="537"/>
      <c r="U2588" s="354"/>
      <c r="V2588" s="682" t="s">
        <v>697</v>
      </c>
      <c r="W2588" s="537"/>
      <c r="X2588" s="540"/>
      <c r="Y2588" s="323"/>
    </row>
    <row r="2589" spans="1:27" thickBot="1" x14ac:dyDescent="0.45">
      <c r="A2589" s="319"/>
      <c r="B2589" s="346"/>
      <c r="C2589" s="528"/>
      <c r="D2589" s="528"/>
      <c r="E2589" s="460"/>
      <c r="F2589" s="324"/>
      <c r="G2589" s="528"/>
      <c r="H2589" s="324"/>
      <c r="I2589" s="528"/>
      <c r="J2589" s="324"/>
      <c r="K2589" s="324"/>
      <c r="L2589" s="324"/>
      <c r="M2589" s="324"/>
      <c r="N2589" s="324"/>
      <c r="O2589" s="324"/>
      <c r="P2589" s="324"/>
      <c r="Q2589" s="324"/>
      <c r="R2589" s="324"/>
      <c r="S2589" s="324"/>
      <c r="T2589" s="528"/>
      <c r="U2589" s="324"/>
      <c r="V2589" s="676"/>
      <c r="W2589" s="528"/>
      <c r="X2589" s="529"/>
      <c r="Y2589" s="323"/>
    </row>
    <row r="2590" spans="1:27" thickBot="1" x14ac:dyDescent="0.45">
      <c r="A2590" s="329"/>
      <c r="B2590" s="382" t="s">
        <v>147</v>
      </c>
      <c r="C2590" s="537"/>
      <c r="D2590" s="537"/>
      <c r="E2590" s="496">
        <f>E2572+E2573+E2574+E2581+E2576+E2578+E2577+E2580+E2582+E2584+E2585</f>
        <v>0</v>
      </c>
      <c r="F2590" s="324"/>
      <c r="G2590" s="528"/>
      <c r="H2590" s="324"/>
      <c r="I2590" s="528"/>
      <c r="J2590" s="324"/>
      <c r="K2590" s="324"/>
      <c r="L2590" s="324"/>
      <c r="M2590" s="324"/>
      <c r="N2590" s="324"/>
      <c r="O2590" s="324"/>
      <c r="P2590" s="324"/>
      <c r="Q2590" s="324"/>
      <c r="R2590" s="324"/>
      <c r="S2590" s="324"/>
      <c r="T2590" s="528"/>
      <c r="U2590" s="324"/>
      <c r="V2590" s="676"/>
      <c r="W2590" s="528"/>
      <c r="X2590" s="529"/>
      <c r="Y2590" s="323"/>
    </row>
    <row r="2591" spans="1:27" thickBot="1" x14ac:dyDescent="0.45">
      <c r="A2591" s="350"/>
      <c r="B2591" s="382" t="s">
        <v>669</v>
      </c>
      <c r="C2591" s="537"/>
      <c r="D2591" s="537"/>
      <c r="E2591" s="496">
        <f>E2579</f>
        <v>0</v>
      </c>
      <c r="F2591" s="324"/>
      <c r="G2591" s="528"/>
      <c r="H2591" s="324"/>
      <c r="I2591" s="528"/>
      <c r="J2591" s="324"/>
      <c r="K2591" s="324"/>
      <c r="L2591" s="324"/>
      <c r="M2591" s="324"/>
      <c r="N2591" s="324"/>
      <c r="O2591" s="324"/>
      <c r="P2591" s="324"/>
      <c r="Q2591" s="324"/>
      <c r="R2591" s="324"/>
      <c r="S2591" s="324"/>
      <c r="T2591" s="528"/>
      <c r="U2591" s="324"/>
      <c r="V2591" s="676"/>
      <c r="W2591" s="528"/>
      <c r="X2591" s="529"/>
      <c r="Y2591" s="323"/>
    </row>
    <row r="2592" spans="1:27" thickBot="1" x14ac:dyDescent="0.45">
      <c r="A2592" s="350"/>
      <c r="B2592" s="356"/>
      <c r="C2592" s="528"/>
      <c r="D2592" s="528"/>
      <c r="E2592" s="460"/>
      <c r="F2592" s="324"/>
      <c r="G2592" s="528"/>
      <c r="H2592" s="324"/>
      <c r="I2592" s="528"/>
      <c r="J2592" s="324"/>
      <c r="K2592" s="324"/>
      <c r="L2592" s="324"/>
      <c r="M2592" s="324"/>
      <c r="N2592" s="324"/>
      <c r="O2592" s="324"/>
      <c r="P2592" s="324"/>
      <c r="Q2592" s="324"/>
      <c r="R2592" s="324"/>
      <c r="S2592" s="324"/>
      <c r="T2592" s="528"/>
      <c r="U2592" s="324"/>
      <c r="V2592" s="676"/>
      <c r="W2592" s="528"/>
      <c r="X2592" s="529"/>
      <c r="Y2592" s="323"/>
    </row>
    <row r="2593" spans="1:28" thickBot="1" x14ac:dyDescent="0.45">
      <c r="A2593" s="829"/>
      <c r="B2593" s="303" t="s">
        <v>144</v>
      </c>
      <c r="C2593" s="537"/>
      <c r="D2593" s="537"/>
      <c r="E2593" s="496"/>
      <c r="F2593" s="354"/>
      <c r="G2593" s="537"/>
      <c r="H2593" s="354"/>
      <c r="I2593" s="537"/>
      <c r="J2593" s="354"/>
      <c r="K2593" s="354"/>
      <c r="L2593" s="354"/>
      <c r="M2593" s="354"/>
      <c r="N2593" s="354"/>
      <c r="O2593" s="354"/>
      <c r="P2593" s="354"/>
      <c r="Q2593" s="354"/>
      <c r="R2593" s="354"/>
      <c r="S2593" s="354"/>
      <c r="T2593" s="537"/>
      <c r="U2593" s="354"/>
      <c r="V2593" s="682"/>
      <c r="W2593" s="354"/>
      <c r="X2593" s="540"/>
      <c r="Y2593" s="301"/>
      <c r="AA2593" s="391" t="s">
        <v>678</v>
      </c>
    </row>
    <row r="2594" spans="1:28" thickBot="1" x14ac:dyDescent="0.45">
      <c r="A2594" s="830"/>
      <c r="B2594" s="395" t="s">
        <v>294</v>
      </c>
      <c r="C2594" s="528"/>
      <c r="D2594" s="528"/>
      <c r="E2594" s="460"/>
      <c r="F2594" s="324"/>
      <c r="G2594" s="528"/>
      <c r="H2594" s="324"/>
      <c r="I2594" s="528"/>
      <c r="J2594" s="324"/>
      <c r="K2594" s="324"/>
      <c r="L2594" s="324"/>
      <c r="M2594" s="324"/>
      <c r="N2594" s="324"/>
      <c r="O2594" s="324"/>
      <c r="P2594" s="324"/>
      <c r="Q2594" s="324"/>
      <c r="R2594" s="324"/>
      <c r="S2594" s="324"/>
      <c r="T2594" s="528"/>
      <c r="U2594" s="324"/>
      <c r="V2594" s="676"/>
      <c r="W2594" s="324"/>
      <c r="X2594" s="529"/>
      <c r="Y2594" s="323"/>
    </row>
    <row r="2595" spans="1:28" ht="53.25" thickBot="1" x14ac:dyDescent="0.45">
      <c r="A2595" s="319" t="s">
        <v>735</v>
      </c>
      <c r="B2595" s="320" t="s">
        <v>614</v>
      </c>
      <c r="C2595" s="586">
        <f>C1931</f>
        <v>0</v>
      </c>
      <c r="D2595" s="533">
        <f>C2595*12</f>
        <v>0</v>
      </c>
      <c r="E2595" s="534">
        <f>D2595*0.2</f>
        <v>0</v>
      </c>
      <c r="F2595" s="321">
        <f>D2595*22*0.0086/24.7</f>
        <v>0</v>
      </c>
      <c r="G2595" s="533">
        <f>INT(M2595)</f>
        <v>0</v>
      </c>
      <c r="H2595" s="321" t="s">
        <v>18</v>
      </c>
      <c r="I2595" s="533">
        <f>(M2595-G2595)*64</f>
        <v>0</v>
      </c>
      <c r="J2595" s="321" t="s">
        <v>19</v>
      </c>
      <c r="K2595" s="324"/>
      <c r="L2595" s="324"/>
      <c r="M2595" s="321">
        <f>F2595*3024/16128</f>
        <v>0</v>
      </c>
      <c r="N2595" s="324"/>
      <c r="O2595" s="324"/>
      <c r="P2595" s="324"/>
      <c r="Q2595" s="324" t="s">
        <v>18</v>
      </c>
      <c r="R2595" s="324"/>
      <c r="S2595" s="324" t="s">
        <v>19</v>
      </c>
      <c r="T2595" s="528">
        <v>2</v>
      </c>
      <c r="U2595" s="324">
        <f>E2595/207*60</f>
        <v>0</v>
      </c>
      <c r="V2595" s="676"/>
      <c r="W2595" s="528"/>
      <c r="X2595" s="529"/>
      <c r="Y2595" s="323"/>
      <c r="Z2595" s="312">
        <f t="shared" ref="Z2595:Z2664" si="976">E2595</f>
        <v>0</v>
      </c>
      <c r="AA2595" s="316">
        <f>SUM(Z2595/104.4+0.25)</f>
        <v>0.25</v>
      </c>
    </row>
    <row r="2596" spans="1:28" ht="53.25" thickBot="1" x14ac:dyDescent="0.45">
      <c r="A2596" s="319" t="s">
        <v>735</v>
      </c>
      <c r="B2596" s="328" t="s">
        <v>615</v>
      </c>
      <c r="C2596" s="586">
        <f>C1932</f>
        <v>0</v>
      </c>
      <c r="D2596" s="533">
        <f>C2596*12</f>
        <v>0</v>
      </c>
      <c r="E2596" s="534">
        <f>D2596*0.2</f>
        <v>0</v>
      </c>
      <c r="F2596" s="321">
        <f>D2596*22*0.0086/24.7</f>
        <v>0</v>
      </c>
      <c r="G2596" s="533">
        <f>INT(M2596)</f>
        <v>0</v>
      </c>
      <c r="H2596" s="321" t="s">
        <v>18</v>
      </c>
      <c r="I2596" s="533">
        <f>(M2596-G2596)*64</f>
        <v>0</v>
      </c>
      <c r="J2596" s="321" t="s">
        <v>19</v>
      </c>
      <c r="K2596" s="324"/>
      <c r="L2596" s="324"/>
      <c r="M2596" s="321">
        <f>F2596*3024/16128</f>
        <v>0</v>
      </c>
      <c r="N2596" s="324"/>
      <c r="O2596" s="324"/>
      <c r="P2596" s="324"/>
      <c r="Q2596" s="324" t="s">
        <v>18</v>
      </c>
      <c r="R2596" s="324"/>
      <c r="S2596" s="324" t="s">
        <v>19</v>
      </c>
      <c r="T2596" s="528">
        <v>2</v>
      </c>
      <c r="U2596" s="324">
        <f>E2596/207*60</f>
        <v>0</v>
      </c>
      <c r="V2596" s="676"/>
      <c r="W2596" s="528"/>
      <c r="X2596" s="529"/>
      <c r="Y2596" s="323"/>
      <c r="Z2596" s="312">
        <f t="shared" si="976"/>
        <v>0</v>
      </c>
      <c r="AA2596" s="316">
        <f>SUM(Z2596/104.4+0.25)</f>
        <v>0.25</v>
      </c>
    </row>
    <row r="2597" spans="1:28" ht="77.25" thickBot="1" x14ac:dyDescent="0.45">
      <c r="A2597" s="319" t="s">
        <v>735</v>
      </c>
      <c r="B2597" s="320" t="s">
        <v>894</v>
      </c>
      <c r="C2597" s="528">
        <f>C2229</f>
        <v>0</v>
      </c>
      <c r="D2597" s="532">
        <f>C2597*12</f>
        <v>0</v>
      </c>
      <c r="E2597" s="472">
        <f>D2597*0.27</f>
        <v>0</v>
      </c>
      <c r="F2597" s="472">
        <f>E2597*1.03*0.87/19.3</f>
        <v>0</v>
      </c>
      <c r="G2597" s="531">
        <f>INT(M2597)</f>
        <v>0</v>
      </c>
      <c r="H2597" s="472" t="s">
        <v>18</v>
      </c>
      <c r="I2597" s="531">
        <f>(M2597-G2597)*64</f>
        <v>0</v>
      </c>
      <c r="J2597" s="472" t="s">
        <v>19</v>
      </c>
      <c r="K2597" s="472"/>
      <c r="L2597" s="472"/>
      <c r="M2597" s="472">
        <f>(F2597*877/2880)</f>
        <v>0</v>
      </c>
      <c r="N2597" s="472"/>
      <c r="O2597" s="461"/>
      <c r="P2597" s="461"/>
      <c r="Q2597" s="461" t="s">
        <v>18</v>
      </c>
      <c r="R2597" s="461"/>
      <c r="S2597" s="461" t="s">
        <v>19</v>
      </c>
      <c r="T2597" s="528">
        <v>3</v>
      </c>
      <c r="U2597" s="324">
        <f>E2597/259*60</f>
        <v>0</v>
      </c>
      <c r="V2597" s="676"/>
      <c r="W2597" s="528"/>
      <c r="X2597" s="529"/>
      <c r="Y2597" s="323"/>
      <c r="Z2597" s="312">
        <f t="shared" si="976"/>
        <v>0</v>
      </c>
      <c r="AA2597" s="316">
        <f>SUM(Z2597/165+0.25)</f>
        <v>0.25</v>
      </c>
      <c r="AB2597" s="352"/>
    </row>
    <row r="2598" spans="1:28" ht="77.25" thickBot="1" x14ac:dyDescent="0.45">
      <c r="A2598" s="319" t="s">
        <v>735</v>
      </c>
      <c r="B2598" s="362" t="s">
        <v>1005</v>
      </c>
      <c r="C2598" s="528">
        <f>C2086</f>
        <v>0</v>
      </c>
      <c r="D2598" s="530">
        <f>C2598*1</f>
        <v>0</v>
      </c>
      <c r="E2598" s="546">
        <f>D2598*0.65</f>
        <v>0</v>
      </c>
      <c r="F2598" s="546">
        <f>E2598*1.03*0.87/19.3</f>
        <v>0</v>
      </c>
      <c r="G2598" s="639">
        <f>INT(M2598)</f>
        <v>0</v>
      </c>
      <c r="H2598" s="546" t="s">
        <v>18</v>
      </c>
      <c r="I2598" s="639">
        <f>(M2598-G2598)*64</f>
        <v>0</v>
      </c>
      <c r="J2598" s="546" t="s">
        <v>19</v>
      </c>
      <c r="K2598" s="546"/>
      <c r="L2598" s="546"/>
      <c r="M2598" s="546">
        <f>(F2598*877/2880)</f>
        <v>0</v>
      </c>
      <c r="N2598" s="546"/>
      <c r="O2598" s="324"/>
      <c r="P2598" s="324"/>
      <c r="Q2598" s="324" t="s">
        <v>18</v>
      </c>
      <c r="R2598" s="324"/>
      <c r="S2598" s="324" t="s">
        <v>19</v>
      </c>
      <c r="T2598" s="528">
        <v>3</v>
      </c>
      <c r="U2598" s="324">
        <f>E2598/259*60</f>
        <v>0</v>
      </c>
      <c r="V2598" s="676"/>
      <c r="W2598" s="528"/>
      <c r="X2598" s="529"/>
      <c r="Y2598" s="323"/>
      <c r="Z2598" s="312">
        <f t="shared" si="976"/>
        <v>0</v>
      </c>
      <c r="AA2598" s="316">
        <f>SUM(Z2598/165+0.25)</f>
        <v>0.25</v>
      </c>
      <c r="AB2598" s="352"/>
    </row>
    <row r="2599" spans="1:28" ht="102.75" thickBot="1" x14ac:dyDescent="0.45">
      <c r="A2599" s="319" t="s">
        <v>735</v>
      </c>
      <c r="B2599" s="320" t="s">
        <v>843</v>
      </c>
      <c r="C2599" s="586">
        <f>C2579</f>
        <v>0</v>
      </c>
      <c r="D2599" s="528"/>
      <c r="E2599" s="546">
        <f>C2599*2</f>
        <v>0</v>
      </c>
      <c r="F2599" s="546">
        <f>E2599*1.03*0.87/19.3</f>
        <v>0</v>
      </c>
      <c r="G2599" s="639">
        <f>INT(M2599)</f>
        <v>0</v>
      </c>
      <c r="H2599" s="546" t="s">
        <v>18</v>
      </c>
      <c r="I2599" s="639">
        <f>(M2599-G2599)*64</f>
        <v>0</v>
      </c>
      <c r="J2599" s="546" t="s">
        <v>19</v>
      </c>
      <c r="K2599" s="546"/>
      <c r="L2599" s="546"/>
      <c r="M2599" s="546">
        <f>(F2599*877/2880)</f>
        <v>0</v>
      </c>
      <c r="N2599" s="546"/>
      <c r="O2599" s="324"/>
      <c r="P2599" s="324"/>
      <c r="Q2599" s="324" t="s">
        <v>18</v>
      </c>
      <c r="R2599" s="324"/>
      <c r="S2599" s="324" t="s">
        <v>19</v>
      </c>
      <c r="T2599" s="528">
        <v>2</v>
      </c>
      <c r="U2599" s="324">
        <f>E2599/259*60</f>
        <v>0</v>
      </c>
      <c r="V2599" s="676"/>
      <c r="W2599" s="528"/>
      <c r="X2599" s="529"/>
      <c r="Y2599" s="323"/>
      <c r="Z2599" s="312">
        <f t="shared" si="976"/>
        <v>0</v>
      </c>
      <c r="AA2599" s="316">
        <f>SUM(Z2599/390+0.25)</f>
        <v>0.25</v>
      </c>
    </row>
    <row r="2600" spans="1:28" thickBot="1" x14ac:dyDescent="0.45">
      <c r="A2600" s="830"/>
      <c r="B2600" s="395" t="s">
        <v>670</v>
      </c>
      <c r="C2600" s="528"/>
      <c r="D2600" s="528"/>
      <c r="E2600" s="460"/>
      <c r="F2600" s="324"/>
      <c r="G2600" s="528"/>
      <c r="H2600" s="324"/>
      <c r="I2600" s="528"/>
      <c r="J2600" s="324"/>
      <c r="K2600" s="324"/>
      <c r="L2600" s="324"/>
      <c r="M2600" s="324"/>
      <c r="N2600" s="324"/>
      <c r="O2600" s="324"/>
      <c r="P2600" s="324"/>
      <c r="Q2600" s="324"/>
      <c r="R2600" s="324"/>
      <c r="S2600" s="324"/>
      <c r="T2600" s="528"/>
      <c r="U2600" s="324"/>
      <c r="V2600" s="676"/>
      <c r="W2600" s="324"/>
      <c r="X2600" s="529"/>
      <c r="Y2600" s="323"/>
    </row>
    <row r="2601" spans="1:28" ht="77.25" thickBot="1" x14ac:dyDescent="0.45">
      <c r="A2601" s="319" t="s">
        <v>735</v>
      </c>
      <c r="B2601" s="369" t="s">
        <v>752</v>
      </c>
      <c r="C2601" s="587">
        <f>C170+C398+C626+C823+C1004</f>
        <v>0</v>
      </c>
      <c r="D2601" s="528"/>
      <c r="E2601" s="457">
        <f>C2601*3</f>
        <v>0</v>
      </c>
      <c r="F2601" s="358">
        <f>E2601*1.03*0.82/147</f>
        <v>0</v>
      </c>
      <c r="G2601" s="549">
        <f t="shared" ref="G2601:G2606" si="977">INT(M2601)</f>
        <v>0</v>
      </c>
      <c r="H2601" s="359" t="s">
        <v>18</v>
      </c>
      <c r="I2601" s="549">
        <f t="shared" ref="I2601:I2606" si="978">(M2601-G2601)*64</f>
        <v>0</v>
      </c>
      <c r="J2601" s="359" t="s">
        <v>19</v>
      </c>
      <c r="K2601" s="358"/>
      <c r="L2601" s="358"/>
      <c r="M2601" s="358">
        <f>(F2601*5547/3456)</f>
        <v>0</v>
      </c>
      <c r="N2601" s="324"/>
      <c r="O2601" s="324"/>
      <c r="P2601" s="324"/>
      <c r="Q2601" s="324" t="s">
        <v>18</v>
      </c>
      <c r="R2601" s="324"/>
      <c r="S2601" s="324" t="s">
        <v>19</v>
      </c>
      <c r="T2601" s="528">
        <v>2</v>
      </c>
      <c r="U2601" s="324">
        <f t="shared" ref="U2601:U2631" si="979">E2601/324*60</f>
        <v>0</v>
      </c>
      <c r="V2601" s="676"/>
      <c r="W2601" s="528"/>
      <c r="X2601" s="529"/>
      <c r="Y2601" s="323"/>
      <c r="Z2601" s="312">
        <f t="shared" si="976"/>
        <v>0</v>
      </c>
      <c r="AA2601" s="316">
        <f>SUM(Z2601/585+0.25)</f>
        <v>0.25</v>
      </c>
    </row>
    <row r="2602" spans="1:28" ht="77.25" thickBot="1" x14ac:dyDescent="0.45">
      <c r="A2602" s="319" t="s">
        <v>735</v>
      </c>
      <c r="B2602" s="369" t="s">
        <v>971</v>
      </c>
      <c r="C2602" s="528">
        <f>C865+C1046</f>
        <v>0</v>
      </c>
      <c r="D2602" s="548"/>
      <c r="E2602" s="456">
        <f>C2602*0.3</f>
        <v>0</v>
      </c>
      <c r="F2602" s="358">
        <f>E2602*1.03*0.82/147</f>
        <v>0</v>
      </c>
      <c r="G2602" s="549">
        <f t="shared" si="977"/>
        <v>0</v>
      </c>
      <c r="H2602" s="359" t="s">
        <v>18</v>
      </c>
      <c r="I2602" s="549">
        <f t="shared" si="978"/>
        <v>0</v>
      </c>
      <c r="J2602" s="359" t="s">
        <v>19</v>
      </c>
      <c r="K2602" s="358"/>
      <c r="L2602" s="358"/>
      <c r="M2602" s="358">
        <f>(F2602*5547/3456)</f>
        <v>0</v>
      </c>
      <c r="N2602" s="461"/>
      <c r="O2602" s="461"/>
      <c r="P2602" s="461"/>
      <c r="Q2602" s="358" t="s">
        <v>18</v>
      </c>
      <c r="R2602" s="358"/>
      <c r="S2602" s="358" t="s">
        <v>19</v>
      </c>
      <c r="T2602" s="528">
        <v>3</v>
      </c>
      <c r="U2602" s="324">
        <f t="shared" si="979"/>
        <v>0</v>
      </c>
      <c r="V2602" s="676"/>
      <c r="W2602" s="528"/>
      <c r="X2602" s="529"/>
      <c r="Y2602" s="323"/>
      <c r="Z2602" s="312">
        <f t="shared" si="976"/>
        <v>0</v>
      </c>
      <c r="AA2602" s="316">
        <f>SUM(E2602/182+0.25)</f>
        <v>0.25</v>
      </c>
    </row>
    <row r="2603" spans="1:28" ht="77.25" thickBot="1" x14ac:dyDescent="0.45">
      <c r="A2603" s="319" t="s">
        <v>735</v>
      </c>
      <c r="B2603" s="369" t="s">
        <v>967</v>
      </c>
      <c r="C2603" s="528">
        <f>C867+C1048</f>
        <v>0</v>
      </c>
      <c r="D2603" s="548"/>
      <c r="E2603" s="456">
        <f>C2603*0.3</f>
        <v>0</v>
      </c>
      <c r="F2603" s="358">
        <f>E2603*1.03*0.82/147</f>
        <v>0</v>
      </c>
      <c r="G2603" s="549">
        <f t="shared" si="977"/>
        <v>0</v>
      </c>
      <c r="H2603" s="359" t="s">
        <v>18</v>
      </c>
      <c r="I2603" s="549">
        <f t="shared" si="978"/>
        <v>0</v>
      </c>
      <c r="J2603" s="359" t="s">
        <v>19</v>
      </c>
      <c r="K2603" s="358"/>
      <c r="L2603" s="358"/>
      <c r="M2603" s="358">
        <f>(F2603*5547/3456)</f>
        <v>0</v>
      </c>
      <c r="N2603" s="461"/>
      <c r="O2603" s="461"/>
      <c r="P2603" s="461"/>
      <c r="Q2603" s="358" t="s">
        <v>18</v>
      </c>
      <c r="R2603" s="358"/>
      <c r="S2603" s="358" t="s">
        <v>19</v>
      </c>
      <c r="T2603" s="528">
        <v>3</v>
      </c>
      <c r="U2603" s="324">
        <f t="shared" si="979"/>
        <v>0</v>
      </c>
      <c r="V2603" s="676"/>
      <c r="W2603" s="528"/>
      <c r="X2603" s="529"/>
      <c r="Y2603" s="323"/>
      <c r="Z2603" s="312">
        <f t="shared" si="976"/>
        <v>0</v>
      </c>
      <c r="AA2603" s="316">
        <f>SUM(E2603/182+0.25)</f>
        <v>0.25</v>
      </c>
    </row>
    <row r="2604" spans="1:28" ht="77.25" thickBot="1" x14ac:dyDescent="0.45">
      <c r="A2604" s="319" t="s">
        <v>735</v>
      </c>
      <c r="B2604" s="369" t="s">
        <v>968</v>
      </c>
      <c r="C2604" s="528">
        <f>C868+C1049</f>
        <v>0</v>
      </c>
      <c r="D2604" s="548"/>
      <c r="E2604" s="456">
        <f>C2604*0.3</f>
        <v>0</v>
      </c>
      <c r="F2604" s="358">
        <f>E2604*1.03*0.72/147</f>
        <v>0</v>
      </c>
      <c r="G2604" s="548">
        <f t="shared" si="977"/>
        <v>0</v>
      </c>
      <c r="H2604" s="358" t="s">
        <v>18</v>
      </c>
      <c r="I2604" s="548">
        <f t="shared" si="978"/>
        <v>0</v>
      </c>
      <c r="J2604" s="358" t="s">
        <v>19</v>
      </c>
      <c r="K2604" s="358"/>
      <c r="L2604" s="358"/>
      <c r="M2604" s="358">
        <f>(F2604*6035/3456)</f>
        <v>0</v>
      </c>
      <c r="N2604" s="461"/>
      <c r="O2604" s="461"/>
      <c r="P2604" s="461"/>
      <c r="Q2604" s="358" t="s">
        <v>18</v>
      </c>
      <c r="R2604" s="358"/>
      <c r="S2604" s="358" t="s">
        <v>19</v>
      </c>
      <c r="T2604" s="528">
        <v>3</v>
      </c>
      <c r="U2604" s="324">
        <f t="shared" si="979"/>
        <v>0</v>
      </c>
      <c r="V2604" s="676"/>
      <c r="W2604" s="528"/>
      <c r="X2604" s="529"/>
      <c r="Y2604" s="323"/>
      <c r="Z2604" s="312">
        <f t="shared" si="976"/>
        <v>0</v>
      </c>
      <c r="AA2604" s="316">
        <f>SUM(E2604/182+0.25)</f>
        <v>0.25</v>
      </c>
    </row>
    <row r="2605" spans="1:28" ht="77.25" thickBot="1" x14ac:dyDescent="0.45">
      <c r="A2605" s="319" t="s">
        <v>735</v>
      </c>
      <c r="B2605" s="343" t="s">
        <v>1141</v>
      </c>
      <c r="C2605" s="528">
        <f>C869+C1050</f>
        <v>0</v>
      </c>
      <c r="D2605" s="548"/>
      <c r="E2605" s="456">
        <f>C2605*0.3</f>
        <v>0</v>
      </c>
      <c r="F2605" s="358">
        <f>E2605*1.03*0.72/147</f>
        <v>0</v>
      </c>
      <c r="G2605" s="548">
        <f t="shared" si="977"/>
        <v>0</v>
      </c>
      <c r="H2605" s="358" t="s">
        <v>18</v>
      </c>
      <c r="I2605" s="548">
        <f t="shared" si="978"/>
        <v>0</v>
      </c>
      <c r="J2605" s="358" t="s">
        <v>19</v>
      </c>
      <c r="K2605" s="358"/>
      <c r="L2605" s="358"/>
      <c r="M2605" s="358">
        <f>(F2605*6035/3456)</f>
        <v>0</v>
      </c>
      <c r="N2605" s="461"/>
      <c r="O2605" s="461"/>
      <c r="P2605" s="461"/>
      <c r="Q2605" s="358" t="s">
        <v>18</v>
      </c>
      <c r="R2605" s="358"/>
      <c r="S2605" s="358" t="s">
        <v>19</v>
      </c>
      <c r="T2605" s="528">
        <v>3</v>
      </c>
      <c r="U2605" s="324">
        <f t="shared" si="979"/>
        <v>0</v>
      </c>
      <c r="V2605" s="676"/>
      <c r="W2605" s="528"/>
      <c r="X2605" s="529"/>
      <c r="Y2605" s="323"/>
      <c r="Z2605" s="312">
        <f t="shared" si="976"/>
        <v>0</v>
      </c>
      <c r="AA2605" s="316">
        <f>SUM(E2605/182+0.25)</f>
        <v>0.25</v>
      </c>
    </row>
    <row r="2606" spans="1:28" ht="102.75" thickBot="1" x14ac:dyDescent="0.45">
      <c r="A2606" s="319" t="s">
        <v>735</v>
      </c>
      <c r="B2606" s="362" t="s">
        <v>969</v>
      </c>
      <c r="C2606" s="528">
        <f>C2105</f>
        <v>0</v>
      </c>
      <c r="D2606" s="548"/>
      <c r="E2606" s="456">
        <f>C2606*0.3</f>
        <v>0</v>
      </c>
      <c r="F2606" s="358">
        <f>E2606*1.03*0.84/147</f>
        <v>0</v>
      </c>
      <c r="G2606" s="549">
        <f t="shared" si="977"/>
        <v>0</v>
      </c>
      <c r="H2606" s="359" t="s">
        <v>18</v>
      </c>
      <c r="I2606" s="549">
        <f t="shared" si="978"/>
        <v>0</v>
      </c>
      <c r="J2606" s="359" t="s">
        <v>19</v>
      </c>
      <c r="K2606" s="358"/>
      <c r="L2606" s="358"/>
      <c r="M2606" s="358">
        <f>(F2606*5547/3456)</f>
        <v>0</v>
      </c>
      <c r="N2606" s="461"/>
      <c r="O2606" s="461"/>
      <c r="P2606" s="461"/>
      <c r="Q2606" s="324" t="s">
        <v>18</v>
      </c>
      <c r="R2606" s="324"/>
      <c r="S2606" s="324" t="s">
        <v>19</v>
      </c>
      <c r="T2606" s="528">
        <v>3</v>
      </c>
      <c r="U2606" s="324">
        <f t="shared" si="979"/>
        <v>0</v>
      </c>
      <c r="V2606" s="676"/>
      <c r="W2606" s="528"/>
      <c r="X2606" s="529"/>
      <c r="Y2606" s="323"/>
      <c r="Z2606" s="312">
        <f t="shared" si="976"/>
        <v>0</v>
      </c>
      <c r="AA2606" s="316">
        <f>SUM(E2606/182+0.25)</f>
        <v>0.25</v>
      </c>
    </row>
    <row r="2607" spans="1:28" ht="77.25" thickBot="1" x14ac:dyDescent="0.45">
      <c r="A2607" s="319" t="s">
        <v>735</v>
      </c>
      <c r="B2607" s="369" t="s">
        <v>827</v>
      </c>
      <c r="C2607" s="587">
        <f>C837+C1018+C218+C448+C678</f>
        <v>0</v>
      </c>
      <c r="D2607" s="548">
        <f>C2607*12</f>
        <v>0</v>
      </c>
      <c r="E2607" s="456">
        <f>D2607*0.6</f>
        <v>0</v>
      </c>
      <c r="F2607" s="358">
        <f>E2607*1.03*0.82/147</f>
        <v>0</v>
      </c>
      <c r="G2607" s="549">
        <f t="shared" ref="G2607:G2627" si="980">INT(M2607)</f>
        <v>0</v>
      </c>
      <c r="H2607" s="359" t="s">
        <v>18</v>
      </c>
      <c r="I2607" s="549">
        <f t="shared" ref="I2607:I2627" si="981">(M2607-G2607)*64</f>
        <v>0</v>
      </c>
      <c r="J2607" s="359" t="s">
        <v>19</v>
      </c>
      <c r="K2607" s="358"/>
      <c r="L2607" s="358"/>
      <c r="M2607" s="358">
        <f>(F2607*5250/3456)</f>
        <v>0</v>
      </c>
      <c r="N2607" s="358"/>
      <c r="O2607" s="358"/>
      <c r="P2607" s="358"/>
      <c r="Q2607" s="358" t="s">
        <v>18</v>
      </c>
      <c r="R2607" s="358"/>
      <c r="S2607" s="358" t="s">
        <v>19</v>
      </c>
      <c r="T2607" s="528">
        <v>3</v>
      </c>
      <c r="U2607" s="324">
        <f t="shared" si="979"/>
        <v>0</v>
      </c>
      <c r="V2607" s="676"/>
      <c r="W2607" s="528"/>
      <c r="X2607" s="529"/>
      <c r="Y2607" s="323"/>
      <c r="Z2607" s="312">
        <f t="shared" si="976"/>
        <v>0</v>
      </c>
      <c r="AA2607" s="316">
        <f>SUM(Z2607/165+0.25)</f>
        <v>0.25</v>
      </c>
    </row>
    <row r="2608" spans="1:28" ht="77.25" thickBot="1" x14ac:dyDescent="0.45">
      <c r="A2608" s="319" t="s">
        <v>735</v>
      </c>
      <c r="B2608" s="369" t="s">
        <v>1015</v>
      </c>
      <c r="C2608" s="528">
        <f>C838+C1019+C677+C447+C217</f>
        <v>0</v>
      </c>
      <c r="D2608" s="528">
        <f>C2608*12</f>
        <v>0</v>
      </c>
      <c r="E2608" s="460">
        <f>D2608*0.5</f>
        <v>0</v>
      </c>
      <c r="F2608" s="324">
        <f>E2608*1.03*0.82/147</f>
        <v>0</v>
      </c>
      <c r="G2608" s="537">
        <f t="shared" si="980"/>
        <v>0</v>
      </c>
      <c r="H2608" s="354" t="s">
        <v>18</v>
      </c>
      <c r="I2608" s="537">
        <f t="shared" si="981"/>
        <v>0</v>
      </c>
      <c r="J2608" s="354" t="s">
        <v>19</v>
      </c>
      <c r="K2608" s="324"/>
      <c r="L2608" s="324"/>
      <c r="M2608" s="324">
        <f>(F2608*5250/3456)</f>
        <v>0</v>
      </c>
      <c r="N2608" s="324"/>
      <c r="O2608" s="324"/>
      <c r="P2608" s="324"/>
      <c r="Q2608" s="324" t="s">
        <v>18</v>
      </c>
      <c r="R2608" s="324"/>
      <c r="S2608" s="324" t="s">
        <v>19</v>
      </c>
      <c r="T2608" s="528">
        <v>3</v>
      </c>
      <c r="U2608" s="324">
        <f>E2608/324*60</f>
        <v>0</v>
      </c>
      <c r="V2608" s="676"/>
      <c r="W2608" s="528"/>
      <c r="X2608" s="529"/>
      <c r="Y2608" s="323"/>
      <c r="Z2608" s="312">
        <f t="shared" si="976"/>
        <v>0</v>
      </c>
      <c r="AA2608" s="316">
        <f>SUM(Z2608/165+0.25)</f>
        <v>0.25</v>
      </c>
    </row>
    <row r="2609" spans="1:27" ht="77.25" thickBot="1" x14ac:dyDescent="0.45">
      <c r="A2609" s="319" t="s">
        <v>735</v>
      </c>
      <c r="B2609" s="362" t="s">
        <v>896</v>
      </c>
      <c r="C2609" s="528">
        <f>C1440+C1653+C1959</f>
        <v>0</v>
      </c>
      <c r="D2609" s="528"/>
      <c r="E2609" s="456">
        <f>C2609*1.2</f>
        <v>0</v>
      </c>
      <c r="F2609" s="358">
        <f>E2609*1.01*0.72/147</f>
        <v>0</v>
      </c>
      <c r="G2609" s="548">
        <f t="shared" si="980"/>
        <v>0</v>
      </c>
      <c r="H2609" s="358" t="s">
        <v>18</v>
      </c>
      <c r="I2609" s="548">
        <f t="shared" si="981"/>
        <v>0</v>
      </c>
      <c r="J2609" s="358" t="s">
        <v>19</v>
      </c>
      <c r="K2609" s="358"/>
      <c r="L2609" s="358"/>
      <c r="M2609" s="358">
        <f>(F2609*6035/3456)</f>
        <v>0</v>
      </c>
      <c r="N2609" s="358"/>
      <c r="O2609" s="358"/>
      <c r="P2609" s="358"/>
      <c r="Q2609" s="358" t="s">
        <v>18</v>
      </c>
      <c r="R2609" s="358"/>
      <c r="S2609" s="358" t="s">
        <v>19</v>
      </c>
      <c r="T2609" s="528">
        <v>2</v>
      </c>
      <c r="U2609" s="324">
        <f t="shared" si="979"/>
        <v>0</v>
      </c>
      <c r="V2609" s="685"/>
      <c r="W2609" s="528"/>
      <c r="X2609" s="529"/>
      <c r="Y2609" s="323"/>
      <c r="Z2609" s="312">
        <f t="shared" si="976"/>
        <v>0</v>
      </c>
      <c r="AA2609" s="316">
        <f t="shared" ref="AA2609:AA2619" si="982">SUM(Z2609/195+0.25)</f>
        <v>0.25</v>
      </c>
    </row>
    <row r="2610" spans="1:27" ht="77.25" thickBot="1" x14ac:dyDescent="0.45">
      <c r="A2610" s="319" t="s">
        <v>735</v>
      </c>
      <c r="B2610" s="362" t="s">
        <v>1082</v>
      </c>
      <c r="C2610" s="528">
        <f>C1441+C1654+C1960</f>
        <v>0</v>
      </c>
      <c r="D2610" s="528"/>
      <c r="E2610" s="460">
        <f>C2610*1.2</f>
        <v>0</v>
      </c>
      <c r="F2610" s="324">
        <f>E2610*1.01*0.72/147</f>
        <v>0</v>
      </c>
      <c r="G2610" s="528">
        <f>INT(M2610)</f>
        <v>0</v>
      </c>
      <c r="H2610" s="324" t="s">
        <v>18</v>
      </c>
      <c r="I2610" s="528">
        <f>(M2610-G2610)*64</f>
        <v>0</v>
      </c>
      <c r="J2610" s="324" t="s">
        <v>19</v>
      </c>
      <c r="K2610" s="324"/>
      <c r="L2610" s="324"/>
      <c r="M2610" s="324">
        <f>(F2610*6035/3456)</f>
        <v>0</v>
      </c>
      <c r="N2610" s="324"/>
      <c r="O2610" s="324"/>
      <c r="P2610" s="324"/>
      <c r="Q2610" s="324" t="s">
        <v>18</v>
      </c>
      <c r="R2610" s="324"/>
      <c r="S2610" s="324" t="s">
        <v>19</v>
      </c>
      <c r="T2610" s="528">
        <v>2</v>
      </c>
      <c r="U2610" s="324">
        <f>E2610/324*60</f>
        <v>0</v>
      </c>
      <c r="V2610" s="685"/>
      <c r="W2610" s="528"/>
      <c r="X2610" s="529"/>
      <c r="Y2610" s="323"/>
      <c r="Z2610" s="312">
        <f>E2610</f>
        <v>0</v>
      </c>
      <c r="AA2610" s="316">
        <f>SUM(Z2610/195+0.25)</f>
        <v>0.25</v>
      </c>
    </row>
    <row r="2611" spans="1:27" ht="53.25" thickBot="1" x14ac:dyDescent="0.45">
      <c r="A2611" s="319" t="s">
        <v>735</v>
      </c>
      <c r="B2611" s="362" t="s">
        <v>897</v>
      </c>
      <c r="C2611" s="528">
        <f>C184+C411+C639+C834+C1015</f>
        <v>0</v>
      </c>
      <c r="D2611" s="528"/>
      <c r="E2611" s="456">
        <f>C2611*1.2</f>
        <v>0</v>
      </c>
      <c r="F2611" s="358">
        <f>E2611*1.03*0.82/147</f>
        <v>0</v>
      </c>
      <c r="G2611" s="549">
        <f t="shared" si="980"/>
        <v>0</v>
      </c>
      <c r="H2611" s="359" t="s">
        <v>18</v>
      </c>
      <c r="I2611" s="549">
        <f t="shared" si="981"/>
        <v>0</v>
      </c>
      <c r="J2611" s="359" t="s">
        <v>19</v>
      </c>
      <c r="K2611" s="358"/>
      <c r="L2611" s="358"/>
      <c r="M2611" s="358">
        <f>(F2611*5547/3456)</f>
        <v>0</v>
      </c>
      <c r="N2611" s="358"/>
      <c r="O2611" s="358"/>
      <c r="P2611" s="358"/>
      <c r="Q2611" s="358" t="s">
        <v>18</v>
      </c>
      <c r="R2611" s="358"/>
      <c r="S2611" s="358" t="s">
        <v>19</v>
      </c>
      <c r="T2611" s="528">
        <v>2</v>
      </c>
      <c r="U2611" s="324">
        <f t="shared" si="979"/>
        <v>0</v>
      </c>
      <c r="V2611" s="685"/>
      <c r="W2611" s="528"/>
      <c r="X2611" s="529"/>
      <c r="Y2611" s="323"/>
      <c r="Z2611" s="312">
        <f t="shared" si="976"/>
        <v>0</v>
      </c>
      <c r="AA2611" s="316">
        <f t="shared" si="982"/>
        <v>0.25</v>
      </c>
    </row>
    <row r="2612" spans="1:27" ht="77.25" thickBot="1" x14ac:dyDescent="0.45">
      <c r="A2612" s="319" t="s">
        <v>735</v>
      </c>
      <c r="B2612" s="802" t="s">
        <v>1203</v>
      </c>
      <c r="C2612" s="528">
        <f>C185+C412+C640+C835+C1016</f>
        <v>0</v>
      </c>
      <c r="D2612" s="528"/>
      <c r="E2612" s="456">
        <f>C2612*1.2</f>
        <v>0</v>
      </c>
      <c r="F2612" s="358">
        <f>E2612*1.03*0.82/147</f>
        <v>0</v>
      </c>
      <c r="G2612" s="549">
        <f>INT(M2612)</f>
        <v>0</v>
      </c>
      <c r="H2612" s="359" t="s">
        <v>18</v>
      </c>
      <c r="I2612" s="549">
        <f>(M2612-G2612)*64</f>
        <v>0</v>
      </c>
      <c r="J2612" s="359" t="s">
        <v>19</v>
      </c>
      <c r="K2612" s="358"/>
      <c r="L2612" s="358"/>
      <c r="M2612" s="358">
        <f>(F2612*5547/3456)</f>
        <v>0</v>
      </c>
      <c r="N2612" s="358"/>
      <c r="O2612" s="358"/>
      <c r="P2612" s="358"/>
      <c r="Q2612" s="358" t="s">
        <v>18</v>
      </c>
      <c r="R2612" s="358"/>
      <c r="S2612" s="358" t="s">
        <v>19</v>
      </c>
      <c r="T2612" s="528">
        <v>3</v>
      </c>
      <c r="U2612" s="324">
        <f>E2612/324*60</f>
        <v>0</v>
      </c>
      <c r="V2612" s="685"/>
      <c r="W2612" s="528"/>
      <c r="X2612" s="529"/>
      <c r="Y2612" s="323"/>
      <c r="Z2612" s="312">
        <f>E2612</f>
        <v>0</v>
      </c>
      <c r="AA2612" s="316">
        <f>SUM(Z2612/195+0.25)</f>
        <v>0.25</v>
      </c>
    </row>
    <row r="2613" spans="1:27" ht="53.25" thickBot="1" x14ac:dyDescent="0.45">
      <c r="A2613" s="319" t="s">
        <v>735</v>
      </c>
      <c r="B2613" s="362" t="s">
        <v>898</v>
      </c>
      <c r="C2613" s="528">
        <f>C2102</f>
        <v>0</v>
      </c>
      <c r="D2613" s="525"/>
      <c r="E2613" s="456">
        <f>C2613*1</f>
        <v>0</v>
      </c>
      <c r="F2613" s="358">
        <f>E2613*1.03*0.84/147</f>
        <v>0</v>
      </c>
      <c r="G2613" s="549">
        <f>INT(M2613)</f>
        <v>0</v>
      </c>
      <c r="H2613" s="359" t="s">
        <v>18</v>
      </c>
      <c r="I2613" s="549">
        <f>(M2613-G2613)*64</f>
        <v>0</v>
      </c>
      <c r="J2613" s="359" t="s">
        <v>19</v>
      </c>
      <c r="K2613" s="358"/>
      <c r="L2613" s="358"/>
      <c r="M2613" s="358">
        <f>(F2613*6391/2880)</f>
        <v>0</v>
      </c>
      <c r="N2613" s="461"/>
      <c r="O2613" s="461"/>
      <c r="P2613" s="324"/>
      <c r="Q2613" s="324" t="s">
        <v>18</v>
      </c>
      <c r="R2613" s="324"/>
      <c r="S2613" s="324" t="s">
        <v>19</v>
      </c>
      <c r="T2613" s="528">
        <v>2</v>
      </c>
      <c r="U2613" s="324">
        <f t="shared" si="979"/>
        <v>0</v>
      </c>
      <c r="V2613" s="685"/>
      <c r="W2613" s="528"/>
      <c r="X2613" s="529"/>
      <c r="Y2613" s="323"/>
      <c r="Z2613" s="312">
        <f t="shared" si="976"/>
        <v>0</v>
      </c>
      <c r="AA2613" s="316">
        <f t="shared" si="982"/>
        <v>0.25</v>
      </c>
    </row>
    <row r="2614" spans="1:27" ht="77.25" thickBot="1" x14ac:dyDescent="0.45">
      <c r="A2614" s="319" t="s">
        <v>735</v>
      </c>
      <c r="B2614" s="362" t="s">
        <v>1008</v>
      </c>
      <c r="C2614" s="528">
        <f>C2103</f>
        <v>0</v>
      </c>
      <c r="D2614" s="528"/>
      <c r="E2614" s="460">
        <f>C2614*2</f>
        <v>0</v>
      </c>
      <c r="F2614" s="324">
        <f>E2614*1.03*0.84/147</f>
        <v>0</v>
      </c>
      <c r="G2614" s="537">
        <f t="shared" si="980"/>
        <v>0</v>
      </c>
      <c r="H2614" s="354" t="s">
        <v>18</v>
      </c>
      <c r="I2614" s="537">
        <f t="shared" si="981"/>
        <v>0</v>
      </c>
      <c r="J2614" s="354" t="s">
        <v>19</v>
      </c>
      <c r="K2614" s="324"/>
      <c r="L2614" s="324"/>
      <c r="M2614" s="324">
        <f>(F2614*5068/3456)</f>
        <v>0</v>
      </c>
      <c r="N2614" s="324"/>
      <c r="O2614" s="324"/>
      <c r="P2614" s="324"/>
      <c r="Q2614" s="324" t="s">
        <v>18</v>
      </c>
      <c r="R2614" s="324"/>
      <c r="S2614" s="324" t="s">
        <v>19</v>
      </c>
      <c r="T2614" s="528">
        <v>2</v>
      </c>
      <c r="U2614" s="324">
        <f t="shared" si="979"/>
        <v>0</v>
      </c>
      <c r="V2614" s="676"/>
      <c r="W2614" s="528"/>
      <c r="X2614" s="529"/>
      <c r="Y2614" s="323"/>
      <c r="Z2614" s="312">
        <f t="shared" si="976"/>
        <v>0</v>
      </c>
      <c r="AA2614" s="316">
        <f t="shared" si="982"/>
        <v>0.25</v>
      </c>
    </row>
    <row r="2615" spans="1:27" ht="77.25" thickBot="1" x14ac:dyDescent="0.45">
      <c r="A2615" s="319" t="s">
        <v>735</v>
      </c>
      <c r="B2615" s="362" t="s">
        <v>1009</v>
      </c>
      <c r="C2615" s="528">
        <f>C832+C1013+C1965</f>
        <v>0</v>
      </c>
      <c r="D2615" s="528"/>
      <c r="E2615" s="460">
        <f>C2615*2</f>
        <v>0</v>
      </c>
      <c r="F2615" s="324">
        <f>E2615*1.03*0.82/147</f>
        <v>0</v>
      </c>
      <c r="G2615" s="537">
        <f t="shared" si="980"/>
        <v>0</v>
      </c>
      <c r="H2615" s="354" t="s">
        <v>18</v>
      </c>
      <c r="I2615" s="537">
        <f t="shared" si="981"/>
        <v>0</v>
      </c>
      <c r="J2615" s="354" t="s">
        <v>19</v>
      </c>
      <c r="K2615" s="324"/>
      <c r="L2615" s="324"/>
      <c r="M2615" s="324">
        <f>(F2615*5547/3456)</f>
        <v>0</v>
      </c>
      <c r="N2615" s="324"/>
      <c r="O2615" s="324"/>
      <c r="P2615" s="324"/>
      <c r="Q2615" s="324" t="s">
        <v>18</v>
      </c>
      <c r="R2615" s="324"/>
      <c r="S2615" s="324" t="s">
        <v>19</v>
      </c>
      <c r="T2615" s="528">
        <v>2</v>
      </c>
      <c r="U2615" s="324">
        <f>E2615/324*60</f>
        <v>0</v>
      </c>
      <c r="V2615" s="685"/>
      <c r="W2615" s="528"/>
      <c r="X2615" s="529"/>
      <c r="Y2615" s="323"/>
      <c r="Z2615" s="312">
        <f t="shared" si="976"/>
        <v>0</v>
      </c>
      <c r="AA2615" s="316">
        <f t="shared" si="982"/>
        <v>0.25</v>
      </c>
    </row>
    <row r="2616" spans="1:27" ht="77.25" thickBot="1" x14ac:dyDescent="0.45">
      <c r="A2616" s="319" t="s">
        <v>735</v>
      </c>
      <c r="B2616" s="362" t="s">
        <v>1043</v>
      </c>
      <c r="C2616" s="528">
        <f>C1966+C1658+C1445</f>
        <v>0</v>
      </c>
      <c r="D2616" s="528"/>
      <c r="E2616" s="460">
        <f>C2616*2</f>
        <v>0</v>
      </c>
      <c r="F2616" s="324">
        <f>E2616*1.03*0.82/147</f>
        <v>0</v>
      </c>
      <c r="G2616" s="537">
        <f>INT(M2616)</f>
        <v>0</v>
      </c>
      <c r="H2616" s="354" t="s">
        <v>18</v>
      </c>
      <c r="I2616" s="537">
        <f>(M2616-G2616)*64</f>
        <v>0</v>
      </c>
      <c r="J2616" s="354" t="s">
        <v>19</v>
      </c>
      <c r="K2616" s="324"/>
      <c r="L2616" s="324"/>
      <c r="M2616" s="324">
        <f>(F2616*5547/3456)</f>
        <v>0</v>
      </c>
      <c r="N2616" s="324"/>
      <c r="O2616" s="324"/>
      <c r="P2616" s="324"/>
      <c r="Q2616" s="324" t="s">
        <v>18</v>
      </c>
      <c r="R2616" s="324"/>
      <c r="S2616" s="324" t="s">
        <v>19</v>
      </c>
      <c r="T2616" s="528">
        <v>2</v>
      </c>
      <c r="U2616" s="324">
        <f>E2616/324*60</f>
        <v>0</v>
      </c>
      <c r="V2616" s="685"/>
      <c r="W2616" s="528"/>
      <c r="X2616" s="529"/>
      <c r="Y2616" s="323"/>
      <c r="Z2616" s="312">
        <f>E2616</f>
        <v>0</v>
      </c>
      <c r="AA2616" s="316">
        <f>SUM(Z2616/195+0.25)</f>
        <v>0.25</v>
      </c>
    </row>
    <row r="2617" spans="1:27" ht="77.25" thickBot="1" x14ac:dyDescent="0.45">
      <c r="A2617" s="319" t="s">
        <v>735</v>
      </c>
      <c r="B2617" s="362" t="s">
        <v>1010</v>
      </c>
      <c r="C2617" s="528">
        <f>C830+C1011+C1963</f>
        <v>0</v>
      </c>
      <c r="D2617" s="528"/>
      <c r="E2617" s="460">
        <f>C2617*2</f>
        <v>0</v>
      </c>
      <c r="F2617" s="324">
        <f>E2617*1.01*0.72/147</f>
        <v>0</v>
      </c>
      <c r="G2617" s="528">
        <f t="shared" si="980"/>
        <v>0</v>
      </c>
      <c r="H2617" s="324" t="s">
        <v>18</v>
      </c>
      <c r="I2617" s="528">
        <f t="shared" si="981"/>
        <v>0</v>
      </c>
      <c r="J2617" s="324" t="s">
        <v>19</v>
      </c>
      <c r="K2617" s="324"/>
      <c r="L2617" s="324"/>
      <c r="M2617" s="324">
        <f>(F2617*6035/3456)</f>
        <v>0</v>
      </c>
      <c r="N2617" s="324"/>
      <c r="O2617" s="324"/>
      <c r="P2617" s="324"/>
      <c r="Q2617" s="324" t="s">
        <v>18</v>
      </c>
      <c r="R2617" s="324"/>
      <c r="S2617" s="324" t="s">
        <v>19</v>
      </c>
      <c r="T2617" s="528">
        <v>2</v>
      </c>
      <c r="U2617" s="324">
        <f>E2617/324*60</f>
        <v>0</v>
      </c>
      <c r="V2617" s="685"/>
      <c r="W2617" s="528"/>
      <c r="X2617" s="529"/>
      <c r="Y2617" s="323"/>
      <c r="Z2617" s="312">
        <f t="shared" si="976"/>
        <v>0</v>
      </c>
      <c r="AA2617" s="316">
        <f t="shared" si="982"/>
        <v>0.25</v>
      </c>
    </row>
    <row r="2618" spans="1:27" ht="77.25" thickBot="1" x14ac:dyDescent="0.45">
      <c r="A2618" s="319" t="s">
        <v>735</v>
      </c>
      <c r="B2618" s="362" t="s">
        <v>1011</v>
      </c>
      <c r="C2618" s="528">
        <f>C831+C1012+C1964</f>
        <v>0</v>
      </c>
      <c r="D2618" s="528"/>
      <c r="E2618" s="460">
        <f>C2618*2</f>
        <v>0</v>
      </c>
      <c r="F2618" s="324">
        <f>E2618*1.01*0.72/147</f>
        <v>0</v>
      </c>
      <c r="G2618" s="528">
        <f t="shared" si="980"/>
        <v>0</v>
      </c>
      <c r="H2618" s="324" t="s">
        <v>18</v>
      </c>
      <c r="I2618" s="528">
        <f t="shared" si="981"/>
        <v>0</v>
      </c>
      <c r="J2618" s="324" t="s">
        <v>19</v>
      </c>
      <c r="K2618" s="324"/>
      <c r="L2618" s="324"/>
      <c r="M2618" s="324">
        <f>(F2618*6035/3456)</f>
        <v>0</v>
      </c>
      <c r="N2618" s="324"/>
      <c r="O2618" s="324"/>
      <c r="P2618" s="324"/>
      <c r="Q2618" s="324" t="s">
        <v>18</v>
      </c>
      <c r="R2618" s="324"/>
      <c r="S2618" s="324" t="s">
        <v>19</v>
      </c>
      <c r="T2618" s="528">
        <v>2</v>
      </c>
      <c r="U2618" s="324">
        <f>E2618/324*60</f>
        <v>0</v>
      </c>
      <c r="V2618" s="685"/>
      <c r="W2618" s="528"/>
      <c r="X2618" s="529"/>
      <c r="Y2618" s="323"/>
      <c r="Z2618" s="312">
        <f t="shared" si="976"/>
        <v>0</v>
      </c>
      <c r="AA2618" s="316">
        <f t="shared" si="982"/>
        <v>0.25</v>
      </c>
    </row>
    <row r="2619" spans="1:27" ht="77.25" thickBot="1" x14ac:dyDescent="0.45">
      <c r="A2619" s="319" t="s">
        <v>735</v>
      </c>
      <c r="B2619" s="362" t="s">
        <v>899</v>
      </c>
      <c r="C2619" s="528">
        <f>C2104</f>
        <v>0</v>
      </c>
      <c r="D2619" s="528"/>
      <c r="E2619" s="456">
        <f>C2619*1</f>
        <v>0</v>
      </c>
      <c r="F2619" s="358">
        <f>E2619*1.01*0.756/147</f>
        <v>0</v>
      </c>
      <c r="G2619" s="548">
        <f t="shared" si="980"/>
        <v>0</v>
      </c>
      <c r="H2619" s="358" t="s">
        <v>18</v>
      </c>
      <c r="I2619" s="548">
        <f t="shared" si="981"/>
        <v>0</v>
      </c>
      <c r="J2619" s="358" t="s">
        <v>19</v>
      </c>
      <c r="K2619" s="358"/>
      <c r="L2619" s="358"/>
      <c r="M2619" s="358">
        <f>(F2619*6035/3456)</f>
        <v>0</v>
      </c>
      <c r="N2619" s="324"/>
      <c r="O2619" s="324"/>
      <c r="P2619" s="324"/>
      <c r="Q2619" s="324" t="s">
        <v>18</v>
      </c>
      <c r="R2619" s="324"/>
      <c r="S2619" s="324" t="s">
        <v>19</v>
      </c>
      <c r="T2619" s="528">
        <v>2</v>
      </c>
      <c r="U2619" s="324">
        <f t="shared" si="979"/>
        <v>0</v>
      </c>
      <c r="V2619" s="685"/>
      <c r="W2619" s="528"/>
      <c r="X2619" s="529"/>
      <c r="Y2619" s="323"/>
      <c r="Z2619" s="312">
        <f t="shared" si="976"/>
        <v>0</v>
      </c>
      <c r="AA2619" s="316">
        <f t="shared" si="982"/>
        <v>0.25</v>
      </c>
    </row>
    <row r="2620" spans="1:27" ht="102.75" thickBot="1" x14ac:dyDescent="0.45">
      <c r="A2620" s="319" t="s">
        <v>735</v>
      </c>
      <c r="B2620" s="362" t="s">
        <v>906</v>
      </c>
      <c r="C2620" s="528">
        <f>C2106</f>
        <v>0</v>
      </c>
      <c r="D2620" s="548">
        <f>C2620*12</f>
        <v>0</v>
      </c>
      <c r="E2620" s="456">
        <f>D2620*0.5</f>
        <v>0</v>
      </c>
      <c r="F2620" s="358">
        <f>E2620*1.037*0.756/147</f>
        <v>0</v>
      </c>
      <c r="G2620" s="548">
        <f t="shared" si="980"/>
        <v>0</v>
      </c>
      <c r="H2620" s="358" t="s">
        <v>18</v>
      </c>
      <c r="I2620" s="548">
        <f t="shared" si="981"/>
        <v>0</v>
      </c>
      <c r="J2620" s="358" t="s">
        <v>19</v>
      </c>
      <c r="K2620" s="358"/>
      <c r="L2620" s="358"/>
      <c r="M2620" s="358">
        <f>(F2620*6760/3456)</f>
        <v>0</v>
      </c>
      <c r="N2620" s="324"/>
      <c r="O2620" s="324"/>
      <c r="P2620" s="324"/>
      <c r="Q2620" s="324" t="s">
        <v>18</v>
      </c>
      <c r="R2620" s="324"/>
      <c r="S2620" s="324" t="s">
        <v>19</v>
      </c>
      <c r="T2620" s="528">
        <v>3</v>
      </c>
      <c r="U2620" s="324">
        <f t="shared" si="979"/>
        <v>0</v>
      </c>
      <c r="V2620" s="685"/>
      <c r="W2620" s="528"/>
      <c r="X2620" s="529"/>
      <c r="Y2620" s="323"/>
      <c r="Z2620" s="312">
        <f t="shared" si="976"/>
        <v>0</v>
      </c>
      <c r="AA2620" s="316">
        <f>SUM(Z2620/165+0.25)</f>
        <v>0.25</v>
      </c>
    </row>
    <row r="2621" spans="1:27" ht="102.75" thickBot="1" x14ac:dyDescent="0.45">
      <c r="A2621" s="319" t="s">
        <v>735</v>
      </c>
      <c r="B2621" s="369" t="s">
        <v>857</v>
      </c>
      <c r="C2621" s="528">
        <f>C839+C1020</f>
        <v>0</v>
      </c>
      <c r="D2621" s="551">
        <f>C2621*12</f>
        <v>0</v>
      </c>
      <c r="E2621" s="456">
        <f>D2621*0.6</f>
        <v>0</v>
      </c>
      <c r="F2621" s="358">
        <f>E2621*1.01*0.72/147</f>
        <v>0</v>
      </c>
      <c r="G2621" s="548">
        <f>INT(M2621)</f>
        <v>0</v>
      </c>
      <c r="H2621" s="358" t="s">
        <v>18</v>
      </c>
      <c r="I2621" s="548">
        <f>(M2621-G2621)*64</f>
        <v>0</v>
      </c>
      <c r="J2621" s="358" t="s">
        <v>19</v>
      </c>
      <c r="K2621" s="358"/>
      <c r="L2621" s="358"/>
      <c r="M2621" s="358">
        <f>(F2621*6100/3456)</f>
        <v>0</v>
      </c>
      <c r="N2621" s="358"/>
      <c r="O2621" s="358"/>
      <c r="P2621" s="358"/>
      <c r="Q2621" s="358" t="s">
        <v>18</v>
      </c>
      <c r="R2621" s="358"/>
      <c r="S2621" s="358" t="s">
        <v>19</v>
      </c>
      <c r="T2621" s="528">
        <v>3</v>
      </c>
      <c r="U2621" s="324">
        <f t="shared" si="979"/>
        <v>0</v>
      </c>
      <c r="V2621" s="676"/>
      <c r="W2621" s="528"/>
      <c r="X2621" s="529"/>
      <c r="Y2621" s="323"/>
      <c r="Z2621" s="312">
        <f t="shared" si="976"/>
        <v>0</v>
      </c>
      <c r="AA2621" s="316">
        <f>SUM(Z2621/165+0.25)</f>
        <v>0.25</v>
      </c>
    </row>
    <row r="2622" spans="1:27" ht="102.75" thickBot="1" x14ac:dyDescent="0.45">
      <c r="A2622" s="319" t="s">
        <v>735</v>
      </c>
      <c r="B2622" s="369" t="s">
        <v>908</v>
      </c>
      <c r="C2622" s="528">
        <f>C840+C1021</f>
        <v>0</v>
      </c>
      <c r="D2622" s="551">
        <f>C2622*12</f>
        <v>0</v>
      </c>
      <c r="E2622" s="456">
        <f>D2622*0.6</f>
        <v>0</v>
      </c>
      <c r="F2622" s="358">
        <f>E2622*1.01*0.72/147</f>
        <v>0</v>
      </c>
      <c r="G2622" s="548">
        <f>INT(M2622)</f>
        <v>0</v>
      </c>
      <c r="H2622" s="358" t="s">
        <v>18</v>
      </c>
      <c r="I2622" s="548">
        <f>(M2622-G2622)*64</f>
        <v>0</v>
      </c>
      <c r="J2622" s="358" t="s">
        <v>19</v>
      </c>
      <c r="K2622" s="358"/>
      <c r="L2622" s="358"/>
      <c r="M2622" s="358">
        <f>(F2622*6100/3456)</f>
        <v>0</v>
      </c>
      <c r="N2622" s="358"/>
      <c r="O2622" s="358"/>
      <c r="P2622" s="358"/>
      <c r="Q2622" s="358" t="s">
        <v>18</v>
      </c>
      <c r="R2622" s="358"/>
      <c r="S2622" s="358" t="s">
        <v>19</v>
      </c>
      <c r="T2622" s="528">
        <v>3</v>
      </c>
      <c r="U2622" s="324">
        <f t="shared" si="979"/>
        <v>0</v>
      </c>
      <c r="V2622" s="676"/>
      <c r="W2622" s="528"/>
      <c r="X2622" s="529"/>
      <c r="Y2622" s="323"/>
      <c r="Z2622" s="312">
        <f t="shared" si="976"/>
        <v>0</v>
      </c>
      <c r="AA2622" s="316">
        <f>SUM(Z2622/165+0.25)</f>
        <v>0.25</v>
      </c>
    </row>
    <row r="2623" spans="1:27" ht="77.25" thickBot="1" x14ac:dyDescent="0.45">
      <c r="A2623" s="319" t="s">
        <v>735</v>
      </c>
      <c r="B2623" s="362" t="s">
        <v>628</v>
      </c>
      <c r="C2623" s="587">
        <f>C225+C226+C455+C456+C685+C686+C873+C1054</f>
        <v>0</v>
      </c>
      <c r="D2623" s="528"/>
      <c r="E2623" s="456">
        <f t="shared" ref="E2623:E2629" si="983">C2623*3.2</f>
        <v>0</v>
      </c>
      <c r="F2623" s="358">
        <f t="shared" ref="F2623:F2629" si="984">E2623*1.02*0.99/147</f>
        <v>0</v>
      </c>
      <c r="G2623" s="548">
        <f t="shared" si="980"/>
        <v>0</v>
      </c>
      <c r="H2623" s="358" t="s">
        <v>18</v>
      </c>
      <c r="I2623" s="548">
        <f t="shared" si="981"/>
        <v>0</v>
      </c>
      <c r="J2623" s="358" t="s">
        <v>19</v>
      </c>
      <c r="K2623" s="358"/>
      <c r="L2623" s="358"/>
      <c r="M2623" s="358">
        <f>F2623*4983/2880</f>
        <v>0</v>
      </c>
      <c r="N2623" s="324"/>
      <c r="O2623" s="324"/>
      <c r="P2623" s="324"/>
      <c r="Q2623" s="324" t="s">
        <v>18</v>
      </c>
      <c r="R2623" s="324"/>
      <c r="S2623" s="324" t="s">
        <v>19</v>
      </c>
      <c r="T2623" s="528">
        <v>2</v>
      </c>
      <c r="U2623" s="324">
        <f t="shared" si="979"/>
        <v>0</v>
      </c>
      <c r="V2623" s="676"/>
      <c r="W2623" s="528"/>
      <c r="X2623" s="529"/>
      <c r="Y2623" s="323"/>
      <c r="Z2623" s="312">
        <f t="shared" si="976"/>
        <v>0</v>
      </c>
      <c r="AA2623" s="316">
        <f t="shared" ref="AA2623:AA2631" si="985">SUM(Z2623/624+0.25)</f>
        <v>0.25</v>
      </c>
    </row>
    <row r="2624" spans="1:27" ht="53.25" thickBot="1" x14ac:dyDescent="0.45">
      <c r="A2624" s="319" t="s">
        <v>735</v>
      </c>
      <c r="B2624" s="362" t="s">
        <v>632</v>
      </c>
      <c r="C2624" s="587">
        <f>C242+C472+C702+C887+C1068</f>
        <v>0</v>
      </c>
      <c r="D2624" s="528"/>
      <c r="E2624" s="456">
        <f t="shared" si="983"/>
        <v>0</v>
      </c>
      <c r="F2624" s="358">
        <f t="shared" si="984"/>
        <v>0</v>
      </c>
      <c r="G2624" s="548">
        <f t="shared" si="980"/>
        <v>0</v>
      </c>
      <c r="H2624" s="358" t="s">
        <v>18</v>
      </c>
      <c r="I2624" s="548">
        <f t="shared" si="981"/>
        <v>0</v>
      </c>
      <c r="J2624" s="358" t="s">
        <v>19</v>
      </c>
      <c r="K2624" s="358"/>
      <c r="L2624" s="358"/>
      <c r="M2624" s="358">
        <f>F2624*4983/2880</f>
        <v>0</v>
      </c>
      <c r="N2624" s="324"/>
      <c r="O2624" s="324"/>
      <c r="P2624" s="324"/>
      <c r="Q2624" s="324" t="s">
        <v>18</v>
      </c>
      <c r="R2624" s="324"/>
      <c r="S2624" s="324" t="s">
        <v>19</v>
      </c>
      <c r="T2624" s="528">
        <v>2</v>
      </c>
      <c r="U2624" s="324">
        <f t="shared" si="979"/>
        <v>0</v>
      </c>
      <c r="V2624" s="676"/>
      <c r="W2624" s="528"/>
      <c r="X2624" s="529"/>
      <c r="Y2624" s="323"/>
      <c r="Z2624" s="312">
        <f t="shared" si="976"/>
        <v>0</v>
      </c>
      <c r="AA2624" s="316">
        <f t="shared" si="985"/>
        <v>0.25</v>
      </c>
    </row>
    <row r="2625" spans="1:27" ht="77.25" thickBot="1" x14ac:dyDescent="0.45">
      <c r="A2625" s="319" t="s">
        <v>735</v>
      </c>
      <c r="B2625" s="362" t="s">
        <v>633</v>
      </c>
      <c r="C2625" s="587">
        <f>C1206+C2267+C1713</f>
        <v>0</v>
      </c>
      <c r="D2625" s="528"/>
      <c r="E2625" s="456">
        <f t="shared" si="983"/>
        <v>0</v>
      </c>
      <c r="F2625" s="358">
        <f t="shared" si="984"/>
        <v>0</v>
      </c>
      <c r="G2625" s="548">
        <f t="shared" si="980"/>
        <v>0</v>
      </c>
      <c r="H2625" s="358" t="s">
        <v>18</v>
      </c>
      <c r="I2625" s="548">
        <f t="shared" si="981"/>
        <v>0</v>
      </c>
      <c r="J2625" s="358" t="s">
        <v>19</v>
      </c>
      <c r="K2625" s="358"/>
      <c r="L2625" s="358"/>
      <c r="M2625" s="358">
        <f>F2625*4983/2880</f>
        <v>0</v>
      </c>
      <c r="N2625" s="358"/>
      <c r="O2625" s="358"/>
      <c r="P2625" s="358"/>
      <c r="Q2625" s="358" t="s">
        <v>18</v>
      </c>
      <c r="R2625" s="358"/>
      <c r="S2625" s="358" t="s">
        <v>19</v>
      </c>
      <c r="T2625" s="528">
        <v>2</v>
      </c>
      <c r="U2625" s="324">
        <f t="shared" si="979"/>
        <v>0</v>
      </c>
      <c r="V2625" s="676"/>
      <c r="W2625" s="528"/>
      <c r="X2625" s="529"/>
      <c r="Y2625" s="323"/>
      <c r="Z2625" s="312">
        <f t="shared" si="976"/>
        <v>0</v>
      </c>
      <c r="AA2625" s="316">
        <f t="shared" si="985"/>
        <v>0.25</v>
      </c>
    </row>
    <row r="2626" spans="1:27" ht="53.25" thickBot="1" x14ac:dyDescent="0.45">
      <c r="A2626" s="319" t="s">
        <v>735</v>
      </c>
      <c r="B2626" s="362" t="s">
        <v>1066</v>
      </c>
      <c r="C2626" s="528">
        <f>C1071+C889+C704+C474+C244</f>
        <v>0</v>
      </c>
      <c r="D2626" s="528"/>
      <c r="E2626" s="460">
        <f t="shared" si="983"/>
        <v>0</v>
      </c>
      <c r="F2626" s="324">
        <f t="shared" si="984"/>
        <v>0</v>
      </c>
      <c r="G2626" s="528">
        <f t="shared" si="980"/>
        <v>0</v>
      </c>
      <c r="H2626" s="324" t="s">
        <v>18</v>
      </c>
      <c r="I2626" s="528">
        <f t="shared" si="981"/>
        <v>0</v>
      </c>
      <c r="J2626" s="324" t="s">
        <v>19</v>
      </c>
      <c r="K2626" s="324"/>
      <c r="L2626" s="324"/>
      <c r="M2626" s="324">
        <f>F2626*4983/2880</f>
        <v>0</v>
      </c>
      <c r="N2626" s="324"/>
      <c r="O2626" s="324"/>
      <c r="P2626" s="324"/>
      <c r="Q2626" s="324" t="s">
        <v>18</v>
      </c>
      <c r="R2626" s="324"/>
      <c r="S2626" s="324" t="s">
        <v>19</v>
      </c>
      <c r="T2626" s="528">
        <v>2</v>
      </c>
      <c r="U2626" s="324">
        <f>E2626/259*60</f>
        <v>0</v>
      </c>
      <c r="V2626" s="676"/>
      <c r="W2626" s="528"/>
      <c r="X2626" s="529"/>
      <c r="Y2626" s="360"/>
      <c r="Z2626" s="312">
        <f>E2626</f>
        <v>0</v>
      </c>
      <c r="AA2626" s="316">
        <f>SUM(Z2626/624+0.25)</f>
        <v>0.25</v>
      </c>
    </row>
    <row r="2627" spans="1:27" ht="53.25" thickBot="1" x14ac:dyDescent="0.45">
      <c r="A2627" s="319" t="s">
        <v>735</v>
      </c>
      <c r="B2627" s="362" t="s">
        <v>1067</v>
      </c>
      <c r="C2627" s="528">
        <f>C245+C475+C705+C890+C1072</f>
        <v>0</v>
      </c>
      <c r="D2627" s="528"/>
      <c r="E2627" s="460">
        <f t="shared" si="983"/>
        <v>0</v>
      </c>
      <c r="F2627" s="324">
        <f t="shared" si="984"/>
        <v>0</v>
      </c>
      <c r="G2627" s="528">
        <f t="shared" si="980"/>
        <v>0</v>
      </c>
      <c r="H2627" s="324" t="s">
        <v>18</v>
      </c>
      <c r="I2627" s="528">
        <f t="shared" si="981"/>
        <v>0</v>
      </c>
      <c r="J2627" s="324" t="s">
        <v>19</v>
      </c>
      <c r="K2627" s="324"/>
      <c r="L2627" s="324"/>
      <c r="M2627" s="324">
        <f>F2627*4983/2880</f>
        <v>0</v>
      </c>
      <c r="N2627" s="324"/>
      <c r="O2627" s="324"/>
      <c r="P2627" s="324"/>
      <c r="Q2627" s="324" t="s">
        <v>18</v>
      </c>
      <c r="R2627" s="324"/>
      <c r="S2627" s="324" t="s">
        <v>19</v>
      </c>
      <c r="T2627" s="528">
        <v>2</v>
      </c>
      <c r="U2627" s="324">
        <f>E2627/259*60</f>
        <v>0</v>
      </c>
      <c r="V2627" s="676"/>
      <c r="W2627" s="528"/>
      <c r="X2627" s="529"/>
      <c r="Y2627" s="360"/>
      <c r="Z2627" s="312">
        <f>E2627</f>
        <v>0</v>
      </c>
      <c r="AA2627" s="316">
        <f>SUM(Z2627/624+0.25)</f>
        <v>0.25</v>
      </c>
    </row>
    <row r="2628" spans="1:27" ht="53.25" thickBot="1" x14ac:dyDescent="0.45">
      <c r="A2628" s="319" t="s">
        <v>735</v>
      </c>
      <c r="B2628" s="362" t="s">
        <v>1033</v>
      </c>
      <c r="C2628" s="528">
        <f>C246+C477+C706+C912+C1078</f>
        <v>600</v>
      </c>
      <c r="D2628" s="528"/>
      <c r="E2628" s="324">
        <f t="shared" si="983"/>
        <v>1920</v>
      </c>
      <c r="F2628" s="324">
        <f t="shared" si="984"/>
        <v>13.189224489795919</v>
      </c>
      <c r="G2628" s="528">
        <f>INT(M2628)</f>
        <v>28</v>
      </c>
      <c r="H2628" s="324" t="s">
        <v>18</v>
      </c>
      <c r="I2628" s="528">
        <f>(M2628-G2628)*64</f>
        <v>39.187410586552005</v>
      </c>
      <c r="J2628" s="324"/>
      <c r="K2628" s="324"/>
      <c r="L2628" s="324"/>
      <c r="M2628" s="324">
        <f>E2628/0.0233/2880</f>
        <v>28.612303290414875</v>
      </c>
      <c r="N2628" s="324"/>
      <c r="O2628" s="324"/>
      <c r="P2628" s="324"/>
      <c r="Q2628" s="324" t="s">
        <v>18</v>
      </c>
      <c r="R2628" s="324"/>
      <c r="S2628" s="324" t="s">
        <v>19</v>
      </c>
      <c r="T2628" s="528">
        <v>2</v>
      </c>
      <c r="U2628" s="324">
        <f>E2628/259*60</f>
        <v>444.78764478764481</v>
      </c>
      <c r="V2628" s="676"/>
      <c r="W2628" s="528"/>
      <c r="X2628" s="529"/>
      <c r="Y2628" s="323"/>
      <c r="Z2628" s="312">
        <f>E2628</f>
        <v>1920</v>
      </c>
      <c r="AA2628" s="316">
        <f t="shared" si="985"/>
        <v>3.3269230769230771</v>
      </c>
    </row>
    <row r="2629" spans="1:27" ht="53.25" thickBot="1" x14ac:dyDescent="0.45">
      <c r="A2629" s="319" t="s">
        <v>735</v>
      </c>
      <c r="B2629" s="362" t="s">
        <v>1081</v>
      </c>
      <c r="C2629" s="587">
        <f>C247+C478+C707+C891+C1073</f>
        <v>0</v>
      </c>
      <c r="D2629" s="528"/>
      <c r="E2629" s="460">
        <f t="shared" si="983"/>
        <v>0</v>
      </c>
      <c r="F2629" s="324">
        <f t="shared" si="984"/>
        <v>0</v>
      </c>
      <c r="G2629" s="528">
        <f>INT(M2629)</f>
        <v>0</v>
      </c>
      <c r="H2629" s="324" t="s">
        <v>18</v>
      </c>
      <c r="I2629" s="528">
        <f>(M2629-G2629)*64</f>
        <v>0</v>
      </c>
      <c r="J2629" s="324" t="s">
        <v>19</v>
      </c>
      <c r="K2629" s="324"/>
      <c r="L2629" s="324"/>
      <c r="M2629" s="324">
        <f>F2629*4983/2880</f>
        <v>0</v>
      </c>
      <c r="N2629" s="324"/>
      <c r="O2629" s="324"/>
      <c r="P2629" s="324"/>
      <c r="Q2629" s="324" t="s">
        <v>18</v>
      </c>
      <c r="R2629" s="324"/>
      <c r="S2629" s="324" t="s">
        <v>19</v>
      </c>
      <c r="T2629" s="528">
        <v>2</v>
      </c>
      <c r="U2629" s="324">
        <f>E2629/324*60</f>
        <v>0</v>
      </c>
      <c r="V2629" s="676"/>
      <c r="W2629" s="528"/>
      <c r="X2629" s="529"/>
      <c r="Y2629" s="323"/>
      <c r="Z2629" s="312">
        <f>E2629</f>
        <v>0</v>
      </c>
      <c r="AA2629" s="316">
        <f>SUM(Z2629/624+0.25)</f>
        <v>0.25</v>
      </c>
    </row>
    <row r="2630" spans="1:27" s="327" customFormat="1" ht="53.25" thickBot="1" x14ac:dyDescent="0.45">
      <c r="A2630" s="319" t="s">
        <v>735</v>
      </c>
      <c r="B2630" s="419" t="s">
        <v>867</v>
      </c>
      <c r="C2630" s="553">
        <f>C249+C479+C709+C1079+C910</f>
        <v>0</v>
      </c>
      <c r="D2630" s="554"/>
      <c r="E2630" s="458">
        <f>C2630*3.5</f>
        <v>0</v>
      </c>
      <c r="F2630" s="358">
        <f>E2630*0.9*1.01/147</f>
        <v>0</v>
      </c>
      <c r="G2630" s="556">
        <f t="shared" ref="G2630:G2635" si="986">INT(M2630)</f>
        <v>0</v>
      </c>
      <c r="H2630" s="366" t="s">
        <v>18</v>
      </c>
      <c r="I2630" s="556">
        <f t="shared" ref="I2630:I2635" si="987">(M2630-G2630)*64</f>
        <v>0</v>
      </c>
      <c r="J2630" s="366" t="s">
        <v>19</v>
      </c>
      <c r="K2630" s="366"/>
      <c r="L2630" s="366"/>
      <c r="M2630" s="358">
        <f>(F2630*6533/3456)</f>
        <v>0</v>
      </c>
      <c r="N2630" s="555"/>
      <c r="O2630" s="555"/>
      <c r="P2630" s="555"/>
      <c r="Q2630" s="555" t="s">
        <v>18</v>
      </c>
      <c r="R2630" s="555"/>
      <c r="S2630" s="555" t="s">
        <v>19</v>
      </c>
      <c r="T2630" s="528">
        <v>2</v>
      </c>
      <c r="U2630" s="555">
        <f t="shared" si="979"/>
        <v>0</v>
      </c>
      <c r="V2630" s="686"/>
      <c r="W2630" s="553"/>
      <c r="X2630" s="555"/>
      <c r="Y2630" s="367"/>
      <c r="Z2630" s="312">
        <f t="shared" si="976"/>
        <v>0</v>
      </c>
      <c r="AA2630" s="316">
        <f t="shared" si="985"/>
        <v>0.25</v>
      </c>
    </row>
    <row r="2631" spans="1:27" s="327" customFormat="1" ht="53.25" thickBot="1" x14ac:dyDescent="0.45">
      <c r="A2631" s="319" t="s">
        <v>735</v>
      </c>
      <c r="B2631" s="419" t="s">
        <v>853</v>
      </c>
      <c r="C2631" s="553">
        <f>C267+C497+C727+C1085+C913</f>
        <v>0</v>
      </c>
      <c r="D2631" s="554"/>
      <c r="E2631" s="458">
        <f>C2631*3.5</f>
        <v>0</v>
      </c>
      <c r="F2631" s="358">
        <f>E2631*0.9*1.01/147</f>
        <v>0</v>
      </c>
      <c r="G2631" s="548">
        <f t="shared" si="986"/>
        <v>0</v>
      </c>
      <c r="H2631" s="358" t="s">
        <v>18</v>
      </c>
      <c r="I2631" s="548">
        <f t="shared" si="987"/>
        <v>0</v>
      </c>
      <c r="J2631" s="358" t="s">
        <v>19</v>
      </c>
      <c r="K2631" s="358"/>
      <c r="L2631" s="358"/>
      <c r="M2631" s="358">
        <f>(F2631*6533/3456)</f>
        <v>0</v>
      </c>
      <c r="N2631" s="366"/>
      <c r="O2631" s="366"/>
      <c r="P2631" s="366"/>
      <c r="Q2631" s="366" t="s">
        <v>18</v>
      </c>
      <c r="R2631" s="366"/>
      <c r="S2631" s="366" t="s">
        <v>19</v>
      </c>
      <c r="T2631" s="528">
        <v>2</v>
      </c>
      <c r="U2631" s="555">
        <f t="shared" si="979"/>
        <v>0</v>
      </c>
      <c r="V2631" s="686"/>
      <c r="W2631" s="553"/>
      <c r="X2631" s="555"/>
      <c r="Y2631" s="367"/>
      <c r="Z2631" s="312">
        <f t="shared" si="976"/>
        <v>0</v>
      </c>
      <c r="AA2631" s="316">
        <f t="shared" si="985"/>
        <v>0.25</v>
      </c>
    </row>
    <row r="2632" spans="1:27" ht="53.25" thickBot="1" x14ac:dyDescent="0.45">
      <c r="A2632" s="319" t="s">
        <v>735</v>
      </c>
      <c r="B2632" s="320" t="s">
        <v>618</v>
      </c>
      <c r="C2632" s="586">
        <f>C2197</f>
        <v>0</v>
      </c>
      <c r="D2632" s="525">
        <f t="shared" ref="D2632:D2641" si="988">C2632*10</f>
        <v>0</v>
      </c>
      <c r="E2632" s="545">
        <f>D2632*0.25</f>
        <v>0</v>
      </c>
      <c r="F2632" s="461">
        <f>E2632*1.15*0.82/173</f>
        <v>0</v>
      </c>
      <c r="G2632" s="525">
        <f t="shared" si="986"/>
        <v>0</v>
      </c>
      <c r="H2632" s="461" t="s">
        <v>18</v>
      </c>
      <c r="I2632" s="525">
        <f t="shared" si="987"/>
        <v>0</v>
      </c>
      <c r="J2632" s="461" t="s">
        <v>19</v>
      </c>
      <c r="K2632" s="461"/>
      <c r="L2632" s="461"/>
      <c r="M2632" s="461">
        <f>(F2632*7863)/3456</f>
        <v>0</v>
      </c>
      <c r="N2632" s="461"/>
      <c r="O2632" s="461"/>
      <c r="P2632" s="461"/>
      <c r="Q2632" s="324" t="s">
        <v>18</v>
      </c>
      <c r="R2632" s="324"/>
      <c r="S2632" s="324" t="s">
        <v>19</v>
      </c>
      <c r="T2632" s="528">
        <v>2</v>
      </c>
      <c r="U2632" s="324">
        <f>E2632/272*60</f>
        <v>0</v>
      </c>
      <c r="V2632" s="676"/>
      <c r="W2632" s="528"/>
      <c r="X2632" s="529"/>
      <c r="Y2632" s="323"/>
      <c r="Z2632" s="312">
        <f t="shared" si="976"/>
        <v>0</v>
      </c>
      <c r="AA2632" s="316">
        <f>SUM(Z2632/230+0.25)</f>
        <v>0.25</v>
      </c>
    </row>
    <row r="2633" spans="1:27" ht="53.25" thickBot="1" x14ac:dyDescent="0.45">
      <c r="A2633" s="319" t="s">
        <v>735</v>
      </c>
      <c r="B2633" s="320" t="s">
        <v>619</v>
      </c>
      <c r="C2633" s="586">
        <f>C1935</f>
        <v>0</v>
      </c>
      <c r="D2633" s="525">
        <f t="shared" si="988"/>
        <v>0</v>
      </c>
      <c r="E2633" s="545">
        <f>D2633*0.25</f>
        <v>0</v>
      </c>
      <c r="F2633" s="461">
        <f>E2633*1.15*0.82/173</f>
        <v>0</v>
      </c>
      <c r="G2633" s="525">
        <f t="shared" si="986"/>
        <v>0</v>
      </c>
      <c r="H2633" s="461" t="s">
        <v>18</v>
      </c>
      <c r="I2633" s="525">
        <f t="shared" si="987"/>
        <v>0</v>
      </c>
      <c r="J2633" s="461" t="s">
        <v>19</v>
      </c>
      <c r="K2633" s="461"/>
      <c r="L2633" s="461"/>
      <c r="M2633" s="461">
        <f>(F2633*7863)/3456</f>
        <v>0</v>
      </c>
      <c r="N2633" s="461"/>
      <c r="O2633" s="461"/>
      <c r="P2633" s="461"/>
      <c r="Q2633" s="324" t="s">
        <v>18</v>
      </c>
      <c r="R2633" s="324"/>
      <c r="S2633" s="324" t="s">
        <v>19</v>
      </c>
      <c r="T2633" s="528">
        <v>2</v>
      </c>
      <c r="U2633" s="324">
        <f>E2633/220*60</f>
        <v>0</v>
      </c>
      <c r="V2633" s="676"/>
      <c r="W2633" s="528"/>
      <c r="X2633" s="529"/>
      <c r="Y2633" s="323"/>
      <c r="Z2633" s="312">
        <f t="shared" si="976"/>
        <v>0</v>
      </c>
      <c r="AA2633" s="316">
        <f>SUM(Z2633/230+0.25)</f>
        <v>0.25</v>
      </c>
    </row>
    <row r="2634" spans="1:27" ht="77.25" thickBot="1" x14ac:dyDescent="0.45">
      <c r="A2634" s="319" t="s">
        <v>735</v>
      </c>
      <c r="B2634" s="320" t="s">
        <v>813</v>
      </c>
      <c r="C2634" s="586">
        <f>C1937</f>
        <v>0</v>
      </c>
      <c r="D2634" s="525">
        <f t="shared" si="988"/>
        <v>0</v>
      </c>
      <c r="E2634" s="545">
        <f>D2634*0.2</f>
        <v>0</v>
      </c>
      <c r="F2634" s="461">
        <f>E2634*1.15*0.82/173</f>
        <v>0</v>
      </c>
      <c r="G2634" s="525">
        <f t="shared" si="986"/>
        <v>0</v>
      </c>
      <c r="H2634" s="461" t="s">
        <v>18</v>
      </c>
      <c r="I2634" s="525">
        <f t="shared" si="987"/>
        <v>0</v>
      </c>
      <c r="J2634" s="461" t="s">
        <v>19</v>
      </c>
      <c r="K2634" s="461"/>
      <c r="L2634" s="461"/>
      <c r="M2634" s="461">
        <f>(F2634*9600)/3456</f>
        <v>0</v>
      </c>
      <c r="N2634" s="461"/>
      <c r="O2634" s="461"/>
      <c r="P2634" s="461"/>
      <c r="Q2634" s="324" t="s">
        <v>18</v>
      </c>
      <c r="R2634" s="324"/>
      <c r="S2634" s="324" t="s">
        <v>19</v>
      </c>
      <c r="T2634" s="528">
        <v>2</v>
      </c>
      <c r="U2634" s="324">
        <f>E2634/207*60</f>
        <v>0</v>
      </c>
      <c r="V2634" s="676"/>
      <c r="W2634" s="528"/>
      <c r="X2634" s="529"/>
      <c r="Y2634" s="323"/>
      <c r="Z2634" s="312">
        <f t="shared" si="976"/>
        <v>0</v>
      </c>
      <c r="AA2634" s="316">
        <f>SUM(Z2634/183+0.25)</f>
        <v>0.25</v>
      </c>
    </row>
    <row r="2635" spans="1:27" ht="53.25" thickBot="1" x14ac:dyDescent="0.45">
      <c r="A2635" s="319" t="s">
        <v>735</v>
      </c>
      <c r="B2635" s="320" t="s">
        <v>911</v>
      </c>
      <c r="C2635" s="586">
        <f>C1936</f>
        <v>0</v>
      </c>
      <c r="D2635" s="525">
        <f t="shared" si="988"/>
        <v>0</v>
      </c>
      <c r="E2635" s="545">
        <f>D2635*0.2</f>
        <v>0</v>
      </c>
      <c r="F2635" s="461">
        <f>E2635*1.15*0.82/173</f>
        <v>0</v>
      </c>
      <c r="G2635" s="525">
        <f t="shared" si="986"/>
        <v>0</v>
      </c>
      <c r="H2635" s="461" t="s">
        <v>18</v>
      </c>
      <c r="I2635" s="525">
        <f t="shared" si="987"/>
        <v>0</v>
      </c>
      <c r="J2635" s="461" t="s">
        <v>19</v>
      </c>
      <c r="K2635" s="461"/>
      <c r="L2635" s="461"/>
      <c r="M2635" s="461">
        <f>(F2635*9600)/3456</f>
        <v>0</v>
      </c>
      <c r="N2635" s="461"/>
      <c r="O2635" s="461"/>
      <c r="P2635" s="461"/>
      <c r="Q2635" s="324" t="s">
        <v>18</v>
      </c>
      <c r="R2635" s="324"/>
      <c r="S2635" s="324" t="s">
        <v>19</v>
      </c>
      <c r="T2635" s="528">
        <v>2</v>
      </c>
      <c r="U2635" s="324">
        <f>E2635/207*60</f>
        <v>0</v>
      </c>
      <c r="V2635" s="676"/>
      <c r="W2635" s="528"/>
      <c r="X2635" s="529"/>
      <c r="Y2635" s="323"/>
      <c r="Z2635" s="312">
        <f t="shared" si="976"/>
        <v>0</v>
      </c>
      <c r="AA2635" s="316">
        <f>SUM(Z2635/183+0.25)</f>
        <v>0.25</v>
      </c>
    </row>
    <row r="2636" spans="1:27" ht="53.25" outlineLevel="1" thickBot="1" x14ac:dyDescent="0.45">
      <c r="A2636" s="319" t="s">
        <v>735</v>
      </c>
      <c r="B2636" s="363" t="s">
        <v>683</v>
      </c>
      <c r="C2636" s="586">
        <f>C197+C425+C653+C845+C1026</f>
        <v>0</v>
      </c>
      <c r="D2636" s="548">
        <f t="shared" si="988"/>
        <v>0</v>
      </c>
      <c r="E2636" s="456">
        <f>D2636*0.2</f>
        <v>0</v>
      </c>
      <c r="F2636" s="358">
        <f>E2636*1.03*0.82/147</f>
        <v>0</v>
      </c>
      <c r="G2636" s="548">
        <f t="shared" ref="G2636:G2641" si="989">INT(M2636)</f>
        <v>0</v>
      </c>
      <c r="H2636" s="358" t="s">
        <v>18</v>
      </c>
      <c r="I2636" s="548">
        <f t="shared" ref="I2636:I2641" si="990">(M2636-G2636)*64</f>
        <v>0</v>
      </c>
      <c r="J2636" s="358" t="s">
        <v>19</v>
      </c>
      <c r="K2636" s="358"/>
      <c r="L2636" s="358"/>
      <c r="M2636" s="358">
        <f>(F2636*8750/3456)</f>
        <v>0</v>
      </c>
      <c r="N2636" s="324"/>
      <c r="O2636" s="324"/>
      <c r="P2636" s="324"/>
      <c r="Q2636" s="324" t="s">
        <v>18</v>
      </c>
      <c r="R2636" s="324"/>
      <c r="S2636" s="324" t="s">
        <v>19</v>
      </c>
      <c r="T2636" s="528">
        <v>2</v>
      </c>
      <c r="U2636" s="324">
        <f>E2636/207*60</f>
        <v>0</v>
      </c>
      <c r="V2636" s="676"/>
      <c r="W2636" s="528"/>
      <c r="X2636" s="529"/>
      <c r="Y2636" s="323"/>
      <c r="Z2636" s="312">
        <f t="shared" si="976"/>
        <v>0</v>
      </c>
      <c r="AA2636" s="316">
        <f>SUM(Z2636/183+0.25)</f>
        <v>0.25</v>
      </c>
    </row>
    <row r="2637" spans="1:27" s="728" customFormat="1" ht="77.25" outlineLevel="1" thickBot="1" x14ac:dyDescent="0.45">
      <c r="A2637" s="636" t="s">
        <v>735</v>
      </c>
      <c r="B2637" s="634" t="s">
        <v>1040</v>
      </c>
      <c r="C2637" s="720">
        <f>C206+C434+C663+C854+C1035</f>
        <v>0</v>
      </c>
      <c r="D2637" s="720">
        <f>C2637*12</f>
        <v>0</v>
      </c>
      <c r="E2637" s="721">
        <f t="shared" ref="E2637:E2643" si="991">D2637*0.25</f>
        <v>0</v>
      </c>
      <c r="F2637" s="722">
        <f>E2637*1.03*0.729/147</f>
        <v>0</v>
      </c>
      <c r="G2637" s="720">
        <f t="shared" si="989"/>
        <v>0</v>
      </c>
      <c r="H2637" s="722" t="s">
        <v>18</v>
      </c>
      <c r="I2637" s="720">
        <f t="shared" si="990"/>
        <v>0</v>
      </c>
      <c r="J2637" s="722" t="s">
        <v>19</v>
      </c>
      <c r="K2637" s="722"/>
      <c r="L2637" s="722"/>
      <c r="M2637" s="722">
        <f>(F2637*7840/3456)</f>
        <v>0</v>
      </c>
      <c r="N2637" s="722"/>
      <c r="O2637" s="722"/>
      <c r="P2637" s="722"/>
      <c r="Q2637" s="722" t="s">
        <v>18</v>
      </c>
      <c r="R2637" s="722"/>
      <c r="S2637" s="722" t="s">
        <v>19</v>
      </c>
      <c r="T2637" s="720">
        <v>2</v>
      </c>
      <c r="U2637" s="324">
        <f>E2637/390*60</f>
        <v>0</v>
      </c>
      <c r="V2637" s="724"/>
      <c r="W2637" s="720"/>
      <c r="X2637" s="725"/>
      <c r="Y2637" s="736"/>
      <c r="Z2637" s="727">
        <f t="shared" si="976"/>
        <v>0</v>
      </c>
      <c r="AA2637" s="815">
        <f t="shared" ref="AA2637:AA2642" si="992">SUM(Z2637/230+0.25)</f>
        <v>0.25</v>
      </c>
    </row>
    <row r="2638" spans="1:27" s="728" customFormat="1" ht="53.25" outlineLevel="1" thickBot="1" x14ac:dyDescent="0.45">
      <c r="A2638" s="636" t="s">
        <v>735</v>
      </c>
      <c r="B2638" s="634" t="s">
        <v>1041</v>
      </c>
      <c r="C2638" s="720">
        <f>C309+C539+C769+C945+C1135</f>
        <v>0</v>
      </c>
      <c r="D2638" s="720">
        <f>C2638*12</f>
        <v>0</v>
      </c>
      <c r="E2638" s="721">
        <f t="shared" si="991"/>
        <v>0</v>
      </c>
      <c r="F2638" s="722">
        <f>E2638*0.9*1.01/147</f>
        <v>0</v>
      </c>
      <c r="G2638" s="720">
        <f t="shared" si="989"/>
        <v>0</v>
      </c>
      <c r="H2638" s="722" t="s">
        <v>18</v>
      </c>
      <c r="I2638" s="720">
        <f t="shared" si="990"/>
        <v>0</v>
      </c>
      <c r="J2638" s="722" t="s">
        <v>19</v>
      </c>
      <c r="K2638" s="722"/>
      <c r="L2638" s="722"/>
      <c r="M2638" s="722">
        <f>(F2638*6533/3456)</f>
        <v>0</v>
      </c>
      <c r="N2638" s="722"/>
      <c r="O2638" s="722"/>
      <c r="P2638" s="722"/>
      <c r="Q2638" s="722" t="s">
        <v>18</v>
      </c>
      <c r="R2638" s="722"/>
      <c r="S2638" s="722" t="s">
        <v>19</v>
      </c>
      <c r="T2638" s="720">
        <v>2</v>
      </c>
      <c r="U2638" s="324">
        <f>E2638/390*60</f>
        <v>0</v>
      </c>
      <c r="V2638" s="724"/>
      <c r="W2638" s="720"/>
      <c r="X2638" s="725"/>
      <c r="Y2638" s="736"/>
      <c r="Z2638" s="727">
        <f t="shared" si="976"/>
        <v>0</v>
      </c>
      <c r="AA2638" s="815">
        <f t="shared" si="992"/>
        <v>0.25</v>
      </c>
    </row>
    <row r="2639" spans="1:27" s="728" customFormat="1" ht="53.25" outlineLevel="1" thickBot="1" x14ac:dyDescent="0.45">
      <c r="A2639" s="636" t="s">
        <v>735</v>
      </c>
      <c r="B2639" s="634" t="s">
        <v>1042</v>
      </c>
      <c r="C2639" s="720">
        <f>C320+C550+C770+C963+C1146</f>
        <v>0</v>
      </c>
      <c r="D2639" s="741">
        <f>C2639*12</f>
        <v>0</v>
      </c>
      <c r="E2639" s="721">
        <f t="shared" si="991"/>
        <v>0</v>
      </c>
      <c r="F2639" s="722">
        <f>E2639*0.99*1.02/147</f>
        <v>0</v>
      </c>
      <c r="G2639" s="720">
        <f t="shared" si="989"/>
        <v>0</v>
      </c>
      <c r="H2639" s="722" t="s">
        <v>18</v>
      </c>
      <c r="I2639" s="720">
        <f t="shared" si="990"/>
        <v>0</v>
      </c>
      <c r="J2639" s="722" t="s">
        <v>19</v>
      </c>
      <c r="K2639" s="722"/>
      <c r="L2639" s="722"/>
      <c r="M2639" s="722">
        <f>(F2639*5880)/3456</f>
        <v>0</v>
      </c>
      <c r="N2639" s="722"/>
      <c r="O2639" s="722"/>
      <c r="P2639" s="722"/>
      <c r="Q2639" s="722" t="s">
        <v>18</v>
      </c>
      <c r="R2639" s="722"/>
      <c r="S2639" s="722" t="s">
        <v>19</v>
      </c>
      <c r="T2639" s="720">
        <v>2</v>
      </c>
      <c r="U2639" s="324">
        <f>E2639/390*60</f>
        <v>0</v>
      </c>
      <c r="V2639" s="724"/>
      <c r="W2639" s="720"/>
      <c r="X2639" s="725"/>
      <c r="Y2639" s="736"/>
      <c r="Z2639" s="727">
        <f t="shared" si="976"/>
        <v>0</v>
      </c>
      <c r="AA2639" s="815">
        <f t="shared" si="992"/>
        <v>0.25</v>
      </c>
    </row>
    <row r="2640" spans="1:27" ht="77.25" thickBot="1" x14ac:dyDescent="0.45">
      <c r="A2640" s="319" t="s">
        <v>735</v>
      </c>
      <c r="B2640" s="364" t="s">
        <v>992</v>
      </c>
      <c r="C2640" s="528">
        <f>C2198</f>
        <v>0</v>
      </c>
      <c r="D2640" s="528">
        <f>C2640*12</f>
        <v>0</v>
      </c>
      <c r="E2640" s="324">
        <f t="shared" si="991"/>
        <v>0</v>
      </c>
      <c r="F2640" s="324">
        <f>E2640*1.03*0.81/170</f>
        <v>0</v>
      </c>
      <c r="G2640" s="528">
        <f t="shared" si="989"/>
        <v>0</v>
      </c>
      <c r="H2640" s="324" t="s">
        <v>18</v>
      </c>
      <c r="I2640" s="528">
        <f t="shared" si="990"/>
        <v>0</v>
      </c>
      <c r="J2640" s="324" t="s">
        <v>19</v>
      </c>
      <c r="K2640" s="324"/>
      <c r="L2640" s="324"/>
      <c r="M2640" s="324">
        <f>(F2640*8820/3456)</f>
        <v>0</v>
      </c>
      <c r="N2640" s="324"/>
      <c r="O2640" s="324"/>
      <c r="P2640" s="324"/>
      <c r="Q2640" s="324" t="s">
        <v>18</v>
      </c>
      <c r="R2640" s="324"/>
      <c r="S2640" s="324" t="s">
        <v>19</v>
      </c>
      <c r="T2640" s="528">
        <v>2</v>
      </c>
      <c r="U2640" s="324">
        <f>E2640/220*60</f>
        <v>0</v>
      </c>
      <c r="V2640" s="676"/>
      <c r="W2640" s="528"/>
      <c r="X2640" s="529"/>
      <c r="Y2640" s="323"/>
      <c r="Z2640" s="312">
        <f t="shared" si="976"/>
        <v>0</v>
      </c>
      <c r="AA2640" s="316">
        <f t="shared" si="992"/>
        <v>0.25</v>
      </c>
    </row>
    <row r="2641" spans="1:27" ht="77.25" thickBot="1" x14ac:dyDescent="0.45">
      <c r="A2641" s="319" t="s">
        <v>735</v>
      </c>
      <c r="B2641" s="364" t="s">
        <v>694</v>
      </c>
      <c r="C2641" s="586">
        <f>C201+C429+C657+C849+C1030</f>
        <v>0</v>
      </c>
      <c r="D2641" s="548">
        <f t="shared" si="988"/>
        <v>0</v>
      </c>
      <c r="E2641" s="456">
        <f t="shared" si="991"/>
        <v>0</v>
      </c>
      <c r="F2641" s="358">
        <f>E2641*1.03*0.81/147</f>
        <v>0</v>
      </c>
      <c r="G2641" s="548">
        <f t="shared" si="989"/>
        <v>0</v>
      </c>
      <c r="H2641" s="358" t="s">
        <v>18</v>
      </c>
      <c r="I2641" s="548">
        <f t="shared" si="990"/>
        <v>0</v>
      </c>
      <c r="J2641" s="358" t="s">
        <v>19</v>
      </c>
      <c r="K2641" s="358"/>
      <c r="L2641" s="358"/>
      <c r="M2641" s="358">
        <f>(F2641*8820/3456)</f>
        <v>0</v>
      </c>
      <c r="N2641" s="324"/>
      <c r="O2641" s="324"/>
      <c r="P2641" s="324"/>
      <c r="Q2641" s="324" t="s">
        <v>18</v>
      </c>
      <c r="R2641" s="324"/>
      <c r="S2641" s="324" t="s">
        <v>19</v>
      </c>
      <c r="T2641" s="528">
        <v>2</v>
      </c>
      <c r="U2641" s="324"/>
      <c r="V2641" s="676"/>
      <c r="W2641" s="528"/>
      <c r="X2641" s="529"/>
      <c r="Y2641" s="323"/>
      <c r="Z2641" s="312">
        <f t="shared" si="976"/>
        <v>0</v>
      </c>
      <c r="AA2641" s="316">
        <f t="shared" si="992"/>
        <v>0.25</v>
      </c>
    </row>
    <row r="2642" spans="1:27" ht="77.25" thickBot="1" x14ac:dyDescent="0.45">
      <c r="A2642" s="319" t="s">
        <v>735</v>
      </c>
      <c r="B2642" s="364" t="s">
        <v>1068</v>
      </c>
      <c r="C2642" s="586">
        <f>C202+C430+C658</f>
        <v>0</v>
      </c>
      <c r="D2642" s="528">
        <f>C2642*10</f>
        <v>0</v>
      </c>
      <c r="E2642" s="460">
        <f t="shared" si="991"/>
        <v>0</v>
      </c>
      <c r="F2642" s="324">
        <f>E2642*1.03*0.81/147</f>
        <v>0</v>
      </c>
      <c r="G2642" s="528">
        <f>INT(M2642)</f>
        <v>0</v>
      </c>
      <c r="H2642" s="324" t="s">
        <v>18</v>
      </c>
      <c r="I2642" s="528">
        <f>(M2642-G2642)*64</f>
        <v>0</v>
      </c>
      <c r="J2642" s="324" t="s">
        <v>19</v>
      </c>
      <c r="K2642" s="324"/>
      <c r="L2642" s="324"/>
      <c r="M2642" s="324">
        <f>(F2642*8820/3456)</f>
        <v>0</v>
      </c>
      <c r="N2642" s="324"/>
      <c r="O2642" s="324"/>
      <c r="P2642" s="324"/>
      <c r="Q2642" s="324" t="s">
        <v>18</v>
      </c>
      <c r="R2642" s="324"/>
      <c r="S2642" s="324" t="s">
        <v>19</v>
      </c>
      <c r="T2642" s="528">
        <v>2</v>
      </c>
      <c r="U2642" s="324"/>
      <c r="V2642" s="676"/>
      <c r="W2642" s="528"/>
      <c r="X2642" s="529"/>
      <c r="Y2642" s="323"/>
      <c r="Z2642" s="312">
        <f>E2642</f>
        <v>0</v>
      </c>
      <c r="AA2642" s="316">
        <f t="shared" si="992"/>
        <v>0.25</v>
      </c>
    </row>
    <row r="2643" spans="1:27" ht="77.25" thickBot="1" x14ac:dyDescent="0.45">
      <c r="A2643" s="319" t="s">
        <v>735</v>
      </c>
      <c r="B2643" s="364" t="s">
        <v>1072</v>
      </c>
      <c r="C2643" s="586">
        <f>C203+C431+C659</f>
        <v>0</v>
      </c>
      <c r="D2643" s="528">
        <f>C2643*10</f>
        <v>0</v>
      </c>
      <c r="E2643" s="460">
        <f t="shared" si="991"/>
        <v>0</v>
      </c>
      <c r="F2643" s="324">
        <f>E2643*1.03*0.81/147</f>
        <v>0</v>
      </c>
      <c r="G2643" s="528">
        <f>INT(M2643)</f>
        <v>0</v>
      </c>
      <c r="H2643" s="324" t="s">
        <v>18</v>
      </c>
      <c r="I2643" s="528">
        <f>(M2643-G2643)*64</f>
        <v>0</v>
      </c>
      <c r="J2643" s="324" t="s">
        <v>19</v>
      </c>
      <c r="K2643" s="324"/>
      <c r="L2643" s="324"/>
      <c r="M2643" s="324">
        <f>(F2643*8820/3456)</f>
        <v>0</v>
      </c>
      <c r="N2643" s="324"/>
      <c r="O2643" s="324"/>
      <c r="P2643" s="324"/>
      <c r="Q2643" s="324" t="s">
        <v>18</v>
      </c>
      <c r="R2643" s="324"/>
      <c r="S2643" s="324" t="s">
        <v>19</v>
      </c>
      <c r="T2643" s="528">
        <v>2</v>
      </c>
      <c r="U2643" s="324"/>
      <c r="V2643" s="676"/>
      <c r="W2643" s="528"/>
      <c r="X2643" s="529"/>
      <c r="Y2643" s="323"/>
      <c r="Z2643" s="312">
        <f>E2643</f>
        <v>0</v>
      </c>
      <c r="AA2643" s="316">
        <f>SUM(Z2643/183+0.25)</f>
        <v>0.25</v>
      </c>
    </row>
    <row r="2644" spans="1:27" ht="53.25" thickBot="1" x14ac:dyDescent="0.45">
      <c r="A2644" s="319" t="s">
        <v>735</v>
      </c>
      <c r="B2644" s="362" t="s">
        <v>815</v>
      </c>
      <c r="C2644" s="586">
        <f>C1210+C1718</f>
        <v>1000</v>
      </c>
      <c r="D2644" s="551">
        <f>C2644*12</f>
        <v>12000</v>
      </c>
      <c r="E2644" s="456">
        <f>D2644*0.5</f>
        <v>6000</v>
      </c>
      <c r="F2644" s="358">
        <f>E2644*1.02*0.99/147</f>
        <v>41.216326530612243</v>
      </c>
      <c r="G2644" s="548">
        <f t="shared" ref="G2644:G2652" si="993">INT(M2644)</f>
        <v>75</v>
      </c>
      <c r="H2644" s="358" t="s">
        <v>18</v>
      </c>
      <c r="I2644" s="548">
        <f t="shared" ref="I2644:I2652" si="994">(M2644-G2644)*64</f>
        <v>14.982857142857029</v>
      </c>
      <c r="J2644" s="358" t="s">
        <v>19</v>
      </c>
      <c r="K2644" s="358"/>
      <c r="L2644" s="358"/>
      <c r="M2644" s="358">
        <f>(F2644*5257)/2880</f>
        <v>75.234107142857141</v>
      </c>
      <c r="N2644" s="358"/>
      <c r="O2644" s="358"/>
      <c r="P2644" s="358"/>
      <c r="Q2644" s="358" t="s">
        <v>18</v>
      </c>
      <c r="R2644" s="358"/>
      <c r="S2644" s="358" t="s">
        <v>19</v>
      </c>
      <c r="T2644" s="528">
        <v>3</v>
      </c>
      <c r="U2644" s="324"/>
      <c r="V2644" s="676"/>
      <c r="W2644" s="528"/>
      <c r="X2644" s="529"/>
      <c r="Y2644" s="323"/>
      <c r="Z2644" s="312">
        <f t="shared" si="976"/>
        <v>6000</v>
      </c>
      <c r="AA2644" s="316">
        <f>SUM(Z2644/165+0.25)</f>
        <v>36.613636363636367</v>
      </c>
    </row>
    <row r="2645" spans="1:27" ht="77.25" thickBot="1" x14ac:dyDescent="0.45">
      <c r="A2645" s="319" t="s">
        <v>735</v>
      </c>
      <c r="B2645" s="362" t="s">
        <v>825</v>
      </c>
      <c r="C2645" s="586">
        <f>C1211+C1719</f>
        <v>1000</v>
      </c>
      <c r="D2645" s="551">
        <f>C2645*12</f>
        <v>12000</v>
      </c>
      <c r="E2645" s="456">
        <f>D2645*0.5</f>
        <v>6000</v>
      </c>
      <c r="F2645" s="358">
        <f>E2645*1.02*0.99/147</f>
        <v>41.216326530612243</v>
      </c>
      <c r="G2645" s="548">
        <f t="shared" si="993"/>
        <v>75</v>
      </c>
      <c r="H2645" s="358" t="s">
        <v>18</v>
      </c>
      <c r="I2645" s="548">
        <f t="shared" si="994"/>
        <v>14.982857142857029</v>
      </c>
      <c r="J2645" s="358" t="s">
        <v>19</v>
      </c>
      <c r="K2645" s="358"/>
      <c r="L2645" s="358"/>
      <c r="M2645" s="358">
        <f>(F2645*5257)/2880</f>
        <v>75.234107142857141</v>
      </c>
      <c r="N2645" s="358"/>
      <c r="O2645" s="358"/>
      <c r="P2645" s="358"/>
      <c r="Q2645" s="358" t="s">
        <v>18</v>
      </c>
      <c r="R2645" s="358"/>
      <c r="S2645" s="358" t="s">
        <v>19</v>
      </c>
      <c r="T2645" s="528">
        <v>3</v>
      </c>
      <c r="U2645" s="324"/>
      <c r="V2645" s="676"/>
      <c r="W2645" s="528"/>
      <c r="X2645" s="529"/>
      <c r="Y2645" s="323"/>
      <c r="Z2645" s="312">
        <f t="shared" si="976"/>
        <v>6000</v>
      </c>
      <c r="AA2645" s="316">
        <f>SUM(Z2645/165+0.25)</f>
        <v>36.613636363636367</v>
      </c>
    </row>
    <row r="2646" spans="1:27" ht="53.25" thickBot="1" x14ac:dyDescent="0.45">
      <c r="A2646" s="319" t="s">
        <v>735</v>
      </c>
      <c r="B2646" s="362" t="s">
        <v>826</v>
      </c>
      <c r="C2646" s="586">
        <f>C325+C555+C775+C895+C1076</f>
        <v>1000</v>
      </c>
      <c r="D2646" s="551">
        <f>C2646*12</f>
        <v>12000</v>
      </c>
      <c r="E2646" s="456">
        <f>D2646*0.5</f>
        <v>6000</v>
      </c>
      <c r="F2646" s="358">
        <f>E2646*1.02*0.99/147</f>
        <v>41.216326530612243</v>
      </c>
      <c r="G2646" s="548">
        <f t="shared" si="993"/>
        <v>75</v>
      </c>
      <c r="H2646" s="358" t="s">
        <v>18</v>
      </c>
      <c r="I2646" s="548">
        <f t="shared" si="994"/>
        <v>14.982857142857029</v>
      </c>
      <c r="J2646" s="358" t="s">
        <v>19</v>
      </c>
      <c r="K2646" s="358"/>
      <c r="L2646" s="358"/>
      <c r="M2646" s="358">
        <f>(F2646*5257)/2880</f>
        <v>75.234107142857141</v>
      </c>
      <c r="N2646" s="358"/>
      <c r="O2646" s="358"/>
      <c r="P2646" s="358"/>
      <c r="Q2646" s="358" t="s">
        <v>18</v>
      </c>
      <c r="R2646" s="358"/>
      <c r="S2646" s="358" t="s">
        <v>19</v>
      </c>
      <c r="T2646" s="528">
        <v>3</v>
      </c>
      <c r="U2646" s="324"/>
      <c r="V2646" s="676"/>
      <c r="W2646" s="528"/>
      <c r="X2646" s="529"/>
      <c r="Y2646" s="323"/>
      <c r="Z2646" s="312">
        <f t="shared" si="976"/>
        <v>6000</v>
      </c>
      <c r="AA2646" s="316">
        <f>SUM(Z2646/165+0.25)</f>
        <v>36.613636363636367</v>
      </c>
    </row>
    <row r="2647" spans="1:27" ht="77.25" thickBot="1" x14ac:dyDescent="0.45">
      <c r="A2647" s="319" t="s">
        <v>735</v>
      </c>
      <c r="B2647" s="480" t="s">
        <v>1083</v>
      </c>
      <c r="C2647" s="586">
        <f>C2092</f>
        <v>0</v>
      </c>
      <c r="D2647" s="626"/>
      <c r="E2647" s="358">
        <f>C2647*0.4</f>
        <v>0</v>
      </c>
      <c r="F2647" s="627">
        <f>E2647*1.03*0.85/147</f>
        <v>0</v>
      </c>
      <c r="G2647" s="628">
        <f>INT(M2647)</f>
        <v>0</v>
      </c>
      <c r="H2647" s="359"/>
      <c r="I2647" s="628">
        <f>(M2647-G2647)*64</f>
        <v>0</v>
      </c>
      <c r="J2647" s="629"/>
      <c r="K2647" s="630"/>
      <c r="L2647" s="630"/>
      <c r="M2647" s="627">
        <f>F2647*147/0.57/64</f>
        <v>0</v>
      </c>
      <c r="N2647" s="631"/>
      <c r="O2647" s="631"/>
      <c r="P2647" s="631"/>
      <c r="Q2647" s="358" t="s">
        <v>18</v>
      </c>
      <c r="R2647" s="358"/>
      <c r="S2647" s="358" t="s">
        <v>19</v>
      </c>
      <c r="T2647" s="528">
        <v>3</v>
      </c>
      <c r="U2647" s="324"/>
      <c r="V2647" s="676"/>
      <c r="W2647" s="528"/>
      <c r="X2647" s="529"/>
      <c r="Y2647" s="323"/>
      <c r="Z2647" s="312">
        <f t="shared" si="976"/>
        <v>0</v>
      </c>
      <c r="AA2647" s="316">
        <f>SUM(Z2647/165+0.25)</f>
        <v>0.25</v>
      </c>
    </row>
    <row r="2648" spans="1:27" ht="53.25" thickBot="1" x14ac:dyDescent="0.45">
      <c r="A2648" s="319" t="s">
        <v>735</v>
      </c>
      <c r="B2648" s="480" t="s">
        <v>1084</v>
      </c>
      <c r="C2648" s="586">
        <f>C161+C385+C613</f>
        <v>0</v>
      </c>
      <c r="D2648" s="626"/>
      <c r="E2648" s="358">
        <f>C2648*0.4</f>
        <v>0</v>
      </c>
      <c r="F2648" s="627">
        <f>E2648*1.03*0.82/147</f>
        <v>0</v>
      </c>
      <c r="G2648" s="628">
        <f>INT(M2648)</f>
        <v>0</v>
      </c>
      <c r="H2648" s="359"/>
      <c r="I2648" s="628">
        <f>(M2648-G2648)*64</f>
        <v>0</v>
      </c>
      <c r="J2648" s="629" t="s">
        <v>19</v>
      </c>
      <c r="K2648" s="630"/>
      <c r="L2648" s="630"/>
      <c r="M2648" s="627">
        <f>F2648*147/0.46/64</f>
        <v>0</v>
      </c>
      <c r="N2648" s="631"/>
      <c r="O2648" s="631"/>
      <c r="P2648" s="631"/>
      <c r="Q2648" s="358" t="s">
        <v>18</v>
      </c>
      <c r="R2648" s="358"/>
      <c r="S2648" s="358" t="s">
        <v>19</v>
      </c>
      <c r="T2648" s="528">
        <v>3</v>
      </c>
      <c r="U2648" s="324"/>
      <c r="V2648" s="676"/>
      <c r="W2648" s="528"/>
      <c r="X2648" s="529"/>
      <c r="Y2648" s="323"/>
      <c r="Z2648" s="312">
        <f>E2648</f>
        <v>0</v>
      </c>
      <c r="AA2648" s="316">
        <f>SUM(Z2648/165+0.25)</f>
        <v>0.25</v>
      </c>
    </row>
    <row r="2649" spans="1:27" ht="77.25" thickBot="1" x14ac:dyDescent="0.45">
      <c r="A2649" s="319" t="s">
        <v>735</v>
      </c>
      <c r="B2649" s="632" t="s">
        <v>1086</v>
      </c>
      <c r="C2649" s="568"/>
      <c r="D2649" s="528"/>
      <c r="E2649" s="456">
        <f>C2649*3.2</f>
        <v>0</v>
      </c>
      <c r="F2649" s="358">
        <f>E2649*1.03*0.9/147</f>
        <v>0</v>
      </c>
      <c r="G2649" s="548">
        <f>INT(M2649)</f>
        <v>0</v>
      </c>
      <c r="H2649" s="358" t="s">
        <v>18</v>
      </c>
      <c r="I2649" s="548">
        <f>(M2649-G2649)*64</f>
        <v>0</v>
      </c>
      <c r="J2649" s="358" t="s">
        <v>19</v>
      </c>
      <c r="K2649" s="358"/>
      <c r="L2649" s="358"/>
      <c r="M2649" s="358">
        <f>F2649*4983/2880</f>
        <v>0</v>
      </c>
      <c r="N2649" s="358"/>
      <c r="O2649" s="358"/>
      <c r="P2649" s="358"/>
      <c r="Q2649" s="358" t="s">
        <v>18</v>
      </c>
      <c r="R2649" s="358"/>
      <c r="S2649" s="358" t="s">
        <v>19</v>
      </c>
      <c r="T2649" s="528">
        <v>2</v>
      </c>
      <c r="U2649" s="324">
        <f>E2649/259*60</f>
        <v>0</v>
      </c>
      <c r="V2649" s="676"/>
      <c r="W2649" s="528"/>
      <c r="X2649" s="529"/>
      <c r="Y2649" s="323"/>
      <c r="Z2649" s="312">
        <f>E2649</f>
        <v>0</v>
      </c>
      <c r="AA2649" s="316">
        <f>SUM(Z2649/624+0.25)</f>
        <v>0.25</v>
      </c>
    </row>
    <row r="2650" spans="1:27" ht="53.25" thickBot="1" x14ac:dyDescent="0.45">
      <c r="A2650" s="319" t="s">
        <v>735</v>
      </c>
      <c r="B2650" s="362" t="s">
        <v>849</v>
      </c>
      <c r="C2650" s="528">
        <f>C2292</f>
        <v>0</v>
      </c>
      <c r="D2650" s="528"/>
      <c r="E2650" s="456">
        <f>C2650*3.2</f>
        <v>0</v>
      </c>
      <c r="F2650" s="358">
        <f>E2650*1.03*0.9/147</f>
        <v>0</v>
      </c>
      <c r="G2650" s="548">
        <f t="shared" si="993"/>
        <v>0</v>
      </c>
      <c r="H2650" s="358" t="s">
        <v>18</v>
      </c>
      <c r="I2650" s="548">
        <f t="shared" si="994"/>
        <v>0</v>
      </c>
      <c r="J2650" s="358" t="s">
        <v>19</v>
      </c>
      <c r="K2650" s="358"/>
      <c r="L2650" s="358"/>
      <c r="M2650" s="358">
        <f>F2650*4983/2880</f>
        <v>0</v>
      </c>
      <c r="N2650" s="358"/>
      <c r="O2650" s="358"/>
      <c r="P2650" s="358"/>
      <c r="Q2650" s="358" t="s">
        <v>18</v>
      </c>
      <c r="R2650" s="358"/>
      <c r="S2650" s="358" t="s">
        <v>19</v>
      </c>
      <c r="T2650" s="528">
        <v>2</v>
      </c>
      <c r="U2650" s="324">
        <f>E2650/259*60</f>
        <v>0</v>
      </c>
      <c r="V2650" s="676"/>
      <c r="W2650" s="528"/>
      <c r="X2650" s="529"/>
      <c r="Y2650" s="323"/>
      <c r="Z2650" s="312">
        <f t="shared" si="976"/>
        <v>0</v>
      </c>
      <c r="AA2650" s="316">
        <f>SUM(Z2650/624+0.25)</f>
        <v>0.25</v>
      </c>
    </row>
    <row r="2651" spans="1:27" ht="77.25" thickBot="1" x14ac:dyDescent="0.45">
      <c r="A2651" s="319" t="s">
        <v>735</v>
      </c>
      <c r="B2651" s="362" t="s">
        <v>904</v>
      </c>
      <c r="C2651" s="586">
        <f>C326+C556+C784+C958+C1112</f>
        <v>0</v>
      </c>
      <c r="D2651" s="569">
        <f>C2651*12</f>
        <v>0</v>
      </c>
      <c r="E2651" s="458">
        <f>D2651*0.55</f>
        <v>0</v>
      </c>
      <c r="F2651" s="358">
        <f>E2651*0.9*1.01/147</f>
        <v>0</v>
      </c>
      <c r="G2651" s="556">
        <f t="shared" si="993"/>
        <v>0</v>
      </c>
      <c r="H2651" s="366" t="s">
        <v>18</v>
      </c>
      <c r="I2651" s="556">
        <f t="shared" si="994"/>
        <v>0</v>
      </c>
      <c r="J2651" s="366" t="s">
        <v>19</v>
      </c>
      <c r="K2651" s="366"/>
      <c r="L2651" s="366"/>
      <c r="M2651" s="570">
        <f>(F2651*5300/3456)</f>
        <v>0</v>
      </c>
      <c r="N2651" s="366"/>
      <c r="O2651" s="366"/>
      <c r="P2651" s="366"/>
      <c r="Q2651" s="366" t="s">
        <v>18</v>
      </c>
      <c r="R2651" s="366"/>
      <c r="S2651" s="366" t="s">
        <v>19</v>
      </c>
      <c r="T2651" s="528">
        <v>3</v>
      </c>
      <c r="U2651" s="324"/>
      <c r="V2651" s="676"/>
      <c r="W2651" s="528"/>
      <c r="X2651" s="529"/>
      <c r="Y2651" s="400"/>
      <c r="Z2651" s="312">
        <f t="shared" si="976"/>
        <v>0</v>
      </c>
      <c r="AA2651" s="316">
        <f>SUM(Z2651/165+0.25)</f>
        <v>0.25</v>
      </c>
    </row>
    <row r="2652" spans="1:27" ht="77.25" thickBot="1" x14ac:dyDescent="0.45">
      <c r="A2652" s="319" t="s">
        <v>735</v>
      </c>
      <c r="B2652" s="362" t="s">
        <v>905</v>
      </c>
      <c r="C2652" s="586">
        <f>C327+C557+C785+C959+C1113</f>
        <v>0</v>
      </c>
      <c r="D2652" s="569">
        <f>C2652*12</f>
        <v>0</v>
      </c>
      <c r="E2652" s="458">
        <f>D2652*0.55</f>
        <v>0</v>
      </c>
      <c r="F2652" s="358">
        <f>E2652*0.9*1.01/147</f>
        <v>0</v>
      </c>
      <c r="G2652" s="556">
        <f t="shared" si="993"/>
        <v>0</v>
      </c>
      <c r="H2652" s="366" t="s">
        <v>18</v>
      </c>
      <c r="I2652" s="556">
        <f t="shared" si="994"/>
        <v>0</v>
      </c>
      <c r="J2652" s="366" t="s">
        <v>19</v>
      </c>
      <c r="K2652" s="366"/>
      <c r="L2652" s="366"/>
      <c r="M2652" s="570">
        <f>(F2652*5300/3456)</f>
        <v>0</v>
      </c>
      <c r="N2652" s="366"/>
      <c r="O2652" s="366"/>
      <c r="P2652" s="366"/>
      <c r="Q2652" s="366" t="s">
        <v>18</v>
      </c>
      <c r="R2652" s="366"/>
      <c r="S2652" s="366" t="s">
        <v>19</v>
      </c>
      <c r="T2652" s="528">
        <v>3</v>
      </c>
      <c r="U2652" s="324"/>
      <c r="V2652" s="676"/>
      <c r="W2652" s="528"/>
      <c r="X2652" s="529"/>
      <c r="Y2652" s="663"/>
      <c r="Z2652" s="312">
        <f t="shared" si="976"/>
        <v>0</v>
      </c>
      <c r="AA2652" s="316">
        <f>SUM(Z2652/165+0.25)</f>
        <v>0.25</v>
      </c>
    </row>
    <row r="2653" spans="1:27" ht="53.25" thickBot="1" x14ac:dyDescent="0.45">
      <c r="A2653" s="319" t="s">
        <v>735</v>
      </c>
      <c r="B2653" s="362" t="s">
        <v>854</v>
      </c>
      <c r="C2653" s="528">
        <f>C1222+C1722+C2275</f>
        <v>0</v>
      </c>
      <c r="D2653" s="528"/>
      <c r="E2653" s="456">
        <f t="shared" ref="E2653:E2662" si="995">C2653*1</f>
        <v>0</v>
      </c>
      <c r="F2653" s="358">
        <f t="shared" ref="F2653:F2659" si="996">E2653*1.02*0.99/147</f>
        <v>0</v>
      </c>
      <c r="G2653" s="548">
        <f t="shared" ref="G2653:G2664" si="997">INT(M2653)</f>
        <v>0</v>
      </c>
      <c r="H2653" s="358" t="s">
        <v>18</v>
      </c>
      <c r="I2653" s="548">
        <f t="shared" ref="I2653:I2664" si="998">(M2653-G2653)*64</f>
        <v>0</v>
      </c>
      <c r="J2653" s="358" t="s">
        <v>19</v>
      </c>
      <c r="K2653" s="358"/>
      <c r="L2653" s="358"/>
      <c r="M2653" s="358">
        <f t="shared" ref="M2653:M2659" si="999">F2653*4983/2880</f>
        <v>0</v>
      </c>
      <c r="N2653" s="358"/>
      <c r="O2653" s="358"/>
      <c r="P2653" s="358"/>
      <c r="Q2653" s="358" t="s">
        <v>18</v>
      </c>
      <c r="R2653" s="358"/>
      <c r="S2653" s="358" t="s">
        <v>19</v>
      </c>
      <c r="T2653" s="528">
        <v>2</v>
      </c>
      <c r="U2653" s="324">
        <f t="shared" ref="U2653:U2664" si="1000">E2653/420*60</f>
        <v>0</v>
      </c>
      <c r="V2653" s="676"/>
      <c r="W2653" s="528"/>
      <c r="X2653" s="529"/>
      <c r="Y2653" s="381"/>
      <c r="Z2653" s="312">
        <f t="shared" si="976"/>
        <v>0</v>
      </c>
      <c r="AA2653" s="316">
        <f t="shared" ref="AA2653:AA2662" si="1001">SUM(Z2653/195+0.25)</f>
        <v>0.25</v>
      </c>
    </row>
    <row r="2654" spans="1:27" ht="53.25" thickBot="1" x14ac:dyDescent="0.45">
      <c r="A2654" s="319" t="s">
        <v>735</v>
      </c>
      <c r="B2654" s="802" t="s">
        <v>1204</v>
      </c>
      <c r="C2654" s="528">
        <f>C253+C483+C713+C898+C1087</f>
        <v>0</v>
      </c>
      <c r="D2654" s="528"/>
      <c r="E2654" s="456">
        <f>C2654*1</f>
        <v>0</v>
      </c>
      <c r="F2654" s="358">
        <f t="shared" si="996"/>
        <v>0</v>
      </c>
      <c r="G2654" s="548">
        <f>INT(M2654)</f>
        <v>0</v>
      </c>
      <c r="H2654" s="358" t="s">
        <v>18</v>
      </c>
      <c r="I2654" s="548">
        <f>(M2654-G2654)*64</f>
        <v>0</v>
      </c>
      <c r="J2654" s="358" t="s">
        <v>19</v>
      </c>
      <c r="K2654" s="358"/>
      <c r="L2654" s="358"/>
      <c r="M2654" s="358">
        <f t="shared" si="999"/>
        <v>0</v>
      </c>
      <c r="N2654" s="358"/>
      <c r="O2654" s="358"/>
      <c r="P2654" s="358"/>
      <c r="Q2654" s="358" t="s">
        <v>18</v>
      </c>
      <c r="R2654" s="358"/>
      <c r="S2654" s="358" t="s">
        <v>19</v>
      </c>
      <c r="T2654" s="528">
        <v>3</v>
      </c>
      <c r="U2654" s="324">
        <f>E2654/420*60</f>
        <v>0</v>
      </c>
      <c r="V2654" s="676"/>
      <c r="W2654" s="528"/>
      <c r="X2654" s="529"/>
      <c r="Y2654" s="381"/>
      <c r="Z2654" s="312">
        <f>E2654</f>
        <v>0</v>
      </c>
      <c r="AA2654" s="316">
        <f>SUM(Z2654/195+0.25)</f>
        <v>0.25</v>
      </c>
    </row>
    <row r="2655" spans="1:27" ht="53.25" thickBot="1" x14ac:dyDescent="0.45">
      <c r="A2655" s="319" t="s">
        <v>735</v>
      </c>
      <c r="B2655" s="362" t="s">
        <v>915</v>
      </c>
      <c r="C2655" s="528">
        <f>C1228+C1728+C2281</f>
        <v>0</v>
      </c>
      <c r="D2655" s="528"/>
      <c r="E2655" s="456">
        <f t="shared" si="995"/>
        <v>0</v>
      </c>
      <c r="F2655" s="358">
        <f t="shared" si="996"/>
        <v>0</v>
      </c>
      <c r="G2655" s="548">
        <f t="shared" si="997"/>
        <v>0</v>
      </c>
      <c r="H2655" s="358" t="s">
        <v>18</v>
      </c>
      <c r="I2655" s="548">
        <f t="shared" si="998"/>
        <v>0</v>
      </c>
      <c r="J2655" s="358" t="s">
        <v>19</v>
      </c>
      <c r="K2655" s="358"/>
      <c r="L2655" s="358"/>
      <c r="M2655" s="358">
        <f t="shared" si="999"/>
        <v>0</v>
      </c>
      <c r="N2655" s="358"/>
      <c r="O2655" s="358"/>
      <c r="P2655" s="358"/>
      <c r="Q2655" s="358" t="s">
        <v>18</v>
      </c>
      <c r="R2655" s="358"/>
      <c r="S2655" s="358" t="s">
        <v>19</v>
      </c>
      <c r="T2655" s="548">
        <v>2</v>
      </c>
      <c r="U2655" s="324">
        <f t="shared" si="1000"/>
        <v>0</v>
      </c>
      <c r="V2655" s="676"/>
      <c r="W2655" s="528"/>
      <c r="X2655" s="529"/>
      <c r="Y2655" s="323"/>
      <c r="Z2655" s="312">
        <f t="shared" si="976"/>
        <v>0</v>
      </c>
      <c r="AA2655" s="316">
        <f t="shared" si="1001"/>
        <v>0.25</v>
      </c>
    </row>
    <row r="2656" spans="1:27" ht="53.25" thickBot="1" x14ac:dyDescent="0.45">
      <c r="A2656" s="319" t="s">
        <v>735</v>
      </c>
      <c r="B2656" s="802" t="s">
        <v>1205</v>
      </c>
      <c r="C2656" s="528">
        <f>C259+C489+C719+C904+C1093</f>
        <v>0</v>
      </c>
      <c r="D2656" s="528"/>
      <c r="E2656" s="456">
        <f>C2656*1</f>
        <v>0</v>
      </c>
      <c r="F2656" s="358">
        <f t="shared" si="996"/>
        <v>0</v>
      </c>
      <c r="G2656" s="548">
        <f>INT(M2656)</f>
        <v>0</v>
      </c>
      <c r="H2656" s="358" t="s">
        <v>18</v>
      </c>
      <c r="I2656" s="548">
        <f>(M2656-G2656)*64</f>
        <v>0</v>
      </c>
      <c r="J2656" s="358" t="s">
        <v>19</v>
      </c>
      <c r="K2656" s="358"/>
      <c r="L2656" s="358"/>
      <c r="M2656" s="358">
        <f>F2656*4983/2880</f>
        <v>0</v>
      </c>
      <c r="N2656" s="358"/>
      <c r="O2656" s="358"/>
      <c r="P2656" s="358"/>
      <c r="Q2656" s="358" t="s">
        <v>18</v>
      </c>
      <c r="R2656" s="358"/>
      <c r="S2656" s="358" t="s">
        <v>19</v>
      </c>
      <c r="T2656" s="548">
        <v>3</v>
      </c>
      <c r="U2656" s="324">
        <f>E2656/420*60</f>
        <v>0</v>
      </c>
      <c r="V2656" s="676"/>
      <c r="W2656" s="528"/>
      <c r="X2656" s="529"/>
      <c r="Y2656" s="323"/>
      <c r="Z2656" s="312">
        <f>E2656</f>
        <v>0</v>
      </c>
      <c r="AA2656" s="316">
        <f>SUM(Z2656/195+0.25)</f>
        <v>0.25</v>
      </c>
    </row>
    <row r="2657" spans="1:27" ht="53.25" thickBot="1" x14ac:dyDescent="0.45">
      <c r="A2657" s="319" t="s">
        <v>735</v>
      </c>
      <c r="B2657" s="362" t="s">
        <v>916</v>
      </c>
      <c r="C2657" s="528">
        <f>C1230+C1730+C2283</f>
        <v>0</v>
      </c>
      <c r="D2657" s="525"/>
      <c r="E2657" s="456">
        <f>C2657*1</f>
        <v>0</v>
      </c>
      <c r="F2657" s="358">
        <f>E2657*1.02*0.99/147</f>
        <v>0</v>
      </c>
      <c r="G2657" s="548">
        <f>INT(M2657)</f>
        <v>0</v>
      </c>
      <c r="H2657" s="358" t="s">
        <v>18</v>
      </c>
      <c r="I2657" s="548">
        <f>(M2657-G2657)*64</f>
        <v>0</v>
      </c>
      <c r="J2657" s="358" t="s">
        <v>19</v>
      </c>
      <c r="K2657" s="358"/>
      <c r="L2657" s="358"/>
      <c r="M2657" s="358">
        <f>F2657*6391/2880</f>
        <v>0</v>
      </c>
      <c r="N2657" s="358"/>
      <c r="O2657" s="358"/>
      <c r="P2657" s="358"/>
      <c r="Q2657" s="358" t="s">
        <v>18</v>
      </c>
      <c r="R2657" s="358"/>
      <c r="S2657" s="358" t="s">
        <v>19</v>
      </c>
      <c r="T2657" s="528">
        <v>2</v>
      </c>
      <c r="U2657" s="324">
        <f>E2657/420*60</f>
        <v>0</v>
      </c>
      <c r="V2657" s="676"/>
      <c r="W2657" s="528"/>
      <c r="X2657" s="529"/>
      <c r="Y2657" s="323"/>
      <c r="Z2657" s="312">
        <f t="shared" si="976"/>
        <v>0</v>
      </c>
      <c r="AA2657" s="316">
        <f t="shared" si="1001"/>
        <v>0.25</v>
      </c>
    </row>
    <row r="2658" spans="1:27" ht="53.25" thickBot="1" x14ac:dyDescent="0.45">
      <c r="A2658" s="319" t="s">
        <v>735</v>
      </c>
      <c r="B2658" s="362" t="s">
        <v>1064</v>
      </c>
      <c r="C2658" s="528">
        <f>C1731+C1231+C2284</f>
        <v>0</v>
      </c>
      <c r="D2658" s="525"/>
      <c r="E2658" s="545">
        <f>C2658*1</f>
        <v>0</v>
      </c>
      <c r="F2658" s="461">
        <f>E2658*1.02*0.99/147</f>
        <v>0</v>
      </c>
      <c r="G2658" s="525">
        <f>INT(M2658)</f>
        <v>0</v>
      </c>
      <c r="H2658" s="461" t="s">
        <v>18</v>
      </c>
      <c r="I2658" s="525">
        <f>(M2658-G2658)*64</f>
        <v>0</v>
      </c>
      <c r="J2658" s="461" t="s">
        <v>19</v>
      </c>
      <c r="K2658" s="461"/>
      <c r="L2658" s="461"/>
      <c r="M2658" s="461">
        <f>F2658*6391/2880</f>
        <v>0</v>
      </c>
      <c r="N2658" s="461"/>
      <c r="O2658" s="461"/>
      <c r="P2658" s="324"/>
      <c r="Q2658" s="324" t="s">
        <v>18</v>
      </c>
      <c r="R2658" s="324"/>
      <c r="S2658" s="324" t="s">
        <v>19</v>
      </c>
      <c r="T2658" s="528">
        <v>2</v>
      </c>
      <c r="U2658" s="324">
        <f>E2658/420*60</f>
        <v>0</v>
      </c>
      <c r="V2658" s="676"/>
      <c r="W2658" s="528"/>
      <c r="X2658" s="529"/>
      <c r="Y2658" s="323"/>
      <c r="Z2658" s="312">
        <f>E2658</f>
        <v>0</v>
      </c>
      <c r="AA2658" s="316">
        <f>SUM(Z2658/195+0.25)</f>
        <v>0.25</v>
      </c>
    </row>
    <row r="2659" spans="1:27" ht="53.25" thickBot="1" x14ac:dyDescent="0.45">
      <c r="A2659" s="319" t="s">
        <v>735</v>
      </c>
      <c r="B2659" s="362" t="s">
        <v>902</v>
      </c>
      <c r="C2659" s="528">
        <f>C1224+C1724+C2277</f>
        <v>0</v>
      </c>
      <c r="D2659" s="528"/>
      <c r="E2659" s="456">
        <f t="shared" si="995"/>
        <v>0</v>
      </c>
      <c r="F2659" s="358">
        <f t="shared" si="996"/>
        <v>0</v>
      </c>
      <c r="G2659" s="548">
        <f t="shared" si="997"/>
        <v>0</v>
      </c>
      <c r="H2659" s="358" t="s">
        <v>18</v>
      </c>
      <c r="I2659" s="548">
        <f t="shared" si="998"/>
        <v>0</v>
      </c>
      <c r="J2659" s="358" t="s">
        <v>19</v>
      </c>
      <c r="K2659" s="358"/>
      <c r="L2659" s="358"/>
      <c r="M2659" s="358">
        <f t="shared" si="999"/>
        <v>0</v>
      </c>
      <c r="N2659" s="358"/>
      <c r="O2659" s="358"/>
      <c r="P2659" s="358"/>
      <c r="Q2659" s="358" t="s">
        <v>18</v>
      </c>
      <c r="R2659" s="358"/>
      <c r="S2659" s="358" t="s">
        <v>19</v>
      </c>
      <c r="T2659" s="528">
        <v>2</v>
      </c>
      <c r="U2659" s="324">
        <f t="shared" si="1000"/>
        <v>0</v>
      </c>
      <c r="V2659" s="676"/>
      <c r="W2659" s="528"/>
      <c r="X2659" s="529"/>
      <c r="Y2659" s="323"/>
      <c r="Z2659" s="312">
        <f t="shared" si="976"/>
        <v>0</v>
      </c>
      <c r="AA2659" s="316">
        <f t="shared" si="1001"/>
        <v>0.25</v>
      </c>
    </row>
    <row r="2660" spans="1:27" ht="53.25" thickBot="1" x14ac:dyDescent="0.45">
      <c r="A2660" s="319" t="s">
        <v>735</v>
      </c>
      <c r="B2660" s="802" t="s">
        <v>1206</v>
      </c>
      <c r="C2660" s="528">
        <f>C255+C485+C715+C900+C1089</f>
        <v>0</v>
      </c>
      <c r="D2660" s="528"/>
      <c r="E2660" s="456">
        <f>C2660*1</f>
        <v>0</v>
      </c>
      <c r="F2660" s="358">
        <f>E2660*1.02*0.99/147</f>
        <v>0</v>
      </c>
      <c r="G2660" s="548">
        <f>INT(M2660)</f>
        <v>0</v>
      </c>
      <c r="H2660" s="358" t="s">
        <v>18</v>
      </c>
      <c r="I2660" s="548">
        <f>(M2660-G2660)*64</f>
        <v>0</v>
      </c>
      <c r="J2660" s="358" t="s">
        <v>19</v>
      </c>
      <c r="K2660" s="358"/>
      <c r="L2660" s="358"/>
      <c r="M2660" s="358">
        <f>F2660*4983/2880</f>
        <v>0</v>
      </c>
      <c r="N2660" s="358"/>
      <c r="O2660" s="358"/>
      <c r="P2660" s="358"/>
      <c r="Q2660" s="358" t="s">
        <v>18</v>
      </c>
      <c r="R2660" s="358"/>
      <c r="S2660" s="358" t="s">
        <v>19</v>
      </c>
      <c r="T2660" s="528">
        <v>2</v>
      </c>
      <c r="U2660" s="324">
        <f>E2660/420*60</f>
        <v>0</v>
      </c>
      <c r="V2660" s="676"/>
      <c r="W2660" s="528"/>
      <c r="X2660" s="529"/>
      <c r="Y2660" s="323"/>
      <c r="Z2660" s="312">
        <f>E2660</f>
        <v>0</v>
      </c>
      <c r="AA2660" s="316">
        <f>SUM(Z2660/195+0.25)</f>
        <v>0.25</v>
      </c>
    </row>
    <row r="2661" spans="1:27" ht="77.25" thickBot="1" x14ac:dyDescent="0.45">
      <c r="A2661" s="319" t="s">
        <v>735</v>
      </c>
      <c r="B2661" s="362" t="s">
        <v>900</v>
      </c>
      <c r="C2661" s="528">
        <f>C901+C1090+C2279</f>
        <v>0</v>
      </c>
      <c r="D2661" s="528"/>
      <c r="E2661" s="458">
        <f t="shared" si="995"/>
        <v>0</v>
      </c>
      <c r="F2661" s="358">
        <f>E2661*0.9*1.01/147</f>
        <v>0</v>
      </c>
      <c r="G2661" s="556">
        <f t="shared" si="997"/>
        <v>0</v>
      </c>
      <c r="H2661" s="366" t="s">
        <v>18</v>
      </c>
      <c r="I2661" s="556">
        <f t="shared" si="998"/>
        <v>0</v>
      </c>
      <c r="J2661" s="366" t="s">
        <v>19</v>
      </c>
      <c r="K2661" s="366"/>
      <c r="L2661" s="366"/>
      <c r="M2661" s="358">
        <f>(F2661*6533/3456)</f>
        <v>0</v>
      </c>
      <c r="N2661" s="366"/>
      <c r="O2661" s="366"/>
      <c r="P2661" s="366"/>
      <c r="Q2661" s="366" t="s">
        <v>18</v>
      </c>
      <c r="R2661" s="366"/>
      <c r="S2661" s="366" t="s">
        <v>19</v>
      </c>
      <c r="T2661" s="528">
        <v>2</v>
      </c>
      <c r="U2661" s="324">
        <f t="shared" si="1000"/>
        <v>0</v>
      </c>
      <c r="V2661" s="676"/>
      <c r="W2661" s="528"/>
      <c r="X2661" s="529"/>
      <c r="Y2661" s="323"/>
      <c r="Z2661" s="312">
        <f t="shared" si="976"/>
        <v>0</v>
      </c>
      <c r="AA2661" s="316">
        <f t="shared" si="1001"/>
        <v>0.25</v>
      </c>
    </row>
    <row r="2662" spans="1:27" ht="77.25" thickBot="1" x14ac:dyDescent="0.45">
      <c r="A2662" s="319" t="s">
        <v>735</v>
      </c>
      <c r="B2662" s="362" t="s">
        <v>901</v>
      </c>
      <c r="C2662" s="528">
        <f>C902+C1091+C2280</f>
        <v>0</v>
      </c>
      <c r="D2662" s="528"/>
      <c r="E2662" s="458">
        <f t="shared" si="995"/>
        <v>0</v>
      </c>
      <c r="F2662" s="358">
        <f>E2662*0.9*1.01/147</f>
        <v>0</v>
      </c>
      <c r="G2662" s="556">
        <f t="shared" si="997"/>
        <v>0</v>
      </c>
      <c r="H2662" s="366" t="s">
        <v>18</v>
      </c>
      <c r="I2662" s="556">
        <f t="shared" si="998"/>
        <v>0</v>
      </c>
      <c r="J2662" s="366" t="s">
        <v>19</v>
      </c>
      <c r="K2662" s="366"/>
      <c r="L2662" s="366"/>
      <c r="M2662" s="358">
        <f>(F2662*6533/3456)</f>
        <v>0</v>
      </c>
      <c r="N2662" s="366"/>
      <c r="O2662" s="366"/>
      <c r="P2662" s="366"/>
      <c r="Q2662" s="366" t="s">
        <v>18</v>
      </c>
      <c r="R2662" s="366"/>
      <c r="S2662" s="366" t="s">
        <v>19</v>
      </c>
      <c r="T2662" s="528">
        <v>2</v>
      </c>
      <c r="U2662" s="324">
        <f t="shared" si="1000"/>
        <v>0</v>
      </c>
      <c r="V2662" s="676"/>
      <c r="W2662" s="528"/>
      <c r="X2662" s="529"/>
      <c r="Y2662" s="323"/>
      <c r="Z2662" s="312">
        <f t="shared" si="976"/>
        <v>0</v>
      </c>
      <c r="AA2662" s="316">
        <f t="shared" si="1001"/>
        <v>0.25</v>
      </c>
    </row>
    <row r="2663" spans="1:27" ht="53.25" thickBot="1" x14ac:dyDescent="0.45">
      <c r="A2663" s="319" t="s">
        <v>735</v>
      </c>
      <c r="B2663" s="343" t="s">
        <v>1023</v>
      </c>
      <c r="C2663" s="528">
        <f>C2580</f>
        <v>0</v>
      </c>
      <c r="D2663" s="551">
        <f>C2663*8</f>
        <v>0</v>
      </c>
      <c r="E2663" s="456">
        <f>D2663*0.16</f>
        <v>0</v>
      </c>
      <c r="F2663" s="358">
        <f>E2663*0.99*1.02/170</f>
        <v>0</v>
      </c>
      <c r="G2663" s="358">
        <f>INT(M2663)</f>
        <v>0</v>
      </c>
      <c r="H2663" s="358" t="s">
        <v>18</v>
      </c>
      <c r="I2663" s="548">
        <f>(M2663-G2663)*64</f>
        <v>0</v>
      </c>
      <c r="J2663" s="358" t="s">
        <v>19</v>
      </c>
      <c r="K2663" s="358"/>
      <c r="L2663" s="358"/>
      <c r="M2663" s="358">
        <f>(F2663*8500)/3456</f>
        <v>0</v>
      </c>
      <c r="N2663" s="324"/>
      <c r="O2663" s="324"/>
      <c r="P2663" s="324"/>
      <c r="Q2663" s="324" t="s">
        <v>18</v>
      </c>
      <c r="R2663" s="324"/>
      <c r="S2663" s="324" t="s">
        <v>19</v>
      </c>
      <c r="T2663" s="528">
        <v>2</v>
      </c>
      <c r="U2663" s="324">
        <f>E2663/420*60</f>
        <v>0</v>
      </c>
      <c r="V2663" s="676"/>
      <c r="W2663" s="528"/>
      <c r="X2663" s="529"/>
      <c r="Y2663" s="323" t="s">
        <v>1030</v>
      </c>
      <c r="Z2663" s="312">
        <f t="shared" si="976"/>
        <v>0</v>
      </c>
      <c r="AA2663" s="316">
        <f>SUM((Z2663/183)/2+0.25)</f>
        <v>0.25</v>
      </c>
    </row>
    <row r="2664" spans="1:27" ht="53.25" thickBot="1" x14ac:dyDescent="0.45">
      <c r="A2664" s="319" t="s">
        <v>735</v>
      </c>
      <c r="B2664" s="343" t="s">
        <v>1194</v>
      </c>
      <c r="C2664" s="528">
        <f>C2581</f>
        <v>0</v>
      </c>
      <c r="D2664" s="551">
        <f>C2664*12</f>
        <v>0</v>
      </c>
      <c r="E2664" s="456">
        <f>D2664*0.16</f>
        <v>0</v>
      </c>
      <c r="F2664" s="358">
        <f>E2664*0.99*1.02/170</f>
        <v>0</v>
      </c>
      <c r="G2664" s="358">
        <f t="shared" si="997"/>
        <v>0</v>
      </c>
      <c r="H2664" s="358" t="s">
        <v>18</v>
      </c>
      <c r="I2664" s="548">
        <f t="shared" si="998"/>
        <v>0</v>
      </c>
      <c r="J2664" s="358" t="s">
        <v>19</v>
      </c>
      <c r="K2664" s="358"/>
      <c r="L2664" s="358"/>
      <c r="M2664" s="358">
        <f>(F2664*8500)/3456</f>
        <v>0</v>
      </c>
      <c r="N2664" s="324"/>
      <c r="O2664" s="324"/>
      <c r="P2664" s="324"/>
      <c r="Q2664" s="324" t="s">
        <v>18</v>
      </c>
      <c r="R2664" s="324"/>
      <c r="S2664" s="324" t="s">
        <v>19</v>
      </c>
      <c r="T2664" s="528">
        <v>2</v>
      </c>
      <c r="U2664" s="324">
        <f t="shared" si="1000"/>
        <v>0</v>
      </c>
      <c r="V2664" s="676"/>
      <c r="W2664" s="528"/>
      <c r="X2664" s="529"/>
      <c r="Y2664" s="323"/>
      <c r="Z2664" s="312">
        <f t="shared" si="976"/>
        <v>0</v>
      </c>
      <c r="AA2664" s="316">
        <f>SUM(Z2664/183+0.25)</f>
        <v>0.25</v>
      </c>
    </row>
    <row r="2665" spans="1:27" ht="77.25" thickBot="1" x14ac:dyDescent="0.45">
      <c r="A2665" s="319" t="s">
        <v>735</v>
      </c>
      <c r="B2665" s="343" t="s">
        <v>1182</v>
      </c>
      <c r="C2665" s="528">
        <f>C340+C570+C798+C978+C1159</f>
        <v>0</v>
      </c>
      <c r="D2665" s="551">
        <f>C2665*10</f>
        <v>0</v>
      </c>
      <c r="E2665" s="456">
        <f>D2665*0.26</f>
        <v>0</v>
      </c>
      <c r="F2665" s="358">
        <f>E2665*0.99*1.02/170</f>
        <v>0</v>
      </c>
      <c r="G2665" s="358">
        <f t="shared" ref="G2665:G2673" si="1002">INT(M2665)</f>
        <v>0</v>
      </c>
      <c r="H2665" s="358" t="s">
        <v>18</v>
      </c>
      <c r="I2665" s="548">
        <f t="shared" ref="I2665:I2673" si="1003">(M2665-G2665)*64</f>
        <v>0</v>
      </c>
      <c r="J2665" s="358" t="s">
        <v>19</v>
      </c>
      <c r="K2665" s="358"/>
      <c r="L2665" s="358"/>
      <c r="M2665" s="358">
        <f>(F2665*8500)/3456</f>
        <v>0</v>
      </c>
      <c r="N2665" s="324"/>
      <c r="O2665" s="324"/>
      <c r="P2665" s="324"/>
      <c r="Q2665" s="324" t="s">
        <v>18</v>
      </c>
      <c r="R2665" s="324"/>
      <c r="S2665" s="324" t="s">
        <v>19</v>
      </c>
      <c r="T2665" s="528">
        <v>2</v>
      </c>
      <c r="U2665" s="324">
        <f>E2665/420*60</f>
        <v>0</v>
      </c>
      <c r="V2665" s="676"/>
      <c r="W2665" s="528"/>
      <c r="X2665" s="529"/>
      <c r="Y2665" s="323"/>
      <c r="Z2665" s="312">
        <f t="shared" ref="Z2665:Z2673" si="1004">E2665</f>
        <v>0</v>
      </c>
      <c r="AA2665" s="316">
        <f>SUM(Z2665/97.92+0.25)</f>
        <v>0.25</v>
      </c>
    </row>
    <row r="2666" spans="1:27" ht="77.25" thickBot="1" x14ac:dyDescent="0.45">
      <c r="A2666" s="319" t="s">
        <v>735</v>
      </c>
      <c r="B2666" s="873" t="s">
        <v>1207</v>
      </c>
      <c r="C2666" s="528">
        <f>C2582</f>
        <v>0</v>
      </c>
      <c r="D2666" s="550">
        <f>C2666*12</f>
        <v>0</v>
      </c>
      <c r="E2666" s="456">
        <f>D2666*0.27</f>
        <v>0</v>
      </c>
      <c r="F2666" s="358">
        <f>E2666*0.87*1.01/151</f>
        <v>0</v>
      </c>
      <c r="G2666" s="358">
        <f t="shared" si="1002"/>
        <v>0</v>
      </c>
      <c r="H2666" s="358" t="s">
        <v>18</v>
      </c>
      <c r="I2666" s="548">
        <f t="shared" si="1003"/>
        <v>0</v>
      </c>
      <c r="J2666" s="358" t="s">
        <v>19</v>
      </c>
      <c r="K2666" s="358"/>
      <c r="L2666" s="358"/>
      <c r="M2666" s="358">
        <f>F2666*7889/3456</f>
        <v>0</v>
      </c>
      <c r="N2666" s="461"/>
      <c r="O2666" s="461"/>
      <c r="P2666" s="366"/>
      <c r="Q2666" s="358" t="s">
        <v>18</v>
      </c>
      <c r="R2666" s="358"/>
      <c r="S2666" s="358" t="s">
        <v>19</v>
      </c>
      <c r="T2666" s="528">
        <v>3</v>
      </c>
      <c r="U2666" s="324">
        <f>E2666/390*60</f>
        <v>0</v>
      </c>
      <c r="V2666" s="676"/>
      <c r="W2666" s="528"/>
      <c r="X2666" s="529"/>
      <c r="Y2666" s="367"/>
      <c r="Z2666" s="312">
        <f t="shared" si="1004"/>
        <v>0</v>
      </c>
      <c r="AA2666" s="316">
        <f>SUM(Z2666/165+0.25)</f>
        <v>0.25</v>
      </c>
    </row>
    <row r="2667" spans="1:27" ht="77.25" thickBot="1" x14ac:dyDescent="0.45">
      <c r="A2667" s="319" t="s">
        <v>735</v>
      </c>
      <c r="B2667" s="873" t="s">
        <v>1221</v>
      </c>
      <c r="C2667" s="528">
        <f>C2583</f>
        <v>0</v>
      </c>
      <c r="D2667" s="550">
        <f>C2667*7</f>
        <v>0</v>
      </c>
      <c r="E2667" s="456">
        <f>D2667*0.27</f>
        <v>0</v>
      </c>
      <c r="F2667" s="358">
        <f>E2667*0.87*1.01/151</f>
        <v>0</v>
      </c>
      <c r="G2667" s="358">
        <f>INT(M2667)</f>
        <v>0</v>
      </c>
      <c r="H2667" s="358" t="s">
        <v>18</v>
      </c>
      <c r="I2667" s="548">
        <f>(M2667-G2667)*64</f>
        <v>0</v>
      </c>
      <c r="J2667" s="358" t="s">
        <v>19</v>
      </c>
      <c r="K2667" s="358"/>
      <c r="L2667" s="358"/>
      <c r="M2667" s="358">
        <f>F2667*7889/3456</f>
        <v>0</v>
      </c>
      <c r="N2667" s="461"/>
      <c r="O2667" s="461"/>
      <c r="P2667" s="366"/>
      <c r="Q2667" s="358" t="s">
        <v>18</v>
      </c>
      <c r="R2667" s="358"/>
      <c r="S2667" s="358" t="s">
        <v>19</v>
      </c>
      <c r="T2667" s="528">
        <v>3</v>
      </c>
      <c r="U2667" s="324">
        <f>E2667/390*60</f>
        <v>0</v>
      </c>
      <c r="V2667" s="676"/>
      <c r="W2667" s="528"/>
      <c r="X2667" s="529"/>
      <c r="Y2667" s="367"/>
      <c r="Z2667" s="312">
        <f>E2667</f>
        <v>0</v>
      </c>
      <c r="AA2667" s="316">
        <f>SUM(Z2667/105.75+0.25)</f>
        <v>0.25</v>
      </c>
    </row>
    <row r="2668" spans="1:27" ht="53.25" thickBot="1" x14ac:dyDescent="0.45">
      <c r="A2668" s="329" t="s">
        <v>735</v>
      </c>
      <c r="B2668" s="878" t="s">
        <v>1208</v>
      </c>
      <c r="C2668" s="872"/>
      <c r="D2668" s="548">
        <f>C2668*12</f>
        <v>0</v>
      </c>
      <c r="E2668" s="456">
        <f>D2668*0.3</f>
        <v>0</v>
      </c>
      <c r="F2668" s="358">
        <f>E2668*1.01*0.79/152</f>
        <v>0</v>
      </c>
      <c r="G2668" s="549">
        <f t="shared" si="1002"/>
        <v>0</v>
      </c>
      <c r="H2668" s="359" t="s">
        <v>18</v>
      </c>
      <c r="I2668" s="549">
        <f t="shared" si="1003"/>
        <v>0</v>
      </c>
      <c r="J2668" s="359" t="s">
        <v>19</v>
      </c>
      <c r="K2668" s="358"/>
      <c r="L2668" s="358"/>
      <c r="M2668" s="358">
        <f>F2668*7696/3456</f>
        <v>0</v>
      </c>
      <c r="N2668" s="461"/>
      <c r="O2668" s="461"/>
      <c r="P2668" s="358"/>
      <c r="Q2668" s="358" t="s">
        <v>18</v>
      </c>
      <c r="R2668" s="358"/>
      <c r="S2668" s="358" t="s">
        <v>19</v>
      </c>
      <c r="T2668" s="528">
        <v>3</v>
      </c>
      <c r="U2668" s="324">
        <f>E2668/220*60</f>
        <v>0</v>
      </c>
      <c r="V2668" s="676"/>
      <c r="W2668" s="528"/>
      <c r="X2668" s="529"/>
      <c r="Y2668" s="323"/>
      <c r="Z2668" s="312">
        <f t="shared" si="1004"/>
        <v>0</v>
      </c>
      <c r="AA2668" s="316">
        <f>SUM(Z2668/165+0.25)</f>
        <v>0.25</v>
      </c>
    </row>
    <row r="2669" spans="1:27" ht="53.25" thickBot="1" x14ac:dyDescent="0.45">
      <c r="A2669" s="329" t="s">
        <v>735</v>
      </c>
      <c r="B2669" s="799" t="s">
        <v>1215</v>
      </c>
      <c r="C2669" s="528">
        <f>C2585</f>
        <v>0</v>
      </c>
      <c r="D2669" s="530">
        <f>C2669*10</f>
        <v>0</v>
      </c>
      <c r="E2669" s="460">
        <f>D2669*0.16</f>
        <v>0</v>
      </c>
      <c r="F2669" s="324">
        <f>E2669*0.99*1.02/170</f>
        <v>0</v>
      </c>
      <c r="G2669" s="324">
        <f t="shared" si="1002"/>
        <v>0</v>
      </c>
      <c r="H2669" s="324" t="s">
        <v>18</v>
      </c>
      <c r="I2669" s="528">
        <f t="shared" si="1003"/>
        <v>0</v>
      </c>
      <c r="J2669" s="324" t="s">
        <v>19</v>
      </c>
      <c r="K2669" s="324"/>
      <c r="L2669" s="324"/>
      <c r="M2669" s="324">
        <f>(F2669*8500)/3456</f>
        <v>0</v>
      </c>
      <c r="N2669" s="324"/>
      <c r="O2669" s="324"/>
      <c r="P2669" s="324"/>
      <c r="Q2669" s="324" t="s">
        <v>18</v>
      </c>
      <c r="R2669" s="324"/>
      <c r="S2669" s="324" t="s">
        <v>19</v>
      </c>
      <c r="T2669" s="528">
        <v>2</v>
      </c>
      <c r="U2669" s="324">
        <f>E2669/237*60</f>
        <v>0</v>
      </c>
      <c r="V2669" s="676"/>
      <c r="W2669" s="528"/>
      <c r="X2669" s="529"/>
      <c r="Y2669" s="323"/>
      <c r="Z2669" s="312">
        <f t="shared" si="1004"/>
        <v>0</v>
      </c>
      <c r="AA2669" s="316">
        <f>SUM(Z2669/97.92+0.25)</f>
        <v>0.25</v>
      </c>
    </row>
    <row r="2670" spans="1:27" ht="53.25" thickBot="1" x14ac:dyDescent="0.45">
      <c r="A2670" s="329" t="s">
        <v>735</v>
      </c>
      <c r="B2670" s="879" t="s">
        <v>1211</v>
      </c>
      <c r="C2670" s="528">
        <f>C331+C561+C789+C971+C1152</f>
        <v>0</v>
      </c>
      <c r="D2670" s="551">
        <f>C2670*14</f>
        <v>0</v>
      </c>
      <c r="E2670" s="456">
        <f>D2670*0.25</f>
        <v>0</v>
      </c>
      <c r="F2670" s="358">
        <f>E2670*0.99*1.03/147</f>
        <v>0</v>
      </c>
      <c r="G2670" s="548">
        <f t="shared" si="1002"/>
        <v>0</v>
      </c>
      <c r="H2670" s="358" t="s">
        <v>18</v>
      </c>
      <c r="I2670" s="548">
        <f t="shared" si="1003"/>
        <v>0</v>
      </c>
      <c r="J2670" s="358" t="s">
        <v>19</v>
      </c>
      <c r="K2670" s="358"/>
      <c r="L2670" s="358"/>
      <c r="M2670" s="358">
        <f>(F2670*6989)/2880</f>
        <v>0</v>
      </c>
      <c r="N2670" s="358"/>
      <c r="O2670" s="358"/>
      <c r="P2670" s="358"/>
      <c r="Q2670" s="358" t="s">
        <v>18</v>
      </c>
      <c r="R2670" s="358"/>
      <c r="S2670" s="358" t="s">
        <v>19</v>
      </c>
      <c r="T2670" s="528">
        <v>2</v>
      </c>
      <c r="U2670" s="324">
        <f>E2670/403*60</f>
        <v>0</v>
      </c>
      <c r="V2670" s="676"/>
      <c r="W2670" s="528"/>
      <c r="X2670" s="529"/>
      <c r="Y2670" s="323"/>
      <c r="Z2670" s="312">
        <f t="shared" si="1004"/>
        <v>0</v>
      </c>
      <c r="AA2670" s="316">
        <f>SUM(Z2670/97.92+0.25)</f>
        <v>0.25</v>
      </c>
    </row>
    <row r="2671" spans="1:27" ht="53.25" thickBot="1" x14ac:dyDescent="0.45">
      <c r="A2671" s="329" t="s">
        <v>735</v>
      </c>
      <c r="B2671" s="879" t="s">
        <v>1213</v>
      </c>
      <c r="C2671" s="528">
        <f>C562+C790+C972+C1153+C332</f>
        <v>0</v>
      </c>
      <c r="D2671" s="551">
        <f>C2671*14</f>
        <v>0</v>
      </c>
      <c r="E2671" s="456">
        <f>D2671*0.25</f>
        <v>0</v>
      </c>
      <c r="F2671" s="358">
        <f>E2671*0.99*1.03/147</f>
        <v>0</v>
      </c>
      <c r="G2671" s="548">
        <f t="shared" si="1002"/>
        <v>0</v>
      </c>
      <c r="H2671" s="358" t="s">
        <v>18</v>
      </c>
      <c r="I2671" s="548">
        <f t="shared" si="1003"/>
        <v>0</v>
      </c>
      <c r="J2671" s="358" t="s">
        <v>19</v>
      </c>
      <c r="K2671" s="358"/>
      <c r="L2671" s="358"/>
      <c r="M2671" s="358">
        <f>(F2671*6989)/2880</f>
        <v>0</v>
      </c>
      <c r="N2671" s="358"/>
      <c r="O2671" s="358"/>
      <c r="P2671" s="358"/>
      <c r="Q2671" s="358" t="s">
        <v>18</v>
      </c>
      <c r="R2671" s="358"/>
      <c r="S2671" s="358" t="s">
        <v>19</v>
      </c>
      <c r="T2671" s="528">
        <v>2</v>
      </c>
      <c r="U2671" s="324">
        <f>E2671/403*60</f>
        <v>0</v>
      </c>
      <c r="V2671" s="676"/>
      <c r="W2671" s="528"/>
      <c r="X2671" s="529"/>
      <c r="Y2671" s="323"/>
      <c r="Z2671" s="312">
        <f t="shared" si="1004"/>
        <v>0</v>
      </c>
      <c r="AA2671" s="316">
        <f>SUM(Z2671/97.92+0.25)</f>
        <v>0.25</v>
      </c>
    </row>
    <row r="2672" spans="1:27" ht="53.25" thickBot="1" x14ac:dyDescent="0.45">
      <c r="A2672" s="329" t="s">
        <v>735</v>
      </c>
      <c r="B2672" s="879" t="s">
        <v>1212</v>
      </c>
      <c r="C2672" s="528">
        <f>C333+C563+C791</f>
        <v>0</v>
      </c>
      <c r="D2672" s="551">
        <f>C2672*14</f>
        <v>0</v>
      </c>
      <c r="E2672" s="456">
        <f>D2672*0.25</f>
        <v>0</v>
      </c>
      <c r="F2672" s="358">
        <f>E2672*0.99*1.03/147</f>
        <v>0</v>
      </c>
      <c r="G2672" s="548">
        <f t="shared" si="1002"/>
        <v>0</v>
      </c>
      <c r="H2672" s="358" t="s">
        <v>18</v>
      </c>
      <c r="I2672" s="548">
        <f t="shared" si="1003"/>
        <v>0</v>
      </c>
      <c r="J2672" s="358" t="s">
        <v>19</v>
      </c>
      <c r="K2672" s="358"/>
      <c r="L2672" s="358"/>
      <c r="M2672" s="358">
        <f>(F2672*6989)/2880</f>
        <v>0</v>
      </c>
      <c r="N2672" s="358"/>
      <c r="O2672" s="358"/>
      <c r="P2672" s="358"/>
      <c r="Q2672" s="358" t="s">
        <v>18</v>
      </c>
      <c r="R2672" s="358"/>
      <c r="S2672" s="358" t="s">
        <v>19</v>
      </c>
      <c r="T2672" s="528">
        <v>2</v>
      </c>
      <c r="U2672" s="324">
        <f>E2672/403*60</f>
        <v>0</v>
      </c>
      <c r="V2672" s="676"/>
      <c r="W2672" s="528"/>
      <c r="X2672" s="529"/>
      <c r="Y2672" s="323"/>
      <c r="Z2672" s="312">
        <f t="shared" si="1004"/>
        <v>0</v>
      </c>
      <c r="AA2672" s="316">
        <f>SUM(Z2672/97.92+0.25)</f>
        <v>0.25</v>
      </c>
    </row>
    <row r="2673" spans="1:28" ht="77.25" outlineLevel="1" thickBot="1" x14ac:dyDescent="0.45">
      <c r="A2673" s="329" t="s">
        <v>735</v>
      </c>
      <c r="B2673" s="799" t="s">
        <v>1214</v>
      </c>
      <c r="C2673" s="586">
        <f>C282+C512+C742+C962+C1107</f>
        <v>0</v>
      </c>
      <c r="D2673" s="528">
        <f>C2673*14</f>
        <v>0</v>
      </c>
      <c r="E2673" s="460">
        <f>D2673*0.25</f>
        <v>0</v>
      </c>
      <c r="F2673" s="324">
        <f>E2673*1.05*0.99/135</f>
        <v>0</v>
      </c>
      <c r="G2673" s="528">
        <f t="shared" si="1002"/>
        <v>0</v>
      </c>
      <c r="H2673" s="324" t="s">
        <v>18</v>
      </c>
      <c r="I2673" s="528">
        <f t="shared" si="1003"/>
        <v>0</v>
      </c>
      <c r="J2673" s="324" t="s">
        <v>19</v>
      </c>
      <c r="K2673" s="324"/>
      <c r="L2673" s="324"/>
      <c r="M2673" s="324">
        <f>(F2673*6253)/2880</f>
        <v>0</v>
      </c>
      <c r="N2673" s="324"/>
      <c r="O2673" s="324"/>
      <c r="P2673" s="324"/>
      <c r="Q2673" s="324" t="s">
        <v>18</v>
      </c>
      <c r="R2673" s="324"/>
      <c r="S2673" s="324" t="s">
        <v>19</v>
      </c>
      <c r="T2673" s="528">
        <v>2</v>
      </c>
      <c r="U2673" s="324">
        <f>E2673/259*60</f>
        <v>0</v>
      </c>
      <c r="V2673" s="676"/>
      <c r="W2673" s="528"/>
      <c r="X2673" s="529"/>
      <c r="Y2673" s="323"/>
      <c r="Z2673" s="312">
        <f t="shared" si="1004"/>
        <v>0</v>
      </c>
      <c r="AA2673" s="316">
        <f>SUM(Z2673/97.92+0.25)</f>
        <v>0.25</v>
      </c>
    </row>
    <row r="2674" spans="1:28" thickBot="1" x14ac:dyDescent="0.45">
      <c r="A2674" s="329"/>
      <c r="B2674" s="877"/>
      <c r="C2674" s="536"/>
      <c r="D2674" s="530"/>
      <c r="E2674" s="460"/>
      <c r="F2674" s="324"/>
      <c r="G2674" s="324"/>
      <c r="H2674" s="324"/>
      <c r="I2674" s="528"/>
      <c r="J2674" s="324"/>
      <c r="K2674" s="324"/>
      <c r="L2674" s="324"/>
      <c r="M2674" s="324"/>
      <c r="N2674" s="324"/>
      <c r="O2674" s="324"/>
      <c r="P2674" s="324"/>
      <c r="Q2674" s="324"/>
      <c r="R2674" s="324"/>
      <c r="S2674" s="324"/>
      <c r="T2674" s="528"/>
      <c r="U2674" s="324"/>
      <c r="V2674" s="676"/>
      <c r="W2674" s="528"/>
      <c r="X2674" s="529"/>
      <c r="Y2674" s="323"/>
    </row>
    <row r="2675" spans="1:28" thickBot="1" x14ac:dyDescent="0.45">
      <c r="A2675" s="329"/>
      <c r="B2675" s="344"/>
      <c r="C2675" s="536"/>
      <c r="D2675" s="530"/>
      <c r="E2675" s="460"/>
      <c r="F2675" s="324"/>
      <c r="G2675" s="324"/>
      <c r="H2675" s="324"/>
      <c r="I2675" s="528"/>
      <c r="J2675" s="324"/>
      <c r="K2675" s="324"/>
      <c r="L2675" s="324"/>
      <c r="M2675" s="324"/>
      <c r="N2675" s="324"/>
      <c r="O2675" s="324"/>
      <c r="P2675" s="324"/>
      <c r="Q2675" s="324"/>
      <c r="R2675" s="324"/>
      <c r="S2675" s="324"/>
      <c r="T2675" s="528"/>
      <c r="U2675" s="324"/>
      <c r="V2675" s="676"/>
      <c r="W2675" s="528"/>
      <c r="X2675" s="529"/>
      <c r="Y2675" s="323"/>
    </row>
    <row r="2676" spans="1:28" ht="53.25" thickBot="1" x14ac:dyDescent="0.45">
      <c r="A2676" s="319"/>
      <c r="B2676" s="394" t="s">
        <v>695</v>
      </c>
      <c r="C2676" s="537"/>
      <c r="D2676" s="537"/>
      <c r="E2676" s="496"/>
      <c r="F2676" s="354"/>
      <c r="G2676" s="537"/>
      <c r="H2676" s="354"/>
      <c r="I2676" s="537"/>
      <c r="J2676" s="354"/>
      <c r="K2676" s="354"/>
      <c r="L2676" s="354"/>
      <c r="M2676" s="354"/>
      <c r="N2676" s="354"/>
      <c r="O2676" s="354"/>
      <c r="P2676" s="354"/>
      <c r="Q2676" s="354"/>
      <c r="R2676" s="354"/>
      <c r="S2676" s="354"/>
      <c r="T2676" s="537"/>
      <c r="U2676" s="354"/>
      <c r="V2676" s="682" t="s">
        <v>698</v>
      </c>
      <c r="W2676" s="537"/>
      <c r="X2676" s="540"/>
      <c r="Y2676" s="323"/>
    </row>
    <row r="2677" spans="1:28" thickBot="1" x14ac:dyDescent="0.45">
      <c r="A2677" s="319"/>
      <c r="B2677" s="394"/>
      <c r="C2677" s="537"/>
      <c r="D2677" s="537"/>
      <c r="E2677" s="496"/>
      <c r="F2677" s="354"/>
      <c r="G2677" s="537"/>
      <c r="H2677" s="354"/>
      <c r="I2677" s="537"/>
      <c r="J2677" s="354"/>
      <c r="K2677" s="354"/>
      <c r="L2677" s="354"/>
      <c r="M2677" s="354"/>
      <c r="N2677" s="354"/>
      <c r="O2677" s="354"/>
      <c r="P2677" s="354"/>
      <c r="Q2677" s="354"/>
      <c r="R2677" s="354"/>
      <c r="S2677" s="354"/>
      <c r="T2677" s="537"/>
      <c r="U2677" s="354"/>
      <c r="V2677" s="682"/>
      <c r="W2677" s="537"/>
      <c r="X2677" s="540"/>
      <c r="Y2677" s="323"/>
    </row>
    <row r="2678" spans="1:28" thickBot="1" x14ac:dyDescent="0.45">
      <c r="A2678" s="329"/>
      <c r="B2678" s="394"/>
      <c r="C2678" s="537"/>
      <c r="D2678" s="537"/>
      <c r="E2678" s="496"/>
      <c r="F2678" s="354"/>
      <c r="G2678" s="537"/>
      <c r="H2678" s="354"/>
      <c r="I2678" s="537"/>
      <c r="J2678" s="354"/>
      <c r="K2678" s="354"/>
      <c r="L2678" s="354"/>
      <c r="M2678" s="354"/>
      <c r="N2678" s="354"/>
      <c r="O2678" s="354"/>
      <c r="P2678" s="354"/>
      <c r="Q2678" s="354"/>
      <c r="R2678" s="354"/>
      <c r="S2678" s="354"/>
      <c r="T2678" s="537"/>
      <c r="U2678" s="354"/>
      <c r="V2678" s="682"/>
      <c r="W2678" s="537"/>
      <c r="X2678" s="540"/>
      <c r="Y2678" s="323"/>
    </row>
    <row r="2679" spans="1:28" thickBot="1" x14ac:dyDescent="0.45">
      <c r="A2679" s="329"/>
      <c r="B2679" s="382" t="s">
        <v>147</v>
      </c>
      <c r="C2679" s="537"/>
      <c r="D2679" s="537"/>
      <c r="E2679" s="496">
        <f>SUM(E2601:E2665)+(+E2647+E2648+E2649+E2666+E2668+E2669+E2670+E2671+E2672+E2673)</f>
        <v>19920</v>
      </c>
      <c r="F2679" s="324"/>
      <c r="G2679" s="528"/>
      <c r="H2679" s="324"/>
      <c r="I2679" s="528"/>
      <c r="J2679" s="324"/>
      <c r="K2679" s="324"/>
      <c r="L2679" s="324"/>
      <c r="M2679" s="324"/>
      <c r="N2679" s="324"/>
      <c r="O2679" s="324"/>
      <c r="P2679" s="324"/>
      <c r="Q2679" s="324"/>
      <c r="R2679" s="324"/>
      <c r="S2679" s="324"/>
      <c r="T2679" s="528"/>
      <c r="U2679" s="324"/>
      <c r="V2679" s="676"/>
      <c r="W2679" s="528"/>
      <c r="X2679" s="529"/>
      <c r="Y2679" s="323"/>
    </row>
    <row r="2680" spans="1:28" thickBot="1" x14ac:dyDescent="0.45">
      <c r="A2680" s="350"/>
      <c r="B2680" s="382" t="s">
        <v>709</v>
      </c>
      <c r="C2680" s="537"/>
      <c r="D2680" s="537"/>
      <c r="E2680" s="496">
        <f>E2595+E2596+E2597+E2598+E2599</f>
        <v>0</v>
      </c>
      <c r="F2680" s="324"/>
      <c r="G2680" s="528"/>
      <c r="H2680" s="324"/>
      <c r="I2680" s="528"/>
      <c r="J2680" s="324"/>
      <c r="K2680" s="324"/>
      <c r="L2680" s="324"/>
      <c r="M2680" s="324"/>
      <c r="N2680" s="324"/>
      <c r="O2680" s="324"/>
      <c r="P2680" s="324"/>
      <c r="Q2680" s="324"/>
      <c r="R2680" s="324"/>
      <c r="S2680" s="324"/>
      <c r="T2680" s="528"/>
      <c r="U2680" s="324"/>
      <c r="V2680" s="676"/>
      <c r="W2680" s="528"/>
      <c r="X2680" s="529"/>
      <c r="Y2680" s="323"/>
    </row>
    <row r="2681" spans="1:28" thickBot="1" x14ac:dyDescent="0.45">
      <c r="A2681" s="350"/>
      <c r="B2681" s="356"/>
      <c r="C2681" s="528"/>
      <c r="D2681" s="528"/>
      <c r="E2681" s="460"/>
      <c r="F2681" s="324"/>
      <c r="G2681" s="528"/>
      <c r="H2681" s="324"/>
      <c r="I2681" s="528"/>
      <c r="J2681" s="324"/>
      <c r="K2681" s="324"/>
      <c r="L2681" s="324"/>
      <c r="M2681" s="324"/>
      <c r="N2681" s="324"/>
      <c r="O2681" s="324"/>
      <c r="P2681" s="324"/>
      <c r="Q2681" s="324"/>
      <c r="R2681" s="324"/>
      <c r="S2681" s="324"/>
      <c r="T2681" s="528"/>
      <c r="U2681" s="324"/>
      <c r="V2681" s="676"/>
      <c r="W2681" s="528"/>
      <c r="X2681" s="529"/>
      <c r="Y2681" s="323"/>
    </row>
    <row r="2682" spans="1:28" thickBot="1" x14ac:dyDescent="0.45">
      <c r="A2682" s="350"/>
      <c r="B2682" s="356"/>
      <c r="C2682" s="528"/>
      <c r="D2682" s="528"/>
      <c r="E2682" s="460"/>
      <c r="F2682" s="324"/>
      <c r="G2682" s="528"/>
      <c r="H2682" s="324"/>
      <c r="I2682" s="528"/>
      <c r="J2682" s="324"/>
      <c r="K2682" s="324"/>
      <c r="L2682" s="324"/>
      <c r="M2682" s="324"/>
      <c r="N2682" s="324"/>
      <c r="O2682" s="324"/>
      <c r="P2682" s="324"/>
      <c r="Q2682" s="324"/>
      <c r="R2682" s="324"/>
      <c r="S2682" s="324"/>
      <c r="T2682" s="528"/>
      <c r="U2682" s="324"/>
      <c r="V2682" s="676"/>
      <c r="W2682" s="528"/>
      <c r="X2682" s="529"/>
      <c r="Y2682" s="323"/>
    </row>
    <row r="2683" spans="1:28" outlineLevel="1" thickBot="1" x14ac:dyDescent="0.45">
      <c r="A2683" s="829"/>
      <c r="B2683" s="303" t="s">
        <v>149</v>
      </c>
      <c r="C2683" s="537"/>
      <c r="D2683" s="537"/>
      <c r="E2683" s="496"/>
      <c r="F2683" s="354"/>
      <c r="G2683" s="537"/>
      <c r="H2683" s="354"/>
      <c r="I2683" s="537"/>
      <c r="J2683" s="354"/>
      <c r="K2683" s="354"/>
      <c r="L2683" s="354"/>
      <c r="M2683" s="354"/>
      <c r="N2683" s="354"/>
      <c r="O2683" s="354"/>
      <c r="P2683" s="354"/>
      <c r="Q2683" s="354"/>
      <c r="R2683" s="354"/>
      <c r="S2683" s="354"/>
      <c r="T2683" s="537"/>
      <c r="U2683" s="354"/>
      <c r="V2683" s="682"/>
      <c r="W2683" s="354"/>
      <c r="X2683" s="540"/>
      <c r="Y2683" s="301"/>
      <c r="AA2683" s="391" t="s">
        <v>678</v>
      </c>
    </row>
    <row r="2684" spans="1:28" outlineLevel="1" thickBot="1" x14ac:dyDescent="0.45">
      <c r="A2684" s="830"/>
      <c r="B2684" s="395" t="s">
        <v>294</v>
      </c>
      <c r="C2684" s="528"/>
      <c r="D2684" s="528"/>
      <c r="E2684" s="460"/>
      <c r="F2684" s="324"/>
      <c r="G2684" s="528"/>
      <c r="H2684" s="324"/>
      <c r="I2684" s="528"/>
      <c r="J2684" s="324"/>
      <c r="K2684" s="324"/>
      <c r="L2684" s="324"/>
      <c r="M2684" s="324"/>
      <c r="N2684" s="324"/>
      <c r="O2684" s="324"/>
      <c r="P2684" s="324"/>
      <c r="Q2684" s="324"/>
      <c r="R2684" s="324"/>
      <c r="S2684" s="324"/>
      <c r="T2684" s="528"/>
      <c r="U2684" s="324"/>
      <c r="V2684" s="676"/>
      <c r="W2684" s="324"/>
      <c r="X2684" s="529"/>
      <c r="Y2684" s="323"/>
    </row>
    <row r="2685" spans="1:28" ht="53.25" outlineLevel="1" thickBot="1" x14ac:dyDescent="0.45">
      <c r="A2685" s="319" t="s">
        <v>736</v>
      </c>
      <c r="B2685" s="320" t="s">
        <v>614</v>
      </c>
      <c r="C2685" s="586">
        <f>C1931</f>
        <v>0</v>
      </c>
      <c r="D2685" s="533">
        <f>C2685*12</f>
        <v>0</v>
      </c>
      <c r="E2685" s="534">
        <f>D2685*0.2</f>
        <v>0</v>
      </c>
      <c r="F2685" s="321">
        <f>D2685*22*0.0086/24.7</f>
        <v>0</v>
      </c>
      <c r="G2685" s="533">
        <f>INT(M2685)</f>
        <v>0</v>
      </c>
      <c r="H2685" s="321" t="s">
        <v>18</v>
      </c>
      <c r="I2685" s="533">
        <f>(M2685-G2685)*64</f>
        <v>0</v>
      </c>
      <c r="J2685" s="321" t="s">
        <v>19</v>
      </c>
      <c r="K2685" s="324"/>
      <c r="L2685" s="324"/>
      <c r="M2685" s="321">
        <f>F2685*3024/16128</f>
        <v>0</v>
      </c>
      <c r="N2685" s="324"/>
      <c r="O2685" s="324"/>
      <c r="P2685" s="324"/>
      <c r="Q2685" s="324" t="s">
        <v>18</v>
      </c>
      <c r="R2685" s="324"/>
      <c r="S2685" s="324" t="s">
        <v>19</v>
      </c>
      <c r="T2685" s="528">
        <v>2</v>
      </c>
      <c r="U2685" s="324">
        <f>E2685/207*60</f>
        <v>0</v>
      </c>
      <c r="V2685" s="676"/>
      <c r="W2685" s="528"/>
      <c r="X2685" s="529"/>
      <c r="Y2685" s="323"/>
      <c r="Z2685" s="312">
        <f>E2685</f>
        <v>0</v>
      </c>
      <c r="AA2685" s="316">
        <f>SUM(Z2685/104.4+0.25)</f>
        <v>0.25</v>
      </c>
    </row>
    <row r="2686" spans="1:28" ht="53.25" outlineLevel="1" thickBot="1" x14ac:dyDescent="0.45">
      <c r="A2686" s="319" t="s">
        <v>736</v>
      </c>
      <c r="B2686" s="328" t="s">
        <v>615</v>
      </c>
      <c r="C2686" s="586">
        <f>C1932</f>
        <v>0</v>
      </c>
      <c r="D2686" s="533">
        <f>C2686*12</f>
        <v>0</v>
      </c>
      <c r="E2686" s="534">
        <f>D2686*0.2</f>
        <v>0</v>
      </c>
      <c r="F2686" s="321">
        <f>D2686*22*0.0086/24.7</f>
        <v>0</v>
      </c>
      <c r="G2686" s="533">
        <f>INT(M2686)</f>
        <v>0</v>
      </c>
      <c r="H2686" s="321" t="s">
        <v>18</v>
      </c>
      <c r="I2686" s="533">
        <f>(M2686-G2686)*64</f>
        <v>0</v>
      </c>
      <c r="J2686" s="321" t="s">
        <v>19</v>
      </c>
      <c r="K2686" s="324"/>
      <c r="L2686" s="324"/>
      <c r="M2686" s="321">
        <f>F2686*3024/16128</f>
        <v>0</v>
      </c>
      <c r="N2686" s="324"/>
      <c r="O2686" s="324"/>
      <c r="P2686" s="324"/>
      <c r="Q2686" s="324" t="s">
        <v>18</v>
      </c>
      <c r="R2686" s="324"/>
      <c r="S2686" s="324" t="s">
        <v>19</v>
      </c>
      <c r="T2686" s="528">
        <v>2</v>
      </c>
      <c r="U2686" s="324">
        <f>E2686/207*60</f>
        <v>0</v>
      </c>
      <c r="V2686" s="676"/>
      <c r="W2686" s="528"/>
      <c r="X2686" s="529"/>
      <c r="Y2686" s="323"/>
      <c r="Z2686" s="312">
        <f>E2686</f>
        <v>0</v>
      </c>
      <c r="AA2686" s="316">
        <f>SUM(Z2686/104.4+0.25)</f>
        <v>0.25</v>
      </c>
    </row>
    <row r="2687" spans="1:28" ht="77.25" outlineLevel="1" thickBot="1" x14ac:dyDescent="0.45">
      <c r="A2687" s="319" t="s">
        <v>736</v>
      </c>
      <c r="B2687" s="320" t="s">
        <v>894</v>
      </c>
      <c r="C2687" s="528">
        <f>C2229</f>
        <v>0</v>
      </c>
      <c r="D2687" s="532">
        <f>C2687*12</f>
        <v>0</v>
      </c>
      <c r="E2687" s="472">
        <f>D2687*0.27</f>
        <v>0</v>
      </c>
      <c r="F2687" s="472">
        <f>E2687*1.03*0.87/19.3</f>
        <v>0</v>
      </c>
      <c r="G2687" s="531">
        <f>INT(M2687)</f>
        <v>0</v>
      </c>
      <c r="H2687" s="472" t="s">
        <v>18</v>
      </c>
      <c r="I2687" s="531">
        <f>(M2687-G2687)*64</f>
        <v>0</v>
      </c>
      <c r="J2687" s="472" t="s">
        <v>19</v>
      </c>
      <c r="K2687" s="472"/>
      <c r="L2687" s="472"/>
      <c r="M2687" s="472">
        <f>(F2687*877/2880)</f>
        <v>0</v>
      </c>
      <c r="N2687" s="472"/>
      <c r="O2687" s="461"/>
      <c r="P2687" s="461"/>
      <c r="Q2687" s="461" t="s">
        <v>18</v>
      </c>
      <c r="R2687" s="461"/>
      <c r="S2687" s="461" t="s">
        <v>19</v>
      </c>
      <c r="T2687" s="528">
        <v>3</v>
      </c>
      <c r="U2687" s="324">
        <f>E2687/259*60</f>
        <v>0</v>
      </c>
      <c r="V2687" s="676"/>
      <c r="W2687" s="528"/>
      <c r="X2687" s="529"/>
      <c r="Y2687" s="323"/>
      <c r="Z2687" s="312">
        <f>E2687</f>
        <v>0</v>
      </c>
      <c r="AA2687" s="316">
        <f>SUM(Z2687/224+0.25)</f>
        <v>0.25</v>
      </c>
      <c r="AB2687" s="352"/>
    </row>
    <row r="2688" spans="1:28" ht="77.25" outlineLevel="1" thickBot="1" x14ac:dyDescent="0.45">
      <c r="A2688" s="319" t="s">
        <v>736</v>
      </c>
      <c r="B2688" s="320" t="s">
        <v>1005</v>
      </c>
      <c r="C2688" s="528">
        <f>C2086</f>
        <v>0</v>
      </c>
      <c r="D2688" s="530">
        <f>C2688*1</f>
        <v>0</v>
      </c>
      <c r="E2688" s="546">
        <f>D2688*0.65</f>
        <v>0</v>
      </c>
      <c r="F2688" s="546">
        <f>E2688*1.03*0.87/19.3</f>
        <v>0</v>
      </c>
      <c r="G2688" s="639">
        <f>INT(M2688)</f>
        <v>0</v>
      </c>
      <c r="H2688" s="546" t="s">
        <v>18</v>
      </c>
      <c r="I2688" s="639">
        <f>(M2688-G2688)*64</f>
        <v>0</v>
      </c>
      <c r="J2688" s="546" t="s">
        <v>19</v>
      </c>
      <c r="K2688" s="546"/>
      <c r="L2688" s="546"/>
      <c r="M2688" s="546">
        <f>(F2688*877/2880)</f>
        <v>0</v>
      </c>
      <c r="N2688" s="546"/>
      <c r="O2688" s="324"/>
      <c r="P2688" s="324"/>
      <c r="Q2688" s="324" t="s">
        <v>18</v>
      </c>
      <c r="R2688" s="324"/>
      <c r="S2688" s="324" t="s">
        <v>19</v>
      </c>
      <c r="T2688" s="528">
        <v>3</v>
      </c>
      <c r="U2688" s="324">
        <f>E2688/259*60</f>
        <v>0</v>
      </c>
      <c r="V2688" s="676"/>
      <c r="W2688" s="528"/>
      <c r="X2688" s="529"/>
      <c r="Y2688" s="323"/>
      <c r="Z2688" s="312">
        <f>E2688</f>
        <v>0</v>
      </c>
      <c r="AA2688" s="316">
        <f>SUM(Z2688/224+0.25)</f>
        <v>0.25</v>
      </c>
      <c r="AB2688" s="352"/>
    </row>
    <row r="2689" spans="1:27" ht="102.75" outlineLevel="1" thickBot="1" x14ac:dyDescent="0.45">
      <c r="A2689" s="319" t="s">
        <v>736</v>
      </c>
      <c r="B2689" s="320" t="s">
        <v>843</v>
      </c>
      <c r="C2689" s="586">
        <f>C2579</f>
        <v>0</v>
      </c>
      <c r="D2689" s="528"/>
      <c r="E2689" s="546">
        <f>C2689*2</f>
        <v>0</v>
      </c>
      <c r="F2689" s="546">
        <f>E2689*1.03*0.87/19.3</f>
        <v>0</v>
      </c>
      <c r="G2689" s="639">
        <f>INT(M2689)</f>
        <v>0</v>
      </c>
      <c r="H2689" s="546" t="s">
        <v>18</v>
      </c>
      <c r="I2689" s="639">
        <f>(M2689-G2689)*64</f>
        <v>0</v>
      </c>
      <c r="J2689" s="546" t="s">
        <v>19</v>
      </c>
      <c r="K2689" s="546"/>
      <c r="L2689" s="546"/>
      <c r="M2689" s="546">
        <f>(F2689*877/2880)</f>
        <v>0</v>
      </c>
      <c r="N2689" s="546"/>
      <c r="O2689" s="324"/>
      <c r="P2689" s="324"/>
      <c r="Q2689" s="324" t="s">
        <v>18</v>
      </c>
      <c r="R2689" s="324"/>
      <c r="S2689" s="324" t="s">
        <v>19</v>
      </c>
      <c r="T2689" s="528">
        <v>2</v>
      </c>
      <c r="U2689" s="324">
        <f>E2689/259*60</f>
        <v>0</v>
      </c>
      <c r="V2689" s="676"/>
      <c r="W2689" s="528"/>
      <c r="X2689" s="529"/>
      <c r="Y2689" s="323"/>
      <c r="Z2689" s="312">
        <f>E2689</f>
        <v>0</v>
      </c>
      <c r="AA2689" s="316">
        <f>SUM(Z2689/390+0.25)</f>
        <v>0.25</v>
      </c>
    </row>
    <row r="2690" spans="1:27" outlineLevel="1" thickBot="1" x14ac:dyDescent="0.45">
      <c r="A2690" s="830"/>
      <c r="B2690" s="395" t="s">
        <v>670</v>
      </c>
      <c r="C2690" s="528"/>
      <c r="D2690" s="528"/>
      <c r="E2690" s="460"/>
      <c r="F2690" s="324"/>
      <c r="G2690" s="528"/>
      <c r="H2690" s="324"/>
      <c r="I2690" s="528"/>
      <c r="J2690" s="324"/>
      <c r="K2690" s="324"/>
      <c r="L2690" s="324"/>
      <c r="M2690" s="324"/>
      <c r="N2690" s="324"/>
      <c r="O2690" s="324"/>
      <c r="P2690" s="324"/>
      <c r="Q2690" s="324"/>
      <c r="R2690" s="324"/>
      <c r="S2690" s="324"/>
      <c r="T2690" s="528"/>
      <c r="U2690" s="324"/>
      <c r="V2690" s="676"/>
      <c r="W2690" s="324"/>
      <c r="X2690" s="529"/>
      <c r="Y2690" s="323"/>
    </row>
    <row r="2691" spans="1:27" ht="77.25" outlineLevel="1" thickBot="1" x14ac:dyDescent="0.45">
      <c r="A2691" s="319" t="s">
        <v>736</v>
      </c>
      <c r="B2691" s="343" t="s">
        <v>752</v>
      </c>
      <c r="C2691" s="587">
        <f>C170+C398+C626+C823+C1004</f>
        <v>0</v>
      </c>
      <c r="D2691" s="528"/>
      <c r="E2691" s="457">
        <f>C2691*3</f>
        <v>0</v>
      </c>
      <c r="F2691" s="358">
        <f>E2691*1.03*0.82/147</f>
        <v>0</v>
      </c>
      <c r="G2691" s="549">
        <f>INT(M2691)</f>
        <v>0</v>
      </c>
      <c r="H2691" s="359" t="s">
        <v>18</v>
      </c>
      <c r="I2691" s="549">
        <f>(M2691-G2691)*64</f>
        <v>0</v>
      </c>
      <c r="J2691" s="359" t="s">
        <v>19</v>
      </c>
      <c r="K2691" s="358"/>
      <c r="L2691" s="358"/>
      <c r="M2691" s="358">
        <f>(F2691*5547/3456)</f>
        <v>0</v>
      </c>
      <c r="N2691" s="324"/>
      <c r="O2691" s="324"/>
      <c r="P2691" s="324"/>
      <c r="Q2691" s="324" t="s">
        <v>18</v>
      </c>
      <c r="R2691" s="324"/>
      <c r="S2691" s="324" t="s">
        <v>19</v>
      </c>
      <c r="T2691" s="528">
        <v>2</v>
      </c>
      <c r="U2691" s="324">
        <f t="shared" ref="U2691:U2712" si="1005">E2691/324*60</f>
        <v>0</v>
      </c>
      <c r="V2691" s="676"/>
      <c r="W2691" s="528"/>
      <c r="X2691" s="529"/>
      <c r="Y2691" s="323"/>
      <c r="Z2691" s="312">
        <f t="shared" ref="Z2691:Z2755" si="1006">E2691</f>
        <v>0</v>
      </c>
      <c r="AA2691" s="316">
        <f>SUM(Z2691/585+0.25)</f>
        <v>0.25</v>
      </c>
    </row>
    <row r="2692" spans="1:27" ht="77.25" outlineLevel="1" thickBot="1" x14ac:dyDescent="0.45">
      <c r="A2692" s="319" t="s">
        <v>736</v>
      </c>
      <c r="B2692" s="320" t="s">
        <v>896</v>
      </c>
      <c r="C2692" s="528">
        <f>C1440+C1653+C1959</f>
        <v>0</v>
      </c>
      <c r="D2692" s="528"/>
      <c r="E2692" s="456">
        <f>C2692*1.2</f>
        <v>0</v>
      </c>
      <c r="F2692" s="358">
        <f>E2692*1.01*0.72/147</f>
        <v>0</v>
      </c>
      <c r="G2692" s="548">
        <f t="shared" ref="G2692:G2717" si="1007">INT(M2692)</f>
        <v>0</v>
      </c>
      <c r="H2692" s="358" t="s">
        <v>18</v>
      </c>
      <c r="I2692" s="548">
        <f t="shared" ref="I2692:I2717" si="1008">(M2692-G2692)*64</f>
        <v>0</v>
      </c>
      <c r="J2692" s="358" t="s">
        <v>19</v>
      </c>
      <c r="K2692" s="358"/>
      <c r="L2692" s="358"/>
      <c r="M2692" s="358">
        <f>(F2692*6035/3456)</f>
        <v>0</v>
      </c>
      <c r="N2692" s="358"/>
      <c r="O2692" s="358"/>
      <c r="P2692" s="358"/>
      <c r="Q2692" s="358" t="s">
        <v>18</v>
      </c>
      <c r="R2692" s="358"/>
      <c r="S2692" s="358" t="s">
        <v>19</v>
      </c>
      <c r="T2692" s="528">
        <v>2</v>
      </c>
      <c r="U2692" s="324">
        <f t="shared" si="1005"/>
        <v>0</v>
      </c>
      <c r="V2692" s="685"/>
      <c r="W2692" s="528"/>
      <c r="X2692" s="529"/>
      <c r="Y2692" s="323"/>
      <c r="Z2692" s="312">
        <f t="shared" si="1006"/>
        <v>0</v>
      </c>
      <c r="AA2692" s="316">
        <f t="shared" ref="AA2692:AA2702" si="1009">SUM(Z2692/195+0.25)</f>
        <v>0.25</v>
      </c>
    </row>
    <row r="2693" spans="1:27" ht="77.25" outlineLevel="1" thickBot="1" x14ac:dyDescent="0.45">
      <c r="A2693" s="319" t="s">
        <v>736</v>
      </c>
      <c r="B2693" s="320" t="s">
        <v>1082</v>
      </c>
      <c r="C2693" s="528">
        <f>C1441+C1654+C1960</f>
        <v>0</v>
      </c>
      <c r="D2693" s="528"/>
      <c r="E2693" s="460">
        <f>C2693*1.2</f>
        <v>0</v>
      </c>
      <c r="F2693" s="324">
        <f>E2693*1.01*0.72/147</f>
        <v>0</v>
      </c>
      <c r="G2693" s="528">
        <f>INT(M2693)</f>
        <v>0</v>
      </c>
      <c r="H2693" s="324" t="s">
        <v>18</v>
      </c>
      <c r="I2693" s="528">
        <f>(M2693-G2693)*64</f>
        <v>0</v>
      </c>
      <c r="J2693" s="324" t="s">
        <v>19</v>
      </c>
      <c r="K2693" s="324"/>
      <c r="L2693" s="324"/>
      <c r="M2693" s="324">
        <f>(F2693*6035/3456)</f>
        <v>0</v>
      </c>
      <c r="N2693" s="324"/>
      <c r="O2693" s="324"/>
      <c r="P2693" s="324"/>
      <c r="Q2693" s="324" t="s">
        <v>18</v>
      </c>
      <c r="R2693" s="324"/>
      <c r="S2693" s="324" t="s">
        <v>19</v>
      </c>
      <c r="T2693" s="528">
        <v>2</v>
      </c>
      <c r="U2693" s="324">
        <f>E2693/324*60</f>
        <v>0</v>
      </c>
      <c r="V2693" s="685"/>
      <c r="W2693" s="528"/>
      <c r="X2693" s="529"/>
      <c r="Y2693" s="323"/>
      <c r="Z2693" s="312">
        <f>E2693</f>
        <v>0</v>
      </c>
      <c r="AA2693" s="316">
        <f>SUM(Z2693/195+0.25)</f>
        <v>0.25</v>
      </c>
    </row>
    <row r="2694" spans="1:27" ht="53.25" outlineLevel="1" thickBot="1" x14ac:dyDescent="0.45">
      <c r="A2694" s="319" t="s">
        <v>736</v>
      </c>
      <c r="B2694" s="320" t="s">
        <v>897</v>
      </c>
      <c r="C2694" s="528">
        <f>C184+C411+C639+C834+C1015</f>
        <v>0</v>
      </c>
      <c r="D2694" s="528"/>
      <c r="E2694" s="456">
        <f>C2694*1.2</f>
        <v>0</v>
      </c>
      <c r="F2694" s="358">
        <f>E2694*1.03*0.82/147</f>
        <v>0</v>
      </c>
      <c r="G2694" s="549">
        <f t="shared" si="1007"/>
        <v>0</v>
      </c>
      <c r="H2694" s="359" t="s">
        <v>18</v>
      </c>
      <c r="I2694" s="549">
        <f t="shared" si="1008"/>
        <v>0</v>
      </c>
      <c r="J2694" s="359" t="s">
        <v>19</v>
      </c>
      <c r="K2694" s="358"/>
      <c r="L2694" s="358"/>
      <c r="M2694" s="358">
        <f>(F2694*5547/3456)</f>
        <v>0</v>
      </c>
      <c r="N2694" s="358"/>
      <c r="O2694" s="358"/>
      <c r="P2694" s="358"/>
      <c r="Q2694" s="358" t="s">
        <v>18</v>
      </c>
      <c r="R2694" s="358"/>
      <c r="S2694" s="358" t="s">
        <v>19</v>
      </c>
      <c r="T2694" s="528">
        <v>2</v>
      </c>
      <c r="U2694" s="324">
        <f t="shared" si="1005"/>
        <v>0</v>
      </c>
      <c r="V2694" s="685"/>
      <c r="W2694" s="528"/>
      <c r="X2694" s="529"/>
      <c r="Y2694" s="323"/>
      <c r="Z2694" s="312">
        <f t="shared" si="1006"/>
        <v>0</v>
      </c>
      <c r="AA2694" s="316">
        <f t="shared" si="1009"/>
        <v>0.25</v>
      </c>
    </row>
    <row r="2695" spans="1:27" ht="77.25" outlineLevel="1" thickBot="1" x14ac:dyDescent="0.45">
      <c r="A2695" s="319" t="s">
        <v>736</v>
      </c>
      <c r="B2695" s="799" t="s">
        <v>1203</v>
      </c>
      <c r="C2695" s="528">
        <f>C185+C412+C640+C835+C1016</f>
        <v>0</v>
      </c>
      <c r="D2695" s="528"/>
      <c r="E2695" s="456">
        <f>C2695*1.2</f>
        <v>0</v>
      </c>
      <c r="F2695" s="358">
        <f>E2695*1.03*0.82/147</f>
        <v>0</v>
      </c>
      <c r="G2695" s="549">
        <f>INT(M2695)</f>
        <v>0</v>
      </c>
      <c r="H2695" s="359" t="s">
        <v>18</v>
      </c>
      <c r="I2695" s="549">
        <f>(M2695-G2695)*64</f>
        <v>0</v>
      </c>
      <c r="J2695" s="359" t="s">
        <v>19</v>
      </c>
      <c r="K2695" s="358"/>
      <c r="L2695" s="358"/>
      <c r="M2695" s="358">
        <f>(F2695*5547/3456)</f>
        <v>0</v>
      </c>
      <c r="N2695" s="358"/>
      <c r="O2695" s="358"/>
      <c r="P2695" s="358"/>
      <c r="Q2695" s="358" t="s">
        <v>18</v>
      </c>
      <c r="R2695" s="358"/>
      <c r="S2695" s="358" t="s">
        <v>19</v>
      </c>
      <c r="T2695" s="528">
        <v>3</v>
      </c>
      <c r="U2695" s="324">
        <f>E2695/324*60</f>
        <v>0</v>
      </c>
      <c r="V2695" s="685"/>
      <c r="W2695" s="528"/>
      <c r="X2695" s="529"/>
      <c r="Y2695" s="323"/>
      <c r="Z2695" s="312">
        <f>E2695</f>
        <v>0</v>
      </c>
      <c r="AA2695" s="316">
        <f>SUM(Z2695/195+0.25)</f>
        <v>0.25</v>
      </c>
    </row>
    <row r="2696" spans="1:27" ht="53.25" outlineLevel="1" thickBot="1" x14ac:dyDescent="0.45">
      <c r="A2696" s="319" t="s">
        <v>736</v>
      </c>
      <c r="B2696" s="320" t="s">
        <v>898</v>
      </c>
      <c r="C2696" s="528">
        <f>C2102</f>
        <v>0</v>
      </c>
      <c r="D2696" s="525"/>
      <c r="E2696" s="456">
        <f>C2696*1</f>
        <v>0</v>
      </c>
      <c r="F2696" s="358">
        <f>E2696*1.03*0.84/147</f>
        <v>0</v>
      </c>
      <c r="G2696" s="549">
        <f>INT(M2696)</f>
        <v>0</v>
      </c>
      <c r="H2696" s="359" t="s">
        <v>18</v>
      </c>
      <c r="I2696" s="549">
        <f>(M2696-G2696)*64</f>
        <v>0</v>
      </c>
      <c r="J2696" s="359" t="s">
        <v>19</v>
      </c>
      <c r="K2696" s="358"/>
      <c r="L2696" s="358"/>
      <c r="M2696" s="358">
        <f>(F2696*6391/2880)</f>
        <v>0</v>
      </c>
      <c r="N2696" s="461"/>
      <c r="O2696" s="461"/>
      <c r="P2696" s="324"/>
      <c r="Q2696" s="324" t="s">
        <v>18</v>
      </c>
      <c r="R2696" s="324"/>
      <c r="S2696" s="324" t="s">
        <v>19</v>
      </c>
      <c r="T2696" s="528">
        <v>2</v>
      </c>
      <c r="U2696" s="324">
        <f t="shared" si="1005"/>
        <v>0</v>
      </c>
      <c r="V2696" s="685"/>
      <c r="W2696" s="528"/>
      <c r="X2696" s="529"/>
      <c r="Y2696" s="323"/>
      <c r="Z2696" s="312">
        <f t="shared" si="1006"/>
        <v>0</v>
      </c>
      <c r="AA2696" s="316">
        <f t="shared" si="1009"/>
        <v>0.25</v>
      </c>
    </row>
    <row r="2697" spans="1:27" ht="77.25" outlineLevel="1" thickBot="1" x14ac:dyDescent="0.45">
      <c r="A2697" s="319" t="s">
        <v>736</v>
      </c>
      <c r="B2697" s="320" t="s">
        <v>1008</v>
      </c>
      <c r="C2697" s="528">
        <f>C2103</f>
        <v>0</v>
      </c>
      <c r="D2697" s="528"/>
      <c r="E2697" s="460">
        <f>C2697*2</f>
        <v>0</v>
      </c>
      <c r="F2697" s="324">
        <f>E2697*1.03*0.84/147</f>
        <v>0</v>
      </c>
      <c r="G2697" s="537">
        <f t="shared" si="1007"/>
        <v>0</v>
      </c>
      <c r="H2697" s="354" t="s">
        <v>18</v>
      </c>
      <c r="I2697" s="537">
        <f t="shared" si="1008"/>
        <v>0</v>
      </c>
      <c r="J2697" s="354" t="s">
        <v>19</v>
      </c>
      <c r="K2697" s="324"/>
      <c r="L2697" s="324"/>
      <c r="M2697" s="324">
        <f>(F2697*5068/3456)</f>
        <v>0</v>
      </c>
      <c r="N2697" s="324"/>
      <c r="O2697" s="324"/>
      <c r="P2697" s="324"/>
      <c r="Q2697" s="324" t="s">
        <v>18</v>
      </c>
      <c r="R2697" s="324"/>
      <c r="S2697" s="324" t="s">
        <v>19</v>
      </c>
      <c r="T2697" s="528">
        <v>2</v>
      </c>
      <c r="U2697" s="324">
        <f t="shared" si="1005"/>
        <v>0</v>
      </c>
      <c r="V2697" s="676"/>
      <c r="W2697" s="528"/>
      <c r="X2697" s="529"/>
      <c r="Y2697" s="323"/>
      <c r="Z2697" s="312">
        <f t="shared" si="1006"/>
        <v>0</v>
      </c>
      <c r="AA2697" s="316">
        <f t="shared" si="1009"/>
        <v>0.25</v>
      </c>
    </row>
    <row r="2698" spans="1:27" ht="77.25" outlineLevel="1" thickBot="1" x14ac:dyDescent="0.45">
      <c r="A2698" s="319" t="s">
        <v>736</v>
      </c>
      <c r="B2698" s="320" t="s">
        <v>1009</v>
      </c>
      <c r="C2698" s="528">
        <f>C832+C1013+C1965</f>
        <v>0</v>
      </c>
      <c r="D2698" s="528"/>
      <c r="E2698" s="460">
        <f>C2698*2</f>
        <v>0</v>
      </c>
      <c r="F2698" s="324">
        <f>E2698*1.03*0.82/147</f>
        <v>0</v>
      </c>
      <c r="G2698" s="537">
        <f t="shared" si="1007"/>
        <v>0</v>
      </c>
      <c r="H2698" s="354" t="s">
        <v>18</v>
      </c>
      <c r="I2698" s="537">
        <f t="shared" si="1008"/>
        <v>0</v>
      </c>
      <c r="J2698" s="354" t="s">
        <v>19</v>
      </c>
      <c r="K2698" s="324"/>
      <c r="L2698" s="324"/>
      <c r="M2698" s="324">
        <f>(F2698*5547/3456)</f>
        <v>0</v>
      </c>
      <c r="N2698" s="324"/>
      <c r="O2698" s="324"/>
      <c r="P2698" s="324"/>
      <c r="Q2698" s="324" t="s">
        <v>18</v>
      </c>
      <c r="R2698" s="324"/>
      <c r="S2698" s="324" t="s">
        <v>19</v>
      </c>
      <c r="T2698" s="528">
        <v>2</v>
      </c>
      <c r="U2698" s="324">
        <f t="shared" si="1005"/>
        <v>0</v>
      </c>
      <c r="V2698" s="685"/>
      <c r="W2698" s="528"/>
      <c r="X2698" s="529"/>
      <c r="Y2698" s="323"/>
      <c r="Z2698" s="312">
        <f t="shared" si="1006"/>
        <v>0</v>
      </c>
      <c r="AA2698" s="316">
        <f t="shared" si="1009"/>
        <v>0.25</v>
      </c>
    </row>
    <row r="2699" spans="1:27" ht="77.25" outlineLevel="1" thickBot="1" x14ac:dyDescent="0.45">
      <c r="A2699" s="319" t="s">
        <v>736</v>
      </c>
      <c r="B2699" s="320" t="s">
        <v>1043</v>
      </c>
      <c r="C2699" s="528">
        <f>C1658+C1966+C1445</f>
        <v>0</v>
      </c>
      <c r="D2699" s="528"/>
      <c r="E2699" s="460">
        <f>C2699*2</f>
        <v>0</v>
      </c>
      <c r="F2699" s="324">
        <f>E2699*1.03*0.82/147</f>
        <v>0</v>
      </c>
      <c r="G2699" s="537">
        <f>INT(M2699)</f>
        <v>0</v>
      </c>
      <c r="H2699" s="354" t="s">
        <v>18</v>
      </c>
      <c r="I2699" s="537">
        <f>(M2699-G2699)*64</f>
        <v>0</v>
      </c>
      <c r="J2699" s="354" t="s">
        <v>19</v>
      </c>
      <c r="K2699" s="324"/>
      <c r="L2699" s="324"/>
      <c r="M2699" s="324">
        <f>(F2699*5547/3456)</f>
        <v>0</v>
      </c>
      <c r="N2699" s="324"/>
      <c r="O2699" s="324"/>
      <c r="P2699" s="324"/>
      <c r="Q2699" s="324" t="s">
        <v>18</v>
      </c>
      <c r="R2699" s="324"/>
      <c r="S2699" s="324" t="s">
        <v>19</v>
      </c>
      <c r="T2699" s="528">
        <v>2</v>
      </c>
      <c r="U2699" s="324">
        <f t="shared" si="1005"/>
        <v>0</v>
      </c>
      <c r="V2699" s="685"/>
      <c r="W2699" s="528"/>
      <c r="X2699" s="529"/>
      <c r="Y2699" s="323"/>
      <c r="Z2699" s="312">
        <f>E2699</f>
        <v>0</v>
      </c>
      <c r="AA2699" s="316">
        <f>SUM(Z2699/195+0.25)</f>
        <v>0.25</v>
      </c>
    </row>
    <row r="2700" spans="1:27" ht="77.25" outlineLevel="1" thickBot="1" x14ac:dyDescent="0.45">
      <c r="A2700" s="319" t="s">
        <v>736</v>
      </c>
      <c r="B2700" s="320" t="s">
        <v>1010</v>
      </c>
      <c r="C2700" s="528">
        <f>C830+C1011+C1963</f>
        <v>0</v>
      </c>
      <c r="D2700" s="528"/>
      <c r="E2700" s="460">
        <f>C2700*2</f>
        <v>0</v>
      </c>
      <c r="F2700" s="324">
        <f>E2700*1.01*0.72/147</f>
        <v>0</v>
      </c>
      <c r="G2700" s="528">
        <f t="shared" si="1007"/>
        <v>0</v>
      </c>
      <c r="H2700" s="324" t="s">
        <v>18</v>
      </c>
      <c r="I2700" s="528">
        <f t="shared" si="1008"/>
        <v>0</v>
      </c>
      <c r="J2700" s="324" t="s">
        <v>19</v>
      </c>
      <c r="K2700" s="324"/>
      <c r="L2700" s="324"/>
      <c r="M2700" s="324">
        <f>(F2700*6035/3456)</f>
        <v>0</v>
      </c>
      <c r="N2700" s="324"/>
      <c r="O2700" s="324"/>
      <c r="P2700" s="324"/>
      <c r="Q2700" s="324" t="s">
        <v>18</v>
      </c>
      <c r="R2700" s="324"/>
      <c r="S2700" s="324" t="s">
        <v>19</v>
      </c>
      <c r="T2700" s="528">
        <v>2</v>
      </c>
      <c r="U2700" s="324">
        <f t="shared" si="1005"/>
        <v>0</v>
      </c>
      <c r="V2700" s="685"/>
      <c r="W2700" s="528"/>
      <c r="X2700" s="529"/>
      <c r="Y2700" s="323"/>
      <c r="Z2700" s="312">
        <f t="shared" si="1006"/>
        <v>0</v>
      </c>
      <c r="AA2700" s="316">
        <f t="shared" si="1009"/>
        <v>0.25</v>
      </c>
    </row>
    <row r="2701" spans="1:27" ht="77.25" outlineLevel="1" thickBot="1" x14ac:dyDescent="0.45">
      <c r="A2701" s="319" t="s">
        <v>736</v>
      </c>
      <c r="B2701" s="320" t="s">
        <v>1011</v>
      </c>
      <c r="C2701" s="528">
        <f>C831+C1012+C1964</f>
        <v>0</v>
      </c>
      <c r="D2701" s="528"/>
      <c r="E2701" s="460">
        <f>C2701*2</f>
        <v>0</v>
      </c>
      <c r="F2701" s="324">
        <f>E2701*1.01*0.72/147</f>
        <v>0</v>
      </c>
      <c r="G2701" s="528">
        <f t="shared" si="1007"/>
        <v>0</v>
      </c>
      <c r="H2701" s="324" t="s">
        <v>18</v>
      </c>
      <c r="I2701" s="528">
        <f t="shared" si="1008"/>
        <v>0</v>
      </c>
      <c r="J2701" s="324" t="s">
        <v>19</v>
      </c>
      <c r="K2701" s="324"/>
      <c r="L2701" s="324"/>
      <c r="M2701" s="324">
        <f>(F2701*6035/3456)</f>
        <v>0</v>
      </c>
      <c r="N2701" s="324"/>
      <c r="O2701" s="324"/>
      <c r="P2701" s="324"/>
      <c r="Q2701" s="324" t="s">
        <v>18</v>
      </c>
      <c r="R2701" s="324"/>
      <c r="S2701" s="324" t="s">
        <v>19</v>
      </c>
      <c r="T2701" s="528">
        <v>2</v>
      </c>
      <c r="U2701" s="324">
        <f t="shared" si="1005"/>
        <v>0</v>
      </c>
      <c r="V2701" s="685"/>
      <c r="W2701" s="528"/>
      <c r="X2701" s="529"/>
      <c r="Y2701" s="323"/>
      <c r="Z2701" s="312">
        <f t="shared" si="1006"/>
        <v>0</v>
      </c>
      <c r="AA2701" s="316">
        <f t="shared" si="1009"/>
        <v>0.25</v>
      </c>
    </row>
    <row r="2702" spans="1:27" ht="77.25" outlineLevel="1" thickBot="1" x14ac:dyDescent="0.45">
      <c r="A2702" s="319" t="s">
        <v>736</v>
      </c>
      <c r="B2702" s="320" t="s">
        <v>899</v>
      </c>
      <c r="C2702" s="528">
        <f>C2104</f>
        <v>0</v>
      </c>
      <c r="D2702" s="528"/>
      <c r="E2702" s="456">
        <f>C2702*1</f>
        <v>0</v>
      </c>
      <c r="F2702" s="358">
        <f>E2702*1.01*0.756/147</f>
        <v>0</v>
      </c>
      <c r="G2702" s="548">
        <f t="shared" si="1007"/>
        <v>0</v>
      </c>
      <c r="H2702" s="358" t="s">
        <v>18</v>
      </c>
      <c r="I2702" s="548">
        <f t="shared" si="1008"/>
        <v>0</v>
      </c>
      <c r="J2702" s="358" t="s">
        <v>19</v>
      </c>
      <c r="K2702" s="358"/>
      <c r="L2702" s="358"/>
      <c r="M2702" s="358">
        <f>(F2702*6035/3456)</f>
        <v>0</v>
      </c>
      <c r="N2702" s="324"/>
      <c r="O2702" s="324"/>
      <c r="P2702" s="324"/>
      <c r="Q2702" s="324" t="s">
        <v>18</v>
      </c>
      <c r="R2702" s="324"/>
      <c r="S2702" s="324" t="s">
        <v>19</v>
      </c>
      <c r="T2702" s="528">
        <v>2</v>
      </c>
      <c r="U2702" s="324">
        <f t="shared" si="1005"/>
        <v>0</v>
      </c>
      <c r="V2702" s="685"/>
      <c r="W2702" s="528"/>
      <c r="X2702" s="529"/>
      <c r="Y2702" s="323"/>
      <c r="Z2702" s="312">
        <f t="shared" si="1006"/>
        <v>0</v>
      </c>
      <c r="AA2702" s="316">
        <f t="shared" si="1009"/>
        <v>0.25</v>
      </c>
    </row>
    <row r="2703" spans="1:27" ht="77.25" outlineLevel="1" thickBot="1" x14ac:dyDescent="0.45">
      <c r="A2703" s="319" t="s">
        <v>736</v>
      </c>
      <c r="B2703" s="343" t="s">
        <v>970</v>
      </c>
      <c r="C2703" s="528">
        <f>C865+C1046</f>
        <v>0</v>
      </c>
      <c r="D2703" s="548"/>
      <c r="E2703" s="456">
        <f>C2703*0.3</f>
        <v>0</v>
      </c>
      <c r="F2703" s="358">
        <f>E2703*1.03*0.82/147</f>
        <v>0</v>
      </c>
      <c r="G2703" s="549">
        <f t="shared" si="1007"/>
        <v>0</v>
      </c>
      <c r="H2703" s="359" t="s">
        <v>18</v>
      </c>
      <c r="I2703" s="549">
        <f t="shared" si="1008"/>
        <v>0</v>
      </c>
      <c r="J2703" s="359" t="s">
        <v>19</v>
      </c>
      <c r="K2703" s="358"/>
      <c r="L2703" s="358"/>
      <c r="M2703" s="358">
        <f>(F2703*5547/3456)</f>
        <v>0</v>
      </c>
      <c r="N2703" s="461"/>
      <c r="O2703" s="461"/>
      <c r="P2703" s="461"/>
      <c r="Q2703" s="358" t="s">
        <v>18</v>
      </c>
      <c r="R2703" s="358"/>
      <c r="S2703" s="358" t="s">
        <v>19</v>
      </c>
      <c r="T2703" s="528">
        <v>3</v>
      </c>
      <c r="U2703" s="324">
        <f t="shared" si="1005"/>
        <v>0</v>
      </c>
      <c r="V2703" s="676"/>
      <c r="W2703" s="528"/>
      <c r="X2703" s="529"/>
      <c r="Y2703" s="323"/>
      <c r="Z2703" s="312">
        <f t="shared" si="1006"/>
        <v>0</v>
      </c>
      <c r="AA2703" s="316">
        <f>SUM(E2703/182+0.25)</f>
        <v>0.25</v>
      </c>
    </row>
    <row r="2704" spans="1:27" ht="77.25" outlineLevel="1" thickBot="1" x14ac:dyDescent="0.45">
      <c r="A2704" s="319" t="s">
        <v>736</v>
      </c>
      <c r="B2704" s="343" t="s">
        <v>967</v>
      </c>
      <c r="C2704" s="528">
        <f>C867+C1048</f>
        <v>0</v>
      </c>
      <c r="D2704" s="548"/>
      <c r="E2704" s="456">
        <f>C2704*0.3</f>
        <v>0</v>
      </c>
      <c r="F2704" s="358">
        <f>E2704*1.03*0.82/147</f>
        <v>0</v>
      </c>
      <c r="G2704" s="549">
        <f t="shared" si="1007"/>
        <v>0</v>
      </c>
      <c r="H2704" s="359" t="s">
        <v>18</v>
      </c>
      <c r="I2704" s="549">
        <f t="shared" si="1008"/>
        <v>0</v>
      </c>
      <c r="J2704" s="359" t="s">
        <v>19</v>
      </c>
      <c r="K2704" s="358"/>
      <c r="L2704" s="358"/>
      <c r="M2704" s="358">
        <f>(F2704*5547/3456)</f>
        <v>0</v>
      </c>
      <c r="N2704" s="461"/>
      <c r="O2704" s="461"/>
      <c r="P2704" s="461"/>
      <c r="Q2704" s="358" t="s">
        <v>18</v>
      </c>
      <c r="R2704" s="358"/>
      <c r="S2704" s="358" t="s">
        <v>19</v>
      </c>
      <c r="T2704" s="528">
        <v>3</v>
      </c>
      <c r="U2704" s="324">
        <f t="shared" si="1005"/>
        <v>0</v>
      </c>
      <c r="V2704" s="676"/>
      <c r="W2704" s="528"/>
      <c r="X2704" s="529"/>
      <c r="Y2704" s="323"/>
      <c r="Z2704" s="312">
        <f t="shared" si="1006"/>
        <v>0</v>
      </c>
      <c r="AA2704" s="316">
        <f>SUM(E2704/182+0.25)</f>
        <v>0.25</v>
      </c>
    </row>
    <row r="2705" spans="1:27" ht="77.25" outlineLevel="1" thickBot="1" x14ac:dyDescent="0.45">
      <c r="A2705" s="319" t="s">
        <v>736</v>
      </c>
      <c r="B2705" s="343" t="s">
        <v>968</v>
      </c>
      <c r="C2705" s="528">
        <f>C868+C1049</f>
        <v>0</v>
      </c>
      <c r="D2705" s="548"/>
      <c r="E2705" s="456">
        <f>C2705*0.3</f>
        <v>0</v>
      </c>
      <c r="F2705" s="358">
        <f>E2705*1.03*0.72/147</f>
        <v>0</v>
      </c>
      <c r="G2705" s="548">
        <f t="shared" si="1007"/>
        <v>0</v>
      </c>
      <c r="H2705" s="358" t="s">
        <v>18</v>
      </c>
      <c r="I2705" s="548">
        <f t="shared" si="1008"/>
        <v>0</v>
      </c>
      <c r="J2705" s="358" t="s">
        <v>19</v>
      </c>
      <c r="K2705" s="358"/>
      <c r="L2705" s="358"/>
      <c r="M2705" s="358">
        <f>(F2705*6035/3456)</f>
        <v>0</v>
      </c>
      <c r="N2705" s="461"/>
      <c r="O2705" s="461"/>
      <c r="P2705" s="461"/>
      <c r="Q2705" s="358" t="s">
        <v>18</v>
      </c>
      <c r="R2705" s="358"/>
      <c r="S2705" s="358" t="s">
        <v>19</v>
      </c>
      <c r="T2705" s="528">
        <v>3</v>
      </c>
      <c r="U2705" s="324">
        <f t="shared" si="1005"/>
        <v>0</v>
      </c>
      <c r="V2705" s="676"/>
      <c r="W2705" s="528"/>
      <c r="X2705" s="529"/>
      <c r="Y2705" s="323"/>
      <c r="Z2705" s="312">
        <f t="shared" si="1006"/>
        <v>0</v>
      </c>
      <c r="AA2705" s="316">
        <f>SUM(E2705/182+0.25)</f>
        <v>0.25</v>
      </c>
    </row>
    <row r="2706" spans="1:27" ht="77.25" outlineLevel="1" thickBot="1" x14ac:dyDescent="0.45">
      <c r="A2706" s="319" t="s">
        <v>736</v>
      </c>
      <c r="B2706" s="343" t="s">
        <v>1141</v>
      </c>
      <c r="C2706" s="528">
        <f>C869+C1050</f>
        <v>0</v>
      </c>
      <c r="D2706" s="548"/>
      <c r="E2706" s="456">
        <f>C2706*0.3</f>
        <v>0</v>
      </c>
      <c r="F2706" s="358">
        <f>E2706*1.03*0.72/147</f>
        <v>0</v>
      </c>
      <c r="G2706" s="548">
        <f>INT(M2706)</f>
        <v>0</v>
      </c>
      <c r="H2706" s="358" t="s">
        <v>18</v>
      </c>
      <c r="I2706" s="548">
        <f>(M2706-G2706)*64</f>
        <v>0</v>
      </c>
      <c r="J2706" s="358" t="s">
        <v>19</v>
      </c>
      <c r="K2706" s="358"/>
      <c r="L2706" s="358"/>
      <c r="M2706" s="358">
        <f>(F2706*6035/3456)</f>
        <v>0</v>
      </c>
      <c r="N2706" s="461"/>
      <c r="O2706" s="461"/>
      <c r="P2706" s="461"/>
      <c r="Q2706" s="358" t="s">
        <v>18</v>
      </c>
      <c r="R2706" s="358"/>
      <c r="S2706" s="358" t="s">
        <v>19</v>
      </c>
      <c r="T2706" s="528">
        <v>3</v>
      </c>
      <c r="U2706" s="324">
        <f t="shared" si="1005"/>
        <v>0</v>
      </c>
      <c r="V2706" s="676"/>
      <c r="W2706" s="528"/>
      <c r="X2706" s="529"/>
      <c r="Y2706" s="323"/>
      <c r="Z2706" s="312">
        <f t="shared" si="1006"/>
        <v>0</v>
      </c>
      <c r="AA2706" s="316">
        <f>SUM(E2706/182+0.25)</f>
        <v>0.25</v>
      </c>
    </row>
    <row r="2707" spans="1:27" ht="102.75" outlineLevel="1" thickBot="1" x14ac:dyDescent="0.45">
      <c r="A2707" s="319" t="s">
        <v>736</v>
      </c>
      <c r="B2707" s="320" t="s">
        <v>969</v>
      </c>
      <c r="C2707" s="528">
        <f>C2105</f>
        <v>0</v>
      </c>
      <c r="D2707" s="548"/>
      <c r="E2707" s="456">
        <f>C2707*0.3</f>
        <v>0</v>
      </c>
      <c r="F2707" s="358">
        <f>E2707*1.03*0.84/147</f>
        <v>0</v>
      </c>
      <c r="G2707" s="549">
        <f>INT(M2707)</f>
        <v>0</v>
      </c>
      <c r="H2707" s="359" t="s">
        <v>18</v>
      </c>
      <c r="I2707" s="549">
        <f>(M2707-G2707)*64</f>
        <v>0</v>
      </c>
      <c r="J2707" s="359" t="s">
        <v>19</v>
      </c>
      <c r="K2707" s="358"/>
      <c r="L2707" s="358"/>
      <c r="M2707" s="358">
        <f>(F2707*5547/3456)</f>
        <v>0</v>
      </c>
      <c r="N2707" s="461"/>
      <c r="O2707" s="461"/>
      <c r="P2707" s="461"/>
      <c r="Q2707" s="324" t="s">
        <v>18</v>
      </c>
      <c r="R2707" s="324"/>
      <c r="S2707" s="324" t="s">
        <v>19</v>
      </c>
      <c r="T2707" s="528">
        <v>3</v>
      </c>
      <c r="U2707" s="324">
        <f t="shared" si="1005"/>
        <v>0</v>
      </c>
      <c r="V2707" s="676"/>
      <c r="W2707" s="528"/>
      <c r="X2707" s="529"/>
      <c r="Y2707" s="323"/>
      <c r="Z2707" s="312">
        <f t="shared" si="1006"/>
        <v>0</v>
      </c>
      <c r="AA2707" s="316">
        <f>SUM(E2707/182+0.25)</f>
        <v>0.25</v>
      </c>
    </row>
    <row r="2708" spans="1:27" ht="77.25" outlineLevel="1" thickBot="1" x14ac:dyDescent="0.45">
      <c r="A2708" s="319" t="s">
        <v>736</v>
      </c>
      <c r="B2708" s="343" t="s">
        <v>827</v>
      </c>
      <c r="C2708" s="587">
        <f>C837+C1018+C218+C448+C678</f>
        <v>0</v>
      </c>
      <c r="D2708" s="548">
        <f>C2708*12</f>
        <v>0</v>
      </c>
      <c r="E2708" s="456">
        <f>D2708*0.6</f>
        <v>0</v>
      </c>
      <c r="F2708" s="358">
        <f>E2708*1.03*0.82/147</f>
        <v>0</v>
      </c>
      <c r="G2708" s="549">
        <f t="shared" si="1007"/>
        <v>0</v>
      </c>
      <c r="H2708" s="359" t="s">
        <v>18</v>
      </c>
      <c r="I2708" s="549">
        <f t="shared" si="1008"/>
        <v>0</v>
      </c>
      <c r="J2708" s="359" t="s">
        <v>19</v>
      </c>
      <c r="K2708" s="358"/>
      <c r="L2708" s="358"/>
      <c r="M2708" s="358">
        <f>(F2708*5250/3456)</f>
        <v>0</v>
      </c>
      <c r="N2708" s="358"/>
      <c r="O2708" s="358"/>
      <c r="P2708" s="358"/>
      <c r="Q2708" s="358" t="s">
        <v>18</v>
      </c>
      <c r="R2708" s="358"/>
      <c r="S2708" s="358" t="s">
        <v>19</v>
      </c>
      <c r="T2708" s="528">
        <v>3</v>
      </c>
      <c r="U2708" s="324">
        <f t="shared" si="1005"/>
        <v>0</v>
      </c>
      <c r="V2708" s="676"/>
      <c r="W2708" s="528"/>
      <c r="X2708" s="529"/>
      <c r="Y2708" s="323"/>
      <c r="Z2708" s="312">
        <f t="shared" si="1006"/>
        <v>0</v>
      </c>
      <c r="AA2708" s="316">
        <f>SUM(Z2708/224+0.25)</f>
        <v>0.25</v>
      </c>
    </row>
    <row r="2709" spans="1:27" ht="77.25" outlineLevel="1" thickBot="1" x14ac:dyDescent="0.45">
      <c r="A2709" s="319" t="s">
        <v>736</v>
      </c>
      <c r="B2709" s="343" t="s">
        <v>1015</v>
      </c>
      <c r="C2709" s="528">
        <f>C838+C1019+C677+C447+C217</f>
        <v>0</v>
      </c>
      <c r="D2709" s="528">
        <f>C2709*12</f>
        <v>0</v>
      </c>
      <c r="E2709" s="460">
        <f>D2709*0.5</f>
        <v>0</v>
      </c>
      <c r="F2709" s="324">
        <f>E2709*1.03*0.82/147</f>
        <v>0</v>
      </c>
      <c r="G2709" s="537">
        <f t="shared" si="1007"/>
        <v>0</v>
      </c>
      <c r="H2709" s="354" t="s">
        <v>18</v>
      </c>
      <c r="I2709" s="537">
        <f t="shared" si="1008"/>
        <v>0</v>
      </c>
      <c r="J2709" s="354" t="s">
        <v>19</v>
      </c>
      <c r="K2709" s="324"/>
      <c r="L2709" s="324"/>
      <c r="M2709" s="324">
        <f>(F2709*5250/3456)</f>
        <v>0</v>
      </c>
      <c r="N2709" s="324"/>
      <c r="O2709" s="324"/>
      <c r="P2709" s="324"/>
      <c r="Q2709" s="324" t="s">
        <v>18</v>
      </c>
      <c r="R2709" s="324"/>
      <c r="S2709" s="324" t="s">
        <v>19</v>
      </c>
      <c r="T2709" s="528">
        <v>3</v>
      </c>
      <c r="U2709" s="324">
        <f t="shared" si="1005"/>
        <v>0</v>
      </c>
      <c r="V2709" s="676"/>
      <c r="W2709" s="528"/>
      <c r="X2709" s="529"/>
      <c r="Y2709" s="323"/>
      <c r="Z2709" s="312">
        <f t="shared" si="1006"/>
        <v>0</v>
      </c>
      <c r="AA2709" s="316">
        <f>SUM(Z2709/224+0.25)</f>
        <v>0.25</v>
      </c>
    </row>
    <row r="2710" spans="1:27" ht="102.75" outlineLevel="1" thickBot="1" x14ac:dyDescent="0.45">
      <c r="A2710" s="319" t="s">
        <v>736</v>
      </c>
      <c r="B2710" s="343" t="s">
        <v>857</v>
      </c>
      <c r="C2710" s="528">
        <f>C839+C1020</f>
        <v>0</v>
      </c>
      <c r="D2710" s="551">
        <f>C2710*12</f>
        <v>0</v>
      </c>
      <c r="E2710" s="456">
        <f>D2710*0.6</f>
        <v>0</v>
      </c>
      <c r="F2710" s="358">
        <f>E2710*1.01*0.72/147</f>
        <v>0</v>
      </c>
      <c r="G2710" s="548">
        <f>INT(M2710)</f>
        <v>0</v>
      </c>
      <c r="H2710" s="358" t="s">
        <v>18</v>
      </c>
      <c r="I2710" s="548">
        <f>(M2710-G2710)*64</f>
        <v>0</v>
      </c>
      <c r="J2710" s="358" t="s">
        <v>19</v>
      </c>
      <c r="K2710" s="358"/>
      <c r="L2710" s="358"/>
      <c r="M2710" s="358">
        <f>(F2710*6100/3456)</f>
        <v>0</v>
      </c>
      <c r="N2710" s="358"/>
      <c r="O2710" s="358"/>
      <c r="P2710" s="358"/>
      <c r="Q2710" s="358" t="s">
        <v>18</v>
      </c>
      <c r="R2710" s="358"/>
      <c r="S2710" s="358" t="s">
        <v>19</v>
      </c>
      <c r="T2710" s="528">
        <v>3</v>
      </c>
      <c r="U2710" s="324">
        <f t="shared" si="1005"/>
        <v>0</v>
      </c>
      <c r="V2710" s="676"/>
      <c r="W2710" s="528"/>
      <c r="X2710" s="529"/>
      <c r="Y2710" s="323"/>
      <c r="Z2710" s="312">
        <f t="shared" si="1006"/>
        <v>0</v>
      </c>
      <c r="AA2710" s="316">
        <f>SUM(Z2710/224+0.25)</f>
        <v>0.25</v>
      </c>
    </row>
    <row r="2711" spans="1:27" ht="102.75" outlineLevel="1" thickBot="1" x14ac:dyDescent="0.45">
      <c r="A2711" s="319" t="s">
        <v>736</v>
      </c>
      <c r="B2711" s="343" t="s">
        <v>908</v>
      </c>
      <c r="C2711" s="528">
        <f>C840+C1021</f>
        <v>0</v>
      </c>
      <c r="D2711" s="551">
        <f>C2711*12</f>
        <v>0</v>
      </c>
      <c r="E2711" s="456">
        <f>D2711*0.6</f>
        <v>0</v>
      </c>
      <c r="F2711" s="358">
        <f>E2711*1.01*0.72/147</f>
        <v>0</v>
      </c>
      <c r="G2711" s="548">
        <f>INT(M2711)</f>
        <v>0</v>
      </c>
      <c r="H2711" s="358" t="s">
        <v>18</v>
      </c>
      <c r="I2711" s="548">
        <f>(M2711-G2711)*64</f>
        <v>0</v>
      </c>
      <c r="J2711" s="358" t="s">
        <v>19</v>
      </c>
      <c r="K2711" s="358"/>
      <c r="L2711" s="358"/>
      <c r="M2711" s="358">
        <f>(F2711*6100/3456)</f>
        <v>0</v>
      </c>
      <c r="N2711" s="358"/>
      <c r="O2711" s="358"/>
      <c r="P2711" s="358"/>
      <c r="Q2711" s="358" t="s">
        <v>18</v>
      </c>
      <c r="R2711" s="358"/>
      <c r="S2711" s="358" t="s">
        <v>19</v>
      </c>
      <c r="T2711" s="528">
        <v>3</v>
      </c>
      <c r="U2711" s="324">
        <f t="shared" si="1005"/>
        <v>0</v>
      </c>
      <c r="V2711" s="676"/>
      <c r="W2711" s="528"/>
      <c r="X2711" s="529"/>
      <c r="Y2711" s="323"/>
      <c r="Z2711" s="312">
        <f t="shared" si="1006"/>
        <v>0</v>
      </c>
      <c r="AA2711" s="316">
        <f>SUM(Z2711/224+0.25)</f>
        <v>0.25</v>
      </c>
    </row>
    <row r="2712" spans="1:27" ht="102.75" outlineLevel="1" thickBot="1" x14ac:dyDescent="0.45">
      <c r="A2712" s="319" t="s">
        <v>736</v>
      </c>
      <c r="B2712" s="343" t="s">
        <v>906</v>
      </c>
      <c r="C2712" s="528">
        <f>C2106</f>
        <v>0</v>
      </c>
      <c r="D2712" s="548">
        <f>C2712*12</f>
        <v>0</v>
      </c>
      <c r="E2712" s="456">
        <f>D2712*0.5</f>
        <v>0</v>
      </c>
      <c r="F2712" s="358">
        <f>E2712*1.037*0.756/147</f>
        <v>0</v>
      </c>
      <c r="G2712" s="548">
        <f>INT(M2712)</f>
        <v>0</v>
      </c>
      <c r="H2712" s="358" t="s">
        <v>18</v>
      </c>
      <c r="I2712" s="548">
        <f>(M2712-G2712)*64</f>
        <v>0</v>
      </c>
      <c r="J2712" s="358" t="s">
        <v>19</v>
      </c>
      <c r="K2712" s="358"/>
      <c r="L2712" s="358"/>
      <c r="M2712" s="358">
        <f>(F2712*6760/3456)</f>
        <v>0</v>
      </c>
      <c r="N2712" s="324"/>
      <c r="O2712" s="324"/>
      <c r="P2712" s="324"/>
      <c r="Q2712" s="324" t="s">
        <v>18</v>
      </c>
      <c r="R2712" s="324"/>
      <c r="S2712" s="324" t="s">
        <v>19</v>
      </c>
      <c r="T2712" s="528">
        <v>3</v>
      </c>
      <c r="U2712" s="324">
        <f t="shared" si="1005"/>
        <v>0</v>
      </c>
      <c r="V2712" s="676"/>
      <c r="W2712" s="528"/>
      <c r="X2712" s="529"/>
      <c r="Y2712" s="323"/>
      <c r="Z2712" s="312">
        <f t="shared" si="1006"/>
        <v>0</v>
      </c>
      <c r="AA2712" s="316">
        <f>SUM(Z2712/224+0.25)</f>
        <v>0.25</v>
      </c>
    </row>
    <row r="2713" spans="1:27" ht="77.25" outlineLevel="1" thickBot="1" x14ac:dyDescent="0.45">
      <c r="A2713" s="319" t="s">
        <v>736</v>
      </c>
      <c r="B2713" s="320" t="s">
        <v>628</v>
      </c>
      <c r="C2713" s="587">
        <f>C225+C226+C455+C456+C685+C686+C873+C1054</f>
        <v>0</v>
      </c>
      <c r="D2713" s="528"/>
      <c r="E2713" s="456">
        <f t="shared" ref="E2713:E2719" si="1010">C2713*3.2</f>
        <v>0</v>
      </c>
      <c r="F2713" s="358">
        <f t="shared" ref="F2713:F2719" si="1011">E2713*1.02*0.99/147</f>
        <v>0</v>
      </c>
      <c r="G2713" s="548">
        <f t="shared" si="1007"/>
        <v>0</v>
      </c>
      <c r="H2713" s="358" t="s">
        <v>18</v>
      </c>
      <c r="I2713" s="548">
        <f t="shared" si="1008"/>
        <v>0</v>
      </c>
      <c r="J2713" s="358" t="s">
        <v>19</v>
      </c>
      <c r="K2713" s="358"/>
      <c r="L2713" s="358"/>
      <c r="M2713" s="358">
        <f>F2713*4983/2880</f>
        <v>0</v>
      </c>
      <c r="N2713" s="324"/>
      <c r="O2713" s="324"/>
      <c r="P2713" s="324"/>
      <c r="Q2713" s="324" t="s">
        <v>18</v>
      </c>
      <c r="R2713" s="324"/>
      <c r="S2713" s="324" t="s">
        <v>19</v>
      </c>
      <c r="T2713" s="528">
        <v>2</v>
      </c>
      <c r="U2713" s="324">
        <f>E2713/259*60</f>
        <v>0</v>
      </c>
      <c r="V2713" s="676"/>
      <c r="W2713" s="528"/>
      <c r="X2713" s="529"/>
      <c r="Y2713" s="323"/>
      <c r="Z2713" s="312">
        <f t="shared" si="1006"/>
        <v>0</v>
      </c>
      <c r="AA2713" s="316">
        <f t="shared" ref="AA2713:AA2721" si="1012">SUM(Z2713/624+0.25)</f>
        <v>0.25</v>
      </c>
    </row>
    <row r="2714" spans="1:27" ht="53.25" outlineLevel="1" thickBot="1" x14ac:dyDescent="0.45">
      <c r="A2714" s="319" t="s">
        <v>736</v>
      </c>
      <c r="B2714" s="320" t="s">
        <v>632</v>
      </c>
      <c r="C2714" s="587">
        <f>C242+C472+C702+C887+C1068</f>
        <v>0</v>
      </c>
      <c r="D2714" s="528"/>
      <c r="E2714" s="456">
        <f t="shared" si="1010"/>
        <v>0</v>
      </c>
      <c r="F2714" s="358">
        <f t="shared" si="1011"/>
        <v>0</v>
      </c>
      <c r="G2714" s="548">
        <f t="shared" si="1007"/>
        <v>0</v>
      </c>
      <c r="H2714" s="358" t="s">
        <v>18</v>
      </c>
      <c r="I2714" s="548">
        <f t="shared" si="1008"/>
        <v>0</v>
      </c>
      <c r="J2714" s="358" t="s">
        <v>19</v>
      </c>
      <c r="K2714" s="358"/>
      <c r="L2714" s="358"/>
      <c r="M2714" s="358">
        <f>F2714*4983/2880</f>
        <v>0</v>
      </c>
      <c r="N2714" s="324"/>
      <c r="O2714" s="324"/>
      <c r="P2714" s="324"/>
      <c r="Q2714" s="324" t="s">
        <v>18</v>
      </c>
      <c r="R2714" s="324"/>
      <c r="S2714" s="324" t="s">
        <v>19</v>
      </c>
      <c r="T2714" s="528">
        <v>2</v>
      </c>
      <c r="U2714" s="324">
        <f>E2714/272*60</f>
        <v>0</v>
      </c>
      <c r="V2714" s="676"/>
      <c r="W2714" s="528"/>
      <c r="X2714" s="529"/>
      <c r="Y2714" s="323"/>
      <c r="Z2714" s="312">
        <f t="shared" si="1006"/>
        <v>0</v>
      </c>
      <c r="AA2714" s="316">
        <f t="shared" si="1012"/>
        <v>0.25</v>
      </c>
    </row>
    <row r="2715" spans="1:27" ht="77.25" outlineLevel="1" thickBot="1" x14ac:dyDescent="0.45">
      <c r="A2715" s="319" t="s">
        <v>736</v>
      </c>
      <c r="B2715" s="320" t="s">
        <v>633</v>
      </c>
      <c r="C2715" s="587">
        <f>C1206+C2267+C1713</f>
        <v>0</v>
      </c>
      <c r="D2715" s="528"/>
      <c r="E2715" s="456">
        <f t="shared" si="1010"/>
        <v>0</v>
      </c>
      <c r="F2715" s="358">
        <f t="shared" si="1011"/>
        <v>0</v>
      </c>
      <c r="G2715" s="548">
        <f t="shared" si="1007"/>
        <v>0</v>
      </c>
      <c r="H2715" s="358" t="s">
        <v>18</v>
      </c>
      <c r="I2715" s="548">
        <f t="shared" si="1008"/>
        <v>0</v>
      </c>
      <c r="J2715" s="358" t="s">
        <v>19</v>
      </c>
      <c r="K2715" s="358"/>
      <c r="L2715" s="358"/>
      <c r="M2715" s="358">
        <f>F2715*4983/2880</f>
        <v>0</v>
      </c>
      <c r="N2715" s="358"/>
      <c r="O2715" s="358"/>
      <c r="P2715" s="358"/>
      <c r="Q2715" s="358" t="s">
        <v>18</v>
      </c>
      <c r="R2715" s="358"/>
      <c r="S2715" s="358" t="s">
        <v>19</v>
      </c>
      <c r="T2715" s="528">
        <v>2</v>
      </c>
      <c r="U2715" s="324">
        <f>E2715/207*60</f>
        <v>0</v>
      </c>
      <c r="V2715" s="676"/>
      <c r="W2715" s="528"/>
      <c r="X2715" s="529"/>
      <c r="Y2715" s="323"/>
      <c r="Z2715" s="312">
        <f t="shared" si="1006"/>
        <v>0</v>
      </c>
      <c r="AA2715" s="316">
        <f t="shared" si="1012"/>
        <v>0.25</v>
      </c>
    </row>
    <row r="2716" spans="1:27" ht="53.25" outlineLevel="1" thickBot="1" x14ac:dyDescent="0.45">
      <c r="A2716" s="319" t="s">
        <v>736</v>
      </c>
      <c r="B2716" s="320" t="s">
        <v>1066</v>
      </c>
      <c r="C2716" s="528">
        <f>C1071+C889+C704+C474+C244</f>
        <v>0</v>
      </c>
      <c r="D2716" s="528"/>
      <c r="E2716" s="460">
        <f t="shared" si="1010"/>
        <v>0</v>
      </c>
      <c r="F2716" s="324">
        <f t="shared" si="1011"/>
        <v>0</v>
      </c>
      <c r="G2716" s="528">
        <f t="shared" si="1007"/>
        <v>0</v>
      </c>
      <c r="H2716" s="324" t="s">
        <v>18</v>
      </c>
      <c r="I2716" s="528">
        <f t="shared" si="1008"/>
        <v>0</v>
      </c>
      <c r="J2716" s="324" t="s">
        <v>19</v>
      </c>
      <c r="K2716" s="324"/>
      <c r="L2716" s="324"/>
      <c r="M2716" s="324">
        <f>F2716*4983/2880</f>
        <v>0</v>
      </c>
      <c r="N2716" s="324"/>
      <c r="O2716" s="324"/>
      <c r="P2716" s="324"/>
      <c r="Q2716" s="324" t="s">
        <v>18</v>
      </c>
      <c r="R2716" s="324"/>
      <c r="S2716" s="324" t="s">
        <v>19</v>
      </c>
      <c r="T2716" s="528">
        <v>2</v>
      </c>
      <c r="U2716" s="324">
        <f>E2716/259*60</f>
        <v>0</v>
      </c>
      <c r="V2716" s="676"/>
      <c r="W2716" s="528"/>
      <c r="X2716" s="529"/>
      <c r="Y2716" s="360"/>
      <c r="Z2716" s="312">
        <f>E2716</f>
        <v>0</v>
      </c>
      <c r="AA2716" s="316">
        <f>SUM(Z2716/624+0.25)</f>
        <v>0.25</v>
      </c>
    </row>
    <row r="2717" spans="1:27" ht="53.25" outlineLevel="1" thickBot="1" x14ac:dyDescent="0.45">
      <c r="A2717" s="319" t="s">
        <v>736</v>
      </c>
      <c r="B2717" s="320" t="s">
        <v>1067</v>
      </c>
      <c r="C2717" s="528">
        <f>C245+C475+C705+C890+C1072</f>
        <v>0</v>
      </c>
      <c r="D2717" s="528"/>
      <c r="E2717" s="460">
        <f t="shared" si="1010"/>
        <v>0</v>
      </c>
      <c r="F2717" s="324">
        <f t="shared" si="1011"/>
        <v>0</v>
      </c>
      <c r="G2717" s="528">
        <f t="shared" si="1007"/>
        <v>0</v>
      </c>
      <c r="H2717" s="324" t="s">
        <v>18</v>
      </c>
      <c r="I2717" s="528">
        <f t="shared" si="1008"/>
        <v>0</v>
      </c>
      <c r="J2717" s="324" t="s">
        <v>19</v>
      </c>
      <c r="K2717" s="324"/>
      <c r="L2717" s="324"/>
      <c r="M2717" s="324">
        <f>F2717*4983/2880</f>
        <v>0</v>
      </c>
      <c r="N2717" s="324"/>
      <c r="O2717" s="324"/>
      <c r="P2717" s="324"/>
      <c r="Q2717" s="324" t="s">
        <v>18</v>
      </c>
      <c r="R2717" s="324"/>
      <c r="S2717" s="324" t="s">
        <v>19</v>
      </c>
      <c r="T2717" s="528">
        <v>2</v>
      </c>
      <c r="U2717" s="324">
        <f>E2717/259*60</f>
        <v>0</v>
      </c>
      <c r="V2717" s="676"/>
      <c r="W2717" s="528"/>
      <c r="X2717" s="529"/>
      <c r="Y2717" s="360"/>
      <c r="Z2717" s="312">
        <f>E2717</f>
        <v>0</v>
      </c>
      <c r="AA2717" s="316">
        <f>SUM(Z2717/624+0.25)</f>
        <v>0.25</v>
      </c>
    </row>
    <row r="2718" spans="1:27" ht="53.25" outlineLevel="1" thickBot="1" x14ac:dyDescent="0.45">
      <c r="A2718" s="319" t="s">
        <v>736</v>
      </c>
      <c r="B2718" s="320" t="s">
        <v>1033</v>
      </c>
      <c r="C2718" s="528">
        <f>C246+C477+C706+C912+C1078</f>
        <v>600</v>
      </c>
      <c r="D2718" s="528"/>
      <c r="E2718" s="324">
        <f t="shared" si="1010"/>
        <v>1920</v>
      </c>
      <c r="F2718" s="324">
        <f t="shared" si="1011"/>
        <v>13.189224489795919</v>
      </c>
      <c r="G2718" s="528">
        <f>INT(M2718)</f>
        <v>28</v>
      </c>
      <c r="H2718" s="324" t="s">
        <v>18</v>
      </c>
      <c r="I2718" s="528">
        <f>(M2718-G2718)*64</f>
        <v>39.187410586552005</v>
      </c>
      <c r="J2718" s="324"/>
      <c r="K2718" s="324"/>
      <c r="L2718" s="324"/>
      <c r="M2718" s="324">
        <f>E2718/0.0233/2880</f>
        <v>28.612303290414875</v>
      </c>
      <c r="N2718" s="324"/>
      <c r="O2718" s="324"/>
      <c r="P2718" s="324"/>
      <c r="Q2718" s="324" t="s">
        <v>18</v>
      </c>
      <c r="R2718" s="324"/>
      <c r="S2718" s="324" t="s">
        <v>19</v>
      </c>
      <c r="T2718" s="528">
        <v>2</v>
      </c>
      <c r="U2718" s="324">
        <f>E2718/259*60</f>
        <v>444.78764478764481</v>
      </c>
      <c r="V2718" s="676"/>
      <c r="W2718" s="528"/>
      <c r="X2718" s="529"/>
      <c r="Y2718" s="323"/>
      <c r="Z2718" s="312">
        <f>E2718</f>
        <v>1920</v>
      </c>
      <c r="AA2718" s="316">
        <f t="shared" si="1012"/>
        <v>3.3269230769230771</v>
      </c>
    </row>
    <row r="2719" spans="1:27" ht="53.25" outlineLevel="1" thickBot="1" x14ac:dyDescent="0.45">
      <c r="A2719" s="319" t="s">
        <v>736</v>
      </c>
      <c r="B2719" s="320" t="s">
        <v>1081</v>
      </c>
      <c r="C2719" s="587">
        <f>C247+C478+C707+C891+C1073</f>
        <v>0</v>
      </c>
      <c r="D2719" s="528"/>
      <c r="E2719" s="460">
        <f t="shared" si="1010"/>
        <v>0</v>
      </c>
      <c r="F2719" s="324">
        <f t="shared" si="1011"/>
        <v>0</v>
      </c>
      <c r="G2719" s="528">
        <f>INT(M2719)</f>
        <v>0</v>
      </c>
      <c r="H2719" s="324" t="s">
        <v>18</v>
      </c>
      <c r="I2719" s="528">
        <f>(M2719-G2719)*64</f>
        <v>0</v>
      </c>
      <c r="J2719" s="324" t="s">
        <v>19</v>
      </c>
      <c r="K2719" s="324"/>
      <c r="L2719" s="324"/>
      <c r="M2719" s="324">
        <f>F2719*4983/2880</f>
        <v>0</v>
      </c>
      <c r="N2719" s="324"/>
      <c r="O2719" s="324"/>
      <c r="P2719" s="324"/>
      <c r="Q2719" s="324" t="s">
        <v>18</v>
      </c>
      <c r="R2719" s="324"/>
      <c r="S2719" s="324" t="s">
        <v>19</v>
      </c>
      <c r="T2719" s="528">
        <v>2</v>
      </c>
      <c r="U2719" s="324">
        <f>E2719/272*60</f>
        <v>0</v>
      </c>
      <c r="V2719" s="676"/>
      <c r="W2719" s="528"/>
      <c r="X2719" s="529"/>
      <c r="Y2719" s="323"/>
      <c r="Z2719" s="312">
        <f>E2719</f>
        <v>0</v>
      </c>
      <c r="AA2719" s="316">
        <f>SUM(Z2719/624+0.25)</f>
        <v>0.25</v>
      </c>
    </row>
    <row r="2720" spans="1:27" s="327" customFormat="1" ht="53.25" outlineLevel="1" thickBot="1" x14ac:dyDescent="0.45">
      <c r="A2720" s="319" t="s">
        <v>736</v>
      </c>
      <c r="B2720" s="365" t="s">
        <v>867</v>
      </c>
      <c r="C2720" s="553">
        <f>C249+C479+C709+C1079+C910</f>
        <v>0</v>
      </c>
      <c r="D2720" s="554"/>
      <c r="E2720" s="458">
        <f>C2720*3.5</f>
        <v>0</v>
      </c>
      <c r="F2720" s="358">
        <f>E2720*0.9*1.01/147</f>
        <v>0</v>
      </c>
      <c r="G2720" s="556">
        <f t="shared" ref="G2720:G2725" si="1013">INT(M2720)</f>
        <v>0</v>
      </c>
      <c r="H2720" s="366" t="s">
        <v>18</v>
      </c>
      <c r="I2720" s="556">
        <f t="shared" ref="I2720:I2725" si="1014">(M2720-G2720)*64</f>
        <v>0</v>
      </c>
      <c r="J2720" s="366" t="s">
        <v>19</v>
      </c>
      <c r="K2720" s="366"/>
      <c r="L2720" s="366"/>
      <c r="M2720" s="358">
        <f>(F2720*6533/3456)</f>
        <v>0</v>
      </c>
      <c r="N2720" s="555"/>
      <c r="O2720" s="555"/>
      <c r="P2720" s="555"/>
      <c r="Q2720" s="555" t="s">
        <v>18</v>
      </c>
      <c r="R2720" s="555"/>
      <c r="S2720" s="555" t="s">
        <v>19</v>
      </c>
      <c r="T2720" s="528">
        <v>2</v>
      </c>
      <c r="U2720" s="555">
        <f>E2720/324*60</f>
        <v>0</v>
      </c>
      <c r="V2720" s="686"/>
      <c r="W2720" s="553"/>
      <c r="X2720" s="555"/>
      <c r="Y2720" s="367"/>
      <c r="Z2720" s="312">
        <f t="shared" si="1006"/>
        <v>0</v>
      </c>
      <c r="AA2720" s="316">
        <f t="shared" si="1012"/>
        <v>0.25</v>
      </c>
    </row>
    <row r="2721" spans="1:27" s="327" customFormat="1" ht="53.25" outlineLevel="1" thickBot="1" x14ac:dyDescent="0.45">
      <c r="A2721" s="319" t="s">
        <v>736</v>
      </c>
      <c r="B2721" s="365" t="s">
        <v>853</v>
      </c>
      <c r="C2721" s="553">
        <f>C267+C497+C727+C1085+C913</f>
        <v>0</v>
      </c>
      <c r="D2721" s="554"/>
      <c r="E2721" s="458">
        <f>C2721*3.5</f>
        <v>0</v>
      </c>
      <c r="F2721" s="358">
        <f>E2721*0.9*1.01/147</f>
        <v>0</v>
      </c>
      <c r="G2721" s="548">
        <f t="shared" si="1013"/>
        <v>0</v>
      </c>
      <c r="H2721" s="358" t="s">
        <v>18</v>
      </c>
      <c r="I2721" s="548">
        <f t="shared" si="1014"/>
        <v>0</v>
      </c>
      <c r="J2721" s="358" t="s">
        <v>19</v>
      </c>
      <c r="K2721" s="358"/>
      <c r="L2721" s="358"/>
      <c r="M2721" s="358">
        <f>(F2721*6533/3456)</f>
        <v>0</v>
      </c>
      <c r="N2721" s="366"/>
      <c r="O2721" s="366"/>
      <c r="P2721" s="366"/>
      <c r="Q2721" s="366" t="s">
        <v>18</v>
      </c>
      <c r="R2721" s="366"/>
      <c r="S2721" s="366" t="s">
        <v>19</v>
      </c>
      <c r="T2721" s="528">
        <v>2</v>
      </c>
      <c r="U2721" s="555">
        <f>E2721/324*60</f>
        <v>0</v>
      </c>
      <c r="V2721" s="686"/>
      <c r="W2721" s="553"/>
      <c r="X2721" s="555"/>
      <c r="Y2721" s="367"/>
      <c r="Z2721" s="312">
        <f t="shared" si="1006"/>
        <v>0</v>
      </c>
      <c r="AA2721" s="316">
        <f t="shared" si="1012"/>
        <v>0.25</v>
      </c>
    </row>
    <row r="2722" spans="1:27" ht="53.25" outlineLevel="1" thickBot="1" x14ac:dyDescent="0.45">
      <c r="A2722" s="319" t="s">
        <v>736</v>
      </c>
      <c r="B2722" s="362" t="s">
        <v>618</v>
      </c>
      <c r="C2722" s="587">
        <f>C2197</f>
        <v>0</v>
      </c>
      <c r="D2722" s="525">
        <f t="shared" ref="D2722:D2730" si="1015">C2722*10</f>
        <v>0</v>
      </c>
      <c r="E2722" s="545">
        <f>D2722*0.25</f>
        <v>0</v>
      </c>
      <c r="F2722" s="461">
        <f>E2722*1.15*0.82/173</f>
        <v>0</v>
      </c>
      <c r="G2722" s="525">
        <f t="shared" si="1013"/>
        <v>0</v>
      </c>
      <c r="H2722" s="461" t="s">
        <v>18</v>
      </c>
      <c r="I2722" s="525">
        <f t="shared" si="1014"/>
        <v>0</v>
      </c>
      <c r="J2722" s="461" t="s">
        <v>19</v>
      </c>
      <c r="K2722" s="461"/>
      <c r="L2722" s="461"/>
      <c r="M2722" s="461">
        <f>(F2722*7863)/3456</f>
        <v>0</v>
      </c>
      <c r="N2722" s="461"/>
      <c r="O2722" s="461"/>
      <c r="P2722" s="461"/>
      <c r="Q2722" s="324" t="s">
        <v>18</v>
      </c>
      <c r="R2722" s="324"/>
      <c r="S2722" s="324" t="s">
        <v>19</v>
      </c>
      <c r="T2722" s="528">
        <v>2</v>
      </c>
      <c r="U2722" s="324">
        <f>E2722/272*60</f>
        <v>0</v>
      </c>
      <c r="V2722" s="676"/>
      <c r="W2722" s="528"/>
      <c r="X2722" s="529"/>
      <c r="Y2722" s="323"/>
      <c r="Z2722" s="312">
        <f t="shared" si="1006"/>
        <v>0</v>
      </c>
      <c r="AA2722" s="316">
        <f>SUM(Z2722/230+0.25)</f>
        <v>0.25</v>
      </c>
    </row>
    <row r="2723" spans="1:27" ht="53.25" outlineLevel="1" thickBot="1" x14ac:dyDescent="0.45">
      <c r="A2723" s="319" t="s">
        <v>736</v>
      </c>
      <c r="B2723" s="362" t="s">
        <v>619</v>
      </c>
      <c r="C2723" s="587">
        <f>C1935</f>
        <v>0</v>
      </c>
      <c r="D2723" s="525">
        <f t="shared" si="1015"/>
        <v>0</v>
      </c>
      <c r="E2723" s="545">
        <f>D2723*0.25</f>
        <v>0</v>
      </c>
      <c r="F2723" s="461">
        <f>E2723*1.15*0.82/173</f>
        <v>0</v>
      </c>
      <c r="G2723" s="525">
        <f t="shared" si="1013"/>
        <v>0</v>
      </c>
      <c r="H2723" s="461" t="s">
        <v>18</v>
      </c>
      <c r="I2723" s="525">
        <f t="shared" si="1014"/>
        <v>0</v>
      </c>
      <c r="J2723" s="461" t="s">
        <v>19</v>
      </c>
      <c r="K2723" s="461"/>
      <c r="L2723" s="461"/>
      <c r="M2723" s="461">
        <f>(F2723*7863)/3456</f>
        <v>0</v>
      </c>
      <c r="N2723" s="461"/>
      <c r="O2723" s="461"/>
      <c r="P2723" s="461"/>
      <c r="Q2723" s="324" t="s">
        <v>18</v>
      </c>
      <c r="R2723" s="324"/>
      <c r="S2723" s="324" t="s">
        <v>19</v>
      </c>
      <c r="T2723" s="528">
        <v>2</v>
      </c>
      <c r="U2723" s="324">
        <f>E2723/220*60</f>
        <v>0</v>
      </c>
      <c r="V2723" s="676"/>
      <c r="W2723" s="528"/>
      <c r="X2723" s="529"/>
      <c r="Y2723" s="323"/>
      <c r="Z2723" s="312">
        <f t="shared" si="1006"/>
        <v>0</v>
      </c>
      <c r="AA2723" s="316">
        <f>SUM(Z2723/230+0.25)</f>
        <v>0.25</v>
      </c>
    </row>
    <row r="2724" spans="1:27" ht="77.25" outlineLevel="1" thickBot="1" x14ac:dyDescent="0.45">
      <c r="A2724" s="319" t="s">
        <v>736</v>
      </c>
      <c r="B2724" s="362" t="s">
        <v>813</v>
      </c>
      <c r="C2724" s="587">
        <f>C1937</f>
        <v>0</v>
      </c>
      <c r="D2724" s="525">
        <f t="shared" si="1015"/>
        <v>0</v>
      </c>
      <c r="E2724" s="545">
        <f>D2724*0.2</f>
        <v>0</v>
      </c>
      <c r="F2724" s="461">
        <f>E2724*1.15*0.82/173</f>
        <v>0</v>
      </c>
      <c r="G2724" s="525">
        <f t="shared" si="1013"/>
        <v>0</v>
      </c>
      <c r="H2724" s="461" t="s">
        <v>18</v>
      </c>
      <c r="I2724" s="525">
        <f t="shared" si="1014"/>
        <v>0</v>
      </c>
      <c r="J2724" s="461" t="s">
        <v>19</v>
      </c>
      <c r="K2724" s="461"/>
      <c r="L2724" s="461"/>
      <c r="M2724" s="461">
        <f>(F2724*9600)/3456</f>
        <v>0</v>
      </c>
      <c r="N2724" s="461"/>
      <c r="O2724" s="461"/>
      <c r="P2724" s="461"/>
      <c r="Q2724" s="324" t="s">
        <v>18</v>
      </c>
      <c r="R2724" s="324"/>
      <c r="S2724" s="324" t="s">
        <v>19</v>
      </c>
      <c r="T2724" s="528">
        <v>2</v>
      </c>
      <c r="U2724" s="324">
        <f>E2724/207*60</f>
        <v>0</v>
      </c>
      <c r="V2724" s="676"/>
      <c r="W2724" s="528"/>
      <c r="X2724" s="529"/>
      <c r="Y2724" s="323"/>
      <c r="Z2724" s="312">
        <f t="shared" si="1006"/>
        <v>0</v>
      </c>
      <c r="AA2724" s="316">
        <f>SUM(Z2724/183+0.25)</f>
        <v>0.25</v>
      </c>
    </row>
    <row r="2725" spans="1:27" ht="53.25" outlineLevel="1" thickBot="1" x14ac:dyDescent="0.45">
      <c r="A2725" s="319" t="s">
        <v>736</v>
      </c>
      <c r="B2725" s="362" t="s">
        <v>911</v>
      </c>
      <c r="C2725" s="587">
        <f>C1936</f>
        <v>0</v>
      </c>
      <c r="D2725" s="525">
        <f t="shared" si="1015"/>
        <v>0</v>
      </c>
      <c r="E2725" s="545">
        <f>D2725*0.2</f>
        <v>0</v>
      </c>
      <c r="F2725" s="461">
        <f>E2725*1.15*0.82/173</f>
        <v>0</v>
      </c>
      <c r="G2725" s="525">
        <f t="shared" si="1013"/>
        <v>0</v>
      </c>
      <c r="H2725" s="461" t="s">
        <v>18</v>
      </c>
      <c r="I2725" s="525">
        <f t="shared" si="1014"/>
        <v>0</v>
      </c>
      <c r="J2725" s="461" t="s">
        <v>19</v>
      </c>
      <c r="K2725" s="461"/>
      <c r="L2725" s="461"/>
      <c r="M2725" s="461">
        <f>(F2725*9600)/3456</f>
        <v>0</v>
      </c>
      <c r="N2725" s="461"/>
      <c r="O2725" s="461"/>
      <c r="P2725" s="461"/>
      <c r="Q2725" s="324" t="s">
        <v>18</v>
      </c>
      <c r="R2725" s="324"/>
      <c r="S2725" s="324" t="s">
        <v>19</v>
      </c>
      <c r="T2725" s="528">
        <v>2</v>
      </c>
      <c r="U2725" s="324">
        <f>E2725/207*60</f>
        <v>0</v>
      </c>
      <c r="V2725" s="676"/>
      <c r="W2725" s="528"/>
      <c r="X2725" s="529"/>
      <c r="Y2725" s="323"/>
      <c r="Z2725" s="312">
        <f t="shared" si="1006"/>
        <v>0</v>
      </c>
      <c r="AA2725" s="316">
        <f>SUM(Z2725/183+0.25)</f>
        <v>0.25</v>
      </c>
    </row>
    <row r="2726" spans="1:27" ht="53.25" outlineLevel="1" thickBot="1" x14ac:dyDescent="0.45">
      <c r="A2726" s="319" t="s">
        <v>736</v>
      </c>
      <c r="B2726" s="420" t="s">
        <v>683</v>
      </c>
      <c r="C2726" s="587">
        <f>C197+C425+C653+C845+C1026</f>
        <v>0</v>
      </c>
      <c r="D2726" s="548">
        <f t="shared" si="1015"/>
        <v>0</v>
      </c>
      <c r="E2726" s="456">
        <f>D2726*0.2</f>
        <v>0</v>
      </c>
      <c r="F2726" s="358">
        <f>E2726*1.03*0.82/147</f>
        <v>0</v>
      </c>
      <c r="G2726" s="548">
        <f t="shared" ref="G2726:G2733" si="1016">INT(M2726)</f>
        <v>0</v>
      </c>
      <c r="H2726" s="358" t="s">
        <v>18</v>
      </c>
      <c r="I2726" s="548">
        <f t="shared" ref="I2726:I2733" si="1017">(M2726-G2726)*64</f>
        <v>0</v>
      </c>
      <c r="J2726" s="358" t="s">
        <v>19</v>
      </c>
      <c r="K2726" s="358"/>
      <c r="L2726" s="358"/>
      <c r="M2726" s="358">
        <f>(F2726*8750/3456)</f>
        <v>0</v>
      </c>
      <c r="N2726" s="324"/>
      <c r="O2726" s="324"/>
      <c r="P2726" s="324"/>
      <c r="Q2726" s="324" t="s">
        <v>18</v>
      </c>
      <c r="R2726" s="324"/>
      <c r="S2726" s="324" t="s">
        <v>19</v>
      </c>
      <c r="T2726" s="528">
        <v>2</v>
      </c>
      <c r="U2726" s="324">
        <f>E2726/207*60</f>
        <v>0</v>
      </c>
      <c r="V2726" s="676"/>
      <c r="W2726" s="528"/>
      <c r="X2726" s="529"/>
      <c r="Y2726" s="323"/>
      <c r="Z2726" s="312">
        <f t="shared" si="1006"/>
        <v>0</v>
      </c>
      <c r="AA2726" s="316">
        <f>SUM(Z2726/183+0.25)</f>
        <v>0.25</v>
      </c>
    </row>
    <row r="2727" spans="1:27" s="728" customFormat="1" ht="77.25" outlineLevel="1" thickBot="1" x14ac:dyDescent="0.45">
      <c r="A2727" s="636" t="s">
        <v>736</v>
      </c>
      <c r="B2727" s="635" t="s">
        <v>1040</v>
      </c>
      <c r="C2727" s="720">
        <f>C206+C434+C663+C854+C1035</f>
        <v>0</v>
      </c>
      <c r="D2727" s="720">
        <f>C2727*12</f>
        <v>0</v>
      </c>
      <c r="E2727" s="721">
        <f t="shared" ref="E2727:E2733" si="1018">D2727*0.25</f>
        <v>0</v>
      </c>
      <c r="F2727" s="722">
        <f>E2727*1.03*0.729/147</f>
        <v>0</v>
      </c>
      <c r="G2727" s="720">
        <f t="shared" si="1016"/>
        <v>0</v>
      </c>
      <c r="H2727" s="722" t="s">
        <v>18</v>
      </c>
      <c r="I2727" s="720">
        <f t="shared" si="1017"/>
        <v>0</v>
      </c>
      <c r="J2727" s="722" t="s">
        <v>19</v>
      </c>
      <c r="K2727" s="722"/>
      <c r="L2727" s="722"/>
      <c r="M2727" s="722">
        <f>(F2727*7840/3456)</f>
        <v>0</v>
      </c>
      <c r="N2727" s="722"/>
      <c r="O2727" s="722"/>
      <c r="P2727" s="722"/>
      <c r="Q2727" s="722" t="s">
        <v>18</v>
      </c>
      <c r="R2727" s="722"/>
      <c r="S2727" s="722" t="s">
        <v>19</v>
      </c>
      <c r="T2727" s="720">
        <v>2</v>
      </c>
      <c r="U2727" s="324">
        <f>E2727/390*60</f>
        <v>0</v>
      </c>
      <c r="V2727" s="724"/>
      <c r="W2727" s="720"/>
      <c r="X2727" s="725"/>
      <c r="Y2727" s="736"/>
      <c r="Z2727" s="727">
        <f t="shared" si="1006"/>
        <v>0</v>
      </c>
      <c r="AA2727" s="815">
        <f>SUM(Z2727/230+0.25)</f>
        <v>0.25</v>
      </c>
    </row>
    <row r="2728" spans="1:27" s="728" customFormat="1" ht="53.25" outlineLevel="1" thickBot="1" x14ac:dyDescent="0.45">
      <c r="A2728" s="636" t="s">
        <v>736</v>
      </c>
      <c r="B2728" s="635" t="s">
        <v>1041</v>
      </c>
      <c r="C2728" s="720">
        <f>C309+C539+C769+C945+C1135</f>
        <v>0</v>
      </c>
      <c r="D2728" s="720">
        <f>C2728*12</f>
        <v>0</v>
      </c>
      <c r="E2728" s="721">
        <f t="shared" si="1018"/>
        <v>0</v>
      </c>
      <c r="F2728" s="722">
        <f>E2728*0.9*1.01/147</f>
        <v>0</v>
      </c>
      <c r="G2728" s="720">
        <f t="shared" si="1016"/>
        <v>0</v>
      </c>
      <c r="H2728" s="722" t="s">
        <v>18</v>
      </c>
      <c r="I2728" s="720">
        <f t="shared" si="1017"/>
        <v>0</v>
      </c>
      <c r="J2728" s="722" t="s">
        <v>19</v>
      </c>
      <c r="K2728" s="722"/>
      <c r="L2728" s="722"/>
      <c r="M2728" s="722">
        <f>(F2728*6533/3456)</f>
        <v>0</v>
      </c>
      <c r="N2728" s="722"/>
      <c r="O2728" s="722"/>
      <c r="P2728" s="722"/>
      <c r="Q2728" s="722" t="s">
        <v>18</v>
      </c>
      <c r="R2728" s="722"/>
      <c r="S2728" s="722" t="s">
        <v>19</v>
      </c>
      <c r="T2728" s="720">
        <v>2</v>
      </c>
      <c r="U2728" s="324">
        <f>E2728/390*60</f>
        <v>0</v>
      </c>
      <c r="V2728" s="724"/>
      <c r="W2728" s="720"/>
      <c r="X2728" s="725"/>
      <c r="Y2728" s="736"/>
      <c r="Z2728" s="727">
        <f t="shared" si="1006"/>
        <v>0</v>
      </c>
      <c r="AA2728" s="815">
        <f>SUM(Z2728/230+0.25)</f>
        <v>0.25</v>
      </c>
    </row>
    <row r="2729" spans="1:27" s="728" customFormat="1" ht="53.25" outlineLevel="1" thickBot="1" x14ac:dyDescent="0.45">
      <c r="A2729" s="636" t="s">
        <v>736</v>
      </c>
      <c r="B2729" s="635" t="s">
        <v>1042</v>
      </c>
      <c r="C2729" s="720">
        <f>C320+C550+C770+C963+C1146</f>
        <v>0</v>
      </c>
      <c r="D2729" s="741">
        <f>C2729*12</f>
        <v>0</v>
      </c>
      <c r="E2729" s="721">
        <f t="shared" si="1018"/>
        <v>0</v>
      </c>
      <c r="F2729" s="722">
        <f>E2729*0.99*1.02/147</f>
        <v>0</v>
      </c>
      <c r="G2729" s="720">
        <f t="shared" si="1016"/>
        <v>0</v>
      </c>
      <c r="H2729" s="722" t="s">
        <v>18</v>
      </c>
      <c r="I2729" s="720">
        <f t="shared" si="1017"/>
        <v>0</v>
      </c>
      <c r="J2729" s="722" t="s">
        <v>19</v>
      </c>
      <c r="K2729" s="722"/>
      <c r="L2729" s="722"/>
      <c r="M2729" s="722">
        <f>(F2729*5880)/3456</f>
        <v>0</v>
      </c>
      <c r="N2729" s="722"/>
      <c r="O2729" s="722"/>
      <c r="P2729" s="722"/>
      <c r="Q2729" s="722" t="s">
        <v>18</v>
      </c>
      <c r="R2729" s="722"/>
      <c r="S2729" s="722" t="s">
        <v>19</v>
      </c>
      <c r="T2729" s="720">
        <v>2</v>
      </c>
      <c r="U2729" s="324">
        <f>E2729/390*60</f>
        <v>0</v>
      </c>
      <c r="V2729" s="724"/>
      <c r="W2729" s="720"/>
      <c r="X2729" s="725"/>
      <c r="Y2729" s="736"/>
      <c r="Z2729" s="727">
        <f t="shared" si="1006"/>
        <v>0</v>
      </c>
      <c r="AA2729" s="815">
        <f>SUM(Z2729/230+0.25)</f>
        <v>0.25</v>
      </c>
    </row>
    <row r="2730" spans="1:27" ht="77.25" outlineLevel="1" thickBot="1" x14ac:dyDescent="0.45">
      <c r="A2730" s="319" t="s">
        <v>736</v>
      </c>
      <c r="B2730" s="421" t="s">
        <v>694</v>
      </c>
      <c r="C2730" s="601">
        <f>C201+C429+C657+C849+C1030</f>
        <v>0</v>
      </c>
      <c r="D2730" s="548">
        <f t="shared" si="1015"/>
        <v>0</v>
      </c>
      <c r="E2730" s="456">
        <f t="shared" si="1018"/>
        <v>0</v>
      </c>
      <c r="F2730" s="358">
        <f>E2730*1.03*0.81/147</f>
        <v>0</v>
      </c>
      <c r="G2730" s="548">
        <f t="shared" si="1016"/>
        <v>0</v>
      </c>
      <c r="H2730" s="358" t="s">
        <v>18</v>
      </c>
      <c r="I2730" s="548">
        <f t="shared" si="1017"/>
        <v>0</v>
      </c>
      <c r="J2730" s="358" t="s">
        <v>19</v>
      </c>
      <c r="K2730" s="358"/>
      <c r="L2730" s="358"/>
      <c r="M2730" s="358">
        <f>(F2730*8820/3456)</f>
        <v>0</v>
      </c>
      <c r="N2730" s="324"/>
      <c r="O2730" s="324"/>
      <c r="P2730" s="324"/>
      <c r="Q2730" s="324" t="s">
        <v>18</v>
      </c>
      <c r="R2730" s="324"/>
      <c r="S2730" s="324" t="s">
        <v>19</v>
      </c>
      <c r="T2730" s="528">
        <v>2</v>
      </c>
      <c r="U2730" s="324">
        <f>E2730/220*60</f>
        <v>0</v>
      </c>
      <c r="V2730" s="676"/>
      <c r="W2730" s="528"/>
      <c r="X2730" s="529"/>
      <c r="Y2730" s="323"/>
      <c r="Z2730" s="312">
        <f t="shared" si="1006"/>
        <v>0</v>
      </c>
      <c r="AA2730" s="316">
        <f>SUM(Z2730/230+0.25)</f>
        <v>0.25</v>
      </c>
    </row>
    <row r="2731" spans="1:27" ht="77.25" outlineLevel="1" thickBot="1" x14ac:dyDescent="0.45">
      <c r="A2731" s="319" t="s">
        <v>736</v>
      </c>
      <c r="B2731" s="421" t="s">
        <v>1068</v>
      </c>
      <c r="C2731" s="601">
        <f>C202+C430+C658</f>
        <v>0</v>
      </c>
      <c r="D2731" s="548">
        <f>C2731*10</f>
        <v>0</v>
      </c>
      <c r="E2731" s="456">
        <f t="shared" si="1018"/>
        <v>0</v>
      </c>
      <c r="F2731" s="358">
        <f>E2731*1.03*0.81/147</f>
        <v>0</v>
      </c>
      <c r="G2731" s="548">
        <f>INT(M2731)</f>
        <v>0</v>
      </c>
      <c r="H2731" s="358" t="s">
        <v>18</v>
      </c>
      <c r="I2731" s="548">
        <f>(M2731-G2731)*64</f>
        <v>0</v>
      </c>
      <c r="J2731" s="358" t="s">
        <v>19</v>
      </c>
      <c r="K2731" s="358"/>
      <c r="L2731" s="358"/>
      <c r="M2731" s="358">
        <f>(F2731*8820/3456)</f>
        <v>0</v>
      </c>
      <c r="N2731" s="324"/>
      <c r="O2731" s="324"/>
      <c r="P2731" s="324"/>
      <c r="Q2731" s="324" t="s">
        <v>18</v>
      </c>
      <c r="R2731" s="324"/>
      <c r="S2731" s="324" t="s">
        <v>19</v>
      </c>
      <c r="T2731" s="528">
        <v>2</v>
      </c>
      <c r="U2731" s="324">
        <f>E2731/220*60</f>
        <v>0</v>
      </c>
      <c r="V2731" s="676"/>
      <c r="W2731" s="528"/>
      <c r="X2731" s="529"/>
      <c r="Y2731" s="323"/>
      <c r="Z2731" s="312">
        <f>E2731</f>
        <v>0</v>
      </c>
      <c r="AA2731" s="316">
        <f>SUM(Z2731/230+0.25)</f>
        <v>0.25</v>
      </c>
    </row>
    <row r="2732" spans="1:27" ht="77.25" outlineLevel="1" thickBot="1" x14ac:dyDescent="0.45">
      <c r="A2732" s="319" t="s">
        <v>736</v>
      </c>
      <c r="B2732" s="421" t="s">
        <v>1072</v>
      </c>
      <c r="C2732" s="586">
        <f>C203+C431+C659</f>
        <v>0</v>
      </c>
      <c r="D2732" s="528">
        <f>C2732*10</f>
        <v>0</v>
      </c>
      <c r="E2732" s="460">
        <f t="shared" si="1018"/>
        <v>0</v>
      </c>
      <c r="F2732" s="324">
        <f>E2732*1.03*0.81/147</f>
        <v>0</v>
      </c>
      <c r="G2732" s="528">
        <f>INT(M2732)</f>
        <v>0</v>
      </c>
      <c r="H2732" s="324" t="s">
        <v>18</v>
      </c>
      <c r="I2732" s="528">
        <f>(M2732-G2732)*64</f>
        <v>0</v>
      </c>
      <c r="J2732" s="324" t="s">
        <v>19</v>
      </c>
      <c r="K2732" s="324"/>
      <c r="L2732" s="324"/>
      <c r="M2732" s="324">
        <f>(F2732*8820/3456)</f>
        <v>0</v>
      </c>
      <c r="N2732" s="324"/>
      <c r="O2732" s="324"/>
      <c r="P2732" s="324"/>
      <c r="Q2732" s="324" t="s">
        <v>18</v>
      </c>
      <c r="R2732" s="324"/>
      <c r="S2732" s="324" t="s">
        <v>19</v>
      </c>
      <c r="T2732" s="528">
        <v>2</v>
      </c>
      <c r="U2732" s="324"/>
      <c r="V2732" s="676"/>
      <c r="W2732" s="528"/>
      <c r="X2732" s="529"/>
      <c r="Y2732" s="323"/>
      <c r="Z2732" s="312">
        <f>E2732</f>
        <v>0</v>
      </c>
      <c r="AA2732" s="316">
        <f>SUM(Z2732/183+0.25)</f>
        <v>0.25</v>
      </c>
    </row>
    <row r="2733" spans="1:27" ht="77.25" outlineLevel="1" thickBot="1" x14ac:dyDescent="0.45">
      <c r="A2733" s="319" t="s">
        <v>736</v>
      </c>
      <c r="B2733" s="421" t="s">
        <v>992</v>
      </c>
      <c r="C2733" s="528">
        <f>C2198</f>
        <v>0</v>
      </c>
      <c r="D2733" s="528">
        <f>C2733*12</f>
        <v>0</v>
      </c>
      <c r="E2733" s="324">
        <f t="shared" si="1018"/>
        <v>0</v>
      </c>
      <c r="F2733" s="324">
        <f>E2733*1.03*0.81/170</f>
        <v>0</v>
      </c>
      <c r="G2733" s="528">
        <f t="shared" si="1016"/>
        <v>0</v>
      </c>
      <c r="H2733" s="324" t="s">
        <v>18</v>
      </c>
      <c r="I2733" s="528">
        <f t="shared" si="1017"/>
        <v>0</v>
      </c>
      <c r="J2733" s="324" t="s">
        <v>19</v>
      </c>
      <c r="K2733" s="324"/>
      <c r="L2733" s="324"/>
      <c r="M2733" s="324">
        <f>(F2733*8820/3456)</f>
        <v>0</v>
      </c>
      <c r="N2733" s="324"/>
      <c r="O2733" s="324"/>
      <c r="P2733" s="324"/>
      <c r="Q2733" s="324" t="s">
        <v>18</v>
      </c>
      <c r="R2733" s="324"/>
      <c r="S2733" s="324" t="s">
        <v>19</v>
      </c>
      <c r="T2733" s="528">
        <v>2</v>
      </c>
      <c r="U2733" s="324">
        <f>E2733/220*60</f>
        <v>0</v>
      </c>
      <c r="V2733" s="676"/>
      <c r="W2733" s="528"/>
      <c r="X2733" s="529"/>
      <c r="Y2733" s="323"/>
      <c r="Z2733" s="312">
        <f t="shared" si="1006"/>
        <v>0</v>
      </c>
      <c r="AA2733" s="316">
        <f>SUM(Z2733/230+0.25)</f>
        <v>0.25</v>
      </c>
    </row>
    <row r="2734" spans="1:27" ht="53.25" outlineLevel="1" thickBot="1" x14ac:dyDescent="0.45">
      <c r="A2734" s="319" t="s">
        <v>736</v>
      </c>
      <c r="B2734" s="320" t="s">
        <v>815</v>
      </c>
      <c r="C2734" s="586">
        <f>C1718+C1210</f>
        <v>1000</v>
      </c>
      <c r="D2734" s="551">
        <f t="shared" ref="D2734:D2740" si="1019">C2734*12</f>
        <v>12000</v>
      </c>
      <c r="E2734" s="456">
        <f>D2734*0.5</f>
        <v>6000</v>
      </c>
      <c r="F2734" s="358">
        <f>E2734*1.02*0.99/147</f>
        <v>41.216326530612243</v>
      </c>
      <c r="G2734" s="548">
        <f t="shared" ref="G2734:G2745" si="1020">INT(M2734)</f>
        <v>75</v>
      </c>
      <c r="H2734" s="358" t="s">
        <v>18</v>
      </c>
      <c r="I2734" s="548">
        <f t="shared" ref="I2734:I2745" si="1021">(M2734-G2734)*64</f>
        <v>14.982857142857029</v>
      </c>
      <c r="J2734" s="358" t="s">
        <v>19</v>
      </c>
      <c r="K2734" s="358"/>
      <c r="L2734" s="358"/>
      <c r="M2734" s="358">
        <f>(F2734*5257)/2880</f>
        <v>75.234107142857141</v>
      </c>
      <c r="N2734" s="358"/>
      <c r="O2734" s="358"/>
      <c r="P2734" s="358"/>
      <c r="Q2734" s="358" t="s">
        <v>18</v>
      </c>
      <c r="R2734" s="358"/>
      <c r="S2734" s="358" t="s">
        <v>19</v>
      </c>
      <c r="T2734" s="528">
        <v>3</v>
      </c>
      <c r="U2734" s="324"/>
      <c r="V2734" s="676"/>
      <c r="W2734" s="528"/>
      <c r="X2734" s="529"/>
      <c r="Y2734" s="323"/>
      <c r="Z2734" s="312">
        <f t="shared" si="1006"/>
        <v>6000</v>
      </c>
      <c r="AA2734" s="316">
        <f t="shared" ref="AA2734:AA2740" si="1022">SUM(Z2734/224+0.25)</f>
        <v>27.035714285714285</v>
      </c>
    </row>
    <row r="2735" spans="1:27" ht="77.25" outlineLevel="1" thickBot="1" x14ac:dyDescent="0.45">
      <c r="A2735" s="319" t="s">
        <v>736</v>
      </c>
      <c r="B2735" s="320" t="s">
        <v>825</v>
      </c>
      <c r="C2735" s="586">
        <f>C1719+C1211</f>
        <v>1000</v>
      </c>
      <c r="D2735" s="551">
        <f t="shared" si="1019"/>
        <v>12000</v>
      </c>
      <c r="E2735" s="456">
        <f>D2735*0.5</f>
        <v>6000</v>
      </c>
      <c r="F2735" s="358">
        <f>E2735*1.02*0.99/147</f>
        <v>41.216326530612243</v>
      </c>
      <c r="G2735" s="548">
        <f t="shared" si="1020"/>
        <v>75</v>
      </c>
      <c r="H2735" s="358" t="s">
        <v>18</v>
      </c>
      <c r="I2735" s="548">
        <f t="shared" si="1021"/>
        <v>14.982857142857029</v>
      </c>
      <c r="J2735" s="358" t="s">
        <v>19</v>
      </c>
      <c r="K2735" s="358"/>
      <c r="L2735" s="358"/>
      <c r="M2735" s="358">
        <f>(F2735*5257)/2880</f>
        <v>75.234107142857141</v>
      </c>
      <c r="N2735" s="358"/>
      <c r="O2735" s="358"/>
      <c r="P2735" s="358"/>
      <c r="Q2735" s="358" t="s">
        <v>18</v>
      </c>
      <c r="R2735" s="358"/>
      <c r="S2735" s="358" t="s">
        <v>19</v>
      </c>
      <c r="T2735" s="528">
        <v>3</v>
      </c>
      <c r="U2735" s="324"/>
      <c r="V2735" s="676"/>
      <c r="W2735" s="528"/>
      <c r="X2735" s="529"/>
      <c r="Y2735" s="323"/>
      <c r="Z2735" s="312">
        <f t="shared" si="1006"/>
        <v>6000</v>
      </c>
      <c r="AA2735" s="316">
        <f t="shared" si="1022"/>
        <v>27.035714285714285</v>
      </c>
    </row>
    <row r="2736" spans="1:27" ht="53.25" outlineLevel="1" thickBot="1" x14ac:dyDescent="0.45">
      <c r="A2736" s="319" t="s">
        <v>736</v>
      </c>
      <c r="B2736" s="320" t="s">
        <v>826</v>
      </c>
      <c r="C2736" s="586">
        <f>C325+C555+C775+C895+C1076</f>
        <v>1000</v>
      </c>
      <c r="D2736" s="551">
        <f t="shared" si="1019"/>
        <v>12000</v>
      </c>
      <c r="E2736" s="456">
        <f>D2736*0.5</f>
        <v>6000</v>
      </c>
      <c r="F2736" s="358">
        <f>E2736*1.02*0.99/147</f>
        <v>41.216326530612243</v>
      </c>
      <c r="G2736" s="548">
        <f t="shared" si="1020"/>
        <v>75</v>
      </c>
      <c r="H2736" s="358" t="s">
        <v>18</v>
      </c>
      <c r="I2736" s="548">
        <f t="shared" si="1021"/>
        <v>14.982857142857029</v>
      </c>
      <c r="J2736" s="358" t="s">
        <v>19</v>
      </c>
      <c r="K2736" s="358"/>
      <c r="L2736" s="358"/>
      <c r="M2736" s="358">
        <f>(F2736*5257)/2880</f>
        <v>75.234107142857141</v>
      </c>
      <c r="N2736" s="358"/>
      <c r="O2736" s="358"/>
      <c r="P2736" s="358"/>
      <c r="Q2736" s="358" t="s">
        <v>18</v>
      </c>
      <c r="R2736" s="358"/>
      <c r="S2736" s="358" t="s">
        <v>19</v>
      </c>
      <c r="T2736" s="528">
        <v>3</v>
      </c>
      <c r="U2736" s="324"/>
      <c r="V2736" s="676"/>
      <c r="W2736" s="528"/>
      <c r="X2736" s="529"/>
      <c r="Y2736" s="323"/>
      <c r="Z2736" s="312">
        <f t="shared" si="1006"/>
        <v>6000</v>
      </c>
      <c r="AA2736" s="316">
        <f t="shared" si="1022"/>
        <v>27.035714285714285</v>
      </c>
    </row>
    <row r="2737" spans="1:27" ht="77.25" outlineLevel="1" thickBot="1" x14ac:dyDescent="0.45">
      <c r="A2737" s="319" t="s">
        <v>736</v>
      </c>
      <c r="B2737" s="480" t="s">
        <v>1083</v>
      </c>
      <c r="C2737" s="586">
        <f>C2092</f>
        <v>0</v>
      </c>
      <c r="D2737" s="626"/>
      <c r="E2737" s="358">
        <f>C2737*0.4</f>
        <v>0</v>
      </c>
      <c r="F2737" s="627">
        <f>E2737*1.03*0.85/147</f>
        <v>0</v>
      </c>
      <c r="G2737" s="628">
        <f t="shared" si="1020"/>
        <v>0</v>
      </c>
      <c r="H2737" s="359"/>
      <c r="I2737" s="628">
        <f t="shared" si="1021"/>
        <v>0</v>
      </c>
      <c r="J2737" s="629"/>
      <c r="K2737" s="630"/>
      <c r="L2737" s="630"/>
      <c r="M2737" s="627">
        <f>F2737*147/0.57/64</f>
        <v>0</v>
      </c>
      <c r="N2737" s="631"/>
      <c r="O2737" s="631"/>
      <c r="P2737" s="631"/>
      <c r="Q2737" s="358" t="s">
        <v>18</v>
      </c>
      <c r="R2737" s="358"/>
      <c r="S2737" s="358" t="s">
        <v>19</v>
      </c>
      <c r="T2737" s="528">
        <v>3</v>
      </c>
      <c r="U2737" s="324"/>
      <c r="V2737" s="676"/>
      <c r="W2737" s="528"/>
      <c r="X2737" s="529"/>
      <c r="Y2737" s="323"/>
      <c r="Z2737" s="312">
        <f t="shared" si="1006"/>
        <v>0</v>
      </c>
      <c r="AA2737" s="316">
        <f t="shared" si="1022"/>
        <v>0.25</v>
      </c>
    </row>
    <row r="2738" spans="1:27" ht="53.25" outlineLevel="1" thickBot="1" x14ac:dyDescent="0.45">
      <c r="A2738" s="319" t="s">
        <v>736</v>
      </c>
      <c r="B2738" s="480" t="s">
        <v>1084</v>
      </c>
      <c r="C2738" s="586">
        <f>C161+C385+C613</f>
        <v>0</v>
      </c>
      <c r="D2738" s="626"/>
      <c r="E2738" s="358">
        <f>C2738*0.4</f>
        <v>0</v>
      </c>
      <c r="F2738" s="627">
        <f>E2738*1.03*0.82/147</f>
        <v>0</v>
      </c>
      <c r="G2738" s="628">
        <f t="shared" si="1020"/>
        <v>0</v>
      </c>
      <c r="H2738" s="359"/>
      <c r="I2738" s="628">
        <f t="shared" si="1021"/>
        <v>0</v>
      </c>
      <c r="J2738" s="629" t="s">
        <v>19</v>
      </c>
      <c r="K2738" s="630"/>
      <c r="L2738" s="630"/>
      <c r="M2738" s="627">
        <f>F2738*147/0.46/64</f>
        <v>0</v>
      </c>
      <c r="N2738" s="631"/>
      <c r="O2738" s="631"/>
      <c r="P2738" s="631"/>
      <c r="Q2738" s="358" t="s">
        <v>18</v>
      </c>
      <c r="R2738" s="358"/>
      <c r="S2738" s="358" t="s">
        <v>19</v>
      </c>
      <c r="T2738" s="528">
        <v>3</v>
      </c>
      <c r="U2738" s="324"/>
      <c r="V2738" s="676"/>
      <c r="W2738" s="528"/>
      <c r="X2738" s="529"/>
      <c r="Y2738" s="323"/>
      <c r="Z2738" s="312">
        <f>E2738</f>
        <v>0</v>
      </c>
      <c r="AA2738" s="316">
        <f>SUM(Z2738/224+0.25)</f>
        <v>0.25</v>
      </c>
    </row>
    <row r="2739" spans="1:27" ht="77.25" outlineLevel="1" thickBot="1" x14ac:dyDescent="0.45">
      <c r="A2739" s="319" t="s">
        <v>736</v>
      </c>
      <c r="B2739" s="320" t="s">
        <v>904</v>
      </c>
      <c r="C2739" s="586">
        <f>C326+C556+C784+C958+C1112</f>
        <v>0</v>
      </c>
      <c r="D2739" s="569">
        <f t="shared" si="1019"/>
        <v>0</v>
      </c>
      <c r="E2739" s="458">
        <f>D2739*0.55</f>
        <v>0</v>
      </c>
      <c r="F2739" s="358">
        <f>E2739*0.9*1.01/147</f>
        <v>0</v>
      </c>
      <c r="G2739" s="556">
        <f t="shared" si="1020"/>
        <v>0</v>
      </c>
      <c r="H2739" s="366" t="s">
        <v>18</v>
      </c>
      <c r="I2739" s="556">
        <f t="shared" si="1021"/>
        <v>0</v>
      </c>
      <c r="J2739" s="366" t="s">
        <v>19</v>
      </c>
      <c r="K2739" s="366"/>
      <c r="L2739" s="366"/>
      <c r="M2739" s="570">
        <f>(F2739*5300/3456)</f>
        <v>0</v>
      </c>
      <c r="N2739" s="366"/>
      <c r="O2739" s="366"/>
      <c r="P2739" s="366"/>
      <c r="Q2739" s="366" t="s">
        <v>18</v>
      </c>
      <c r="R2739" s="366"/>
      <c r="S2739" s="366" t="s">
        <v>19</v>
      </c>
      <c r="T2739" s="528">
        <v>3</v>
      </c>
      <c r="U2739" s="324"/>
      <c r="V2739" s="676"/>
      <c r="W2739" s="528"/>
      <c r="X2739" s="529"/>
      <c r="Y2739" s="400"/>
      <c r="Z2739" s="312">
        <f t="shared" si="1006"/>
        <v>0</v>
      </c>
      <c r="AA2739" s="316">
        <f t="shared" si="1022"/>
        <v>0.25</v>
      </c>
    </row>
    <row r="2740" spans="1:27" ht="77.25" outlineLevel="1" thickBot="1" x14ac:dyDescent="0.45">
      <c r="A2740" s="319" t="s">
        <v>736</v>
      </c>
      <c r="B2740" s="320" t="s">
        <v>905</v>
      </c>
      <c r="C2740" s="586">
        <f>C327+C557+C785+C959+C1113</f>
        <v>0</v>
      </c>
      <c r="D2740" s="569">
        <f t="shared" si="1019"/>
        <v>0</v>
      </c>
      <c r="E2740" s="458">
        <f>D2740*0.55</f>
        <v>0</v>
      </c>
      <c r="F2740" s="358">
        <f>E2740*0.9*1.01/147</f>
        <v>0</v>
      </c>
      <c r="G2740" s="556">
        <f t="shared" si="1020"/>
        <v>0</v>
      </c>
      <c r="H2740" s="366" t="s">
        <v>18</v>
      </c>
      <c r="I2740" s="556">
        <f t="shared" si="1021"/>
        <v>0</v>
      </c>
      <c r="J2740" s="366" t="s">
        <v>19</v>
      </c>
      <c r="K2740" s="366"/>
      <c r="L2740" s="366"/>
      <c r="M2740" s="570">
        <f>(F2740*5300/3456)</f>
        <v>0</v>
      </c>
      <c r="N2740" s="366"/>
      <c r="O2740" s="366"/>
      <c r="P2740" s="366"/>
      <c r="Q2740" s="366" t="s">
        <v>18</v>
      </c>
      <c r="R2740" s="366"/>
      <c r="S2740" s="366" t="s">
        <v>19</v>
      </c>
      <c r="T2740" s="528">
        <v>3</v>
      </c>
      <c r="U2740" s="324"/>
      <c r="V2740" s="676"/>
      <c r="W2740" s="528"/>
      <c r="X2740" s="529"/>
      <c r="Y2740" s="663"/>
      <c r="Z2740" s="312">
        <f t="shared" si="1006"/>
        <v>0</v>
      </c>
      <c r="AA2740" s="316">
        <f t="shared" si="1022"/>
        <v>0.25</v>
      </c>
    </row>
    <row r="2741" spans="1:27" ht="53.25" outlineLevel="1" thickBot="1" x14ac:dyDescent="0.45">
      <c r="A2741" s="319" t="s">
        <v>736</v>
      </c>
      <c r="B2741" s="320" t="s">
        <v>849</v>
      </c>
      <c r="C2741" s="528">
        <f>C2292</f>
        <v>0</v>
      </c>
      <c r="D2741" s="528"/>
      <c r="E2741" s="456">
        <f>C2741*3.2</f>
        <v>0</v>
      </c>
      <c r="F2741" s="358">
        <f>E2741*1.03*0.9/147</f>
        <v>0</v>
      </c>
      <c r="G2741" s="548">
        <f t="shared" si="1020"/>
        <v>0</v>
      </c>
      <c r="H2741" s="358" t="s">
        <v>18</v>
      </c>
      <c r="I2741" s="548">
        <f t="shared" si="1021"/>
        <v>0</v>
      </c>
      <c r="J2741" s="358" t="s">
        <v>19</v>
      </c>
      <c r="K2741" s="358"/>
      <c r="L2741" s="358"/>
      <c r="M2741" s="358">
        <f t="shared" ref="M2741:M2749" si="1023">F2741*4983/2880</f>
        <v>0</v>
      </c>
      <c r="N2741" s="358"/>
      <c r="O2741" s="358"/>
      <c r="P2741" s="358"/>
      <c r="Q2741" s="358" t="s">
        <v>18</v>
      </c>
      <c r="R2741" s="358"/>
      <c r="S2741" s="358" t="s">
        <v>19</v>
      </c>
      <c r="T2741" s="528">
        <v>2</v>
      </c>
      <c r="U2741" s="324">
        <f>E2741/259*60</f>
        <v>0</v>
      </c>
      <c r="V2741" s="676"/>
      <c r="W2741" s="528"/>
      <c r="X2741" s="529"/>
      <c r="Y2741" s="381"/>
      <c r="Z2741" s="312">
        <f t="shared" si="1006"/>
        <v>0</v>
      </c>
      <c r="AA2741" s="316">
        <f>SUM(Z2741/624+0.25)</f>
        <v>0.25</v>
      </c>
    </row>
    <row r="2742" spans="1:27" ht="77.25" outlineLevel="1" thickBot="1" x14ac:dyDescent="0.45">
      <c r="A2742" s="319" t="s">
        <v>736</v>
      </c>
      <c r="B2742" s="633" t="s">
        <v>1086</v>
      </c>
      <c r="C2742" s="568"/>
      <c r="D2742" s="528"/>
      <c r="E2742" s="456">
        <f>C2742*3.2</f>
        <v>0</v>
      </c>
      <c r="F2742" s="358">
        <f>E2742*1.03*0.9/147</f>
        <v>0</v>
      </c>
      <c r="G2742" s="548">
        <f t="shared" si="1020"/>
        <v>0</v>
      </c>
      <c r="H2742" s="358" t="s">
        <v>18</v>
      </c>
      <c r="I2742" s="548">
        <f t="shared" si="1021"/>
        <v>0</v>
      </c>
      <c r="J2742" s="358" t="s">
        <v>19</v>
      </c>
      <c r="K2742" s="358"/>
      <c r="L2742" s="358"/>
      <c r="M2742" s="358">
        <f>F2742*4983/2880</f>
        <v>0</v>
      </c>
      <c r="N2742" s="358"/>
      <c r="O2742" s="358"/>
      <c r="P2742" s="358"/>
      <c r="Q2742" s="358" t="s">
        <v>18</v>
      </c>
      <c r="R2742" s="358"/>
      <c r="S2742" s="358" t="s">
        <v>19</v>
      </c>
      <c r="T2742" s="528">
        <v>2</v>
      </c>
      <c r="U2742" s="324">
        <f>E2742/259*60</f>
        <v>0</v>
      </c>
      <c r="V2742" s="676"/>
      <c r="W2742" s="528"/>
      <c r="X2742" s="529"/>
      <c r="Y2742" s="323"/>
      <c r="Z2742" s="312">
        <f>E2742</f>
        <v>0</v>
      </c>
      <c r="AA2742" s="316">
        <f>SUM(Z2742/624+0.25)</f>
        <v>0.25</v>
      </c>
    </row>
    <row r="2743" spans="1:27" ht="53.25" outlineLevel="1" thickBot="1" x14ac:dyDescent="0.45">
      <c r="A2743" s="319" t="s">
        <v>736</v>
      </c>
      <c r="B2743" s="320" t="s">
        <v>854</v>
      </c>
      <c r="C2743" s="528">
        <f>C1222+C1722+C2275</f>
        <v>0</v>
      </c>
      <c r="D2743" s="528"/>
      <c r="E2743" s="456">
        <f t="shared" ref="E2743:E2752" si="1024">C2743*1</f>
        <v>0</v>
      </c>
      <c r="F2743" s="358">
        <f t="shared" ref="F2743:F2749" si="1025">E2743*1.02*0.99/147</f>
        <v>0</v>
      </c>
      <c r="G2743" s="548">
        <f t="shared" si="1020"/>
        <v>0</v>
      </c>
      <c r="H2743" s="358" t="s">
        <v>18</v>
      </c>
      <c r="I2743" s="548">
        <f t="shared" si="1021"/>
        <v>0</v>
      </c>
      <c r="J2743" s="358" t="s">
        <v>19</v>
      </c>
      <c r="K2743" s="358"/>
      <c r="L2743" s="358"/>
      <c r="M2743" s="358">
        <f t="shared" si="1023"/>
        <v>0</v>
      </c>
      <c r="N2743" s="358"/>
      <c r="O2743" s="358"/>
      <c r="P2743" s="358"/>
      <c r="Q2743" s="358" t="s">
        <v>18</v>
      </c>
      <c r="R2743" s="358"/>
      <c r="S2743" s="358" t="s">
        <v>19</v>
      </c>
      <c r="T2743" s="528">
        <v>2</v>
      </c>
      <c r="U2743" s="324">
        <f t="shared" ref="U2743:U2755" si="1026">E2743/420*60</f>
        <v>0</v>
      </c>
      <c r="V2743" s="676"/>
      <c r="W2743" s="528"/>
      <c r="X2743" s="529"/>
      <c r="Y2743" s="323"/>
      <c r="Z2743" s="312">
        <f t="shared" si="1006"/>
        <v>0</v>
      </c>
      <c r="AA2743" s="316">
        <f t="shared" ref="AA2743:AA2752" si="1027">SUM(Z2743/195+0.25)</f>
        <v>0.25</v>
      </c>
    </row>
    <row r="2744" spans="1:27" ht="53.25" outlineLevel="1" thickBot="1" x14ac:dyDescent="0.45">
      <c r="A2744" s="319" t="s">
        <v>736</v>
      </c>
      <c r="B2744" s="799" t="s">
        <v>1204</v>
      </c>
      <c r="C2744" s="528">
        <f>C253+C483+C713+C898+C1087</f>
        <v>0</v>
      </c>
      <c r="D2744" s="528"/>
      <c r="E2744" s="456">
        <f>C2744*1</f>
        <v>0</v>
      </c>
      <c r="F2744" s="358">
        <f t="shared" si="1025"/>
        <v>0</v>
      </c>
      <c r="G2744" s="548">
        <f t="shared" si="1020"/>
        <v>0</v>
      </c>
      <c r="H2744" s="358" t="s">
        <v>18</v>
      </c>
      <c r="I2744" s="548">
        <f t="shared" si="1021"/>
        <v>0</v>
      </c>
      <c r="J2744" s="358" t="s">
        <v>19</v>
      </c>
      <c r="K2744" s="358"/>
      <c r="L2744" s="358"/>
      <c r="M2744" s="358">
        <f>F2744*4983/2880</f>
        <v>0</v>
      </c>
      <c r="N2744" s="358"/>
      <c r="O2744" s="358"/>
      <c r="P2744" s="358"/>
      <c r="Q2744" s="358" t="s">
        <v>18</v>
      </c>
      <c r="R2744" s="358"/>
      <c r="S2744" s="358" t="s">
        <v>19</v>
      </c>
      <c r="T2744" s="528">
        <v>3</v>
      </c>
      <c r="U2744" s="324">
        <f>E2744/420*60</f>
        <v>0</v>
      </c>
      <c r="V2744" s="676"/>
      <c r="W2744" s="528"/>
      <c r="X2744" s="529"/>
      <c r="Y2744" s="323"/>
      <c r="Z2744" s="312">
        <f>E2744</f>
        <v>0</v>
      </c>
      <c r="AA2744" s="316">
        <f>SUM(Z2744/195+0.25)</f>
        <v>0.25</v>
      </c>
    </row>
    <row r="2745" spans="1:27" ht="53.25" outlineLevel="1" thickBot="1" x14ac:dyDescent="0.45">
      <c r="A2745" s="319" t="s">
        <v>736</v>
      </c>
      <c r="B2745" s="320" t="s">
        <v>915</v>
      </c>
      <c r="C2745" s="528">
        <f>C1228+C1728+C2281</f>
        <v>0</v>
      </c>
      <c r="D2745" s="528"/>
      <c r="E2745" s="456">
        <f t="shared" si="1024"/>
        <v>0</v>
      </c>
      <c r="F2745" s="358">
        <f t="shared" si="1025"/>
        <v>0</v>
      </c>
      <c r="G2745" s="548">
        <f t="shared" si="1020"/>
        <v>0</v>
      </c>
      <c r="H2745" s="358" t="s">
        <v>18</v>
      </c>
      <c r="I2745" s="548">
        <f t="shared" si="1021"/>
        <v>0</v>
      </c>
      <c r="J2745" s="358" t="s">
        <v>19</v>
      </c>
      <c r="K2745" s="358"/>
      <c r="L2745" s="358"/>
      <c r="M2745" s="358">
        <f t="shared" si="1023"/>
        <v>0</v>
      </c>
      <c r="N2745" s="358"/>
      <c r="O2745" s="358"/>
      <c r="P2745" s="358"/>
      <c r="Q2745" s="358" t="s">
        <v>18</v>
      </c>
      <c r="R2745" s="358"/>
      <c r="S2745" s="358" t="s">
        <v>19</v>
      </c>
      <c r="T2745" s="548">
        <v>2</v>
      </c>
      <c r="U2745" s="324">
        <f t="shared" si="1026"/>
        <v>0</v>
      </c>
      <c r="V2745" s="676"/>
      <c r="W2745" s="528"/>
      <c r="X2745" s="529"/>
      <c r="Y2745" s="323"/>
      <c r="Z2745" s="312">
        <f t="shared" si="1006"/>
        <v>0</v>
      </c>
      <c r="AA2745" s="316">
        <f t="shared" si="1027"/>
        <v>0.25</v>
      </c>
    </row>
    <row r="2746" spans="1:27" ht="53.25" outlineLevel="1" thickBot="1" x14ac:dyDescent="0.45">
      <c r="A2746" s="319" t="s">
        <v>736</v>
      </c>
      <c r="B2746" s="799" t="s">
        <v>1205</v>
      </c>
      <c r="C2746" s="528">
        <f>C259+C489+C719+C904+C1093</f>
        <v>0</v>
      </c>
      <c r="D2746" s="528"/>
      <c r="E2746" s="456">
        <f>C2746*1</f>
        <v>0</v>
      </c>
      <c r="F2746" s="358">
        <f t="shared" si="1025"/>
        <v>0</v>
      </c>
      <c r="G2746" s="548">
        <f t="shared" ref="G2746:G2751" si="1028">INT(M2746)</f>
        <v>0</v>
      </c>
      <c r="H2746" s="358" t="s">
        <v>18</v>
      </c>
      <c r="I2746" s="548">
        <f t="shared" ref="I2746:I2751" si="1029">(M2746-G2746)*64</f>
        <v>0</v>
      </c>
      <c r="J2746" s="358" t="s">
        <v>19</v>
      </c>
      <c r="K2746" s="358"/>
      <c r="L2746" s="358"/>
      <c r="M2746" s="358">
        <f>F2746*4983/2880</f>
        <v>0</v>
      </c>
      <c r="N2746" s="358"/>
      <c r="O2746" s="358"/>
      <c r="P2746" s="358"/>
      <c r="Q2746" s="358" t="s">
        <v>18</v>
      </c>
      <c r="R2746" s="358"/>
      <c r="S2746" s="358" t="s">
        <v>19</v>
      </c>
      <c r="T2746" s="548">
        <v>3</v>
      </c>
      <c r="U2746" s="324">
        <f>E2746/420*60</f>
        <v>0</v>
      </c>
      <c r="V2746" s="676"/>
      <c r="W2746" s="528"/>
      <c r="X2746" s="529"/>
      <c r="Y2746" s="323"/>
      <c r="Z2746" s="312">
        <f>E2746</f>
        <v>0</v>
      </c>
      <c r="AA2746" s="316">
        <f>SUM(Z2746/195+0.25)</f>
        <v>0.25</v>
      </c>
    </row>
    <row r="2747" spans="1:27" ht="53.25" outlineLevel="1" thickBot="1" x14ac:dyDescent="0.45">
      <c r="A2747" s="319" t="s">
        <v>736</v>
      </c>
      <c r="B2747" s="320" t="s">
        <v>916</v>
      </c>
      <c r="C2747" s="528">
        <f>C1230+C1730+C2283</f>
        <v>0</v>
      </c>
      <c r="D2747" s="525"/>
      <c r="E2747" s="456">
        <f>C2747*1</f>
        <v>0</v>
      </c>
      <c r="F2747" s="358">
        <f>E2747*1.02*0.99/147</f>
        <v>0</v>
      </c>
      <c r="G2747" s="548">
        <f t="shared" si="1028"/>
        <v>0</v>
      </c>
      <c r="H2747" s="358" t="s">
        <v>18</v>
      </c>
      <c r="I2747" s="548">
        <f t="shared" si="1029"/>
        <v>0</v>
      </c>
      <c r="J2747" s="358" t="s">
        <v>19</v>
      </c>
      <c r="K2747" s="358"/>
      <c r="L2747" s="358"/>
      <c r="M2747" s="358">
        <f>F2747*6391/2880</f>
        <v>0</v>
      </c>
      <c r="N2747" s="358"/>
      <c r="O2747" s="358"/>
      <c r="P2747" s="358"/>
      <c r="Q2747" s="358" t="s">
        <v>18</v>
      </c>
      <c r="R2747" s="358"/>
      <c r="S2747" s="358" t="s">
        <v>19</v>
      </c>
      <c r="T2747" s="528">
        <v>2</v>
      </c>
      <c r="U2747" s="324">
        <f>E2747/420*60</f>
        <v>0</v>
      </c>
      <c r="V2747" s="676"/>
      <c r="W2747" s="528"/>
      <c r="X2747" s="529"/>
      <c r="Y2747" s="323"/>
      <c r="Z2747" s="312">
        <f t="shared" si="1006"/>
        <v>0</v>
      </c>
      <c r="AA2747" s="316">
        <f t="shared" si="1027"/>
        <v>0.25</v>
      </c>
    </row>
    <row r="2748" spans="1:27" ht="53.25" outlineLevel="1" thickBot="1" x14ac:dyDescent="0.45">
      <c r="A2748" s="319" t="s">
        <v>736</v>
      </c>
      <c r="B2748" s="320" t="s">
        <v>1064</v>
      </c>
      <c r="C2748" s="528">
        <f>C1731+C1231+C2284</f>
        <v>0</v>
      </c>
      <c r="D2748" s="525"/>
      <c r="E2748" s="545">
        <f>C2748*1</f>
        <v>0</v>
      </c>
      <c r="F2748" s="461">
        <f>E2748*1.02*0.99/147</f>
        <v>0</v>
      </c>
      <c r="G2748" s="525">
        <f t="shared" si="1028"/>
        <v>0</v>
      </c>
      <c r="H2748" s="461" t="s">
        <v>18</v>
      </c>
      <c r="I2748" s="525">
        <f t="shared" si="1029"/>
        <v>0</v>
      </c>
      <c r="J2748" s="461" t="s">
        <v>19</v>
      </c>
      <c r="K2748" s="461"/>
      <c r="L2748" s="461"/>
      <c r="M2748" s="461">
        <f>F2748*6391/2880</f>
        <v>0</v>
      </c>
      <c r="N2748" s="461"/>
      <c r="O2748" s="461"/>
      <c r="P2748" s="324"/>
      <c r="Q2748" s="324" t="s">
        <v>18</v>
      </c>
      <c r="R2748" s="324"/>
      <c r="S2748" s="324" t="s">
        <v>19</v>
      </c>
      <c r="T2748" s="528">
        <v>2</v>
      </c>
      <c r="U2748" s="324">
        <f>E2748/420*60</f>
        <v>0</v>
      </c>
      <c r="V2748" s="676"/>
      <c r="W2748" s="528"/>
      <c r="X2748" s="529"/>
      <c r="Y2748" s="323"/>
      <c r="Z2748" s="312">
        <f>E2748</f>
        <v>0</v>
      </c>
      <c r="AA2748" s="316">
        <f>SUM(Z2748/195+0.25)</f>
        <v>0.25</v>
      </c>
    </row>
    <row r="2749" spans="1:27" ht="53.25" outlineLevel="1" thickBot="1" x14ac:dyDescent="0.45">
      <c r="A2749" s="319" t="s">
        <v>736</v>
      </c>
      <c r="B2749" s="320" t="s">
        <v>902</v>
      </c>
      <c r="C2749" s="528">
        <f>C1224+C1724+C2277</f>
        <v>0</v>
      </c>
      <c r="D2749" s="528"/>
      <c r="E2749" s="456">
        <f t="shared" si="1024"/>
        <v>0</v>
      </c>
      <c r="F2749" s="358">
        <f t="shared" si="1025"/>
        <v>0</v>
      </c>
      <c r="G2749" s="548">
        <f t="shared" si="1028"/>
        <v>0</v>
      </c>
      <c r="H2749" s="358" t="s">
        <v>18</v>
      </c>
      <c r="I2749" s="548">
        <f t="shared" si="1029"/>
        <v>0</v>
      </c>
      <c r="J2749" s="358" t="s">
        <v>19</v>
      </c>
      <c r="K2749" s="358"/>
      <c r="L2749" s="358"/>
      <c r="M2749" s="358">
        <f t="shared" si="1023"/>
        <v>0</v>
      </c>
      <c r="N2749" s="358"/>
      <c r="O2749" s="358"/>
      <c r="P2749" s="358"/>
      <c r="Q2749" s="358" t="s">
        <v>18</v>
      </c>
      <c r="R2749" s="358"/>
      <c r="S2749" s="358" t="s">
        <v>19</v>
      </c>
      <c r="T2749" s="528">
        <v>2</v>
      </c>
      <c r="U2749" s="324">
        <f t="shared" si="1026"/>
        <v>0</v>
      </c>
      <c r="V2749" s="676"/>
      <c r="W2749" s="528"/>
      <c r="X2749" s="529"/>
      <c r="Y2749" s="323"/>
      <c r="Z2749" s="312">
        <f t="shared" si="1006"/>
        <v>0</v>
      </c>
      <c r="AA2749" s="316">
        <f t="shared" si="1027"/>
        <v>0.25</v>
      </c>
    </row>
    <row r="2750" spans="1:27" ht="53.25" outlineLevel="1" thickBot="1" x14ac:dyDescent="0.45">
      <c r="A2750" s="319" t="s">
        <v>736</v>
      </c>
      <c r="B2750" s="799" t="s">
        <v>1206</v>
      </c>
      <c r="C2750" s="528">
        <f>C255+C485+C715+C900+C1089</f>
        <v>0</v>
      </c>
      <c r="D2750" s="528"/>
      <c r="E2750" s="456">
        <f>C2750*1</f>
        <v>0</v>
      </c>
      <c r="F2750" s="358">
        <f>E2750*1.02*0.99/147</f>
        <v>0</v>
      </c>
      <c r="G2750" s="548">
        <f t="shared" si="1028"/>
        <v>0</v>
      </c>
      <c r="H2750" s="358" t="s">
        <v>18</v>
      </c>
      <c r="I2750" s="548">
        <f t="shared" si="1029"/>
        <v>0</v>
      </c>
      <c r="J2750" s="358" t="s">
        <v>19</v>
      </c>
      <c r="K2750" s="358"/>
      <c r="L2750" s="358"/>
      <c r="M2750" s="358">
        <f>F2750*4983/2880</f>
        <v>0</v>
      </c>
      <c r="N2750" s="358"/>
      <c r="O2750" s="358"/>
      <c r="P2750" s="358"/>
      <c r="Q2750" s="358" t="s">
        <v>18</v>
      </c>
      <c r="R2750" s="358"/>
      <c r="S2750" s="358" t="s">
        <v>19</v>
      </c>
      <c r="T2750" s="528">
        <v>2</v>
      </c>
      <c r="U2750" s="324">
        <f>E2750/420*60</f>
        <v>0</v>
      </c>
      <c r="V2750" s="676"/>
      <c r="W2750" s="528"/>
      <c r="X2750" s="529"/>
      <c r="Y2750" s="323"/>
      <c r="Z2750" s="312">
        <f>E2750</f>
        <v>0</v>
      </c>
      <c r="AA2750" s="316">
        <f>SUM(Z2750/195+0.25)</f>
        <v>0.25</v>
      </c>
    </row>
    <row r="2751" spans="1:27" ht="77.25" outlineLevel="1" thickBot="1" x14ac:dyDescent="0.45">
      <c r="A2751" s="319" t="s">
        <v>736</v>
      </c>
      <c r="B2751" s="320" t="s">
        <v>900</v>
      </c>
      <c r="C2751" s="528">
        <f>C901+C1090+C2279</f>
        <v>0</v>
      </c>
      <c r="D2751" s="528"/>
      <c r="E2751" s="458">
        <f t="shared" si="1024"/>
        <v>0</v>
      </c>
      <c r="F2751" s="358">
        <f>E2751*0.9*1.01/147</f>
        <v>0</v>
      </c>
      <c r="G2751" s="556">
        <f t="shared" si="1028"/>
        <v>0</v>
      </c>
      <c r="H2751" s="366" t="s">
        <v>18</v>
      </c>
      <c r="I2751" s="556">
        <f t="shared" si="1029"/>
        <v>0</v>
      </c>
      <c r="J2751" s="366" t="s">
        <v>19</v>
      </c>
      <c r="K2751" s="366"/>
      <c r="L2751" s="366"/>
      <c r="M2751" s="358">
        <f>(F2751*6533/3456)</f>
        <v>0</v>
      </c>
      <c r="N2751" s="366"/>
      <c r="O2751" s="366"/>
      <c r="P2751" s="366"/>
      <c r="Q2751" s="366" t="s">
        <v>18</v>
      </c>
      <c r="R2751" s="366"/>
      <c r="S2751" s="366" t="s">
        <v>19</v>
      </c>
      <c r="T2751" s="528">
        <v>2</v>
      </c>
      <c r="U2751" s="324">
        <f t="shared" si="1026"/>
        <v>0</v>
      </c>
      <c r="V2751" s="676"/>
      <c r="W2751" s="528"/>
      <c r="X2751" s="529"/>
      <c r="Y2751" s="323"/>
      <c r="Z2751" s="312">
        <f t="shared" si="1006"/>
        <v>0</v>
      </c>
      <c r="AA2751" s="316">
        <f t="shared" si="1027"/>
        <v>0.25</v>
      </c>
    </row>
    <row r="2752" spans="1:27" ht="77.25" outlineLevel="1" thickBot="1" x14ac:dyDescent="0.45">
      <c r="A2752" s="319" t="s">
        <v>736</v>
      </c>
      <c r="B2752" s="320" t="s">
        <v>901</v>
      </c>
      <c r="C2752" s="528">
        <f>C902+C1091+C2280</f>
        <v>0</v>
      </c>
      <c r="D2752" s="528"/>
      <c r="E2752" s="458">
        <f t="shared" si="1024"/>
        <v>0</v>
      </c>
      <c r="F2752" s="358">
        <f>E2752*0.9*1.01/147</f>
        <v>0</v>
      </c>
      <c r="G2752" s="556">
        <f t="shared" ref="G2752:G2758" si="1030">INT(M2752)</f>
        <v>0</v>
      </c>
      <c r="H2752" s="366" t="s">
        <v>18</v>
      </c>
      <c r="I2752" s="556">
        <f t="shared" ref="I2752:I2758" si="1031">(M2752-G2752)*64</f>
        <v>0</v>
      </c>
      <c r="J2752" s="366" t="s">
        <v>19</v>
      </c>
      <c r="K2752" s="366"/>
      <c r="L2752" s="366"/>
      <c r="M2752" s="358">
        <f>(F2752*6533/3456)</f>
        <v>0</v>
      </c>
      <c r="N2752" s="366"/>
      <c r="O2752" s="366"/>
      <c r="P2752" s="366"/>
      <c r="Q2752" s="366" t="s">
        <v>18</v>
      </c>
      <c r="R2752" s="366"/>
      <c r="S2752" s="366" t="s">
        <v>19</v>
      </c>
      <c r="T2752" s="528">
        <v>2</v>
      </c>
      <c r="U2752" s="324">
        <f t="shared" si="1026"/>
        <v>0</v>
      </c>
      <c r="V2752" s="676"/>
      <c r="W2752" s="528"/>
      <c r="X2752" s="529"/>
      <c r="Y2752" s="323"/>
      <c r="Z2752" s="312">
        <f t="shared" si="1006"/>
        <v>0</v>
      </c>
      <c r="AA2752" s="316">
        <f t="shared" si="1027"/>
        <v>0.25</v>
      </c>
    </row>
    <row r="2753" spans="1:27" ht="53.25" outlineLevel="1" thickBot="1" x14ac:dyDescent="0.45">
      <c r="A2753" s="319" t="s">
        <v>736</v>
      </c>
      <c r="B2753" s="369" t="s">
        <v>1023</v>
      </c>
      <c r="C2753" s="561">
        <f>C2580</f>
        <v>0</v>
      </c>
      <c r="D2753" s="551">
        <f>C2753*8</f>
        <v>0</v>
      </c>
      <c r="E2753" s="456">
        <f>D2753*0.16</f>
        <v>0</v>
      </c>
      <c r="F2753" s="358">
        <f>E2753*0.99*1.02/170</f>
        <v>0</v>
      </c>
      <c r="G2753" s="358">
        <f t="shared" si="1030"/>
        <v>0</v>
      </c>
      <c r="H2753" s="358" t="s">
        <v>18</v>
      </c>
      <c r="I2753" s="548">
        <f t="shared" si="1031"/>
        <v>0</v>
      </c>
      <c r="J2753" s="358" t="s">
        <v>19</v>
      </c>
      <c r="K2753" s="358"/>
      <c r="L2753" s="358"/>
      <c r="M2753" s="358">
        <f>(F2753*8500)/3456</f>
        <v>0</v>
      </c>
      <c r="N2753" s="324"/>
      <c r="O2753" s="324"/>
      <c r="P2753" s="324"/>
      <c r="Q2753" s="324" t="s">
        <v>18</v>
      </c>
      <c r="R2753" s="324"/>
      <c r="S2753" s="324" t="s">
        <v>19</v>
      </c>
      <c r="T2753" s="528">
        <v>2</v>
      </c>
      <c r="U2753" s="324">
        <f>E2753/420*60</f>
        <v>0</v>
      </c>
      <c r="V2753" s="676"/>
      <c r="W2753" s="528"/>
      <c r="X2753" s="529"/>
      <c r="Y2753" s="323" t="s">
        <v>1030</v>
      </c>
      <c r="Z2753" s="312">
        <f t="shared" si="1006"/>
        <v>0</v>
      </c>
      <c r="AA2753" s="316">
        <f>SUM((Z2753/183)/2+0.25)</f>
        <v>0.25</v>
      </c>
    </row>
    <row r="2754" spans="1:27" ht="53.25" outlineLevel="1" thickBot="1" x14ac:dyDescent="0.45">
      <c r="A2754" s="319" t="s">
        <v>736</v>
      </c>
      <c r="B2754" s="802" t="s">
        <v>1215</v>
      </c>
      <c r="C2754" s="561">
        <f>C2585</f>
        <v>0</v>
      </c>
      <c r="D2754" s="551">
        <f>C2754*10</f>
        <v>0</v>
      </c>
      <c r="E2754" s="456">
        <f>D2754*0.16</f>
        <v>0</v>
      </c>
      <c r="F2754" s="358">
        <f>E2754*0.99*1.02/170</f>
        <v>0</v>
      </c>
      <c r="G2754" s="358">
        <f t="shared" si="1030"/>
        <v>0</v>
      </c>
      <c r="H2754" s="358" t="s">
        <v>18</v>
      </c>
      <c r="I2754" s="548">
        <f t="shared" si="1031"/>
        <v>0</v>
      </c>
      <c r="J2754" s="358" t="s">
        <v>19</v>
      </c>
      <c r="K2754" s="358"/>
      <c r="L2754" s="358"/>
      <c r="M2754" s="358">
        <f>(F2754*8500)/3456</f>
        <v>0</v>
      </c>
      <c r="N2754" s="324"/>
      <c r="O2754" s="324"/>
      <c r="P2754" s="324"/>
      <c r="Q2754" s="324" t="s">
        <v>18</v>
      </c>
      <c r="R2754" s="324"/>
      <c r="S2754" s="324" t="s">
        <v>19</v>
      </c>
      <c r="T2754" s="528">
        <v>2</v>
      </c>
      <c r="U2754" s="324">
        <f t="shared" si="1026"/>
        <v>0</v>
      </c>
      <c r="V2754" s="676"/>
      <c r="W2754" s="528"/>
      <c r="X2754" s="529"/>
      <c r="Y2754" s="323"/>
      <c r="Z2754" s="312">
        <f t="shared" si="1006"/>
        <v>0</v>
      </c>
      <c r="AA2754" s="316">
        <f>SUM(Z2754/97.92+0.25)</f>
        <v>0.25</v>
      </c>
    </row>
    <row r="2755" spans="1:27" ht="77.25" outlineLevel="1" thickBot="1" x14ac:dyDescent="0.45">
      <c r="A2755" s="319" t="s">
        <v>736</v>
      </c>
      <c r="B2755" s="369" t="s">
        <v>1182</v>
      </c>
      <c r="C2755" s="528">
        <f>C340+C570+C798+C978+C1159</f>
        <v>0</v>
      </c>
      <c r="D2755" s="551">
        <f>C2755*10</f>
        <v>0</v>
      </c>
      <c r="E2755" s="456">
        <f>D2755*0.26</f>
        <v>0</v>
      </c>
      <c r="F2755" s="358">
        <f>E2755*0.99*1.02/170</f>
        <v>0</v>
      </c>
      <c r="G2755" s="358">
        <f t="shared" si="1030"/>
        <v>0</v>
      </c>
      <c r="H2755" s="358" t="s">
        <v>18</v>
      </c>
      <c r="I2755" s="548">
        <f t="shared" si="1031"/>
        <v>0</v>
      </c>
      <c r="J2755" s="358" t="s">
        <v>19</v>
      </c>
      <c r="K2755" s="358"/>
      <c r="L2755" s="358"/>
      <c r="M2755" s="358">
        <f>(F2755*8500)/3456</f>
        <v>0</v>
      </c>
      <c r="N2755" s="324"/>
      <c r="O2755" s="324"/>
      <c r="P2755" s="324"/>
      <c r="Q2755" s="324" t="s">
        <v>18</v>
      </c>
      <c r="R2755" s="324"/>
      <c r="S2755" s="324" t="s">
        <v>19</v>
      </c>
      <c r="T2755" s="528">
        <v>2</v>
      </c>
      <c r="U2755" s="324">
        <f t="shared" si="1026"/>
        <v>0</v>
      </c>
      <c r="V2755" s="676"/>
      <c r="W2755" s="528"/>
      <c r="X2755" s="529"/>
      <c r="Y2755" s="323"/>
      <c r="Z2755" s="312">
        <f t="shared" si="1006"/>
        <v>0</v>
      </c>
      <c r="AA2755" s="316">
        <f>SUM(Z2755/97.92+0.25)</f>
        <v>0.25</v>
      </c>
    </row>
    <row r="2756" spans="1:27" ht="77.25" thickBot="1" x14ac:dyDescent="0.45">
      <c r="A2756" s="319" t="s">
        <v>736</v>
      </c>
      <c r="B2756" s="873" t="s">
        <v>1207</v>
      </c>
      <c r="C2756" s="528">
        <f>C2582</f>
        <v>0</v>
      </c>
      <c r="D2756" s="550">
        <f>C2756*12</f>
        <v>0</v>
      </c>
      <c r="E2756" s="456">
        <f>D2756*0.27</f>
        <v>0</v>
      </c>
      <c r="F2756" s="358">
        <f>E2756*0.87*1.01/151</f>
        <v>0</v>
      </c>
      <c r="G2756" s="358">
        <f t="shared" si="1030"/>
        <v>0</v>
      </c>
      <c r="H2756" s="358" t="s">
        <v>18</v>
      </c>
      <c r="I2756" s="548">
        <f t="shared" si="1031"/>
        <v>0</v>
      </c>
      <c r="J2756" s="358" t="s">
        <v>19</v>
      </c>
      <c r="K2756" s="358"/>
      <c r="L2756" s="358"/>
      <c r="M2756" s="358">
        <f>F2756*7889/3456</f>
        <v>0</v>
      </c>
      <c r="N2756" s="461"/>
      <c r="O2756" s="461"/>
      <c r="P2756" s="366"/>
      <c r="Q2756" s="358" t="s">
        <v>18</v>
      </c>
      <c r="R2756" s="358"/>
      <c r="S2756" s="358" t="s">
        <v>19</v>
      </c>
      <c r="T2756" s="528">
        <v>3</v>
      </c>
      <c r="U2756" s="324">
        <f>E2756/390*60</f>
        <v>0</v>
      </c>
      <c r="V2756" s="676"/>
      <c r="W2756" s="528"/>
      <c r="X2756" s="529"/>
      <c r="Y2756" s="367"/>
      <c r="Z2756" s="312">
        <f t="shared" ref="Z2756:Z2763" si="1032">E2756</f>
        <v>0</v>
      </c>
      <c r="AA2756" s="316">
        <f>SUM(Z2756/224+0.25)</f>
        <v>0.25</v>
      </c>
    </row>
    <row r="2757" spans="1:27" ht="77.25" thickBot="1" x14ac:dyDescent="0.45">
      <c r="A2757" s="319" t="s">
        <v>736</v>
      </c>
      <c r="B2757" s="873" t="s">
        <v>1221</v>
      </c>
      <c r="C2757" s="528">
        <f>C2583</f>
        <v>0</v>
      </c>
      <c r="D2757" s="550">
        <f>C2757*7</f>
        <v>0</v>
      </c>
      <c r="E2757" s="456">
        <f>D2757*0.27</f>
        <v>0</v>
      </c>
      <c r="F2757" s="358">
        <f>E2757*0.87*1.01/151</f>
        <v>0</v>
      </c>
      <c r="G2757" s="358">
        <f t="shared" si="1030"/>
        <v>0</v>
      </c>
      <c r="H2757" s="358" t="s">
        <v>18</v>
      </c>
      <c r="I2757" s="548">
        <f t="shared" si="1031"/>
        <v>0</v>
      </c>
      <c r="J2757" s="358" t="s">
        <v>19</v>
      </c>
      <c r="K2757" s="358"/>
      <c r="L2757" s="358"/>
      <c r="M2757" s="358">
        <f>F2757*7889/3456</f>
        <v>0</v>
      </c>
      <c r="N2757" s="461"/>
      <c r="O2757" s="461"/>
      <c r="P2757" s="366"/>
      <c r="Q2757" s="358" t="s">
        <v>18</v>
      </c>
      <c r="R2757" s="358"/>
      <c r="S2757" s="358" t="s">
        <v>19</v>
      </c>
      <c r="T2757" s="528">
        <v>3</v>
      </c>
      <c r="U2757" s="324">
        <f>E2757/390*60</f>
        <v>0</v>
      </c>
      <c r="V2757" s="676"/>
      <c r="W2757" s="528"/>
      <c r="X2757" s="529"/>
      <c r="Y2757" s="367"/>
      <c r="Z2757" s="312">
        <f t="shared" si="1032"/>
        <v>0</v>
      </c>
      <c r="AA2757" s="316">
        <f>SUM(Z2757/105.75+0.25)</f>
        <v>0.25</v>
      </c>
    </row>
    <row r="2758" spans="1:27" ht="53.25" thickBot="1" x14ac:dyDescent="0.45">
      <c r="A2758" s="329" t="s">
        <v>736</v>
      </c>
      <c r="B2758" s="878" t="s">
        <v>1208</v>
      </c>
      <c r="C2758" s="872"/>
      <c r="D2758" s="548">
        <f>C2758*12</f>
        <v>0</v>
      </c>
      <c r="E2758" s="456">
        <f>D2758*0.3</f>
        <v>0</v>
      </c>
      <c r="F2758" s="358">
        <f>E2758*1.01*0.79/152</f>
        <v>0</v>
      </c>
      <c r="G2758" s="549">
        <f t="shared" si="1030"/>
        <v>0</v>
      </c>
      <c r="H2758" s="359" t="s">
        <v>18</v>
      </c>
      <c r="I2758" s="549">
        <f t="shared" si="1031"/>
        <v>0</v>
      </c>
      <c r="J2758" s="359" t="s">
        <v>19</v>
      </c>
      <c r="K2758" s="358"/>
      <c r="L2758" s="358"/>
      <c r="M2758" s="358">
        <f>F2758*7696/3456</f>
        <v>0</v>
      </c>
      <c r="N2758" s="461"/>
      <c r="O2758" s="461"/>
      <c r="P2758" s="358"/>
      <c r="Q2758" s="358" t="s">
        <v>18</v>
      </c>
      <c r="R2758" s="358"/>
      <c r="S2758" s="358" t="s">
        <v>19</v>
      </c>
      <c r="T2758" s="528">
        <v>3</v>
      </c>
      <c r="U2758" s="324">
        <f>E2758/220*60</f>
        <v>0</v>
      </c>
      <c r="V2758" s="676"/>
      <c r="W2758" s="528"/>
      <c r="X2758" s="529"/>
      <c r="Y2758" s="323"/>
      <c r="Z2758" s="312">
        <f t="shared" si="1032"/>
        <v>0</v>
      </c>
      <c r="AA2758" s="316">
        <f>SUM(Z2758/224+0.25)</f>
        <v>0.25</v>
      </c>
    </row>
    <row r="2759" spans="1:27" ht="53.25" thickBot="1" x14ac:dyDescent="0.45">
      <c r="A2759" s="329" t="s">
        <v>736</v>
      </c>
      <c r="B2759" s="799" t="s">
        <v>1215</v>
      </c>
      <c r="C2759" s="528">
        <f>C2675</f>
        <v>0</v>
      </c>
      <c r="D2759" s="530">
        <f>C2759*10</f>
        <v>0</v>
      </c>
      <c r="E2759" s="460">
        <f>D2759*0.16</f>
        <v>0</v>
      </c>
      <c r="F2759" s="324">
        <f>E2759*0.99*1.02/170</f>
        <v>0</v>
      </c>
      <c r="G2759" s="324">
        <f>INT(M2759)</f>
        <v>0</v>
      </c>
      <c r="H2759" s="324" t="s">
        <v>18</v>
      </c>
      <c r="I2759" s="528">
        <f>(M2759-G2759)*64</f>
        <v>0</v>
      </c>
      <c r="J2759" s="324" t="s">
        <v>19</v>
      </c>
      <c r="K2759" s="324"/>
      <c r="L2759" s="324"/>
      <c r="M2759" s="324">
        <f>(F2759*8500)/3456</f>
        <v>0</v>
      </c>
      <c r="N2759" s="324"/>
      <c r="O2759" s="324"/>
      <c r="P2759" s="324"/>
      <c r="Q2759" s="324" t="s">
        <v>18</v>
      </c>
      <c r="R2759" s="324"/>
      <c r="S2759" s="324" t="s">
        <v>19</v>
      </c>
      <c r="T2759" s="528">
        <v>2</v>
      </c>
      <c r="U2759" s="324">
        <f>E2759/237*60</f>
        <v>0</v>
      </c>
      <c r="V2759" s="676"/>
      <c r="W2759" s="528"/>
      <c r="X2759" s="529"/>
      <c r="Y2759" s="323"/>
      <c r="Z2759" s="312">
        <f t="shared" si="1032"/>
        <v>0</v>
      </c>
      <c r="AA2759" s="316">
        <f>SUM(Z2759/97.92+0.25)</f>
        <v>0.25</v>
      </c>
    </row>
    <row r="2760" spans="1:27" ht="53.25" thickBot="1" x14ac:dyDescent="0.45">
      <c r="A2760" s="329" t="s">
        <v>736</v>
      </c>
      <c r="B2760" s="879" t="s">
        <v>1211</v>
      </c>
      <c r="C2760" s="528">
        <f>C331+C561+C789+C971+C1152</f>
        <v>0</v>
      </c>
      <c r="D2760" s="551">
        <f>C2760*14</f>
        <v>0</v>
      </c>
      <c r="E2760" s="456">
        <f>D2760*0.25</f>
        <v>0</v>
      </c>
      <c r="F2760" s="358">
        <f>E2760*0.99*1.03/147</f>
        <v>0</v>
      </c>
      <c r="G2760" s="548">
        <f>INT(M2760)</f>
        <v>0</v>
      </c>
      <c r="H2760" s="358" t="s">
        <v>18</v>
      </c>
      <c r="I2760" s="548">
        <f>(M2760-G2760)*64</f>
        <v>0</v>
      </c>
      <c r="J2760" s="358" t="s">
        <v>19</v>
      </c>
      <c r="K2760" s="358"/>
      <c r="L2760" s="358"/>
      <c r="M2760" s="358">
        <f>(F2760*6989)/2880</f>
        <v>0</v>
      </c>
      <c r="N2760" s="358"/>
      <c r="O2760" s="358"/>
      <c r="P2760" s="358"/>
      <c r="Q2760" s="358" t="s">
        <v>18</v>
      </c>
      <c r="R2760" s="358"/>
      <c r="S2760" s="358" t="s">
        <v>19</v>
      </c>
      <c r="T2760" s="528">
        <v>2</v>
      </c>
      <c r="U2760" s="324">
        <f>E2760/403*60</f>
        <v>0</v>
      </c>
      <c r="V2760" s="676"/>
      <c r="W2760" s="528"/>
      <c r="X2760" s="529"/>
      <c r="Y2760" s="323"/>
      <c r="Z2760" s="312">
        <f t="shared" si="1032"/>
        <v>0</v>
      </c>
      <c r="AA2760" s="316">
        <f>SUM(Z2760/97.92+0.25)</f>
        <v>0.25</v>
      </c>
    </row>
    <row r="2761" spans="1:27" ht="53.25" thickBot="1" x14ac:dyDescent="0.45">
      <c r="A2761" s="329" t="s">
        <v>736</v>
      </c>
      <c r="B2761" s="879" t="s">
        <v>1213</v>
      </c>
      <c r="C2761" s="528">
        <f>C562+C790+C972+C1153+C332</f>
        <v>0</v>
      </c>
      <c r="D2761" s="551">
        <f>C2761*14</f>
        <v>0</v>
      </c>
      <c r="E2761" s="456">
        <f>D2761*0.25</f>
        <v>0</v>
      </c>
      <c r="F2761" s="358">
        <f>E2761*0.99*1.03/147</f>
        <v>0</v>
      </c>
      <c r="G2761" s="548">
        <f>INT(M2761)</f>
        <v>0</v>
      </c>
      <c r="H2761" s="358" t="s">
        <v>18</v>
      </c>
      <c r="I2761" s="548">
        <f>(M2761-G2761)*64</f>
        <v>0</v>
      </c>
      <c r="J2761" s="358" t="s">
        <v>19</v>
      </c>
      <c r="K2761" s="358"/>
      <c r="L2761" s="358"/>
      <c r="M2761" s="358">
        <f>(F2761*6989)/2880</f>
        <v>0</v>
      </c>
      <c r="N2761" s="358"/>
      <c r="O2761" s="358"/>
      <c r="P2761" s="358"/>
      <c r="Q2761" s="358" t="s">
        <v>18</v>
      </c>
      <c r="R2761" s="358"/>
      <c r="S2761" s="358" t="s">
        <v>19</v>
      </c>
      <c r="T2761" s="528">
        <v>2</v>
      </c>
      <c r="U2761" s="324">
        <f>E2761/403*60</f>
        <v>0</v>
      </c>
      <c r="V2761" s="676"/>
      <c r="W2761" s="528"/>
      <c r="X2761" s="529"/>
      <c r="Y2761" s="323"/>
      <c r="Z2761" s="312">
        <f t="shared" si="1032"/>
        <v>0</v>
      </c>
      <c r="AA2761" s="316">
        <f>SUM(Z2761/97.92+0.25)</f>
        <v>0.25</v>
      </c>
    </row>
    <row r="2762" spans="1:27" ht="53.25" thickBot="1" x14ac:dyDescent="0.45">
      <c r="A2762" s="329" t="s">
        <v>736</v>
      </c>
      <c r="B2762" s="879" t="s">
        <v>1212</v>
      </c>
      <c r="C2762" s="528">
        <f>C333+C563+C791</f>
        <v>0</v>
      </c>
      <c r="D2762" s="551">
        <f>C2762*14</f>
        <v>0</v>
      </c>
      <c r="E2762" s="456">
        <f>D2762*0.25</f>
        <v>0</v>
      </c>
      <c r="F2762" s="358">
        <f>E2762*0.99*1.03/147</f>
        <v>0</v>
      </c>
      <c r="G2762" s="548">
        <f>INT(M2762)</f>
        <v>0</v>
      </c>
      <c r="H2762" s="358" t="s">
        <v>18</v>
      </c>
      <c r="I2762" s="548">
        <f>(M2762-G2762)*64</f>
        <v>0</v>
      </c>
      <c r="J2762" s="358" t="s">
        <v>19</v>
      </c>
      <c r="K2762" s="358"/>
      <c r="L2762" s="358"/>
      <c r="M2762" s="358">
        <f>(F2762*6989)/2880</f>
        <v>0</v>
      </c>
      <c r="N2762" s="358"/>
      <c r="O2762" s="358"/>
      <c r="P2762" s="358"/>
      <c r="Q2762" s="358" t="s">
        <v>18</v>
      </c>
      <c r="R2762" s="358"/>
      <c r="S2762" s="358" t="s">
        <v>19</v>
      </c>
      <c r="T2762" s="528">
        <v>2</v>
      </c>
      <c r="U2762" s="324">
        <f>E2762/403*60</f>
        <v>0</v>
      </c>
      <c r="V2762" s="676"/>
      <c r="W2762" s="528"/>
      <c r="X2762" s="529"/>
      <c r="Y2762" s="323"/>
      <c r="Z2762" s="312">
        <f t="shared" si="1032"/>
        <v>0</v>
      </c>
      <c r="AA2762" s="316">
        <f>SUM(Z2762/97.92+0.25)</f>
        <v>0.25</v>
      </c>
    </row>
    <row r="2763" spans="1:27" ht="77.25" outlineLevel="1" thickBot="1" x14ac:dyDescent="0.45">
      <c r="A2763" s="329" t="s">
        <v>736</v>
      </c>
      <c r="B2763" s="799" t="s">
        <v>1214</v>
      </c>
      <c r="C2763" s="586">
        <f>C282+C512+C742+C962+C1107</f>
        <v>0</v>
      </c>
      <c r="D2763" s="528">
        <f>C2763*14</f>
        <v>0</v>
      </c>
      <c r="E2763" s="460">
        <f>D2763*0.25</f>
        <v>0</v>
      </c>
      <c r="F2763" s="324">
        <f>E2763*1.05*0.99/135</f>
        <v>0</v>
      </c>
      <c r="G2763" s="528">
        <f>INT(M2763)</f>
        <v>0</v>
      </c>
      <c r="H2763" s="324" t="s">
        <v>18</v>
      </c>
      <c r="I2763" s="528">
        <f>(M2763-G2763)*64</f>
        <v>0</v>
      </c>
      <c r="J2763" s="324" t="s">
        <v>19</v>
      </c>
      <c r="K2763" s="324"/>
      <c r="L2763" s="324"/>
      <c r="M2763" s="324">
        <f>(F2763*6253)/2880</f>
        <v>0</v>
      </c>
      <c r="N2763" s="324"/>
      <c r="O2763" s="324"/>
      <c r="P2763" s="324"/>
      <c r="Q2763" s="324" t="s">
        <v>18</v>
      </c>
      <c r="R2763" s="324"/>
      <c r="S2763" s="324" t="s">
        <v>19</v>
      </c>
      <c r="T2763" s="528">
        <v>2</v>
      </c>
      <c r="U2763" s="324">
        <f>E2763/259*60</f>
        <v>0</v>
      </c>
      <c r="V2763" s="676"/>
      <c r="W2763" s="528"/>
      <c r="X2763" s="529"/>
      <c r="Y2763" s="323"/>
      <c r="Z2763" s="312">
        <f t="shared" si="1032"/>
        <v>0</v>
      </c>
      <c r="AA2763" s="316">
        <f>SUM(Z2763/97.92+0.25)</f>
        <v>0.25</v>
      </c>
    </row>
    <row r="2764" spans="1:27" outlineLevel="1" thickBot="1" x14ac:dyDescent="0.45">
      <c r="A2764" s="329"/>
      <c r="B2764" s="877"/>
      <c r="C2764" s="583"/>
      <c r="D2764" s="584"/>
      <c r="E2764" s="459"/>
      <c r="F2764" s="393"/>
      <c r="G2764" s="393"/>
      <c r="H2764" s="393"/>
      <c r="I2764" s="583"/>
      <c r="J2764" s="393"/>
      <c r="K2764" s="585"/>
      <c r="L2764" s="324"/>
      <c r="M2764" s="324"/>
      <c r="N2764" s="324"/>
      <c r="O2764" s="324"/>
      <c r="P2764" s="324"/>
      <c r="Q2764" s="324"/>
      <c r="R2764" s="324"/>
      <c r="S2764" s="324"/>
      <c r="T2764" s="528"/>
      <c r="U2764" s="324"/>
      <c r="V2764" s="676"/>
      <c r="W2764" s="528"/>
      <c r="X2764" s="529"/>
      <c r="Y2764" s="323"/>
    </row>
    <row r="2765" spans="1:27" outlineLevel="1" thickBot="1" x14ac:dyDescent="0.45">
      <c r="A2765" s="329"/>
      <c r="B2765" s="344"/>
      <c r="C2765" s="583"/>
      <c r="D2765" s="584"/>
      <c r="E2765" s="459"/>
      <c r="F2765" s="393"/>
      <c r="G2765" s="393"/>
      <c r="H2765" s="393"/>
      <c r="I2765" s="583"/>
      <c r="J2765" s="393"/>
      <c r="K2765" s="585"/>
      <c r="L2765" s="324"/>
      <c r="M2765" s="324"/>
      <c r="N2765" s="324"/>
      <c r="O2765" s="324"/>
      <c r="P2765" s="324"/>
      <c r="Q2765" s="324"/>
      <c r="R2765" s="324"/>
      <c r="S2765" s="324"/>
      <c r="T2765" s="528"/>
      <c r="U2765" s="324"/>
      <c r="V2765" s="676"/>
      <c r="W2765" s="528"/>
      <c r="X2765" s="529"/>
      <c r="Y2765" s="323"/>
    </row>
    <row r="2766" spans="1:27" ht="53.25" outlineLevel="1" thickBot="1" x14ac:dyDescent="0.45">
      <c r="A2766" s="319"/>
      <c r="B2766" s="394" t="s">
        <v>695</v>
      </c>
      <c r="C2766" s="537"/>
      <c r="D2766" s="537"/>
      <c r="E2766" s="496"/>
      <c r="F2766" s="354"/>
      <c r="G2766" s="537"/>
      <c r="H2766" s="354"/>
      <c r="I2766" s="537"/>
      <c r="J2766" s="354"/>
      <c r="K2766" s="354"/>
      <c r="L2766" s="354"/>
      <c r="M2766" s="354"/>
      <c r="N2766" s="354"/>
      <c r="O2766" s="354"/>
      <c r="P2766" s="354"/>
      <c r="Q2766" s="354"/>
      <c r="R2766" s="354"/>
      <c r="S2766" s="354"/>
      <c r="T2766" s="537"/>
      <c r="U2766" s="354"/>
      <c r="V2766" s="682" t="s">
        <v>698</v>
      </c>
      <c r="W2766" s="537"/>
      <c r="X2766" s="540"/>
      <c r="Y2766" s="323"/>
    </row>
    <row r="2767" spans="1:27" outlineLevel="1" thickBot="1" x14ac:dyDescent="0.45">
      <c r="A2767" s="319"/>
      <c r="B2767" s="364"/>
      <c r="C2767" s="528"/>
      <c r="D2767" s="528"/>
      <c r="E2767" s="460"/>
      <c r="F2767" s="324"/>
      <c r="G2767" s="528"/>
      <c r="H2767" s="324"/>
      <c r="I2767" s="528"/>
      <c r="J2767" s="324"/>
      <c r="K2767" s="324"/>
      <c r="L2767" s="324"/>
      <c r="M2767" s="324"/>
      <c r="N2767" s="324"/>
      <c r="O2767" s="324"/>
      <c r="P2767" s="324"/>
      <c r="Q2767" s="324"/>
      <c r="R2767" s="324"/>
      <c r="S2767" s="324"/>
      <c r="T2767" s="528"/>
      <c r="U2767" s="324"/>
      <c r="V2767" s="676"/>
      <c r="W2767" s="528"/>
      <c r="X2767" s="529"/>
      <c r="Y2767" s="323"/>
    </row>
    <row r="2768" spans="1:27" outlineLevel="1" thickBot="1" x14ac:dyDescent="0.45">
      <c r="A2768" s="329"/>
      <c r="B2768" s="364"/>
      <c r="C2768" s="528"/>
      <c r="D2768" s="528"/>
      <c r="E2768" s="460"/>
      <c r="F2768" s="324"/>
      <c r="G2768" s="528"/>
      <c r="H2768" s="324"/>
      <c r="I2768" s="528"/>
      <c r="J2768" s="324"/>
      <c r="K2768" s="324"/>
      <c r="L2768" s="324"/>
      <c r="M2768" s="324"/>
      <c r="N2768" s="324"/>
      <c r="O2768" s="324"/>
      <c r="P2768" s="324"/>
      <c r="Q2768" s="324"/>
      <c r="R2768" s="324"/>
      <c r="S2768" s="324"/>
      <c r="T2768" s="528"/>
      <c r="U2768" s="324"/>
      <c r="V2768" s="676"/>
      <c r="W2768" s="528"/>
      <c r="X2768" s="529"/>
      <c r="Y2768" s="323"/>
    </row>
    <row r="2769" spans="1:28" outlineLevel="1" thickBot="1" x14ac:dyDescent="0.45">
      <c r="A2769" s="329"/>
      <c r="B2769" s="382" t="s">
        <v>147</v>
      </c>
      <c r="C2769" s="537"/>
      <c r="D2769" s="537"/>
      <c r="E2769" s="496">
        <f>E2691+E2692+E2693+E2694+E2696+E2697+E2698+E2699+E2700+E2701+E2702+E2703+E2704+E2705+E2706+E2707+E2708+E2709+E2710+E2711+E2712+E2713+E2714+E2715+E2716+E2717+E2718+E2719+E2720+E2721+E2722+E2723+E2724+E2725+E2726+E2727+E2728+E2729+E2730+E2731+E2732+E2733+E2734+E2735+E2736+E2739+E2740+E2741+E2743+E2745+E2747+E2748+E2749+E2751+E2752+E2753+E2754+E2755+E2737+E2738+E2742+E2756+E2758+E2759+E2760+E2761+E2762+E2763+E2750+E2746+E2744+E2695</f>
        <v>19920</v>
      </c>
      <c r="F2769" s="324"/>
      <c r="G2769" s="528"/>
      <c r="H2769" s="324"/>
      <c r="I2769" s="528"/>
      <c r="J2769" s="324"/>
      <c r="K2769" s="324"/>
      <c r="L2769" s="324"/>
      <c r="M2769" s="324"/>
      <c r="N2769" s="324"/>
      <c r="O2769" s="324"/>
      <c r="P2769" s="324"/>
      <c r="Q2769" s="324"/>
      <c r="R2769" s="324"/>
      <c r="S2769" s="324"/>
      <c r="T2769" s="528"/>
      <c r="U2769" s="324"/>
      <c r="V2769" s="676"/>
      <c r="W2769" s="528"/>
      <c r="X2769" s="529"/>
      <c r="Y2769" s="323"/>
    </row>
    <row r="2770" spans="1:28" outlineLevel="1" thickBot="1" x14ac:dyDescent="0.45">
      <c r="A2770" s="350"/>
      <c r="B2770" s="382" t="s">
        <v>709</v>
      </c>
      <c r="C2770" s="537"/>
      <c r="D2770" s="537"/>
      <c r="E2770" s="496">
        <f>E2685+E2686+E2687+E2688+E2689</f>
        <v>0</v>
      </c>
      <c r="F2770" s="324"/>
      <c r="G2770" s="528"/>
      <c r="H2770" s="324"/>
      <c r="I2770" s="528"/>
      <c r="J2770" s="324"/>
      <c r="K2770" s="324"/>
      <c r="L2770" s="324"/>
      <c r="M2770" s="324"/>
      <c r="N2770" s="324"/>
      <c r="O2770" s="324"/>
      <c r="P2770" s="324"/>
      <c r="Q2770" s="324"/>
      <c r="R2770" s="324"/>
      <c r="S2770" s="324"/>
      <c r="T2770" s="528"/>
      <c r="U2770" s="324"/>
      <c r="V2770" s="676"/>
      <c r="W2770" s="528"/>
      <c r="X2770" s="529"/>
      <c r="Y2770" s="323"/>
    </row>
    <row r="2771" spans="1:28" outlineLevel="1" thickBot="1" x14ac:dyDescent="0.45">
      <c r="A2771" s="350"/>
      <c r="B2771" s="357"/>
      <c r="C2771" s="539"/>
      <c r="D2771" s="539"/>
      <c r="E2771" s="502"/>
      <c r="F2771" s="333"/>
      <c r="G2771" s="539"/>
      <c r="H2771" s="333"/>
      <c r="I2771" s="539"/>
      <c r="J2771" s="333"/>
      <c r="K2771" s="333"/>
      <c r="L2771" s="333"/>
      <c r="M2771" s="333"/>
      <c r="N2771" s="333"/>
      <c r="O2771" s="333"/>
      <c r="P2771" s="333"/>
      <c r="Q2771" s="333"/>
      <c r="R2771" s="333"/>
      <c r="S2771" s="333"/>
      <c r="T2771" s="539"/>
      <c r="U2771" s="333"/>
      <c r="V2771" s="681"/>
      <c r="W2771" s="539"/>
      <c r="X2771" s="333"/>
      <c r="Y2771" s="323"/>
    </row>
    <row r="2772" spans="1:28" outlineLevel="1" thickBot="1" x14ac:dyDescent="0.45">
      <c r="A2772" s="350"/>
      <c r="B2772" s="357"/>
      <c r="C2772" s="539"/>
      <c r="D2772" s="539"/>
      <c r="E2772" s="502"/>
      <c r="F2772" s="333"/>
      <c r="G2772" s="539"/>
      <c r="H2772" s="333"/>
      <c r="I2772" s="539"/>
      <c r="J2772" s="333"/>
      <c r="K2772" s="333"/>
      <c r="L2772" s="333"/>
      <c r="M2772" s="333"/>
      <c r="N2772" s="333"/>
      <c r="O2772" s="333"/>
      <c r="P2772" s="333"/>
      <c r="Q2772" s="333"/>
      <c r="R2772" s="333"/>
      <c r="S2772" s="333"/>
      <c r="T2772" s="539"/>
      <c r="U2772" s="333"/>
      <c r="V2772" s="681"/>
      <c r="W2772" s="539"/>
      <c r="X2772" s="333"/>
      <c r="Y2772" s="323"/>
    </row>
    <row r="2773" spans="1:28" outlineLevel="1" thickBot="1" x14ac:dyDescent="0.45">
      <c r="A2773" s="829"/>
      <c r="B2773" s="303" t="s">
        <v>806</v>
      </c>
      <c r="C2773" s="537"/>
      <c r="D2773" s="537"/>
      <c r="E2773" s="496"/>
      <c r="F2773" s="354"/>
      <c r="G2773" s="537"/>
      <c r="H2773" s="354"/>
      <c r="I2773" s="537"/>
      <c r="J2773" s="354"/>
      <c r="K2773" s="354"/>
      <c r="L2773" s="354"/>
      <c r="M2773" s="354"/>
      <c r="N2773" s="354"/>
      <c r="O2773" s="354"/>
      <c r="P2773" s="354"/>
      <c r="Q2773" s="354"/>
      <c r="R2773" s="354"/>
      <c r="S2773" s="354"/>
      <c r="T2773" s="537"/>
      <c r="U2773" s="354"/>
      <c r="V2773" s="682"/>
      <c r="W2773" s="354"/>
      <c r="X2773" s="540"/>
      <c r="Y2773" s="301"/>
      <c r="AA2773" s="391" t="s">
        <v>678</v>
      </c>
    </row>
    <row r="2774" spans="1:28" outlineLevel="1" thickBot="1" x14ac:dyDescent="0.45">
      <c r="A2774" s="830"/>
      <c r="B2774" s="395" t="s">
        <v>294</v>
      </c>
      <c r="C2774" s="528"/>
      <c r="D2774" s="528"/>
      <c r="E2774" s="460"/>
      <c r="F2774" s="324"/>
      <c r="G2774" s="528"/>
      <c r="H2774" s="324"/>
      <c r="I2774" s="528"/>
      <c r="J2774" s="324"/>
      <c r="K2774" s="324"/>
      <c r="L2774" s="324"/>
      <c r="M2774" s="324"/>
      <c r="N2774" s="324"/>
      <c r="O2774" s="324"/>
      <c r="P2774" s="324"/>
      <c r="Q2774" s="324"/>
      <c r="R2774" s="324"/>
      <c r="S2774" s="324"/>
      <c r="T2774" s="528"/>
      <c r="U2774" s="324"/>
      <c r="V2774" s="676"/>
      <c r="W2774" s="324"/>
      <c r="X2774" s="529"/>
      <c r="Y2774" s="323"/>
    </row>
    <row r="2775" spans="1:28" ht="53.25" outlineLevel="1" thickBot="1" x14ac:dyDescent="0.45">
      <c r="A2775" s="319" t="s">
        <v>805</v>
      </c>
      <c r="B2775" s="320" t="s">
        <v>614</v>
      </c>
      <c r="C2775" s="586">
        <f>C1931</f>
        <v>0</v>
      </c>
      <c r="D2775" s="533">
        <f>C2775*12</f>
        <v>0</v>
      </c>
      <c r="E2775" s="534">
        <f>D2775*0.2</f>
        <v>0</v>
      </c>
      <c r="F2775" s="321">
        <f>D2775*22*0.0086/24.7</f>
        <v>0</v>
      </c>
      <c r="G2775" s="533">
        <f>INT(M2775)</f>
        <v>0</v>
      </c>
      <c r="H2775" s="321" t="s">
        <v>18</v>
      </c>
      <c r="I2775" s="533">
        <f>(M2775-G2775)*64</f>
        <v>0</v>
      </c>
      <c r="J2775" s="321" t="s">
        <v>19</v>
      </c>
      <c r="K2775" s="324"/>
      <c r="L2775" s="324"/>
      <c r="M2775" s="321">
        <f>F2775*3024/16128</f>
        <v>0</v>
      </c>
      <c r="N2775" s="324"/>
      <c r="O2775" s="324"/>
      <c r="P2775" s="324"/>
      <c r="Q2775" s="324" t="s">
        <v>18</v>
      </c>
      <c r="R2775" s="324"/>
      <c r="S2775" s="324" t="s">
        <v>19</v>
      </c>
      <c r="T2775" s="528">
        <v>2</v>
      </c>
      <c r="U2775" s="324">
        <f>E2775/207*60</f>
        <v>0</v>
      </c>
      <c r="V2775" s="676"/>
      <c r="W2775" s="528"/>
      <c r="X2775" s="529"/>
      <c r="Y2775" s="323"/>
      <c r="Z2775" s="312">
        <f>E2775</f>
        <v>0</v>
      </c>
      <c r="AA2775" s="316">
        <f>SUM(Z2775/104.4+0.25)</f>
        <v>0.25</v>
      </c>
    </row>
    <row r="2776" spans="1:28" ht="53.25" outlineLevel="1" thickBot="1" x14ac:dyDescent="0.45">
      <c r="A2776" s="319" t="s">
        <v>805</v>
      </c>
      <c r="B2776" s="328" t="s">
        <v>615</v>
      </c>
      <c r="C2776" s="586">
        <f>C1932</f>
        <v>0</v>
      </c>
      <c r="D2776" s="533">
        <f>C2776*12</f>
        <v>0</v>
      </c>
      <c r="E2776" s="534">
        <f>D2776*0.2</f>
        <v>0</v>
      </c>
      <c r="F2776" s="321">
        <f>D2776*22*0.0086/24.7</f>
        <v>0</v>
      </c>
      <c r="G2776" s="533">
        <f>INT(M2776)</f>
        <v>0</v>
      </c>
      <c r="H2776" s="321" t="s">
        <v>18</v>
      </c>
      <c r="I2776" s="533">
        <f>(M2776-G2776)*64</f>
        <v>0</v>
      </c>
      <c r="J2776" s="321" t="s">
        <v>19</v>
      </c>
      <c r="K2776" s="324"/>
      <c r="L2776" s="324"/>
      <c r="M2776" s="321">
        <f>F2776*3024/16128</f>
        <v>0</v>
      </c>
      <c r="N2776" s="324"/>
      <c r="O2776" s="324"/>
      <c r="P2776" s="324"/>
      <c r="Q2776" s="324" t="s">
        <v>18</v>
      </c>
      <c r="R2776" s="324"/>
      <c r="S2776" s="324" t="s">
        <v>19</v>
      </c>
      <c r="T2776" s="528">
        <v>2</v>
      </c>
      <c r="U2776" s="324">
        <f>E2776/207*60</f>
        <v>0</v>
      </c>
      <c r="V2776" s="676"/>
      <c r="W2776" s="528"/>
      <c r="X2776" s="529"/>
      <c r="Y2776" s="323"/>
      <c r="Z2776" s="312">
        <f>E2776</f>
        <v>0</v>
      </c>
      <c r="AA2776" s="316">
        <f>SUM(Z2776/104.4+0.25)</f>
        <v>0.25</v>
      </c>
    </row>
    <row r="2777" spans="1:28" ht="77.25" outlineLevel="1" thickBot="1" x14ac:dyDescent="0.45">
      <c r="A2777" s="319" t="s">
        <v>805</v>
      </c>
      <c r="B2777" s="320" t="s">
        <v>894</v>
      </c>
      <c r="C2777" s="528">
        <f>C2229</f>
        <v>0</v>
      </c>
      <c r="D2777" s="532">
        <f>C2777*12</f>
        <v>0</v>
      </c>
      <c r="E2777" s="472">
        <f>D2777*0.27</f>
        <v>0</v>
      </c>
      <c r="F2777" s="472">
        <f>E2777*1.03*0.87/19.3</f>
        <v>0</v>
      </c>
      <c r="G2777" s="531">
        <f>INT(M2777)</f>
        <v>0</v>
      </c>
      <c r="H2777" s="472" t="s">
        <v>18</v>
      </c>
      <c r="I2777" s="531">
        <f>(M2777-G2777)*64</f>
        <v>0</v>
      </c>
      <c r="J2777" s="472" t="s">
        <v>19</v>
      </c>
      <c r="K2777" s="472"/>
      <c r="L2777" s="472"/>
      <c r="M2777" s="472">
        <f>(F2777*877/2880)</f>
        <v>0</v>
      </c>
      <c r="N2777" s="472"/>
      <c r="O2777" s="461"/>
      <c r="P2777" s="461"/>
      <c r="Q2777" s="461" t="s">
        <v>18</v>
      </c>
      <c r="R2777" s="461"/>
      <c r="S2777" s="461" t="s">
        <v>19</v>
      </c>
      <c r="T2777" s="528">
        <v>3</v>
      </c>
      <c r="U2777" s="324">
        <f>E2777/259*60</f>
        <v>0</v>
      </c>
      <c r="V2777" s="676"/>
      <c r="W2777" s="528"/>
      <c r="X2777" s="529"/>
      <c r="Y2777" s="323"/>
      <c r="Z2777" s="312">
        <f>E2777</f>
        <v>0</v>
      </c>
      <c r="AA2777" s="316">
        <f>SUM(Z2777/168+0.25)</f>
        <v>0.25</v>
      </c>
      <c r="AB2777" s="352"/>
    </row>
    <row r="2778" spans="1:28" ht="77.25" outlineLevel="1" thickBot="1" x14ac:dyDescent="0.45">
      <c r="A2778" s="319" t="s">
        <v>805</v>
      </c>
      <c r="B2778" s="320" t="s">
        <v>1005</v>
      </c>
      <c r="C2778" s="528">
        <f>C2086</f>
        <v>0</v>
      </c>
      <c r="D2778" s="530">
        <f>C2778*1</f>
        <v>0</v>
      </c>
      <c r="E2778" s="546">
        <f>D2778*0.65</f>
        <v>0</v>
      </c>
      <c r="F2778" s="546">
        <f>E2778*1.03*0.87/19.3</f>
        <v>0</v>
      </c>
      <c r="G2778" s="639">
        <f>INT(M2778)</f>
        <v>0</v>
      </c>
      <c r="H2778" s="546" t="s">
        <v>18</v>
      </c>
      <c r="I2778" s="639">
        <f>(M2778-G2778)*64</f>
        <v>0</v>
      </c>
      <c r="J2778" s="546" t="s">
        <v>19</v>
      </c>
      <c r="K2778" s="546"/>
      <c r="L2778" s="546"/>
      <c r="M2778" s="546">
        <f>(F2778*877/2880)</f>
        <v>0</v>
      </c>
      <c r="N2778" s="546"/>
      <c r="O2778" s="324"/>
      <c r="P2778" s="324"/>
      <c r="Q2778" s="324" t="s">
        <v>18</v>
      </c>
      <c r="R2778" s="324"/>
      <c r="S2778" s="324" t="s">
        <v>19</v>
      </c>
      <c r="T2778" s="528">
        <v>3</v>
      </c>
      <c r="U2778" s="324">
        <f>E2778/259*60</f>
        <v>0</v>
      </c>
      <c r="V2778" s="676"/>
      <c r="W2778" s="528"/>
      <c r="X2778" s="529"/>
      <c r="Y2778" s="323"/>
      <c r="Z2778" s="312">
        <f>E2778</f>
        <v>0</v>
      </c>
      <c r="AA2778" s="316">
        <f>SUM(Z2778/168+0.25)</f>
        <v>0.25</v>
      </c>
      <c r="AB2778" s="352"/>
    </row>
    <row r="2779" spans="1:28" ht="102.75" outlineLevel="1" thickBot="1" x14ac:dyDescent="0.45">
      <c r="A2779" s="319" t="s">
        <v>805</v>
      </c>
      <c r="B2779" s="320" t="s">
        <v>843</v>
      </c>
      <c r="C2779" s="586">
        <f>C2579</f>
        <v>0</v>
      </c>
      <c r="D2779" s="528"/>
      <c r="E2779" s="546">
        <f>C2779*2</f>
        <v>0</v>
      </c>
      <c r="F2779" s="546">
        <f>E2779*1.03*0.87/19.3</f>
        <v>0</v>
      </c>
      <c r="G2779" s="639">
        <f>INT(M2779)</f>
        <v>0</v>
      </c>
      <c r="H2779" s="546" t="s">
        <v>18</v>
      </c>
      <c r="I2779" s="639">
        <f>(M2779-G2779)*64</f>
        <v>0</v>
      </c>
      <c r="J2779" s="546" t="s">
        <v>19</v>
      </c>
      <c r="K2779" s="546"/>
      <c r="L2779" s="546"/>
      <c r="M2779" s="546">
        <f>(F2779*877/2880)</f>
        <v>0</v>
      </c>
      <c r="N2779" s="546"/>
      <c r="O2779" s="324"/>
      <c r="P2779" s="324"/>
      <c r="Q2779" s="324" t="s">
        <v>18</v>
      </c>
      <c r="R2779" s="324"/>
      <c r="S2779" s="324" t="s">
        <v>19</v>
      </c>
      <c r="T2779" s="528">
        <v>2</v>
      </c>
      <c r="U2779" s="324">
        <f>E2779/259*60</f>
        <v>0</v>
      </c>
      <c r="V2779" s="676"/>
      <c r="W2779" s="528"/>
      <c r="X2779" s="529"/>
      <c r="Y2779" s="323"/>
      <c r="Z2779" s="312">
        <f>E2779</f>
        <v>0</v>
      </c>
      <c r="AA2779" s="316">
        <f>SUM(Z2779/390+0.25)</f>
        <v>0.25</v>
      </c>
    </row>
    <row r="2780" spans="1:28" outlineLevel="1" thickBot="1" x14ac:dyDescent="0.45">
      <c r="A2780" s="830"/>
      <c r="B2780" s="395" t="s">
        <v>670</v>
      </c>
      <c r="C2780" s="528"/>
      <c r="D2780" s="528"/>
      <c r="E2780" s="460"/>
      <c r="F2780" s="324"/>
      <c r="G2780" s="528"/>
      <c r="H2780" s="324"/>
      <c r="I2780" s="528"/>
      <c r="J2780" s="324"/>
      <c r="K2780" s="324"/>
      <c r="L2780" s="324"/>
      <c r="M2780" s="324"/>
      <c r="N2780" s="324"/>
      <c r="O2780" s="324"/>
      <c r="P2780" s="324"/>
      <c r="Q2780" s="324"/>
      <c r="R2780" s="324"/>
      <c r="S2780" s="324"/>
      <c r="T2780" s="528"/>
      <c r="U2780" s="324"/>
      <c r="V2780" s="676"/>
      <c r="W2780" s="324"/>
      <c r="X2780" s="529"/>
      <c r="Y2780" s="323"/>
    </row>
    <row r="2781" spans="1:28" ht="77.25" outlineLevel="1" thickBot="1" x14ac:dyDescent="0.45">
      <c r="A2781" s="319" t="s">
        <v>805</v>
      </c>
      <c r="B2781" s="343" t="s">
        <v>752</v>
      </c>
      <c r="C2781" s="587">
        <f>C170+C398+C626+C823+C1004</f>
        <v>0</v>
      </c>
      <c r="D2781" s="528"/>
      <c r="E2781" s="457">
        <f>C2781*3</f>
        <v>0</v>
      </c>
      <c r="F2781" s="358">
        <f>E2781*1.03*0.82/147</f>
        <v>0</v>
      </c>
      <c r="G2781" s="549">
        <f>INT(M2781)</f>
        <v>0</v>
      </c>
      <c r="H2781" s="359" t="s">
        <v>18</v>
      </c>
      <c r="I2781" s="549">
        <f>(M2781-G2781)*64</f>
        <v>0</v>
      </c>
      <c r="J2781" s="359" t="s">
        <v>19</v>
      </c>
      <c r="K2781" s="358"/>
      <c r="L2781" s="358"/>
      <c r="M2781" s="358">
        <f>(F2781*5547/3456)</f>
        <v>0</v>
      </c>
      <c r="N2781" s="324"/>
      <c r="O2781" s="324"/>
      <c r="P2781" s="324"/>
      <c r="Q2781" s="324" t="s">
        <v>18</v>
      </c>
      <c r="R2781" s="324"/>
      <c r="S2781" s="324" t="s">
        <v>19</v>
      </c>
      <c r="T2781" s="528">
        <v>2</v>
      </c>
      <c r="U2781" s="324">
        <f t="shared" ref="U2781:U2802" si="1033">E2781/324*60</f>
        <v>0</v>
      </c>
      <c r="V2781" s="676"/>
      <c r="W2781" s="528"/>
      <c r="X2781" s="529"/>
      <c r="Y2781" s="323"/>
      <c r="Z2781" s="312">
        <f t="shared" ref="Z2781:Z2845" si="1034">E2781</f>
        <v>0</v>
      </c>
      <c r="AA2781" s="316">
        <f>SUM(Z2781/585+0.25)</f>
        <v>0.25</v>
      </c>
    </row>
    <row r="2782" spans="1:28" ht="77.25" outlineLevel="1" thickBot="1" x14ac:dyDescent="0.45">
      <c r="A2782" s="319" t="s">
        <v>805</v>
      </c>
      <c r="B2782" s="343" t="s">
        <v>827</v>
      </c>
      <c r="C2782" s="587">
        <f>C837+C1018+C218+C448+C678</f>
        <v>0</v>
      </c>
      <c r="D2782" s="548">
        <f>C2782*12</f>
        <v>0</v>
      </c>
      <c r="E2782" s="456">
        <f>D2782*0.6</f>
        <v>0</v>
      </c>
      <c r="F2782" s="358">
        <f>E2782*1.03*0.82/147</f>
        <v>0</v>
      </c>
      <c r="G2782" s="549">
        <f t="shared" ref="G2782:G2807" si="1035">INT(M2782)</f>
        <v>0</v>
      </c>
      <c r="H2782" s="359" t="s">
        <v>18</v>
      </c>
      <c r="I2782" s="549">
        <f t="shared" ref="I2782:I2807" si="1036">(M2782-G2782)*64</f>
        <v>0</v>
      </c>
      <c r="J2782" s="359" t="s">
        <v>19</v>
      </c>
      <c r="K2782" s="358"/>
      <c r="L2782" s="358"/>
      <c r="M2782" s="358">
        <f>(F2782*5250/3456)</f>
        <v>0</v>
      </c>
      <c r="N2782" s="358"/>
      <c r="O2782" s="358"/>
      <c r="P2782" s="358"/>
      <c r="Q2782" s="358" t="s">
        <v>18</v>
      </c>
      <c r="R2782" s="358"/>
      <c r="S2782" s="358" t="s">
        <v>19</v>
      </c>
      <c r="T2782" s="528">
        <v>3</v>
      </c>
      <c r="U2782" s="324">
        <f t="shared" si="1033"/>
        <v>0</v>
      </c>
      <c r="V2782" s="676"/>
      <c r="W2782" s="528"/>
      <c r="X2782" s="529"/>
      <c r="Y2782" s="323"/>
      <c r="Z2782" s="312">
        <f t="shared" si="1034"/>
        <v>0</v>
      </c>
      <c r="AA2782" s="316">
        <f>SUM(Z2782/(168)+0.25)</f>
        <v>0.25</v>
      </c>
    </row>
    <row r="2783" spans="1:28" ht="77.25" outlineLevel="1" thickBot="1" x14ac:dyDescent="0.45">
      <c r="A2783" s="319" t="s">
        <v>805</v>
      </c>
      <c r="B2783" s="343" t="s">
        <v>1015</v>
      </c>
      <c r="C2783" s="528">
        <f>C838+C1019+C677+C447+C217</f>
        <v>0</v>
      </c>
      <c r="D2783" s="528">
        <f>C2783*12</f>
        <v>0</v>
      </c>
      <c r="E2783" s="460">
        <f>D2783*0.5</f>
        <v>0</v>
      </c>
      <c r="F2783" s="324">
        <f>E2783*1.03*0.82/147</f>
        <v>0</v>
      </c>
      <c r="G2783" s="537">
        <f t="shared" si="1035"/>
        <v>0</v>
      </c>
      <c r="H2783" s="354" t="s">
        <v>18</v>
      </c>
      <c r="I2783" s="537">
        <f t="shared" si="1036"/>
        <v>0</v>
      </c>
      <c r="J2783" s="354" t="s">
        <v>19</v>
      </c>
      <c r="K2783" s="324"/>
      <c r="L2783" s="324"/>
      <c r="M2783" s="324">
        <f>(F2783*5250/3456)</f>
        <v>0</v>
      </c>
      <c r="N2783" s="324"/>
      <c r="O2783" s="324"/>
      <c r="P2783" s="324"/>
      <c r="Q2783" s="324" t="s">
        <v>18</v>
      </c>
      <c r="R2783" s="324"/>
      <c r="S2783" s="324" t="s">
        <v>19</v>
      </c>
      <c r="T2783" s="528">
        <v>3</v>
      </c>
      <c r="U2783" s="324">
        <f t="shared" si="1033"/>
        <v>0</v>
      </c>
      <c r="V2783" s="676"/>
      <c r="W2783" s="528"/>
      <c r="X2783" s="529"/>
      <c r="Y2783" s="323"/>
      <c r="Z2783" s="312">
        <f t="shared" si="1034"/>
        <v>0</v>
      </c>
      <c r="AA2783" s="316">
        <f>SUM(Z2783/(168)+0.25)</f>
        <v>0.25</v>
      </c>
    </row>
    <row r="2784" spans="1:28" ht="77.25" outlineLevel="1" thickBot="1" x14ac:dyDescent="0.45">
      <c r="A2784" s="319" t="s">
        <v>805</v>
      </c>
      <c r="B2784" s="343" t="s">
        <v>971</v>
      </c>
      <c r="C2784" s="528">
        <f>C865+C1046</f>
        <v>0</v>
      </c>
      <c r="D2784" s="548"/>
      <c r="E2784" s="456">
        <f>C2784*0.3</f>
        <v>0</v>
      </c>
      <c r="F2784" s="358">
        <f>E2784*1.03*0.82/147</f>
        <v>0</v>
      </c>
      <c r="G2784" s="549">
        <f t="shared" si="1035"/>
        <v>0</v>
      </c>
      <c r="H2784" s="359" t="s">
        <v>18</v>
      </c>
      <c r="I2784" s="549">
        <f t="shared" si="1036"/>
        <v>0</v>
      </c>
      <c r="J2784" s="359" t="s">
        <v>19</v>
      </c>
      <c r="K2784" s="358"/>
      <c r="L2784" s="358"/>
      <c r="M2784" s="358">
        <f>(F2784*5547/3456)</f>
        <v>0</v>
      </c>
      <c r="N2784" s="461"/>
      <c r="O2784" s="461"/>
      <c r="P2784" s="461"/>
      <c r="Q2784" s="358" t="s">
        <v>18</v>
      </c>
      <c r="R2784" s="358"/>
      <c r="S2784" s="358" t="s">
        <v>19</v>
      </c>
      <c r="T2784" s="528">
        <v>3</v>
      </c>
      <c r="U2784" s="324">
        <f t="shared" si="1033"/>
        <v>0</v>
      </c>
      <c r="V2784" s="676"/>
      <c r="W2784" s="528"/>
      <c r="X2784" s="529"/>
      <c r="Y2784" s="323"/>
      <c r="Z2784" s="312">
        <f t="shared" si="1034"/>
        <v>0</v>
      </c>
      <c r="AA2784" s="316">
        <f>SUM(E2784/182+0.25)</f>
        <v>0.25</v>
      </c>
    </row>
    <row r="2785" spans="1:27" ht="77.25" outlineLevel="1" thickBot="1" x14ac:dyDescent="0.45">
      <c r="A2785" s="319" t="s">
        <v>805</v>
      </c>
      <c r="B2785" s="343" t="s">
        <v>967</v>
      </c>
      <c r="C2785" s="528">
        <f>C867+C1048</f>
        <v>0</v>
      </c>
      <c r="D2785" s="548"/>
      <c r="E2785" s="456">
        <f>C2785*0.3</f>
        <v>0</v>
      </c>
      <c r="F2785" s="358">
        <f>E2785*1.03*0.82/147</f>
        <v>0</v>
      </c>
      <c r="G2785" s="549">
        <f t="shared" si="1035"/>
        <v>0</v>
      </c>
      <c r="H2785" s="359" t="s">
        <v>18</v>
      </c>
      <c r="I2785" s="549">
        <f t="shared" si="1036"/>
        <v>0</v>
      </c>
      <c r="J2785" s="359" t="s">
        <v>19</v>
      </c>
      <c r="K2785" s="358"/>
      <c r="L2785" s="358"/>
      <c r="M2785" s="358">
        <f>(F2785*5547/3456)</f>
        <v>0</v>
      </c>
      <c r="N2785" s="461"/>
      <c r="O2785" s="461"/>
      <c r="P2785" s="461"/>
      <c r="Q2785" s="358" t="s">
        <v>18</v>
      </c>
      <c r="R2785" s="358"/>
      <c r="S2785" s="358" t="s">
        <v>19</v>
      </c>
      <c r="T2785" s="528">
        <v>3</v>
      </c>
      <c r="U2785" s="324">
        <f t="shared" si="1033"/>
        <v>0</v>
      </c>
      <c r="V2785" s="676"/>
      <c r="W2785" s="528"/>
      <c r="X2785" s="529"/>
      <c r="Y2785" s="323"/>
      <c r="Z2785" s="312">
        <f t="shared" si="1034"/>
        <v>0</v>
      </c>
      <c r="AA2785" s="316">
        <f>SUM(E2785/182+0.25)</f>
        <v>0.25</v>
      </c>
    </row>
    <row r="2786" spans="1:27" ht="77.25" outlineLevel="1" thickBot="1" x14ac:dyDescent="0.45">
      <c r="A2786" s="319" t="s">
        <v>805</v>
      </c>
      <c r="B2786" s="343" t="s">
        <v>968</v>
      </c>
      <c r="C2786" s="528">
        <f>C868+C1049</f>
        <v>0</v>
      </c>
      <c r="D2786" s="548"/>
      <c r="E2786" s="456">
        <f>C2786*0.3</f>
        <v>0</v>
      </c>
      <c r="F2786" s="358">
        <f>E2786*1.03*0.72/147</f>
        <v>0</v>
      </c>
      <c r="G2786" s="548">
        <f t="shared" si="1035"/>
        <v>0</v>
      </c>
      <c r="H2786" s="358" t="s">
        <v>18</v>
      </c>
      <c r="I2786" s="548">
        <f t="shared" si="1036"/>
        <v>0</v>
      </c>
      <c r="J2786" s="358" t="s">
        <v>19</v>
      </c>
      <c r="K2786" s="358"/>
      <c r="L2786" s="358"/>
      <c r="M2786" s="358">
        <f>(F2786*6035/3456)</f>
        <v>0</v>
      </c>
      <c r="N2786" s="461"/>
      <c r="O2786" s="461"/>
      <c r="P2786" s="461"/>
      <c r="Q2786" s="358" t="s">
        <v>18</v>
      </c>
      <c r="R2786" s="358"/>
      <c r="S2786" s="358" t="s">
        <v>19</v>
      </c>
      <c r="T2786" s="528">
        <v>3</v>
      </c>
      <c r="U2786" s="324">
        <f t="shared" si="1033"/>
        <v>0</v>
      </c>
      <c r="V2786" s="676"/>
      <c r="W2786" s="528"/>
      <c r="X2786" s="529"/>
      <c r="Y2786" s="323"/>
      <c r="Z2786" s="312">
        <f t="shared" si="1034"/>
        <v>0</v>
      </c>
      <c r="AA2786" s="316">
        <f>SUM(E2786/182+0.25)</f>
        <v>0.25</v>
      </c>
    </row>
    <row r="2787" spans="1:27" ht="77.25" outlineLevel="1" thickBot="1" x14ac:dyDescent="0.45">
      <c r="A2787" s="319" t="s">
        <v>805</v>
      </c>
      <c r="B2787" s="343" t="s">
        <v>1141</v>
      </c>
      <c r="C2787" s="528">
        <f>C869+C1050</f>
        <v>0</v>
      </c>
      <c r="D2787" s="548"/>
      <c r="E2787" s="456">
        <f>C2787*0.3</f>
        <v>0</v>
      </c>
      <c r="F2787" s="358">
        <f>E2787*1.03*0.72/147</f>
        <v>0</v>
      </c>
      <c r="G2787" s="548">
        <f>INT(M2787)</f>
        <v>0</v>
      </c>
      <c r="H2787" s="358" t="s">
        <v>18</v>
      </c>
      <c r="I2787" s="548">
        <f>(M2787-G2787)*64</f>
        <v>0</v>
      </c>
      <c r="J2787" s="358" t="s">
        <v>19</v>
      </c>
      <c r="K2787" s="358"/>
      <c r="L2787" s="358"/>
      <c r="M2787" s="358">
        <f>(F2787*6035/3456)</f>
        <v>0</v>
      </c>
      <c r="N2787" s="461"/>
      <c r="O2787" s="461"/>
      <c r="P2787" s="461"/>
      <c r="Q2787" s="358" t="s">
        <v>18</v>
      </c>
      <c r="R2787" s="358"/>
      <c r="S2787" s="358" t="s">
        <v>19</v>
      </c>
      <c r="T2787" s="528">
        <v>3</v>
      </c>
      <c r="U2787" s="324">
        <f t="shared" si="1033"/>
        <v>0</v>
      </c>
      <c r="V2787" s="676"/>
      <c r="W2787" s="528"/>
      <c r="X2787" s="529"/>
      <c r="Y2787" s="323"/>
      <c r="Z2787" s="312">
        <f t="shared" si="1034"/>
        <v>0</v>
      </c>
      <c r="AA2787" s="316">
        <f>SUM(E2787/182+0.25)</f>
        <v>0.25</v>
      </c>
    </row>
    <row r="2788" spans="1:27" ht="102.75" outlineLevel="1" thickBot="1" x14ac:dyDescent="0.45">
      <c r="A2788" s="319" t="s">
        <v>805</v>
      </c>
      <c r="B2788" s="320" t="s">
        <v>969</v>
      </c>
      <c r="C2788" s="528">
        <f>C2105</f>
        <v>0</v>
      </c>
      <c r="D2788" s="548"/>
      <c r="E2788" s="456">
        <f>C2788*0.3</f>
        <v>0</v>
      </c>
      <c r="F2788" s="358">
        <f>E2788*1.03*0.84/147</f>
        <v>0</v>
      </c>
      <c r="G2788" s="549">
        <f>INT(M2788)</f>
        <v>0</v>
      </c>
      <c r="H2788" s="359" t="s">
        <v>18</v>
      </c>
      <c r="I2788" s="549">
        <f>(M2788-G2788)*64</f>
        <v>0</v>
      </c>
      <c r="J2788" s="359" t="s">
        <v>19</v>
      </c>
      <c r="K2788" s="358"/>
      <c r="L2788" s="358"/>
      <c r="M2788" s="358">
        <f>(F2788*5547/3456)</f>
        <v>0</v>
      </c>
      <c r="N2788" s="461"/>
      <c r="O2788" s="461"/>
      <c r="P2788" s="461"/>
      <c r="Q2788" s="324" t="s">
        <v>18</v>
      </c>
      <c r="R2788" s="324"/>
      <c r="S2788" s="324" t="s">
        <v>19</v>
      </c>
      <c r="T2788" s="528">
        <v>3</v>
      </c>
      <c r="U2788" s="324">
        <f t="shared" si="1033"/>
        <v>0</v>
      </c>
      <c r="V2788" s="676"/>
      <c r="W2788" s="528"/>
      <c r="X2788" s="529"/>
      <c r="Y2788" s="323"/>
      <c r="Z2788" s="312">
        <f t="shared" si="1034"/>
        <v>0</v>
      </c>
      <c r="AA2788" s="316">
        <f>SUM(E2788/182+0.25)</f>
        <v>0.25</v>
      </c>
    </row>
    <row r="2789" spans="1:27" ht="102.75" outlineLevel="1" thickBot="1" x14ac:dyDescent="0.45">
      <c r="A2789" s="319" t="s">
        <v>805</v>
      </c>
      <c r="B2789" s="343" t="s">
        <v>857</v>
      </c>
      <c r="C2789" s="528">
        <f>C839+C1020</f>
        <v>0</v>
      </c>
      <c r="D2789" s="551">
        <f>C2789*12</f>
        <v>0</v>
      </c>
      <c r="E2789" s="456">
        <f>D2789*0.6</f>
        <v>0</v>
      </c>
      <c r="F2789" s="358">
        <f>E2789*1.01*0.72/147</f>
        <v>0</v>
      </c>
      <c r="G2789" s="548">
        <f>INT(M2789)</f>
        <v>0</v>
      </c>
      <c r="H2789" s="358" t="s">
        <v>18</v>
      </c>
      <c r="I2789" s="548">
        <f>(M2789-G2789)*64</f>
        <v>0</v>
      </c>
      <c r="J2789" s="358" t="s">
        <v>19</v>
      </c>
      <c r="K2789" s="358"/>
      <c r="L2789" s="358"/>
      <c r="M2789" s="358">
        <f>(F2789*6100/3456)</f>
        <v>0</v>
      </c>
      <c r="N2789" s="358"/>
      <c r="O2789" s="358"/>
      <c r="P2789" s="358"/>
      <c r="Q2789" s="358" t="s">
        <v>18</v>
      </c>
      <c r="R2789" s="358"/>
      <c r="S2789" s="358" t="s">
        <v>19</v>
      </c>
      <c r="T2789" s="528">
        <v>3</v>
      </c>
      <c r="U2789" s="324">
        <f t="shared" si="1033"/>
        <v>0</v>
      </c>
      <c r="V2789" s="676"/>
      <c r="W2789" s="528"/>
      <c r="X2789" s="529"/>
      <c r="Y2789" s="323"/>
      <c r="Z2789" s="312">
        <f t="shared" si="1034"/>
        <v>0</v>
      </c>
      <c r="AA2789" s="316">
        <f>SUM(Z2789/(168)+0.25)</f>
        <v>0.25</v>
      </c>
    </row>
    <row r="2790" spans="1:27" ht="102.75" outlineLevel="1" thickBot="1" x14ac:dyDescent="0.45">
      <c r="A2790" s="319" t="s">
        <v>805</v>
      </c>
      <c r="B2790" s="343" t="s">
        <v>908</v>
      </c>
      <c r="C2790" s="528">
        <f>C840+C1021</f>
        <v>0</v>
      </c>
      <c r="D2790" s="551">
        <f>C2790*12</f>
        <v>0</v>
      </c>
      <c r="E2790" s="456">
        <f>D2790*0.6</f>
        <v>0</v>
      </c>
      <c r="F2790" s="358">
        <f>E2790*1.01*0.72/147</f>
        <v>0</v>
      </c>
      <c r="G2790" s="548">
        <f>INT(M2790)</f>
        <v>0</v>
      </c>
      <c r="H2790" s="358" t="s">
        <v>18</v>
      </c>
      <c r="I2790" s="548">
        <f>(M2790-G2790)*64</f>
        <v>0</v>
      </c>
      <c r="J2790" s="358" t="s">
        <v>19</v>
      </c>
      <c r="K2790" s="358"/>
      <c r="L2790" s="358"/>
      <c r="M2790" s="358">
        <f>(F2790*6100/3456)</f>
        <v>0</v>
      </c>
      <c r="N2790" s="358"/>
      <c r="O2790" s="358"/>
      <c r="P2790" s="358"/>
      <c r="Q2790" s="358" t="s">
        <v>18</v>
      </c>
      <c r="R2790" s="358"/>
      <c r="S2790" s="358" t="s">
        <v>19</v>
      </c>
      <c r="T2790" s="528">
        <v>3</v>
      </c>
      <c r="U2790" s="324">
        <f t="shared" si="1033"/>
        <v>0</v>
      </c>
      <c r="V2790" s="676"/>
      <c r="W2790" s="528"/>
      <c r="X2790" s="529"/>
      <c r="Y2790" s="323"/>
      <c r="Z2790" s="312">
        <f t="shared" si="1034"/>
        <v>0</v>
      </c>
      <c r="AA2790" s="316">
        <f>SUM(Z2790/(168)+0.25)</f>
        <v>0.25</v>
      </c>
    </row>
    <row r="2791" spans="1:27" ht="77.25" outlineLevel="1" thickBot="1" x14ac:dyDescent="0.45">
      <c r="A2791" s="319" t="s">
        <v>805</v>
      </c>
      <c r="B2791" s="320" t="s">
        <v>896</v>
      </c>
      <c r="C2791" s="528">
        <f>C1440+C1653+C1959</f>
        <v>0</v>
      </c>
      <c r="D2791" s="528"/>
      <c r="E2791" s="456">
        <f>C2791*1.2</f>
        <v>0</v>
      </c>
      <c r="F2791" s="358">
        <f>E2791*1.01*0.72/147</f>
        <v>0</v>
      </c>
      <c r="G2791" s="548">
        <f t="shared" si="1035"/>
        <v>0</v>
      </c>
      <c r="H2791" s="358" t="s">
        <v>18</v>
      </c>
      <c r="I2791" s="548">
        <f t="shared" si="1036"/>
        <v>0</v>
      </c>
      <c r="J2791" s="358" t="s">
        <v>19</v>
      </c>
      <c r="K2791" s="358"/>
      <c r="L2791" s="358"/>
      <c r="M2791" s="358">
        <f>(F2791*6035/3456)</f>
        <v>0</v>
      </c>
      <c r="N2791" s="358"/>
      <c r="O2791" s="358"/>
      <c r="P2791" s="358"/>
      <c r="Q2791" s="358" t="s">
        <v>18</v>
      </c>
      <c r="R2791" s="358"/>
      <c r="S2791" s="358" t="s">
        <v>19</v>
      </c>
      <c r="T2791" s="528">
        <v>2</v>
      </c>
      <c r="U2791" s="324">
        <f t="shared" si="1033"/>
        <v>0</v>
      </c>
      <c r="V2791" s="685"/>
      <c r="W2791" s="528"/>
      <c r="X2791" s="529"/>
      <c r="Y2791" s="323"/>
      <c r="Z2791" s="312">
        <f t="shared" si="1034"/>
        <v>0</v>
      </c>
      <c r="AA2791" s="316">
        <f t="shared" ref="AA2791:AA2801" si="1037">SUM(Z2791/195+0.25)</f>
        <v>0.25</v>
      </c>
    </row>
    <row r="2792" spans="1:27" ht="77.25" outlineLevel="1" thickBot="1" x14ac:dyDescent="0.45">
      <c r="A2792" s="319" t="s">
        <v>805</v>
      </c>
      <c r="B2792" s="320" t="s">
        <v>1082</v>
      </c>
      <c r="C2792" s="528">
        <f>C1441+C1654+C1960</f>
        <v>0</v>
      </c>
      <c r="D2792" s="528"/>
      <c r="E2792" s="460">
        <f>C2792*1.2</f>
        <v>0</v>
      </c>
      <c r="F2792" s="324">
        <f>E2792*1.01*0.72/147</f>
        <v>0</v>
      </c>
      <c r="G2792" s="528">
        <f>INT(M2792)</f>
        <v>0</v>
      </c>
      <c r="H2792" s="324" t="s">
        <v>18</v>
      </c>
      <c r="I2792" s="528">
        <f>(M2792-G2792)*64</f>
        <v>0</v>
      </c>
      <c r="J2792" s="324" t="s">
        <v>19</v>
      </c>
      <c r="K2792" s="324"/>
      <c r="L2792" s="324"/>
      <c r="M2792" s="324">
        <f>(F2792*6035/3456)</f>
        <v>0</v>
      </c>
      <c r="N2792" s="324"/>
      <c r="O2792" s="324"/>
      <c r="P2792" s="324"/>
      <c r="Q2792" s="324" t="s">
        <v>18</v>
      </c>
      <c r="R2792" s="324"/>
      <c r="S2792" s="324" t="s">
        <v>19</v>
      </c>
      <c r="T2792" s="528">
        <v>2</v>
      </c>
      <c r="U2792" s="324">
        <f>E2792/324*60</f>
        <v>0</v>
      </c>
      <c r="V2792" s="685"/>
      <c r="W2792" s="528"/>
      <c r="X2792" s="529"/>
      <c r="Y2792" s="323"/>
      <c r="Z2792" s="312">
        <f>E2792</f>
        <v>0</v>
      </c>
      <c r="AA2792" s="316">
        <f>SUM(Z2792/195+0.25)</f>
        <v>0.25</v>
      </c>
    </row>
    <row r="2793" spans="1:27" ht="53.25" outlineLevel="1" thickBot="1" x14ac:dyDescent="0.45">
      <c r="A2793" s="319" t="s">
        <v>805</v>
      </c>
      <c r="B2793" s="320" t="s">
        <v>897</v>
      </c>
      <c r="C2793" s="528">
        <f>C184+C411+C639+C834+C1015</f>
        <v>0</v>
      </c>
      <c r="D2793" s="528"/>
      <c r="E2793" s="456">
        <f>C2793*1.2</f>
        <v>0</v>
      </c>
      <c r="F2793" s="358">
        <f>E2793*1.03*0.82/147</f>
        <v>0</v>
      </c>
      <c r="G2793" s="549">
        <f t="shared" si="1035"/>
        <v>0</v>
      </c>
      <c r="H2793" s="359" t="s">
        <v>18</v>
      </c>
      <c r="I2793" s="549">
        <f t="shared" si="1036"/>
        <v>0</v>
      </c>
      <c r="J2793" s="359" t="s">
        <v>19</v>
      </c>
      <c r="K2793" s="358"/>
      <c r="L2793" s="358"/>
      <c r="M2793" s="358">
        <f>(F2793*5547/3456)</f>
        <v>0</v>
      </c>
      <c r="N2793" s="358"/>
      <c r="O2793" s="358"/>
      <c r="P2793" s="358"/>
      <c r="Q2793" s="358" t="s">
        <v>18</v>
      </c>
      <c r="R2793" s="358"/>
      <c r="S2793" s="358" t="s">
        <v>19</v>
      </c>
      <c r="T2793" s="528">
        <v>2</v>
      </c>
      <c r="U2793" s="324">
        <f t="shared" si="1033"/>
        <v>0</v>
      </c>
      <c r="V2793" s="685"/>
      <c r="W2793" s="528"/>
      <c r="X2793" s="529"/>
      <c r="Y2793" s="323"/>
      <c r="Z2793" s="312">
        <f t="shared" si="1034"/>
        <v>0</v>
      </c>
      <c r="AA2793" s="316">
        <f t="shared" si="1037"/>
        <v>0.25</v>
      </c>
    </row>
    <row r="2794" spans="1:27" ht="77.25" outlineLevel="1" thickBot="1" x14ac:dyDescent="0.45">
      <c r="A2794" s="319" t="s">
        <v>805</v>
      </c>
      <c r="B2794" s="799" t="s">
        <v>1203</v>
      </c>
      <c r="C2794" s="528">
        <f>C185+C412+C640+C835+C1016</f>
        <v>0</v>
      </c>
      <c r="D2794" s="528"/>
      <c r="E2794" s="456">
        <f>C2794*1.2</f>
        <v>0</v>
      </c>
      <c r="F2794" s="358">
        <f>E2794*1.03*0.82/147</f>
        <v>0</v>
      </c>
      <c r="G2794" s="549">
        <f>INT(M2794)</f>
        <v>0</v>
      </c>
      <c r="H2794" s="359" t="s">
        <v>18</v>
      </c>
      <c r="I2794" s="549">
        <f>(M2794-G2794)*64</f>
        <v>0</v>
      </c>
      <c r="J2794" s="359" t="s">
        <v>19</v>
      </c>
      <c r="K2794" s="358"/>
      <c r="L2794" s="358"/>
      <c r="M2794" s="358">
        <f>(F2794*5547/3456)</f>
        <v>0</v>
      </c>
      <c r="N2794" s="358"/>
      <c r="O2794" s="358"/>
      <c r="P2794" s="358"/>
      <c r="Q2794" s="358" t="s">
        <v>18</v>
      </c>
      <c r="R2794" s="358"/>
      <c r="S2794" s="358" t="s">
        <v>19</v>
      </c>
      <c r="T2794" s="528">
        <v>3</v>
      </c>
      <c r="U2794" s="324">
        <f>E2794/324*60</f>
        <v>0</v>
      </c>
      <c r="V2794" s="685"/>
      <c r="W2794" s="528"/>
      <c r="X2794" s="529"/>
      <c r="Y2794" s="323"/>
      <c r="Z2794" s="312">
        <f>E2794</f>
        <v>0</v>
      </c>
      <c r="AA2794" s="316">
        <f>SUM(Z2794/195+0.25)</f>
        <v>0.25</v>
      </c>
    </row>
    <row r="2795" spans="1:27" ht="53.25" outlineLevel="1" thickBot="1" x14ac:dyDescent="0.45">
      <c r="A2795" s="319" t="s">
        <v>805</v>
      </c>
      <c r="B2795" s="320" t="s">
        <v>898</v>
      </c>
      <c r="C2795" s="528">
        <f>C2102</f>
        <v>0</v>
      </c>
      <c r="D2795" s="525"/>
      <c r="E2795" s="456">
        <f>C2795*1</f>
        <v>0</v>
      </c>
      <c r="F2795" s="358">
        <f>E2795*1.03*0.84/147</f>
        <v>0</v>
      </c>
      <c r="G2795" s="549">
        <f>INT(M2795)</f>
        <v>0</v>
      </c>
      <c r="H2795" s="359" t="s">
        <v>18</v>
      </c>
      <c r="I2795" s="549">
        <f>(M2795-G2795)*64</f>
        <v>0</v>
      </c>
      <c r="J2795" s="359" t="s">
        <v>19</v>
      </c>
      <c r="K2795" s="358"/>
      <c r="L2795" s="358"/>
      <c r="M2795" s="358">
        <f>(F2795*6391/2880)</f>
        <v>0</v>
      </c>
      <c r="N2795" s="461"/>
      <c r="O2795" s="461"/>
      <c r="P2795" s="324"/>
      <c r="Q2795" s="324" t="s">
        <v>18</v>
      </c>
      <c r="R2795" s="324"/>
      <c r="S2795" s="324" t="s">
        <v>19</v>
      </c>
      <c r="T2795" s="528">
        <v>2</v>
      </c>
      <c r="U2795" s="324">
        <f t="shared" si="1033"/>
        <v>0</v>
      </c>
      <c r="V2795" s="685"/>
      <c r="W2795" s="528"/>
      <c r="X2795" s="529"/>
      <c r="Y2795" s="323"/>
      <c r="Z2795" s="312">
        <f t="shared" si="1034"/>
        <v>0</v>
      </c>
      <c r="AA2795" s="316">
        <f t="shared" si="1037"/>
        <v>0.25</v>
      </c>
    </row>
    <row r="2796" spans="1:27" ht="77.25" outlineLevel="1" thickBot="1" x14ac:dyDescent="0.45">
      <c r="A2796" s="319" t="s">
        <v>805</v>
      </c>
      <c r="B2796" s="320" t="s">
        <v>1008</v>
      </c>
      <c r="C2796" s="528">
        <f>C2103</f>
        <v>0</v>
      </c>
      <c r="D2796" s="528"/>
      <c r="E2796" s="460">
        <f>C2796*2</f>
        <v>0</v>
      </c>
      <c r="F2796" s="324">
        <f>E2796*1.03*0.84/147</f>
        <v>0</v>
      </c>
      <c r="G2796" s="537">
        <f t="shared" si="1035"/>
        <v>0</v>
      </c>
      <c r="H2796" s="354" t="s">
        <v>18</v>
      </c>
      <c r="I2796" s="537">
        <f t="shared" si="1036"/>
        <v>0</v>
      </c>
      <c r="J2796" s="354" t="s">
        <v>19</v>
      </c>
      <c r="K2796" s="324"/>
      <c r="L2796" s="324"/>
      <c r="M2796" s="324">
        <f>(F2796*5068/3456)</f>
        <v>0</v>
      </c>
      <c r="N2796" s="324"/>
      <c r="O2796" s="324"/>
      <c r="P2796" s="324"/>
      <c r="Q2796" s="324" t="s">
        <v>18</v>
      </c>
      <c r="R2796" s="324"/>
      <c r="S2796" s="324" t="s">
        <v>19</v>
      </c>
      <c r="T2796" s="528">
        <v>2</v>
      </c>
      <c r="U2796" s="324">
        <f t="shared" si="1033"/>
        <v>0</v>
      </c>
      <c r="V2796" s="676"/>
      <c r="W2796" s="528"/>
      <c r="X2796" s="529"/>
      <c r="Y2796" s="323"/>
      <c r="Z2796" s="312">
        <f t="shared" si="1034"/>
        <v>0</v>
      </c>
      <c r="AA2796" s="316">
        <f t="shared" si="1037"/>
        <v>0.25</v>
      </c>
    </row>
    <row r="2797" spans="1:27" ht="77.25" outlineLevel="1" thickBot="1" x14ac:dyDescent="0.45">
      <c r="A2797" s="319" t="s">
        <v>805</v>
      </c>
      <c r="B2797" s="320" t="s">
        <v>1009</v>
      </c>
      <c r="C2797" s="528">
        <f>C832+C1013+C1965</f>
        <v>0</v>
      </c>
      <c r="D2797" s="528"/>
      <c r="E2797" s="460">
        <f>C2797*2</f>
        <v>0</v>
      </c>
      <c r="F2797" s="324">
        <f>E2797*1.03*0.82/147</f>
        <v>0</v>
      </c>
      <c r="G2797" s="537">
        <f t="shared" si="1035"/>
        <v>0</v>
      </c>
      <c r="H2797" s="354" t="s">
        <v>18</v>
      </c>
      <c r="I2797" s="537">
        <f t="shared" si="1036"/>
        <v>0</v>
      </c>
      <c r="J2797" s="354" t="s">
        <v>19</v>
      </c>
      <c r="K2797" s="324"/>
      <c r="L2797" s="324"/>
      <c r="M2797" s="324">
        <f>(F2797*5547/3456)</f>
        <v>0</v>
      </c>
      <c r="N2797" s="324"/>
      <c r="O2797" s="324"/>
      <c r="P2797" s="324"/>
      <c r="Q2797" s="324" t="s">
        <v>18</v>
      </c>
      <c r="R2797" s="324"/>
      <c r="S2797" s="324" t="s">
        <v>19</v>
      </c>
      <c r="T2797" s="528">
        <v>2</v>
      </c>
      <c r="U2797" s="324">
        <f t="shared" si="1033"/>
        <v>0</v>
      </c>
      <c r="V2797" s="685"/>
      <c r="W2797" s="528"/>
      <c r="X2797" s="529"/>
      <c r="Y2797" s="323"/>
      <c r="Z2797" s="312">
        <f t="shared" si="1034"/>
        <v>0</v>
      </c>
      <c r="AA2797" s="316">
        <f t="shared" si="1037"/>
        <v>0.25</v>
      </c>
    </row>
    <row r="2798" spans="1:27" ht="77.25" outlineLevel="1" thickBot="1" x14ac:dyDescent="0.45">
      <c r="A2798" s="319" t="s">
        <v>805</v>
      </c>
      <c r="B2798" s="320" t="s">
        <v>1043</v>
      </c>
      <c r="C2798" s="528">
        <f>C1445+C1658+C1966</f>
        <v>0</v>
      </c>
      <c r="D2798" s="528"/>
      <c r="E2798" s="460">
        <f>C2798*2</f>
        <v>0</v>
      </c>
      <c r="F2798" s="324">
        <f>E2798*1.03*0.82/147</f>
        <v>0</v>
      </c>
      <c r="G2798" s="537">
        <f>INT(M2798)</f>
        <v>0</v>
      </c>
      <c r="H2798" s="354" t="s">
        <v>18</v>
      </c>
      <c r="I2798" s="537">
        <f>(M2798-G2798)*64</f>
        <v>0</v>
      </c>
      <c r="J2798" s="354" t="s">
        <v>19</v>
      </c>
      <c r="K2798" s="324"/>
      <c r="L2798" s="324"/>
      <c r="M2798" s="324">
        <f>(F2798*5547/3456)</f>
        <v>0</v>
      </c>
      <c r="N2798" s="324"/>
      <c r="O2798" s="324"/>
      <c r="P2798" s="324"/>
      <c r="Q2798" s="324" t="s">
        <v>18</v>
      </c>
      <c r="R2798" s="324"/>
      <c r="S2798" s="324" t="s">
        <v>19</v>
      </c>
      <c r="T2798" s="528">
        <v>2</v>
      </c>
      <c r="U2798" s="324">
        <f>E2798/324*60</f>
        <v>0</v>
      </c>
      <c r="V2798" s="685"/>
      <c r="W2798" s="528"/>
      <c r="X2798" s="529"/>
      <c r="Y2798" s="323"/>
      <c r="Z2798" s="312">
        <f>E2798</f>
        <v>0</v>
      </c>
      <c r="AA2798" s="316">
        <f>SUM(Z2798/195+0.25)</f>
        <v>0.25</v>
      </c>
    </row>
    <row r="2799" spans="1:27" ht="77.25" outlineLevel="1" thickBot="1" x14ac:dyDescent="0.45">
      <c r="A2799" s="319" t="s">
        <v>805</v>
      </c>
      <c r="B2799" s="320" t="s">
        <v>1010</v>
      </c>
      <c r="C2799" s="528">
        <f>C830+C1011+C1963</f>
        <v>0</v>
      </c>
      <c r="D2799" s="528"/>
      <c r="E2799" s="460">
        <f>C2799*2</f>
        <v>0</v>
      </c>
      <c r="F2799" s="324">
        <f>E2799*1.01*0.72/147</f>
        <v>0</v>
      </c>
      <c r="G2799" s="528">
        <f t="shared" si="1035"/>
        <v>0</v>
      </c>
      <c r="H2799" s="324" t="s">
        <v>18</v>
      </c>
      <c r="I2799" s="528">
        <f t="shared" si="1036"/>
        <v>0</v>
      </c>
      <c r="J2799" s="324" t="s">
        <v>19</v>
      </c>
      <c r="K2799" s="324"/>
      <c r="L2799" s="324"/>
      <c r="M2799" s="324">
        <f>(F2799*6035/3456)</f>
        <v>0</v>
      </c>
      <c r="N2799" s="324"/>
      <c r="O2799" s="324"/>
      <c r="P2799" s="324"/>
      <c r="Q2799" s="324" t="s">
        <v>18</v>
      </c>
      <c r="R2799" s="324"/>
      <c r="S2799" s="324" t="s">
        <v>19</v>
      </c>
      <c r="T2799" s="528">
        <v>2</v>
      </c>
      <c r="U2799" s="324">
        <f t="shared" si="1033"/>
        <v>0</v>
      </c>
      <c r="V2799" s="685"/>
      <c r="W2799" s="528"/>
      <c r="X2799" s="529"/>
      <c r="Y2799" s="323"/>
      <c r="Z2799" s="312">
        <f t="shared" si="1034"/>
        <v>0</v>
      </c>
      <c r="AA2799" s="316">
        <f t="shared" si="1037"/>
        <v>0.25</v>
      </c>
    </row>
    <row r="2800" spans="1:27" ht="77.25" outlineLevel="1" thickBot="1" x14ac:dyDescent="0.45">
      <c r="A2800" s="319" t="s">
        <v>805</v>
      </c>
      <c r="B2800" s="320" t="s">
        <v>1011</v>
      </c>
      <c r="C2800" s="528">
        <f>C831+C1012+C1964</f>
        <v>0</v>
      </c>
      <c r="D2800" s="528"/>
      <c r="E2800" s="460">
        <f>C2800*2</f>
        <v>0</v>
      </c>
      <c r="F2800" s="324">
        <f>E2800*1.01*0.72/147</f>
        <v>0</v>
      </c>
      <c r="G2800" s="528">
        <f t="shared" si="1035"/>
        <v>0</v>
      </c>
      <c r="H2800" s="324" t="s">
        <v>18</v>
      </c>
      <c r="I2800" s="528">
        <f t="shared" si="1036"/>
        <v>0</v>
      </c>
      <c r="J2800" s="324" t="s">
        <v>19</v>
      </c>
      <c r="K2800" s="324"/>
      <c r="L2800" s="324"/>
      <c r="M2800" s="324">
        <f>(F2800*6035/3456)</f>
        <v>0</v>
      </c>
      <c r="N2800" s="324"/>
      <c r="O2800" s="324"/>
      <c r="P2800" s="324"/>
      <c r="Q2800" s="324" t="s">
        <v>18</v>
      </c>
      <c r="R2800" s="324"/>
      <c r="S2800" s="324" t="s">
        <v>19</v>
      </c>
      <c r="T2800" s="528">
        <v>2</v>
      </c>
      <c r="U2800" s="324">
        <f t="shared" si="1033"/>
        <v>0</v>
      </c>
      <c r="V2800" s="685"/>
      <c r="W2800" s="528"/>
      <c r="X2800" s="529"/>
      <c r="Y2800" s="323"/>
      <c r="Z2800" s="312">
        <f t="shared" si="1034"/>
        <v>0</v>
      </c>
      <c r="AA2800" s="316">
        <f t="shared" si="1037"/>
        <v>0.25</v>
      </c>
    </row>
    <row r="2801" spans="1:27" ht="77.25" outlineLevel="1" thickBot="1" x14ac:dyDescent="0.45">
      <c r="A2801" s="319" t="s">
        <v>805</v>
      </c>
      <c r="B2801" s="320" t="s">
        <v>899</v>
      </c>
      <c r="C2801" s="528">
        <f>C2104</f>
        <v>0</v>
      </c>
      <c r="D2801" s="528"/>
      <c r="E2801" s="456">
        <f>C2801*1</f>
        <v>0</v>
      </c>
      <c r="F2801" s="358">
        <f>E2801*1.01*0.756/147</f>
        <v>0</v>
      </c>
      <c r="G2801" s="548">
        <f t="shared" si="1035"/>
        <v>0</v>
      </c>
      <c r="H2801" s="358" t="s">
        <v>18</v>
      </c>
      <c r="I2801" s="548">
        <f t="shared" si="1036"/>
        <v>0</v>
      </c>
      <c r="J2801" s="358" t="s">
        <v>19</v>
      </c>
      <c r="K2801" s="358"/>
      <c r="L2801" s="358"/>
      <c r="M2801" s="358">
        <f>(F2801*6035/3456)</f>
        <v>0</v>
      </c>
      <c r="N2801" s="324"/>
      <c r="O2801" s="324"/>
      <c r="P2801" s="324"/>
      <c r="Q2801" s="324" t="s">
        <v>18</v>
      </c>
      <c r="R2801" s="324"/>
      <c r="S2801" s="324" t="s">
        <v>19</v>
      </c>
      <c r="T2801" s="528">
        <v>2</v>
      </c>
      <c r="U2801" s="324">
        <f t="shared" si="1033"/>
        <v>0</v>
      </c>
      <c r="V2801" s="685"/>
      <c r="W2801" s="528"/>
      <c r="X2801" s="529"/>
      <c r="Y2801" s="323"/>
      <c r="Z2801" s="312">
        <f t="shared" si="1034"/>
        <v>0</v>
      </c>
      <c r="AA2801" s="316">
        <f t="shared" si="1037"/>
        <v>0.25</v>
      </c>
    </row>
    <row r="2802" spans="1:27" ht="102.75" outlineLevel="1" thickBot="1" x14ac:dyDescent="0.45">
      <c r="A2802" s="319" t="s">
        <v>805</v>
      </c>
      <c r="B2802" s="343" t="s">
        <v>906</v>
      </c>
      <c r="C2802" s="528">
        <f>C2106</f>
        <v>0</v>
      </c>
      <c r="D2802" s="548">
        <f>C2802*12</f>
        <v>0</v>
      </c>
      <c r="E2802" s="456">
        <f>D2802*0.5</f>
        <v>0</v>
      </c>
      <c r="F2802" s="358">
        <f>E2802*1.037*0.756/147</f>
        <v>0</v>
      </c>
      <c r="G2802" s="548">
        <f t="shared" si="1035"/>
        <v>0</v>
      </c>
      <c r="H2802" s="358" t="s">
        <v>18</v>
      </c>
      <c r="I2802" s="548">
        <f t="shared" si="1036"/>
        <v>0</v>
      </c>
      <c r="J2802" s="358" t="s">
        <v>19</v>
      </c>
      <c r="K2802" s="358"/>
      <c r="L2802" s="358"/>
      <c r="M2802" s="358">
        <f>(F2802*6760/3456)</f>
        <v>0</v>
      </c>
      <c r="N2802" s="324"/>
      <c r="O2802" s="324"/>
      <c r="P2802" s="324"/>
      <c r="Q2802" s="324" t="s">
        <v>18</v>
      </c>
      <c r="R2802" s="324"/>
      <c r="S2802" s="324" t="s">
        <v>19</v>
      </c>
      <c r="T2802" s="528">
        <v>3</v>
      </c>
      <c r="U2802" s="324">
        <f t="shared" si="1033"/>
        <v>0</v>
      </c>
      <c r="V2802" s="676"/>
      <c r="W2802" s="528"/>
      <c r="X2802" s="529"/>
      <c r="Y2802" s="323"/>
      <c r="Z2802" s="312">
        <f t="shared" si="1034"/>
        <v>0</v>
      </c>
      <c r="AA2802" s="316">
        <f>SUM(Z2802/(168)+0.25)</f>
        <v>0.25</v>
      </c>
    </row>
    <row r="2803" spans="1:27" ht="77.25" outlineLevel="1" thickBot="1" x14ac:dyDescent="0.45">
      <c r="A2803" s="319" t="s">
        <v>805</v>
      </c>
      <c r="B2803" s="320" t="s">
        <v>628</v>
      </c>
      <c r="C2803" s="587">
        <f>C225+C226+C455+C456+C685+C686+C873+C1054</f>
        <v>0</v>
      </c>
      <c r="D2803" s="528"/>
      <c r="E2803" s="456">
        <f t="shared" ref="E2803:E2809" si="1038">C2803*3.2</f>
        <v>0</v>
      </c>
      <c r="F2803" s="358">
        <f t="shared" ref="F2803:F2809" si="1039">E2803*1.02*0.99/147</f>
        <v>0</v>
      </c>
      <c r="G2803" s="548">
        <f t="shared" si="1035"/>
        <v>0</v>
      </c>
      <c r="H2803" s="358" t="s">
        <v>18</v>
      </c>
      <c r="I2803" s="548">
        <f t="shared" si="1036"/>
        <v>0</v>
      </c>
      <c r="J2803" s="358" t="s">
        <v>19</v>
      </c>
      <c r="K2803" s="358"/>
      <c r="L2803" s="358"/>
      <c r="M2803" s="358">
        <f>F2803*4983/2880</f>
        <v>0</v>
      </c>
      <c r="N2803" s="324"/>
      <c r="O2803" s="324"/>
      <c r="P2803" s="324"/>
      <c r="Q2803" s="324" t="s">
        <v>18</v>
      </c>
      <c r="R2803" s="324"/>
      <c r="S2803" s="324" t="s">
        <v>19</v>
      </c>
      <c r="T2803" s="528">
        <v>2</v>
      </c>
      <c r="U2803" s="324">
        <f>E2803/259*60</f>
        <v>0</v>
      </c>
      <c r="V2803" s="676"/>
      <c r="W2803" s="528"/>
      <c r="X2803" s="529"/>
      <c r="Y2803" s="323"/>
      <c r="Z2803" s="312">
        <f t="shared" si="1034"/>
        <v>0</v>
      </c>
      <c r="AA2803" s="316">
        <f t="shared" ref="AA2803:AA2811" si="1040">SUM(Z2803/624+0.25)</f>
        <v>0.25</v>
      </c>
    </row>
    <row r="2804" spans="1:27" ht="53.25" outlineLevel="1" thickBot="1" x14ac:dyDescent="0.45">
      <c r="A2804" s="319" t="s">
        <v>805</v>
      </c>
      <c r="B2804" s="320" t="s">
        <v>632</v>
      </c>
      <c r="C2804" s="587">
        <f>C242+C472+C702+C887+C1068</f>
        <v>0</v>
      </c>
      <c r="D2804" s="528"/>
      <c r="E2804" s="456">
        <f t="shared" si="1038"/>
        <v>0</v>
      </c>
      <c r="F2804" s="358">
        <f t="shared" si="1039"/>
        <v>0</v>
      </c>
      <c r="G2804" s="548">
        <f t="shared" si="1035"/>
        <v>0</v>
      </c>
      <c r="H2804" s="358" t="s">
        <v>18</v>
      </c>
      <c r="I2804" s="548">
        <f t="shared" si="1036"/>
        <v>0</v>
      </c>
      <c r="J2804" s="358" t="s">
        <v>19</v>
      </c>
      <c r="K2804" s="358"/>
      <c r="L2804" s="358"/>
      <c r="M2804" s="358">
        <f>F2804*4983/2880</f>
        <v>0</v>
      </c>
      <c r="N2804" s="324"/>
      <c r="O2804" s="324"/>
      <c r="P2804" s="324"/>
      <c r="Q2804" s="324" t="s">
        <v>18</v>
      </c>
      <c r="R2804" s="324"/>
      <c r="S2804" s="324" t="s">
        <v>19</v>
      </c>
      <c r="T2804" s="528">
        <v>2</v>
      </c>
      <c r="U2804" s="324">
        <f>E2804/272*60</f>
        <v>0</v>
      </c>
      <c r="V2804" s="676"/>
      <c r="W2804" s="528"/>
      <c r="X2804" s="529"/>
      <c r="Y2804" s="323"/>
      <c r="Z2804" s="312">
        <f t="shared" si="1034"/>
        <v>0</v>
      </c>
      <c r="AA2804" s="316">
        <f t="shared" si="1040"/>
        <v>0.25</v>
      </c>
    </row>
    <row r="2805" spans="1:27" ht="77.25" outlineLevel="1" thickBot="1" x14ac:dyDescent="0.45">
      <c r="A2805" s="319" t="s">
        <v>805</v>
      </c>
      <c r="B2805" s="320" t="s">
        <v>633</v>
      </c>
      <c r="C2805" s="587">
        <f>C1206+C2267+C1713</f>
        <v>0</v>
      </c>
      <c r="D2805" s="528"/>
      <c r="E2805" s="456">
        <f t="shared" si="1038"/>
        <v>0</v>
      </c>
      <c r="F2805" s="358">
        <f t="shared" si="1039"/>
        <v>0</v>
      </c>
      <c r="G2805" s="548">
        <f t="shared" si="1035"/>
        <v>0</v>
      </c>
      <c r="H2805" s="358" t="s">
        <v>18</v>
      </c>
      <c r="I2805" s="548">
        <f t="shared" si="1036"/>
        <v>0</v>
      </c>
      <c r="J2805" s="358" t="s">
        <v>19</v>
      </c>
      <c r="K2805" s="358"/>
      <c r="L2805" s="358"/>
      <c r="M2805" s="358">
        <f>F2805*4983/2880</f>
        <v>0</v>
      </c>
      <c r="N2805" s="358"/>
      <c r="O2805" s="358"/>
      <c r="P2805" s="358"/>
      <c r="Q2805" s="358" t="s">
        <v>18</v>
      </c>
      <c r="R2805" s="358"/>
      <c r="S2805" s="358" t="s">
        <v>19</v>
      </c>
      <c r="T2805" s="528">
        <v>2</v>
      </c>
      <c r="U2805" s="324">
        <f>E2805/207*60</f>
        <v>0</v>
      </c>
      <c r="V2805" s="676"/>
      <c r="W2805" s="528"/>
      <c r="X2805" s="529"/>
      <c r="Y2805" s="323"/>
      <c r="Z2805" s="312">
        <f t="shared" si="1034"/>
        <v>0</v>
      </c>
      <c r="AA2805" s="316">
        <f t="shared" si="1040"/>
        <v>0.25</v>
      </c>
    </row>
    <row r="2806" spans="1:27" ht="53.25" outlineLevel="1" thickBot="1" x14ac:dyDescent="0.45">
      <c r="A2806" s="319" t="s">
        <v>805</v>
      </c>
      <c r="B2806" s="320" t="s">
        <v>1066</v>
      </c>
      <c r="C2806" s="528">
        <f>C1071+C889+C704+C474+C244</f>
        <v>0</v>
      </c>
      <c r="D2806" s="528"/>
      <c r="E2806" s="460">
        <f t="shared" si="1038"/>
        <v>0</v>
      </c>
      <c r="F2806" s="324">
        <f t="shared" si="1039"/>
        <v>0</v>
      </c>
      <c r="G2806" s="528">
        <f t="shared" si="1035"/>
        <v>0</v>
      </c>
      <c r="H2806" s="324" t="s">
        <v>18</v>
      </c>
      <c r="I2806" s="528">
        <f t="shared" si="1036"/>
        <v>0</v>
      </c>
      <c r="J2806" s="324" t="s">
        <v>19</v>
      </c>
      <c r="K2806" s="324"/>
      <c r="L2806" s="324"/>
      <c r="M2806" s="324">
        <f>F2806*4983/2880</f>
        <v>0</v>
      </c>
      <c r="N2806" s="324"/>
      <c r="O2806" s="324"/>
      <c r="P2806" s="324"/>
      <c r="Q2806" s="324" t="s">
        <v>18</v>
      </c>
      <c r="R2806" s="324"/>
      <c r="S2806" s="324" t="s">
        <v>19</v>
      </c>
      <c r="T2806" s="528">
        <v>2</v>
      </c>
      <c r="U2806" s="324">
        <f>E2806/259*60</f>
        <v>0</v>
      </c>
      <c r="V2806" s="676"/>
      <c r="W2806" s="528"/>
      <c r="X2806" s="529"/>
      <c r="Y2806" s="360"/>
      <c r="Z2806" s="312">
        <f>E2806</f>
        <v>0</v>
      </c>
      <c r="AA2806" s="316">
        <f>SUM(Z2806/624+0.25)</f>
        <v>0.25</v>
      </c>
    </row>
    <row r="2807" spans="1:27" ht="53.25" outlineLevel="1" thickBot="1" x14ac:dyDescent="0.45">
      <c r="A2807" s="319" t="s">
        <v>805</v>
      </c>
      <c r="B2807" s="320" t="s">
        <v>1067</v>
      </c>
      <c r="C2807" s="528">
        <f>C245+C475+C705+C890+C1072</f>
        <v>0</v>
      </c>
      <c r="D2807" s="528"/>
      <c r="E2807" s="460">
        <f t="shared" si="1038"/>
        <v>0</v>
      </c>
      <c r="F2807" s="324">
        <f t="shared" si="1039"/>
        <v>0</v>
      </c>
      <c r="G2807" s="528">
        <f t="shared" si="1035"/>
        <v>0</v>
      </c>
      <c r="H2807" s="324" t="s">
        <v>18</v>
      </c>
      <c r="I2807" s="528">
        <f t="shared" si="1036"/>
        <v>0</v>
      </c>
      <c r="J2807" s="324" t="s">
        <v>19</v>
      </c>
      <c r="K2807" s="324"/>
      <c r="L2807" s="324"/>
      <c r="M2807" s="324">
        <f>F2807*4983/2880</f>
        <v>0</v>
      </c>
      <c r="N2807" s="324"/>
      <c r="O2807" s="324"/>
      <c r="P2807" s="324"/>
      <c r="Q2807" s="324" t="s">
        <v>18</v>
      </c>
      <c r="R2807" s="324"/>
      <c r="S2807" s="324" t="s">
        <v>19</v>
      </c>
      <c r="T2807" s="528">
        <v>2</v>
      </c>
      <c r="U2807" s="324">
        <f>E2807/259*60</f>
        <v>0</v>
      </c>
      <c r="V2807" s="676"/>
      <c r="W2807" s="528"/>
      <c r="X2807" s="529"/>
      <c r="Y2807" s="360"/>
      <c r="Z2807" s="312">
        <f>E2807</f>
        <v>0</v>
      </c>
      <c r="AA2807" s="316">
        <f>SUM(Z2807/624+0.25)</f>
        <v>0.25</v>
      </c>
    </row>
    <row r="2808" spans="1:27" ht="53.25" outlineLevel="1" thickBot="1" x14ac:dyDescent="0.45">
      <c r="A2808" s="319" t="s">
        <v>805</v>
      </c>
      <c r="B2808" s="320" t="s">
        <v>1033</v>
      </c>
      <c r="C2808" s="528">
        <f>C246+C477+C706+C912+C1078</f>
        <v>600</v>
      </c>
      <c r="D2808" s="528"/>
      <c r="E2808" s="324">
        <f t="shared" si="1038"/>
        <v>1920</v>
      </c>
      <c r="F2808" s="324">
        <f t="shared" si="1039"/>
        <v>13.189224489795919</v>
      </c>
      <c r="G2808" s="528">
        <f>INT(M2808)</f>
        <v>28</v>
      </c>
      <c r="H2808" s="324" t="s">
        <v>18</v>
      </c>
      <c r="I2808" s="528">
        <f>(M2808-G2808)*64</f>
        <v>39.187410586552005</v>
      </c>
      <c r="J2808" s="324"/>
      <c r="K2808" s="324"/>
      <c r="L2808" s="324"/>
      <c r="M2808" s="324">
        <f>E2808/0.0233/2880</f>
        <v>28.612303290414875</v>
      </c>
      <c r="N2808" s="324"/>
      <c r="O2808" s="324"/>
      <c r="P2808" s="324"/>
      <c r="Q2808" s="324" t="s">
        <v>18</v>
      </c>
      <c r="R2808" s="324"/>
      <c r="S2808" s="324" t="s">
        <v>19</v>
      </c>
      <c r="T2808" s="528">
        <v>2</v>
      </c>
      <c r="U2808" s="324">
        <f>E2808/259*60</f>
        <v>444.78764478764481</v>
      </c>
      <c r="V2808" s="676"/>
      <c r="W2808" s="528"/>
      <c r="X2808" s="529"/>
      <c r="Y2808" s="323"/>
      <c r="Z2808" s="312">
        <f>E2808</f>
        <v>1920</v>
      </c>
      <c r="AA2808" s="316">
        <f t="shared" si="1040"/>
        <v>3.3269230769230771</v>
      </c>
    </row>
    <row r="2809" spans="1:27" ht="53.25" outlineLevel="1" thickBot="1" x14ac:dyDescent="0.45">
      <c r="A2809" s="319" t="s">
        <v>805</v>
      </c>
      <c r="B2809" s="320" t="s">
        <v>1081</v>
      </c>
      <c r="C2809" s="587">
        <f>C247+C478+C707+C891+C1073</f>
        <v>0</v>
      </c>
      <c r="D2809" s="528"/>
      <c r="E2809" s="460">
        <f t="shared" si="1038"/>
        <v>0</v>
      </c>
      <c r="F2809" s="324">
        <f t="shared" si="1039"/>
        <v>0</v>
      </c>
      <c r="G2809" s="528">
        <f>INT(M2809)</f>
        <v>0</v>
      </c>
      <c r="H2809" s="324" t="s">
        <v>18</v>
      </c>
      <c r="I2809" s="528">
        <f>(M2809-G2809)*64</f>
        <v>0</v>
      </c>
      <c r="J2809" s="324" t="s">
        <v>19</v>
      </c>
      <c r="K2809" s="324"/>
      <c r="L2809" s="324"/>
      <c r="M2809" s="324">
        <f>F2809*4983/2880</f>
        <v>0</v>
      </c>
      <c r="N2809" s="324"/>
      <c r="O2809" s="324"/>
      <c r="P2809" s="324"/>
      <c r="Q2809" s="324" t="s">
        <v>18</v>
      </c>
      <c r="R2809" s="324"/>
      <c r="S2809" s="324" t="s">
        <v>19</v>
      </c>
      <c r="T2809" s="528">
        <v>2</v>
      </c>
      <c r="U2809" s="324">
        <f>E2809/272*60</f>
        <v>0</v>
      </c>
      <c r="V2809" s="676"/>
      <c r="W2809" s="528"/>
      <c r="X2809" s="529"/>
      <c r="Y2809" s="323"/>
      <c r="Z2809" s="312">
        <f>E2809</f>
        <v>0</v>
      </c>
      <c r="AA2809" s="316">
        <f>SUM(Z2809/624+0.25)</f>
        <v>0.25</v>
      </c>
    </row>
    <row r="2810" spans="1:27" s="327" customFormat="1" ht="53.25" outlineLevel="1" thickBot="1" x14ac:dyDescent="0.45">
      <c r="A2810" s="319" t="s">
        <v>805</v>
      </c>
      <c r="B2810" s="365" t="s">
        <v>867</v>
      </c>
      <c r="C2810" s="553">
        <f>C249+C479+C709+C1079+C910</f>
        <v>0</v>
      </c>
      <c r="D2810" s="554"/>
      <c r="E2810" s="458">
        <f>C2810*3.5</f>
        <v>0</v>
      </c>
      <c r="F2810" s="358">
        <f>E2810*0.9*1.01/147</f>
        <v>0</v>
      </c>
      <c r="G2810" s="556">
        <f t="shared" ref="G2810:G2815" si="1041">INT(M2810)</f>
        <v>0</v>
      </c>
      <c r="H2810" s="366" t="s">
        <v>18</v>
      </c>
      <c r="I2810" s="556">
        <f t="shared" ref="I2810:I2815" si="1042">(M2810-G2810)*64</f>
        <v>0</v>
      </c>
      <c r="J2810" s="366" t="s">
        <v>19</v>
      </c>
      <c r="K2810" s="366"/>
      <c r="L2810" s="366"/>
      <c r="M2810" s="358">
        <f>(F2810*6533/3456)</f>
        <v>0</v>
      </c>
      <c r="N2810" s="555"/>
      <c r="O2810" s="555"/>
      <c r="P2810" s="555"/>
      <c r="Q2810" s="555" t="s">
        <v>18</v>
      </c>
      <c r="R2810" s="555"/>
      <c r="S2810" s="555" t="s">
        <v>19</v>
      </c>
      <c r="T2810" s="528">
        <v>2</v>
      </c>
      <c r="U2810" s="555">
        <f>E2810/324*60</f>
        <v>0</v>
      </c>
      <c r="V2810" s="686"/>
      <c r="W2810" s="553"/>
      <c r="X2810" s="555"/>
      <c r="Y2810" s="367"/>
      <c r="Z2810" s="312">
        <f t="shared" si="1034"/>
        <v>0</v>
      </c>
      <c r="AA2810" s="316">
        <f t="shared" si="1040"/>
        <v>0.25</v>
      </c>
    </row>
    <row r="2811" spans="1:27" s="327" customFormat="1" ht="53.25" outlineLevel="1" thickBot="1" x14ac:dyDescent="0.45">
      <c r="A2811" s="319" t="s">
        <v>805</v>
      </c>
      <c r="B2811" s="365" t="s">
        <v>853</v>
      </c>
      <c r="C2811" s="553">
        <f>C267+C497+C727+C1085+C913</f>
        <v>0</v>
      </c>
      <c r="D2811" s="554"/>
      <c r="E2811" s="458">
        <f>C2811*3.5</f>
        <v>0</v>
      </c>
      <c r="F2811" s="358">
        <f>E2811*0.9*1.01/147</f>
        <v>0</v>
      </c>
      <c r="G2811" s="548">
        <f t="shared" si="1041"/>
        <v>0</v>
      </c>
      <c r="H2811" s="358" t="s">
        <v>18</v>
      </c>
      <c r="I2811" s="548">
        <f t="shared" si="1042"/>
        <v>0</v>
      </c>
      <c r="J2811" s="358" t="s">
        <v>19</v>
      </c>
      <c r="K2811" s="358"/>
      <c r="L2811" s="358"/>
      <c r="M2811" s="358">
        <f>(F2811*6533/3456)</f>
        <v>0</v>
      </c>
      <c r="N2811" s="366"/>
      <c r="O2811" s="366"/>
      <c r="P2811" s="366"/>
      <c r="Q2811" s="366" t="s">
        <v>18</v>
      </c>
      <c r="R2811" s="366"/>
      <c r="S2811" s="366" t="s">
        <v>19</v>
      </c>
      <c r="T2811" s="528">
        <v>2</v>
      </c>
      <c r="U2811" s="555">
        <f>E2811/324*60</f>
        <v>0</v>
      </c>
      <c r="V2811" s="686"/>
      <c r="W2811" s="553"/>
      <c r="X2811" s="555"/>
      <c r="Y2811" s="367"/>
      <c r="Z2811" s="312">
        <f t="shared" si="1034"/>
        <v>0</v>
      </c>
      <c r="AA2811" s="316">
        <f t="shared" si="1040"/>
        <v>0.25</v>
      </c>
    </row>
    <row r="2812" spans="1:27" ht="53.25" outlineLevel="1" thickBot="1" x14ac:dyDescent="0.45">
      <c r="A2812" s="319" t="s">
        <v>805</v>
      </c>
      <c r="B2812" s="320" t="s">
        <v>618</v>
      </c>
      <c r="C2812" s="587">
        <f>C2197</f>
        <v>0</v>
      </c>
      <c r="D2812" s="525">
        <f t="shared" ref="D2812:D2820" si="1043">C2812*10</f>
        <v>0</v>
      </c>
      <c r="E2812" s="545">
        <f>D2812*0.25</f>
        <v>0</v>
      </c>
      <c r="F2812" s="461">
        <f>E2812*1.15*0.82/173</f>
        <v>0</v>
      </c>
      <c r="G2812" s="525">
        <f t="shared" si="1041"/>
        <v>0</v>
      </c>
      <c r="H2812" s="461" t="s">
        <v>18</v>
      </c>
      <c r="I2812" s="525">
        <f t="shared" si="1042"/>
        <v>0</v>
      </c>
      <c r="J2812" s="461" t="s">
        <v>19</v>
      </c>
      <c r="K2812" s="461"/>
      <c r="L2812" s="461"/>
      <c r="M2812" s="461">
        <f>(F2812*7863)/3456</f>
        <v>0</v>
      </c>
      <c r="N2812" s="461"/>
      <c r="O2812" s="461"/>
      <c r="P2812" s="461"/>
      <c r="Q2812" s="324" t="s">
        <v>18</v>
      </c>
      <c r="R2812" s="324"/>
      <c r="S2812" s="324" t="s">
        <v>19</v>
      </c>
      <c r="T2812" s="528">
        <v>2</v>
      </c>
      <c r="U2812" s="324">
        <f>E2812/272*60</f>
        <v>0</v>
      </c>
      <c r="V2812" s="676"/>
      <c r="W2812" s="528"/>
      <c r="X2812" s="529"/>
      <c r="Y2812" s="323"/>
      <c r="Z2812" s="312">
        <f t="shared" si="1034"/>
        <v>0</v>
      </c>
      <c r="AA2812" s="316">
        <f>SUM(Z2812/230+0.25)</f>
        <v>0.25</v>
      </c>
    </row>
    <row r="2813" spans="1:27" ht="53.25" outlineLevel="1" thickBot="1" x14ac:dyDescent="0.45">
      <c r="A2813" s="319" t="s">
        <v>805</v>
      </c>
      <c r="B2813" s="320" t="s">
        <v>619</v>
      </c>
      <c r="C2813" s="587">
        <f>C1935</f>
        <v>0</v>
      </c>
      <c r="D2813" s="525">
        <f t="shared" si="1043"/>
        <v>0</v>
      </c>
      <c r="E2813" s="545">
        <f>D2813*0.25</f>
        <v>0</v>
      </c>
      <c r="F2813" s="461">
        <f>E2813*1.15*0.82/173</f>
        <v>0</v>
      </c>
      <c r="G2813" s="525">
        <f t="shared" si="1041"/>
        <v>0</v>
      </c>
      <c r="H2813" s="461" t="s">
        <v>18</v>
      </c>
      <c r="I2813" s="525">
        <f t="shared" si="1042"/>
        <v>0</v>
      </c>
      <c r="J2813" s="461" t="s">
        <v>19</v>
      </c>
      <c r="K2813" s="461"/>
      <c r="L2813" s="461"/>
      <c r="M2813" s="461">
        <f>(F2813*7863)/3456</f>
        <v>0</v>
      </c>
      <c r="N2813" s="461"/>
      <c r="O2813" s="461"/>
      <c r="P2813" s="461"/>
      <c r="Q2813" s="324" t="s">
        <v>18</v>
      </c>
      <c r="R2813" s="324"/>
      <c r="S2813" s="324" t="s">
        <v>19</v>
      </c>
      <c r="T2813" s="528">
        <v>2</v>
      </c>
      <c r="U2813" s="324">
        <f>E2813/220*60</f>
        <v>0</v>
      </c>
      <c r="V2813" s="676"/>
      <c r="W2813" s="528"/>
      <c r="X2813" s="529"/>
      <c r="Y2813" s="323"/>
      <c r="Z2813" s="312">
        <f t="shared" si="1034"/>
        <v>0</v>
      </c>
      <c r="AA2813" s="316">
        <f>SUM(Z2813/230+0.25)</f>
        <v>0.25</v>
      </c>
    </row>
    <row r="2814" spans="1:27" ht="77.25" outlineLevel="1" thickBot="1" x14ac:dyDescent="0.45">
      <c r="A2814" s="319" t="s">
        <v>805</v>
      </c>
      <c r="B2814" s="320" t="s">
        <v>813</v>
      </c>
      <c r="C2814" s="587">
        <f>C1937</f>
        <v>0</v>
      </c>
      <c r="D2814" s="525">
        <f t="shared" si="1043"/>
        <v>0</v>
      </c>
      <c r="E2814" s="545">
        <f>D2814*0.2</f>
        <v>0</v>
      </c>
      <c r="F2814" s="461">
        <f>E2814*1.15*0.82/173</f>
        <v>0</v>
      </c>
      <c r="G2814" s="525">
        <f t="shared" si="1041"/>
        <v>0</v>
      </c>
      <c r="H2814" s="461" t="s">
        <v>18</v>
      </c>
      <c r="I2814" s="525">
        <f t="shared" si="1042"/>
        <v>0</v>
      </c>
      <c r="J2814" s="461" t="s">
        <v>19</v>
      </c>
      <c r="K2814" s="461"/>
      <c r="L2814" s="461"/>
      <c r="M2814" s="461">
        <f>(F2814*9600)/3456</f>
        <v>0</v>
      </c>
      <c r="N2814" s="461"/>
      <c r="O2814" s="461"/>
      <c r="P2814" s="461"/>
      <c r="Q2814" s="324" t="s">
        <v>18</v>
      </c>
      <c r="R2814" s="324"/>
      <c r="S2814" s="324" t="s">
        <v>19</v>
      </c>
      <c r="T2814" s="528">
        <v>2</v>
      </c>
      <c r="U2814" s="324">
        <f>E2814/207*60</f>
        <v>0</v>
      </c>
      <c r="V2814" s="676"/>
      <c r="W2814" s="528"/>
      <c r="X2814" s="529"/>
      <c r="Y2814" s="323"/>
      <c r="Z2814" s="312">
        <f t="shared" si="1034"/>
        <v>0</v>
      </c>
      <c r="AA2814" s="316">
        <f>SUM(Z2814/183+0.25)</f>
        <v>0.25</v>
      </c>
    </row>
    <row r="2815" spans="1:27" ht="53.25" outlineLevel="1" thickBot="1" x14ac:dyDescent="0.45">
      <c r="A2815" s="319" t="s">
        <v>805</v>
      </c>
      <c r="B2815" s="320" t="s">
        <v>911</v>
      </c>
      <c r="C2815" s="587">
        <f>C1936</f>
        <v>0</v>
      </c>
      <c r="D2815" s="525">
        <f t="shared" si="1043"/>
        <v>0</v>
      </c>
      <c r="E2815" s="545">
        <f>D2815*0.2</f>
        <v>0</v>
      </c>
      <c r="F2815" s="461">
        <f>E2815*1.15*0.82/173</f>
        <v>0</v>
      </c>
      <c r="G2815" s="525">
        <f t="shared" si="1041"/>
        <v>0</v>
      </c>
      <c r="H2815" s="461" t="s">
        <v>18</v>
      </c>
      <c r="I2815" s="525">
        <f t="shared" si="1042"/>
        <v>0</v>
      </c>
      <c r="J2815" s="461" t="s">
        <v>19</v>
      </c>
      <c r="K2815" s="461"/>
      <c r="L2815" s="461"/>
      <c r="M2815" s="461">
        <f>(F2815*9600)/3456</f>
        <v>0</v>
      </c>
      <c r="N2815" s="461"/>
      <c r="O2815" s="461"/>
      <c r="P2815" s="461"/>
      <c r="Q2815" s="324" t="s">
        <v>18</v>
      </c>
      <c r="R2815" s="324"/>
      <c r="S2815" s="324" t="s">
        <v>19</v>
      </c>
      <c r="T2815" s="528">
        <v>2</v>
      </c>
      <c r="U2815" s="324">
        <f>E2815/207*60</f>
        <v>0</v>
      </c>
      <c r="V2815" s="676"/>
      <c r="W2815" s="528"/>
      <c r="X2815" s="529"/>
      <c r="Y2815" s="323"/>
      <c r="Z2815" s="312">
        <f t="shared" si="1034"/>
        <v>0</v>
      </c>
      <c r="AA2815" s="316">
        <f>SUM(Z2815/183+0.25)</f>
        <v>0.25</v>
      </c>
    </row>
    <row r="2816" spans="1:27" ht="53.25" outlineLevel="1" thickBot="1" x14ac:dyDescent="0.45">
      <c r="A2816" s="319" t="s">
        <v>805</v>
      </c>
      <c r="B2816" s="363" t="s">
        <v>683</v>
      </c>
      <c r="C2816" s="587">
        <f>C197+C425+C653+C845+C1026</f>
        <v>0</v>
      </c>
      <c r="D2816" s="548">
        <f t="shared" si="1043"/>
        <v>0</v>
      </c>
      <c r="E2816" s="456">
        <f>D2816*0.2</f>
        <v>0</v>
      </c>
      <c r="F2816" s="358">
        <f>E2816*1.03*0.82/147</f>
        <v>0</v>
      </c>
      <c r="G2816" s="548">
        <f t="shared" ref="G2816:G2823" si="1044">INT(M2816)</f>
        <v>0</v>
      </c>
      <c r="H2816" s="358" t="s">
        <v>18</v>
      </c>
      <c r="I2816" s="548">
        <f t="shared" ref="I2816:I2823" si="1045">(M2816-G2816)*64</f>
        <v>0</v>
      </c>
      <c r="J2816" s="358" t="s">
        <v>19</v>
      </c>
      <c r="K2816" s="358"/>
      <c r="L2816" s="358"/>
      <c r="M2816" s="358">
        <f>(F2816*8750/3456)</f>
        <v>0</v>
      </c>
      <c r="N2816" s="324"/>
      <c r="O2816" s="324"/>
      <c r="P2816" s="324"/>
      <c r="Q2816" s="324" t="s">
        <v>18</v>
      </c>
      <c r="R2816" s="324"/>
      <c r="S2816" s="324" t="s">
        <v>19</v>
      </c>
      <c r="T2816" s="528">
        <v>2</v>
      </c>
      <c r="U2816" s="324">
        <f>E2816/207*60</f>
        <v>0</v>
      </c>
      <c r="V2816" s="676"/>
      <c r="W2816" s="528"/>
      <c r="X2816" s="529"/>
      <c r="Y2816" s="323"/>
      <c r="Z2816" s="312">
        <f t="shared" si="1034"/>
        <v>0</v>
      </c>
      <c r="AA2816" s="316">
        <f>SUM(Z2816/183+0.25)</f>
        <v>0.25</v>
      </c>
    </row>
    <row r="2817" spans="1:27" s="728" customFormat="1" ht="77.25" outlineLevel="1" thickBot="1" x14ac:dyDescent="0.45">
      <c r="A2817" s="636" t="s">
        <v>805</v>
      </c>
      <c r="B2817" s="634" t="s">
        <v>1040</v>
      </c>
      <c r="C2817" s="720">
        <f>C206+C434+C663+C854+C1035</f>
        <v>0</v>
      </c>
      <c r="D2817" s="720">
        <f>C2817*12</f>
        <v>0</v>
      </c>
      <c r="E2817" s="721">
        <f t="shared" ref="E2817:E2823" si="1046">D2817*0.25</f>
        <v>0</v>
      </c>
      <c r="F2817" s="722">
        <f>E2817*1.03*0.729/147</f>
        <v>0</v>
      </c>
      <c r="G2817" s="720">
        <f t="shared" si="1044"/>
        <v>0</v>
      </c>
      <c r="H2817" s="722" t="s">
        <v>18</v>
      </c>
      <c r="I2817" s="720">
        <f t="shared" si="1045"/>
        <v>0</v>
      </c>
      <c r="J2817" s="722" t="s">
        <v>19</v>
      </c>
      <c r="K2817" s="722"/>
      <c r="L2817" s="722"/>
      <c r="M2817" s="722">
        <f>(F2817*7840/3456)</f>
        <v>0</v>
      </c>
      <c r="N2817" s="722"/>
      <c r="O2817" s="722"/>
      <c r="P2817" s="722"/>
      <c r="Q2817" s="722" t="s">
        <v>18</v>
      </c>
      <c r="R2817" s="722"/>
      <c r="S2817" s="722" t="s">
        <v>19</v>
      </c>
      <c r="T2817" s="720">
        <v>2</v>
      </c>
      <c r="U2817" s="324">
        <f>E2817/390*60</f>
        <v>0</v>
      </c>
      <c r="V2817" s="724"/>
      <c r="W2817" s="720"/>
      <c r="X2817" s="725"/>
      <c r="Y2817" s="736"/>
      <c r="Z2817" s="727">
        <f t="shared" si="1034"/>
        <v>0</v>
      </c>
      <c r="AA2817" s="815">
        <f>SUM(Z2817/230+0.25)</f>
        <v>0.25</v>
      </c>
    </row>
    <row r="2818" spans="1:27" s="728" customFormat="1" ht="53.25" outlineLevel="1" thickBot="1" x14ac:dyDescent="0.45">
      <c r="A2818" s="636" t="s">
        <v>805</v>
      </c>
      <c r="B2818" s="634" t="s">
        <v>1041</v>
      </c>
      <c r="C2818" s="720">
        <f>C309+C539+C769+C945+C1135</f>
        <v>0</v>
      </c>
      <c r="D2818" s="720">
        <f>C2818*12</f>
        <v>0</v>
      </c>
      <c r="E2818" s="721">
        <f t="shared" si="1046"/>
        <v>0</v>
      </c>
      <c r="F2818" s="722">
        <f>E2818*0.9*1.01/147</f>
        <v>0</v>
      </c>
      <c r="G2818" s="720">
        <f t="shared" si="1044"/>
        <v>0</v>
      </c>
      <c r="H2818" s="722" t="s">
        <v>18</v>
      </c>
      <c r="I2818" s="720">
        <f t="shared" si="1045"/>
        <v>0</v>
      </c>
      <c r="J2818" s="722" t="s">
        <v>19</v>
      </c>
      <c r="K2818" s="722"/>
      <c r="L2818" s="722"/>
      <c r="M2818" s="722">
        <f>(F2818*6533/3456)</f>
        <v>0</v>
      </c>
      <c r="N2818" s="722"/>
      <c r="O2818" s="722"/>
      <c r="P2818" s="722"/>
      <c r="Q2818" s="722" t="s">
        <v>18</v>
      </c>
      <c r="R2818" s="722"/>
      <c r="S2818" s="722" t="s">
        <v>19</v>
      </c>
      <c r="T2818" s="720">
        <v>2</v>
      </c>
      <c r="U2818" s="324">
        <f>E2818/390*60</f>
        <v>0</v>
      </c>
      <c r="V2818" s="724"/>
      <c r="W2818" s="720"/>
      <c r="X2818" s="725"/>
      <c r="Y2818" s="736"/>
      <c r="Z2818" s="727">
        <f t="shared" si="1034"/>
        <v>0</v>
      </c>
      <c r="AA2818" s="815">
        <f>SUM(Z2818/230+0.25)</f>
        <v>0.25</v>
      </c>
    </row>
    <row r="2819" spans="1:27" s="728" customFormat="1" ht="53.25" outlineLevel="1" thickBot="1" x14ac:dyDescent="0.45">
      <c r="A2819" s="636" t="s">
        <v>805</v>
      </c>
      <c r="B2819" s="634" t="s">
        <v>1042</v>
      </c>
      <c r="C2819" s="720">
        <f>C320+C550+C770+C963+C1146</f>
        <v>0</v>
      </c>
      <c r="D2819" s="741">
        <f>C2819*12</f>
        <v>0</v>
      </c>
      <c r="E2819" s="721">
        <f t="shared" si="1046"/>
        <v>0</v>
      </c>
      <c r="F2819" s="722">
        <f>E2819*0.99*1.02/147</f>
        <v>0</v>
      </c>
      <c r="G2819" s="720">
        <f t="shared" si="1044"/>
        <v>0</v>
      </c>
      <c r="H2819" s="722" t="s">
        <v>18</v>
      </c>
      <c r="I2819" s="720">
        <f t="shared" si="1045"/>
        <v>0</v>
      </c>
      <c r="J2819" s="722" t="s">
        <v>19</v>
      </c>
      <c r="K2819" s="722"/>
      <c r="L2819" s="722"/>
      <c r="M2819" s="722">
        <f>(F2819*5880)/3456</f>
        <v>0</v>
      </c>
      <c r="N2819" s="722"/>
      <c r="O2819" s="722"/>
      <c r="P2819" s="722"/>
      <c r="Q2819" s="722" t="s">
        <v>18</v>
      </c>
      <c r="R2819" s="722"/>
      <c r="S2819" s="722" t="s">
        <v>19</v>
      </c>
      <c r="T2819" s="720">
        <v>2</v>
      </c>
      <c r="U2819" s="324">
        <f>E2819/390*60</f>
        <v>0</v>
      </c>
      <c r="V2819" s="724"/>
      <c r="W2819" s="720"/>
      <c r="X2819" s="725"/>
      <c r="Y2819" s="736"/>
      <c r="Z2819" s="727">
        <f t="shared" si="1034"/>
        <v>0</v>
      </c>
      <c r="AA2819" s="815">
        <f>SUM(Z2819/230+0.25)</f>
        <v>0.25</v>
      </c>
    </row>
    <row r="2820" spans="1:27" ht="77.25" outlineLevel="1" thickBot="1" x14ac:dyDescent="0.45">
      <c r="A2820" s="319" t="s">
        <v>805</v>
      </c>
      <c r="B2820" s="364" t="s">
        <v>694</v>
      </c>
      <c r="C2820" s="601">
        <f>C201+C429+C657+C849+C1030</f>
        <v>0</v>
      </c>
      <c r="D2820" s="548">
        <f t="shared" si="1043"/>
        <v>0</v>
      </c>
      <c r="E2820" s="456">
        <f t="shared" si="1046"/>
        <v>0</v>
      </c>
      <c r="F2820" s="358">
        <f>E2820*1.03*0.81/147</f>
        <v>0</v>
      </c>
      <c r="G2820" s="548">
        <f t="shared" si="1044"/>
        <v>0</v>
      </c>
      <c r="H2820" s="358" t="s">
        <v>18</v>
      </c>
      <c r="I2820" s="548">
        <f t="shared" si="1045"/>
        <v>0</v>
      </c>
      <c r="J2820" s="358" t="s">
        <v>19</v>
      </c>
      <c r="K2820" s="358"/>
      <c r="L2820" s="358"/>
      <c r="M2820" s="358">
        <f>(F2820*8820/3456)</f>
        <v>0</v>
      </c>
      <c r="N2820" s="324"/>
      <c r="O2820" s="324"/>
      <c r="P2820" s="324"/>
      <c r="Q2820" s="324" t="s">
        <v>18</v>
      </c>
      <c r="R2820" s="324"/>
      <c r="S2820" s="324" t="s">
        <v>19</v>
      </c>
      <c r="T2820" s="528">
        <v>2</v>
      </c>
      <c r="U2820" s="324">
        <f>E2820/220*60</f>
        <v>0</v>
      </c>
      <c r="V2820" s="676"/>
      <c r="W2820" s="528"/>
      <c r="X2820" s="529"/>
      <c r="Y2820" s="323"/>
      <c r="Z2820" s="312">
        <f t="shared" si="1034"/>
        <v>0</v>
      </c>
      <c r="AA2820" s="316">
        <f>SUM(Z2820/230+0.25)</f>
        <v>0.25</v>
      </c>
    </row>
    <row r="2821" spans="1:27" ht="77.25" outlineLevel="1" thickBot="1" x14ac:dyDescent="0.45">
      <c r="A2821" s="319" t="s">
        <v>805</v>
      </c>
      <c r="B2821" s="364" t="s">
        <v>1068</v>
      </c>
      <c r="C2821" s="601">
        <f>C202+C430+C658</f>
        <v>0</v>
      </c>
      <c r="D2821" s="528">
        <f>C2821*10</f>
        <v>0</v>
      </c>
      <c r="E2821" s="460">
        <f t="shared" si="1046"/>
        <v>0</v>
      </c>
      <c r="F2821" s="324">
        <f>E2821*1.03*0.81/147</f>
        <v>0</v>
      </c>
      <c r="G2821" s="528">
        <f>INT(M2821)</f>
        <v>0</v>
      </c>
      <c r="H2821" s="324" t="s">
        <v>18</v>
      </c>
      <c r="I2821" s="528">
        <f>(M2821-G2821)*64</f>
        <v>0</v>
      </c>
      <c r="J2821" s="324" t="s">
        <v>19</v>
      </c>
      <c r="K2821" s="324"/>
      <c r="L2821" s="324"/>
      <c r="M2821" s="324">
        <f>(F2821*8820/3456)</f>
        <v>0</v>
      </c>
      <c r="N2821" s="324"/>
      <c r="O2821" s="324"/>
      <c r="P2821" s="324"/>
      <c r="Q2821" s="324" t="s">
        <v>18</v>
      </c>
      <c r="R2821" s="324"/>
      <c r="S2821" s="324" t="s">
        <v>19</v>
      </c>
      <c r="T2821" s="528">
        <v>2</v>
      </c>
      <c r="U2821" s="324">
        <f>E2821/220*60</f>
        <v>0</v>
      </c>
      <c r="V2821" s="676"/>
      <c r="W2821" s="528"/>
      <c r="X2821" s="529"/>
      <c r="Y2821" s="323"/>
      <c r="Z2821" s="312">
        <f>E2821</f>
        <v>0</v>
      </c>
      <c r="AA2821" s="316">
        <f>SUM(Z2821/230+0.25)</f>
        <v>0.25</v>
      </c>
    </row>
    <row r="2822" spans="1:27" ht="77.25" outlineLevel="1" thickBot="1" x14ac:dyDescent="0.45">
      <c r="A2822" s="319" t="s">
        <v>805</v>
      </c>
      <c r="B2822" s="364" t="s">
        <v>1072</v>
      </c>
      <c r="C2822" s="586">
        <f>C203+C431+C659</f>
        <v>0</v>
      </c>
      <c r="D2822" s="528">
        <f>C2822*10</f>
        <v>0</v>
      </c>
      <c r="E2822" s="460">
        <f t="shared" si="1046"/>
        <v>0</v>
      </c>
      <c r="F2822" s="324">
        <f>E2822*1.03*0.81/147</f>
        <v>0</v>
      </c>
      <c r="G2822" s="528">
        <f>INT(M2822)</f>
        <v>0</v>
      </c>
      <c r="H2822" s="324" t="s">
        <v>18</v>
      </c>
      <c r="I2822" s="528">
        <f>(M2822-G2822)*64</f>
        <v>0</v>
      </c>
      <c r="J2822" s="324" t="s">
        <v>19</v>
      </c>
      <c r="K2822" s="324"/>
      <c r="L2822" s="324"/>
      <c r="M2822" s="324">
        <f>(F2822*8820/3456)</f>
        <v>0</v>
      </c>
      <c r="N2822" s="324"/>
      <c r="O2822" s="324"/>
      <c r="P2822" s="324"/>
      <c r="Q2822" s="324" t="s">
        <v>18</v>
      </c>
      <c r="R2822" s="324"/>
      <c r="S2822" s="324" t="s">
        <v>19</v>
      </c>
      <c r="T2822" s="528">
        <v>2</v>
      </c>
      <c r="U2822" s="324"/>
      <c r="V2822" s="676"/>
      <c r="W2822" s="528"/>
      <c r="X2822" s="529"/>
      <c r="Y2822" s="323"/>
      <c r="Z2822" s="312">
        <f>E2822</f>
        <v>0</v>
      </c>
      <c r="AA2822" s="316">
        <f>SUM(Z2822/183+0.25)</f>
        <v>0.25</v>
      </c>
    </row>
    <row r="2823" spans="1:27" ht="77.25" outlineLevel="1" thickBot="1" x14ac:dyDescent="0.45">
      <c r="A2823" s="319" t="s">
        <v>805</v>
      </c>
      <c r="B2823" s="364" t="s">
        <v>992</v>
      </c>
      <c r="C2823" s="528">
        <f>C2198</f>
        <v>0</v>
      </c>
      <c r="D2823" s="528">
        <f>C2823*12</f>
        <v>0</v>
      </c>
      <c r="E2823" s="324">
        <f t="shared" si="1046"/>
        <v>0</v>
      </c>
      <c r="F2823" s="324">
        <f>E2823*1.03*0.81/170</f>
        <v>0</v>
      </c>
      <c r="G2823" s="528">
        <f t="shared" si="1044"/>
        <v>0</v>
      </c>
      <c r="H2823" s="324" t="s">
        <v>18</v>
      </c>
      <c r="I2823" s="528">
        <f t="shared" si="1045"/>
        <v>0</v>
      </c>
      <c r="J2823" s="324" t="s">
        <v>19</v>
      </c>
      <c r="K2823" s="324"/>
      <c r="L2823" s="324"/>
      <c r="M2823" s="324">
        <f>(F2823*8820/3456)</f>
        <v>0</v>
      </c>
      <c r="N2823" s="324"/>
      <c r="O2823" s="324"/>
      <c r="P2823" s="324"/>
      <c r="Q2823" s="324" t="s">
        <v>18</v>
      </c>
      <c r="R2823" s="324"/>
      <c r="S2823" s="324" t="s">
        <v>19</v>
      </c>
      <c r="T2823" s="528">
        <v>2</v>
      </c>
      <c r="U2823" s="324">
        <f>E2823/220*60</f>
        <v>0</v>
      </c>
      <c r="V2823" s="676"/>
      <c r="W2823" s="528"/>
      <c r="X2823" s="529"/>
      <c r="Y2823" s="323"/>
      <c r="Z2823" s="312">
        <f t="shared" si="1034"/>
        <v>0</v>
      </c>
      <c r="AA2823" s="316">
        <f>SUM(Z2823/230+0.25)</f>
        <v>0.25</v>
      </c>
    </row>
    <row r="2824" spans="1:27" ht="53.25" outlineLevel="1" thickBot="1" x14ac:dyDescent="0.45">
      <c r="A2824" s="319" t="s">
        <v>805</v>
      </c>
      <c r="B2824" s="320" t="s">
        <v>815</v>
      </c>
      <c r="C2824" s="586">
        <f>C1718+C1210</f>
        <v>1000</v>
      </c>
      <c r="D2824" s="551">
        <f t="shared" ref="D2824:D2830" si="1047">C2824*12</f>
        <v>12000</v>
      </c>
      <c r="E2824" s="456">
        <f>D2824*0.5</f>
        <v>6000</v>
      </c>
      <c r="F2824" s="358">
        <f>E2824*1.02*0.99/147</f>
        <v>41.216326530612243</v>
      </c>
      <c r="G2824" s="548">
        <f t="shared" ref="G2824:G2835" si="1048">INT(M2824)</f>
        <v>75</v>
      </c>
      <c r="H2824" s="358" t="s">
        <v>18</v>
      </c>
      <c r="I2824" s="548">
        <f t="shared" ref="I2824:I2835" si="1049">(M2824-G2824)*64</f>
        <v>14.982857142857029</v>
      </c>
      <c r="J2824" s="358" t="s">
        <v>19</v>
      </c>
      <c r="K2824" s="358"/>
      <c r="L2824" s="358"/>
      <c r="M2824" s="358">
        <f>(F2824*5257)/2880</f>
        <v>75.234107142857141</v>
      </c>
      <c r="N2824" s="358"/>
      <c r="O2824" s="358"/>
      <c r="P2824" s="358"/>
      <c r="Q2824" s="358" t="s">
        <v>18</v>
      </c>
      <c r="R2824" s="358"/>
      <c r="S2824" s="358" t="s">
        <v>19</v>
      </c>
      <c r="T2824" s="528">
        <v>3</v>
      </c>
      <c r="U2824" s="324"/>
      <c r="V2824" s="676"/>
      <c r="W2824" s="528"/>
      <c r="X2824" s="529"/>
      <c r="Y2824" s="323"/>
      <c r="Z2824" s="312">
        <f t="shared" si="1034"/>
        <v>6000</v>
      </c>
      <c r="AA2824" s="316">
        <f t="shared" ref="AA2824:AA2830" si="1050">SUM(Z2824/(168)+0.25)</f>
        <v>35.964285714285715</v>
      </c>
    </row>
    <row r="2825" spans="1:27" ht="77.25" outlineLevel="1" thickBot="1" x14ac:dyDescent="0.45">
      <c r="A2825" s="319" t="s">
        <v>805</v>
      </c>
      <c r="B2825" s="320" t="s">
        <v>825</v>
      </c>
      <c r="C2825" s="586">
        <f>C1719+C1211</f>
        <v>1000</v>
      </c>
      <c r="D2825" s="551">
        <f t="shared" si="1047"/>
        <v>12000</v>
      </c>
      <c r="E2825" s="456">
        <f>D2825*0.5</f>
        <v>6000</v>
      </c>
      <c r="F2825" s="358">
        <f>E2825*1.02*0.99/147</f>
        <v>41.216326530612243</v>
      </c>
      <c r="G2825" s="548">
        <f t="shared" si="1048"/>
        <v>75</v>
      </c>
      <c r="H2825" s="358" t="s">
        <v>18</v>
      </c>
      <c r="I2825" s="548">
        <f t="shared" si="1049"/>
        <v>14.982857142857029</v>
      </c>
      <c r="J2825" s="358" t="s">
        <v>19</v>
      </c>
      <c r="K2825" s="358"/>
      <c r="L2825" s="358"/>
      <c r="M2825" s="358">
        <f>(F2825*5257)/2880</f>
        <v>75.234107142857141</v>
      </c>
      <c r="N2825" s="358"/>
      <c r="O2825" s="358"/>
      <c r="P2825" s="358"/>
      <c r="Q2825" s="358" t="s">
        <v>18</v>
      </c>
      <c r="R2825" s="358"/>
      <c r="S2825" s="358" t="s">
        <v>19</v>
      </c>
      <c r="T2825" s="528">
        <v>3</v>
      </c>
      <c r="U2825" s="324"/>
      <c r="V2825" s="676"/>
      <c r="W2825" s="528"/>
      <c r="X2825" s="529"/>
      <c r="Y2825" s="323"/>
      <c r="Z2825" s="312">
        <f t="shared" si="1034"/>
        <v>6000</v>
      </c>
      <c r="AA2825" s="316">
        <f t="shared" si="1050"/>
        <v>35.964285714285715</v>
      </c>
    </row>
    <row r="2826" spans="1:27" ht="53.25" outlineLevel="1" thickBot="1" x14ac:dyDescent="0.45">
      <c r="A2826" s="319" t="s">
        <v>805</v>
      </c>
      <c r="B2826" s="320" t="s">
        <v>826</v>
      </c>
      <c r="C2826" s="586">
        <f>C325+C555+C775+C895+C1076</f>
        <v>1000</v>
      </c>
      <c r="D2826" s="551">
        <f t="shared" si="1047"/>
        <v>12000</v>
      </c>
      <c r="E2826" s="456">
        <f>D2826*0.5</f>
        <v>6000</v>
      </c>
      <c r="F2826" s="358">
        <f>E2826*1.02*0.99/147</f>
        <v>41.216326530612243</v>
      </c>
      <c r="G2826" s="548">
        <f t="shared" si="1048"/>
        <v>75</v>
      </c>
      <c r="H2826" s="358" t="s">
        <v>18</v>
      </c>
      <c r="I2826" s="548">
        <f t="shared" si="1049"/>
        <v>14.982857142857029</v>
      </c>
      <c r="J2826" s="358" t="s">
        <v>19</v>
      </c>
      <c r="K2826" s="358"/>
      <c r="L2826" s="358"/>
      <c r="M2826" s="358">
        <f>(F2826*5257)/2880</f>
        <v>75.234107142857141</v>
      </c>
      <c r="N2826" s="358"/>
      <c r="O2826" s="358"/>
      <c r="P2826" s="358"/>
      <c r="Q2826" s="358" t="s">
        <v>18</v>
      </c>
      <c r="R2826" s="358"/>
      <c r="S2826" s="358" t="s">
        <v>19</v>
      </c>
      <c r="T2826" s="528">
        <v>3</v>
      </c>
      <c r="U2826" s="324"/>
      <c r="V2826" s="676"/>
      <c r="W2826" s="528"/>
      <c r="X2826" s="529"/>
      <c r="Y2826" s="323"/>
      <c r="Z2826" s="312">
        <f t="shared" si="1034"/>
        <v>6000</v>
      </c>
      <c r="AA2826" s="316">
        <f t="shared" si="1050"/>
        <v>35.964285714285715</v>
      </c>
    </row>
    <row r="2827" spans="1:27" ht="77.25" outlineLevel="1" thickBot="1" x14ac:dyDescent="0.45">
      <c r="A2827" s="319" t="s">
        <v>805</v>
      </c>
      <c r="B2827" s="480" t="s">
        <v>1083</v>
      </c>
      <c r="C2827" s="586">
        <f>C2092</f>
        <v>0</v>
      </c>
      <c r="D2827" s="626"/>
      <c r="E2827" s="358">
        <f>C2827*0.4</f>
        <v>0</v>
      </c>
      <c r="F2827" s="627">
        <f>E2827*1.03*0.85/147</f>
        <v>0</v>
      </c>
      <c r="G2827" s="628">
        <f t="shared" si="1048"/>
        <v>0</v>
      </c>
      <c r="H2827" s="359"/>
      <c r="I2827" s="628">
        <f t="shared" si="1049"/>
        <v>0</v>
      </c>
      <c r="J2827" s="629"/>
      <c r="K2827" s="630"/>
      <c r="L2827" s="630"/>
      <c r="M2827" s="627">
        <f>F2827*147/0.57/64</f>
        <v>0</v>
      </c>
      <c r="N2827" s="631"/>
      <c r="O2827" s="631"/>
      <c r="P2827" s="631"/>
      <c r="Q2827" s="358" t="s">
        <v>18</v>
      </c>
      <c r="R2827" s="358"/>
      <c r="S2827" s="358" t="s">
        <v>19</v>
      </c>
      <c r="T2827" s="528">
        <v>3</v>
      </c>
      <c r="U2827" s="324"/>
      <c r="V2827" s="676"/>
      <c r="W2827" s="528"/>
      <c r="X2827" s="529"/>
      <c r="Y2827" s="323"/>
      <c r="Z2827" s="312">
        <f t="shared" si="1034"/>
        <v>0</v>
      </c>
      <c r="AA2827" s="316">
        <f t="shared" si="1050"/>
        <v>0.25</v>
      </c>
    </row>
    <row r="2828" spans="1:27" ht="53.25" outlineLevel="1" thickBot="1" x14ac:dyDescent="0.45">
      <c r="A2828" s="319" t="s">
        <v>805</v>
      </c>
      <c r="B2828" s="480" t="s">
        <v>1084</v>
      </c>
      <c r="C2828" s="586">
        <f>C161+C385+C613</f>
        <v>0</v>
      </c>
      <c r="D2828" s="626"/>
      <c r="E2828" s="358">
        <f>C2828*0.4</f>
        <v>0</v>
      </c>
      <c r="F2828" s="627">
        <f>E2828*1.03*0.82/147</f>
        <v>0</v>
      </c>
      <c r="G2828" s="628">
        <f t="shared" si="1048"/>
        <v>0</v>
      </c>
      <c r="H2828" s="359"/>
      <c r="I2828" s="628">
        <f t="shared" si="1049"/>
        <v>0</v>
      </c>
      <c r="J2828" s="629" t="s">
        <v>19</v>
      </c>
      <c r="K2828" s="630"/>
      <c r="L2828" s="630"/>
      <c r="M2828" s="627">
        <f>F2828*147/0.46/64</f>
        <v>0</v>
      </c>
      <c r="N2828" s="631"/>
      <c r="O2828" s="631"/>
      <c r="P2828" s="631"/>
      <c r="Q2828" s="358" t="s">
        <v>18</v>
      </c>
      <c r="R2828" s="358"/>
      <c r="S2828" s="358" t="s">
        <v>19</v>
      </c>
      <c r="T2828" s="528">
        <v>3</v>
      </c>
      <c r="U2828" s="324"/>
      <c r="V2828" s="676"/>
      <c r="W2828" s="528"/>
      <c r="X2828" s="529"/>
      <c r="Y2828" s="323"/>
      <c r="Z2828" s="312">
        <f>E2828</f>
        <v>0</v>
      </c>
      <c r="AA2828" s="316">
        <f>SUM(Z2828/(168)+0.25)</f>
        <v>0.25</v>
      </c>
    </row>
    <row r="2829" spans="1:27" ht="77.25" outlineLevel="1" thickBot="1" x14ac:dyDescent="0.45">
      <c r="A2829" s="319" t="s">
        <v>805</v>
      </c>
      <c r="B2829" s="320" t="s">
        <v>904</v>
      </c>
      <c r="C2829" s="586">
        <f>C326+C556+C784+C958+C1112</f>
        <v>0</v>
      </c>
      <c r="D2829" s="569">
        <f t="shared" si="1047"/>
        <v>0</v>
      </c>
      <c r="E2829" s="458">
        <f>D2829*0.55</f>
        <v>0</v>
      </c>
      <c r="F2829" s="358">
        <f>E2829*0.9*1.01/147</f>
        <v>0</v>
      </c>
      <c r="G2829" s="556">
        <f t="shared" si="1048"/>
        <v>0</v>
      </c>
      <c r="H2829" s="366" t="s">
        <v>18</v>
      </c>
      <c r="I2829" s="556">
        <f t="shared" si="1049"/>
        <v>0</v>
      </c>
      <c r="J2829" s="366" t="s">
        <v>19</v>
      </c>
      <c r="K2829" s="366"/>
      <c r="L2829" s="366"/>
      <c r="M2829" s="570">
        <f>(F2829*5300/3456)</f>
        <v>0</v>
      </c>
      <c r="N2829" s="366"/>
      <c r="O2829" s="366"/>
      <c r="P2829" s="366"/>
      <c r="Q2829" s="366" t="s">
        <v>18</v>
      </c>
      <c r="R2829" s="366"/>
      <c r="S2829" s="366" t="s">
        <v>19</v>
      </c>
      <c r="T2829" s="528">
        <v>3</v>
      </c>
      <c r="U2829" s="324"/>
      <c r="V2829" s="676"/>
      <c r="W2829" s="528"/>
      <c r="X2829" s="529"/>
      <c r="Y2829" s="400"/>
      <c r="Z2829" s="312">
        <f t="shared" si="1034"/>
        <v>0</v>
      </c>
      <c r="AA2829" s="316">
        <f t="shared" si="1050"/>
        <v>0.25</v>
      </c>
    </row>
    <row r="2830" spans="1:27" ht="77.25" outlineLevel="1" thickBot="1" x14ac:dyDescent="0.45">
      <c r="A2830" s="319" t="s">
        <v>805</v>
      </c>
      <c r="B2830" s="320" t="s">
        <v>905</v>
      </c>
      <c r="C2830" s="586">
        <f>C327+C557+C785+C959+C1113</f>
        <v>0</v>
      </c>
      <c r="D2830" s="569">
        <f t="shared" si="1047"/>
        <v>0</v>
      </c>
      <c r="E2830" s="458">
        <f>D2830*0.55</f>
        <v>0</v>
      </c>
      <c r="F2830" s="358">
        <f>E2830*0.9*1.01/147</f>
        <v>0</v>
      </c>
      <c r="G2830" s="556">
        <f t="shared" si="1048"/>
        <v>0</v>
      </c>
      <c r="H2830" s="366" t="s">
        <v>18</v>
      </c>
      <c r="I2830" s="556">
        <f t="shared" si="1049"/>
        <v>0</v>
      </c>
      <c r="J2830" s="366" t="s">
        <v>19</v>
      </c>
      <c r="K2830" s="366"/>
      <c r="L2830" s="366"/>
      <c r="M2830" s="570">
        <f>(F2830*5300/3456)</f>
        <v>0</v>
      </c>
      <c r="N2830" s="366"/>
      <c r="O2830" s="366"/>
      <c r="P2830" s="366"/>
      <c r="Q2830" s="366" t="s">
        <v>18</v>
      </c>
      <c r="R2830" s="366"/>
      <c r="S2830" s="366" t="s">
        <v>19</v>
      </c>
      <c r="T2830" s="528">
        <v>3</v>
      </c>
      <c r="U2830" s="324"/>
      <c r="V2830" s="676"/>
      <c r="W2830" s="528"/>
      <c r="X2830" s="529"/>
      <c r="Y2830" s="663"/>
      <c r="Z2830" s="312">
        <f t="shared" si="1034"/>
        <v>0</v>
      </c>
      <c r="AA2830" s="316">
        <f t="shared" si="1050"/>
        <v>0.25</v>
      </c>
    </row>
    <row r="2831" spans="1:27" ht="53.25" outlineLevel="1" thickBot="1" x14ac:dyDescent="0.45">
      <c r="A2831" s="319" t="s">
        <v>805</v>
      </c>
      <c r="B2831" s="320" t="s">
        <v>849</v>
      </c>
      <c r="C2831" s="528">
        <f>C2292</f>
        <v>0</v>
      </c>
      <c r="D2831" s="528"/>
      <c r="E2831" s="456">
        <f>C2831*3.2</f>
        <v>0</v>
      </c>
      <c r="F2831" s="358">
        <f>E2831*1.03*0.9/147</f>
        <v>0</v>
      </c>
      <c r="G2831" s="548">
        <f t="shared" si="1048"/>
        <v>0</v>
      </c>
      <c r="H2831" s="358" t="s">
        <v>18</v>
      </c>
      <c r="I2831" s="548">
        <f t="shared" si="1049"/>
        <v>0</v>
      </c>
      <c r="J2831" s="358" t="s">
        <v>19</v>
      </c>
      <c r="K2831" s="358"/>
      <c r="L2831" s="358"/>
      <c r="M2831" s="358">
        <f t="shared" ref="M2831:M2839" si="1051">F2831*4983/2880</f>
        <v>0</v>
      </c>
      <c r="N2831" s="358"/>
      <c r="O2831" s="358"/>
      <c r="P2831" s="358"/>
      <c r="Q2831" s="358" t="s">
        <v>18</v>
      </c>
      <c r="R2831" s="358"/>
      <c r="S2831" s="358" t="s">
        <v>19</v>
      </c>
      <c r="T2831" s="528">
        <v>2</v>
      </c>
      <c r="U2831" s="324">
        <f>E2831/259*60</f>
        <v>0</v>
      </c>
      <c r="V2831" s="676"/>
      <c r="W2831" s="528"/>
      <c r="X2831" s="529"/>
      <c r="Y2831" s="381"/>
      <c r="Z2831" s="312">
        <f t="shared" si="1034"/>
        <v>0</v>
      </c>
      <c r="AA2831" s="316">
        <f>SUM(Z2831/624+0.25)</f>
        <v>0.25</v>
      </c>
    </row>
    <row r="2832" spans="1:27" ht="77.25" outlineLevel="1" thickBot="1" x14ac:dyDescent="0.45">
      <c r="A2832" s="319" t="s">
        <v>805</v>
      </c>
      <c r="B2832" s="633" t="s">
        <v>1086</v>
      </c>
      <c r="C2832" s="568"/>
      <c r="D2832" s="528"/>
      <c r="E2832" s="456">
        <f>C2832*3.2</f>
        <v>0</v>
      </c>
      <c r="F2832" s="358">
        <f>E2832*1.03*0.9/147</f>
        <v>0</v>
      </c>
      <c r="G2832" s="548">
        <f t="shared" si="1048"/>
        <v>0</v>
      </c>
      <c r="H2832" s="358" t="s">
        <v>18</v>
      </c>
      <c r="I2832" s="548">
        <f t="shared" si="1049"/>
        <v>0</v>
      </c>
      <c r="J2832" s="358" t="s">
        <v>19</v>
      </c>
      <c r="K2832" s="358"/>
      <c r="L2832" s="358"/>
      <c r="M2832" s="358">
        <f>F2832*4983/2880</f>
        <v>0</v>
      </c>
      <c r="N2832" s="358"/>
      <c r="O2832" s="358"/>
      <c r="P2832" s="358"/>
      <c r="Q2832" s="358" t="s">
        <v>18</v>
      </c>
      <c r="R2832" s="358"/>
      <c r="S2832" s="358" t="s">
        <v>19</v>
      </c>
      <c r="T2832" s="528">
        <v>2</v>
      </c>
      <c r="U2832" s="324">
        <f>E2832/259*60</f>
        <v>0</v>
      </c>
      <c r="V2832" s="676"/>
      <c r="W2832" s="528"/>
      <c r="X2832" s="529"/>
      <c r="Y2832" s="323"/>
      <c r="Z2832" s="312">
        <f>E2832</f>
        <v>0</v>
      </c>
      <c r="AA2832" s="316">
        <f>SUM(Z2832/624+0.25)</f>
        <v>0.25</v>
      </c>
    </row>
    <row r="2833" spans="1:27" ht="53.25" outlineLevel="1" thickBot="1" x14ac:dyDescent="0.45">
      <c r="A2833" s="319" t="s">
        <v>805</v>
      </c>
      <c r="B2833" s="320" t="s">
        <v>854</v>
      </c>
      <c r="C2833" s="528">
        <f>C1222+C1722+C2275</f>
        <v>0</v>
      </c>
      <c r="D2833" s="528"/>
      <c r="E2833" s="456">
        <f t="shared" ref="E2833:E2842" si="1052">C2833*1</f>
        <v>0</v>
      </c>
      <c r="F2833" s="358">
        <f t="shared" ref="F2833:F2839" si="1053">E2833*1.02*0.99/147</f>
        <v>0</v>
      </c>
      <c r="G2833" s="548">
        <f t="shared" si="1048"/>
        <v>0</v>
      </c>
      <c r="H2833" s="358" t="s">
        <v>18</v>
      </c>
      <c r="I2833" s="548">
        <f t="shared" si="1049"/>
        <v>0</v>
      </c>
      <c r="J2833" s="358" t="s">
        <v>19</v>
      </c>
      <c r="K2833" s="358"/>
      <c r="L2833" s="358"/>
      <c r="M2833" s="358">
        <f t="shared" si="1051"/>
        <v>0</v>
      </c>
      <c r="N2833" s="358"/>
      <c r="O2833" s="358"/>
      <c r="P2833" s="358"/>
      <c r="Q2833" s="358" t="s">
        <v>18</v>
      </c>
      <c r="R2833" s="358"/>
      <c r="S2833" s="358" t="s">
        <v>19</v>
      </c>
      <c r="T2833" s="528">
        <v>2</v>
      </c>
      <c r="U2833" s="324">
        <f t="shared" ref="U2833:U2845" si="1054">E2833/420*60</f>
        <v>0</v>
      </c>
      <c r="V2833" s="676"/>
      <c r="W2833" s="528"/>
      <c r="X2833" s="529"/>
      <c r="Y2833" s="323"/>
      <c r="Z2833" s="312">
        <f t="shared" si="1034"/>
        <v>0</v>
      </c>
      <c r="AA2833" s="316">
        <f t="shared" ref="AA2833:AA2842" si="1055">SUM(Z2833/195+0.25)</f>
        <v>0.25</v>
      </c>
    </row>
    <row r="2834" spans="1:27" ht="53.25" outlineLevel="1" thickBot="1" x14ac:dyDescent="0.45">
      <c r="A2834" s="319" t="s">
        <v>805</v>
      </c>
      <c r="B2834" s="799" t="s">
        <v>1204</v>
      </c>
      <c r="C2834" s="528">
        <f>C253+C483+C713+C898+C1087</f>
        <v>0</v>
      </c>
      <c r="D2834" s="528"/>
      <c r="E2834" s="456">
        <f>C2834*1</f>
        <v>0</v>
      </c>
      <c r="F2834" s="358">
        <f t="shared" si="1053"/>
        <v>0</v>
      </c>
      <c r="G2834" s="548">
        <f t="shared" si="1048"/>
        <v>0</v>
      </c>
      <c r="H2834" s="358" t="s">
        <v>18</v>
      </c>
      <c r="I2834" s="548">
        <f t="shared" si="1049"/>
        <v>0</v>
      </c>
      <c r="J2834" s="358" t="s">
        <v>19</v>
      </c>
      <c r="K2834" s="358"/>
      <c r="L2834" s="358"/>
      <c r="M2834" s="358">
        <f>F2834*4983/2880</f>
        <v>0</v>
      </c>
      <c r="N2834" s="358"/>
      <c r="O2834" s="358"/>
      <c r="P2834" s="358"/>
      <c r="Q2834" s="358" t="s">
        <v>18</v>
      </c>
      <c r="R2834" s="358"/>
      <c r="S2834" s="358" t="s">
        <v>19</v>
      </c>
      <c r="T2834" s="528">
        <v>3</v>
      </c>
      <c r="U2834" s="324">
        <f>E2834/420*60</f>
        <v>0</v>
      </c>
      <c r="V2834" s="676"/>
      <c r="W2834" s="528"/>
      <c r="X2834" s="529"/>
      <c r="Y2834" s="323"/>
      <c r="Z2834" s="312">
        <f>E2834</f>
        <v>0</v>
      </c>
      <c r="AA2834" s="316">
        <f>SUM(Z2834/195+0.25)</f>
        <v>0.25</v>
      </c>
    </row>
    <row r="2835" spans="1:27" ht="53.25" outlineLevel="1" thickBot="1" x14ac:dyDescent="0.45">
      <c r="A2835" s="319" t="s">
        <v>805</v>
      </c>
      <c r="B2835" s="320" t="s">
        <v>915</v>
      </c>
      <c r="C2835" s="528">
        <f>C1228+C1728+C2281</f>
        <v>0</v>
      </c>
      <c r="D2835" s="528"/>
      <c r="E2835" s="456">
        <f t="shared" si="1052"/>
        <v>0</v>
      </c>
      <c r="F2835" s="358">
        <f t="shared" si="1053"/>
        <v>0</v>
      </c>
      <c r="G2835" s="548">
        <f t="shared" si="1048"/>
        <v>0</v>
      </c>
      <c r="H2835" s="358" t="s">
        <v>18</v>
      </c>
      <c r="I2835" s="548">
        <f t="shared" si="1049"/>
        <v>0</v>
      </c>
      <c r="J2835" s="358" t="s">
        <v>19</v>
      </c>
      <c r="K2835" s="358"/>
      <c r="L2835" s="358"/>
      <c r="M2835" s="358">
        <f t="shared" si="1051"/>
        <v>0</v>
      </c>
      <c r="N2835" s="358"/>
      <c r="O2835" s="358"/>
      <c r="P2835" s="358"/>
      <c r="Q2835" s="358" t="s">
        <v>18</v>
      </c>
      <c r="R2835" s="358"/>
      <c r="S2835" s="358" t="s">
        <v>19</v>
      </c>
      <c r="T2835" s="548">
        <v>2</v>
      </c>
      <c r="U2835" s="324">
        <f t="shared" si="1054"/>
        <v>0</v>
      </c>
      <c r="V2835" s="676"/>
      <c r="W2835" s="528"/>
      <c r="X2835" s="529"/>
      <c r="Y2835" s="323"/>
      <c r="Z2835" s="312">
        <f t="shared" si="1034"/>
        <v>0</v>
      </c>
      <c r="AA2835" s="316">
        <f t="shared" si="1055"/>
        <v>0.25</v>
      </c>
    </row>
    <row r="2836" spans="1:27" ht="53.25" outlineLevel="1" thickBot="1" x14ac:dyDescent="0.45">
      <c r="A2836" s="319" t="s">
        <v>805</v>
      </c>
      <c r="B2836" s="799" t="s">
        <v>1205</v>
      </c>
      <c r="C2836" s="528">
        <f>C259+C489+C719+C904+C1093</f>
        <v>0</v>
      </c>
      <c r="D2836" s="528"/>
      <c r="E2836" s="456">
        <f>C2836*1</f>
        <v>0</v>
      </c>
      <c r="F2836" s="358">
        <f t="shared" si="1053"/>
        <v>0</v>
      </c>
      <c r="G2836" s="548">
        <f t="shared" ref="G2836:G2841" si="1056">INT(M2836)</f>
        <v>0</v>
      </c>
      <c r="H2836" s="358" t="s">
        <v>18</v>
      </c>
      <c r="I2836" s="548">
        <f t="shared" ref="I2836:I2841" si="1057">(M2836-G2836)*64</f>
        <v>0</v>
      </c>
      <c r="J2836" s="358" t="s">
        <v>19</v>
      </c>
      <c r="K2836" s="358"/>
      <c r="L2836" s="358"/>
      <c r="M2836" s="358">
        <f>F2836*4983/2880</f>
        <v>0</v>
      </c>
      <c r="N2836" s="358"/>
      <c r="O2836" s="358"/>
      <c r="P2836" s="358"/>
      <c r="Q2836" s="358" t="s">
        <v>18</v>
      </c>
      <c r="R2836" s="358"/>
      <c r="S2836" s="358" t="s">
        <v>19</v>
      </c>
      <c r="T2836" s="548">
        <v>3</v>
      </c>
      <c r="U2836" s="324">
        <f>E2836/420*60</f>
        <v>0</v>
      </c>
      <c r="V2836" s="676"/>
      <c r="W2836" s="528"/>
      <c r="X2836" s="529"/>
      <c r="Y2836" s="323"/>
      <c r="Z2836" s="312">
        <f>E2836</f>
        <v>0</v>
      </c>
      <c r="AA2836" s="316">
        <f>SUM(Z2836/195+0.25)</f>
        <v>0.25</v>
      </c>
    </row>
    <row r="2837" spans="1:27" ht="53.25" outlineLevel="1" thickBot="1" x14ac:dyDescent="0.45">
      <c r="A2837" s="319" t="s">
        <v>805</v>
      </c>
      <c r="B2837" s="320" t="s">
        <v>916</v>
      </c>
      <c r="C2837" s="528">
        <f>C1230+C1730+C2283</f>
        <v>0</v>
      </c>
      <c r="D2837" s="525"/>
      <c r="E2837" s="456">
        <f>C2837*1</f>
        <v>0</v>
      </c>
      <c r="F2837" s="358">
        <f>E2837*1.02*0.99/147</f>
        <v>0</v>
      </c>
      <c r="G2837" s="548">
        <f t="shared" si="1056"/>
        <v>0</v>
      </c>
      <c r="H2837" s="358" t="s">
        <v>18</v>
      </c>
      <c r="I2837" s="548">
        <f t="shared" si="1057"/>
        <v>0</v>
      </c>
      <c r="J2837" s="358" t="s">
        <v>19</v>
      </c>
      <c r="K2837" s="358"/>
      <c r="L2837" s="358"/>
      <c r="M2837" s="358">
        <f>F2837*6391/2880</f>
        <v>0</v>
      </c>
      <c r="N2837" s="358"/>
      <c r="O2837" s="358"/>
      <c r="P2837" s="358"/>
      <c r="Q2837" s="358" t="s">
        <v>18</v>
      </c>
      <c r="R2837" s="358"/>
      <c r="S2837" s="358" t="s">
        <v>19</v>
      </c>
      <c r="T2837" s="528">
        <v>2</v>
      </c>
      <c r="U2837" s="324">
        <f>E2837/420*60</f>
        <v>0</v>
      </c>
      <c r="V2837" s="676"/>
      <c r="W2837" s="528"/>
      <c r="X2837" s="529"/>
      <c r="Y2837" s="323"/>
      <c r="Z2837" s="312">
        <f t="shared" si="1034"/>
        <v>0</v>
      </c>
      <c r="AA2837" s="316">
        <f t="shared" si="1055"/>
        <v>0.25</v>
      </c>
    </row>
    <row r="2838" spans="1:27" ht="53.25" outlineLevel="1" thickBot="1" x14ac:dyDescent="0.45">
      <c r="A2838" s="319" t="s">
        <v>805</v>
      </c>
      <c r="B2838" s="320" t="s">
        <v>1064</v>
      </c>
      <c r="C2838" s="528">
        <f>C1731+C1231+C2284</f>
        <v>0</v>
      </c>
      <c r="D2838" s="525"/>
      <c r="E2838" s="545">
        <f>C2838*1</f>
        <v>0</v>
      </c>
      <c r="F2838" s="461">
        <f>E2838*1.02*0.99/147</f>
        <v>0</v>
      </c>
      <c r="G2838" s="525">
        <f t="shared" si="1056"/>
        <v>0</v>
      </c>
      <c r="H2838" s="461" t="s">
        <v>18</v>
      </c>
      <c r="I2838" s="525">
        <f t="shared" si="1057"/>
        <v>0</v>
      </c>
      <c r="J2838" s="461" t="s">
        <v>19</v>
      </c>
      <c r="K2838" s="461"/>
      <c r="L2838" s="461"/>
      <c r="M2838" s="461">
        <f>F2838*6391/2880</f>
        <v>0</v>
      </c>
      <c r="N2838" s="461"/>
      <c r="O2838" s="461"/>
      <c r="P2838" s="324"/>
      <c r="Q2838" s="324" t="s">
        <v>18</v>
      </c>
      <c r="R2838" s="324"/>
      <c r="S2838" s="324" t="s">
        <v>19</v>
      </c>
      <c r="T2838" s="528">
        <v>2</v>
      </c>
      <c r="U2838" s="324">
        <f>E2838/420*60</f>
        <v>0</v>
      </c>
      <c r="V2838" s="676"/>
      <c r="W2838" s="528"/>
      <c r="X2838" s="529"/>
      <c r="Y2838" s="323"/>
      <c r="Z2838" s="312">
        <f>E2838</f>
        <v>0</v>
      </c>
      <c r="AA2838" s="316">
        <f>SUM(Z2838/195+0.25)</f>
        <v>0.25</v>
      </c>
    </row>
    <row r="2839" spans="1:27" ht="53.25" outlineLevel="1" thickBot="1" x14ac:dyDescent="0.45">
      <c r="A2839" s="319" t="s">
        <v>805</v>
      </c>
      <c r="B2839" s="320" t="s">
        <v>902</v>
      </c>
      <c r="C2839" s="528">
        <f>C1224+C1724+C2277</f>
        <v>0</v>
      </c>
      <c r="D2839" s="528"/>
      <c r="E2839" s="456">
        <f t="shared" si="1052"/>
        <v>0</v>
      </c>
      <c r="F2839" s="358">
        <f t="shared" si="1053"/>
        <v>0</v>
      </c>
      <c r="G2839" s="548">
        <f t="shared" si="1056"/>
        <v>0</v>
      </c>
      <c r="H2839" s="358" t="s">
        <v>18</v>
      </c>
      <c r="I2839" s="548">
        <f t="shared" si="1057"/>
        <v>0</v>
      </c>
      <c r="J2839" s="358" t="s">
        <v>19</v>
      </c>
      <c r="K2839" s="358"/>
      <c r="L2839" s="358"/>
      <c r="M2839" s="358">
        <f t="shared" si="1051"/>
        <v>0</v>
      </c>
      <c r="N2839" s="358"/>
      <c r="O2839" s="358"/>
      <c r="P2839" s="358"/>
      <c r="Q2839" s="358" t="s">
        <v>18</v>
      </c>
      <c r="R2839" s="358"/>
      <c r="S2839" s="358" t="s">
        <v>19</v>
      </c>
      <c r="T2839" s="528">
        <v>2</v>
      </c>
      <c r="U2839" s="324">
        <f t="shared" si="1054"/>
        <v>0</v>
      </c>
      <c r="V2839" s="676"/>
      <c r="W2839" s="528"/>
      <c r="X2839" s="529"/>
      <c r="Y2839" s="323"/>
      <c r="Z2839" s="312">
        <f t="shared" si="1034"/>
        <v>0</v>
      </c>
      <c r="AA2839" s="316">
        <f t="shared" si="1055"/>
        <v>0.25</v>
      </c>
    </row>
    <row r="2840" spans="1:27" ht="53.25" outlineLevel="1" thickBot="1" x14ac:dyDescent="0.45">
      <c r="A2840" s="319" t="s">
        <v>805</v>
      </c>
      <c r="B2840" s="799" t="s">
        <v>1206</v>
      </c>
      <c r="C2840" s="528">
        <f>C255+C485+C715+C900+C1089</f>
        <v>0</v>
      </c>
      <c r="D2840" s="528"/>
      <c r="E2840" s="456">
        <f>C2840*1</f>
        <v>0</v>
      </c>
      <c r="F2840" s="358">
        <f>E2840*1.02*0.99/147</f>
        <v>0</v>
      </c>
      <c r="G2840" s="548">
        <f t="shared" si="1056"/>
        <v>0</v>
      </c>
      <c r="H2840" s="358" t="s">
        <v>18</v>
      </c>
      <c r="I2840" s="548">
        <f t="shared" si="1057"/>
        <v>0</v>
      </c>
      <c r="J2840" s="358" t="s">
        <v>19</v>
      </c>
      <c r="K2840" s="358"/>
      <c r="L2840" s="358"/>
      <c r="M2840" s="358">
        <f>F2840*4983/2880</f>
        <v>0</v>
      </c>
      <c r="N2840" s="358"/>
      <c r="O2840" s="358"/>
      <c r="P2840" s="358"/>
      <c r="Q2840" s="358" t="s">
        <v>18</v>
      </c>
      <c r="R2840" s="358"/>
      <c r="S2840" s="358" t="s">
        <v>19</v>
      </c>
      <c r="T2840" s="528">
        <v>2</v>
      </c>
      <c r="U2840" s="324">
        <f>E2840/420*60</f>
        <v>0</v>
      </c>
      <c r="V2840" s="676"/>
      <c r="W2840" s="528"/>
      <c r="X2840" s="529"/>
      <c r="Y2840" s="323"/>
      <c r="Z2840" s="312">
        <f>E2840</f>
        <v>0</v>
      </c>
      <c r="AA2840" s="316">
        <f>SUM(Z2840/195+0.25)</f>
        <v>0.25</v>
      </c>
    </row>
    <row r="2841" spans="1:27" ht="77.25" outlineLevel="1" thickBot="1" x14ac:dyDescent="0.45">
      <c r="A2841" s="319" t="s">
        <v>805</v>
      </c>
      <c r="B2841" s="320" t="s">
        <v>900</v>
      </c>
      <c r="C2841" s="528">
        <f>C901+C1090+C2279</f>
        <v>0</v>
      </c>
      <c r="D2841" s="528"/>
      <c r="E2841" s="458">
        <f t="shared" si="1052"/>
        <v>0</v>
      </c>
      <c r="F2841" s="358">
        <f>E2841*0.9*1.01/147</f>
        <v>0</v>
      </c>
      <c r="G2841" s="556">
        <f t="shared" si="1056"/>
        <v>0</v>
      </c>
      <c r="H2841" s="366" t="s">
        <v>18</v>
      </c>
      <c r="I2841" s="556">
        <f t="shared" si="1057"/>
        <v>0</v>
      </c>
      <c r="J2841" s="366" t="s">
        <v>19</v>
      </c>
      <c r="K2841" s="366"/>
      <c r="L2841" s="366"/>
      <c r="M2841" s="358">
        <f>(F2841*6533/3456)</f>
        <v>0</v>
      </c>
      <c r="N2841" s="366"/>
      <c r="O2841" s="366"/>
      <c r="P2841" s="366"/>
      <c r="Q2841" s="366" t="s">
        <v>18</v>
      </c>
      <c r="R2841" s="366"/>
      <c r="S2841" s="366" t="s">
        <v>19</v>
      </c>
      <c r="T2841" s="528">
        <v>2</v>
      </c>
      <c r="U2841" s="324">
        <f t="shared" si="1054"/>
        <v>0</v>
      </c>
      <c r="V2841" s="676"/>
      <c r="W2841" s="528"/>
      <c r="X2841" s="529"/>
      <c r="Y2841" s="323"/>
      <c r="Z2841" s="312">
        <f t="shared" si="1034"/>
        <v>0</v>
      </c>
      <c r="AA2841" s="316">
        <f t="shared" si="1055"/>
        <v>0.25</v>
      </c>
    </row>
    <row r="2842" spans="1:27" ht="77.25" outlineLevel="1" thickBot="1" x14ac:dyDescent="0.45">
      <c r="A2842" s="319" t="s">
        <v>805</v>
      </c>
      <c r="B2842" s="320" t="s">
        <v>901</v>
      </c>
      <c r="C2842" s="528">
        <f>C902+C1091+C2280</f>
        <v>0</v>
      </c>
      <c r="D2842" s="528"/>
      <c r="E2842" s="458">
        <f t="shared" si="1052"/>
        <v>0</v>
      </c>
      <c r="F2842" s="358">
        <f>E2842*0.9*1.01/147</f>
        <v>0</v>
      </c>
      <c r="G2842" s="556">
        <f t="shared" ref="G2842:G2848" si="1058">INT(M2842)</f>
        <v>0</v>
      </c>
      <c r="H2842" s="366" t="s">
        <v>18</v>
      </c>
      <c r="I2842" s="556">
        <f t="shared" ref="I2842:I2848" si="1059">(M2842-G2842)*64</f>
        <v>0</v>
      </c>
      <c r="J2842" s="366" t="s">
        <v>19</v>
      </c>
      <c r="K2842" s="366"/>
      <c r="L2842" s="366"/>
      <c r="M2842" s="358">
        <f>(F2842*6533/3456)</f>
        <v>0</v>
      </c>
      <c r="N2842" s="366"/>
      <c r="O2842" s="366"/>
      <c r="P2842" s="366"/>
      <c r="Q2842" s="366" t="s">
        <v>18</v>
      </c>
      <c r="R2842" s="366"/>
      <c r="S2842" s="366" t="s">
        <v>19</v>
      </c>
      <c r="T2842" s="528">
        <v>2</v>
      </c>
      <c r="U2842" s="324">
        <f t="shared" si="1054"/>
        <v>0</v>
      </c>
      <c r="V2842" s="676"/>
      <c r="W2842" s="528"/>
      <c r="X2842" s="529"/>
      <c r="Y2842" s="323"/>
      <c r="Z2842" s="312">
        <f t="shared" si="1034"/>
        <v>0</v>
      </c>
      <c r="AA2842" s="316">
        <f t="shared" si="1055"/>
        <v>0.25</v>
      </c>
    </row>
    <row r="2843" spans="1:27" ht="53.25" outlineLevel="1" thickBot="1" x14ac:dyDescent="0.45">
      <c r="A2843" s="319" t="s">
        <v>805</v>
      </c>
      <c r="B2843" s="343" t="s">
        <v>1023</v>
      </c>
      <c r="C2843" s="561">
        <f>C2580</f>
        <v>0</v>
      </c>
      <c r="D2843" s="551">
        <f>C2843*8</f>
        <v>0</v>
      </c>
      <c r="E2843" s="456">
        <f>D2843*0.16</f>
        <v>0</v>
      </c>
      <c r="F2843" s="358">
        <f>E2843*0.99*1.02/170</f>
        <v>0</v>
      </c>
      <c r="G2843" s="358">
        <f t="shared" si="1058"/>
        <v>0</v>
      </c>
      <c r="H2843" s="358" t="s">
        <v>18</v>
      </c>
      <c r="I2843" s="548">
        <f t="shared" si="1059"/>
        <v>0</v>
      </c>
      <c r="J2843" s="358" t="s">
        <v>19</v>
      </c>
      <c r="K2843" s="358"/>
      <c r="L2843" s="358"/>
      <c r="M2843" s="358">
        <f>(F2843*8500)/3456</f>
        <v>0</v>
      </c>
      <c r="N2843" s="324"/>
      <c r="O2843" s="324"/>
      <c r="P2843" s="324"/>
      <c r="Q2843" s="324" t="s">
        <v>18</v>
      </c>
      <c r="R2843" s="324"/>
      <c r="S2843" s="324" t="s">
        <v>19</v>
      </c>
      <c r="T2843" s="528">
        <v>2</v>
      </c>
      <c r="U2843" s="324">
        <f>E2843/420*60</f>
        <v>0</v>
      </c>
      <c r="V2843" s="676"/>
      <c r="W2843" s="528"/>
      <c r="X2843" s="529"/>
      <c r="Y2843" s="323" t="s">
        <v>1030</v>
      </c>
      <c r="Z2843" s="312">
        <f t="shared" si="1034"/>
        <v>0</v>
      </c>
      <c r="AA2843" s="316">
        <f>SUM((Z2843/183)/2+0.25)</f>
        <v>0.25</v>
      </c>
    </row>
    <row r="2844" spans="1:27" ht="53.25" outlineLevel="1" thickBot="1" x14ac:dyDescent="0.45">
      <c r="A2844" s="319" t="s">
        <v>805</v>
      </c>
      <c r="B2844" s="799" t="s">
        <v>1215</v>
      </c>
      <c r="C2844" s="561">
        <f>C2585</f>
        <v>0</v>
      </c>
      <c r="D2844" s="551">
        <f>C2844*10</f>
        <v>0</v>
      </c>
      <c r="E2844" s="456">
        <f>D2844*0.16</f>
        <v>0</v>
      </c>
      <c r="F2844" s="358">
        <f>E2844*0.99*1.02/170</f>
        <v>0</v>
      </c>
      <c r="G2844" s="358">
        <f t="shared" si="1058"/>
        <v>0</v>
      </c>
      <c r="H2844" s="358" t="s">
        <v>18</v>
      </c>
      <c r="I2844" s="548">
        <f t="shared" si="1059"/>
        <v>0</v>
      </c>
      <c r="J2844" s="358" t="s">
        <v>19</v>
      </c>
      <c r="K2844" s="358"/>
      <c r="L2844" s="358"/>
      <c r="M2844" s="358">
        <f>(F2844*8500)/3456</f>
        <v>0</v>
      </c>
      <c r="N2844" s="324"/>
      <c r="O2844" s="324"/>
      <c r="P2844" s="324"/>
      <c r="Q2844" s="324" t="s">
        <v>18</v>
      </c>
      <c r="R2844" s="324"/>
      <c r="S2844" s="324" t="s">
        <v>19</v>
      </c>
      <c r="T2844" s="528">
        <v>2</v>
      </c>
      <c r="U2844" s="324">
        <f t="shared" si="1054"/>
        <v>0</v>
      </c>
      <c r="V2844" s="676"/>
      <c r="W2844" s="528"/>
      <c r="X2844" s="529"/>
      <c r="Y2844" s="323"/>
      <c r="Z2844" s="312">
        <f t="shared" si="1034"/>
        <v>0</v>
      </c>
      <c r="AA2844" s="316">
        <f>SUM(Z2844/97.92+0.25)</f>
        <v>0.25</v>
      </c>
    </row>
    <row r="2845" spans="1:27" ht="77.25" outlineLevel="1" thickBot="1" x14ac:dyDescent="0.45">
      <c r="A2845" s="319" t="s">
        <v>805</v>
      </c>
      <c r="B2845" s="343" t="s">
        <v>1182</v>
      </c>
      <c r="C2845" s="528">
        <f>C340+C570+C798+C978+C1159</f>
        <v>0</v>
      </c>
      <c r="D2845" s="551">
        <f>C2845*10</f>
        <v>0</v>
      </c>
      <c r="E2845" s="456">
        <f>D2845*0.26</f>
        <v>0</v>
      </c>
      <c r="F2845" s="358">
        <f>E2845*0.99*1.02/170</f>
        <v>0</v>
      </c>
      <c r="G2845" s="358">
        <f t="shared" si="1058"/>
        <v>0</v>
      </c>
      <c r="H2845" s="358" t="s">
        <v>18</v>
      </c>
      <c r="I2845" s="548">
        <f t="shared" si="1059"/>
        <v>0</v>
      </c>
      <c r="J2845" s="358" t="s">
        <v>19</v>
      </c>
      <c r="K2845" s="358"/>
      <c r="L2845" s="358"/>
      <c r="M2845" s="358">
        <f>(F2845*8500)/3456</f>
        <v>0</v>
      </c>
      <c r="N2845" s="324"/>
      <c r="O2845" s="324"/>
      <c r="P2845" s="324"/>
      <c r="Q2845" s="324" t="s">
        <v>18</v>
      </c>
      <c r="R2845" s="324"/>
      <c r="S2845" s="324" t="s">
        <v>19</v>
      </c>
      <c r="T2845" s="528">
        <v>2</v>
      </c>
      <c r="U2845" s="324">
        <f t="shared" si="1054"/>
        <v>0</v>
      </c>
      <c r="V2845" s="676"/>
      <c r="W2845" s="528"/>
      <c r="X2845" s="529"/>
      <c r="Y2845" s="323"/>
      <c r="Z2845" s="312">
        <f t="shared" si="1034"/>
        <v>0</v>
      </c>
      <c r="AA2845" s="316">
        <f>SUM(Z2845/97.92+0.25)</f>
        <v>0.25</v>
      </c>
    </row>
    <row r="2846" spans="1:27" ht="77.25" thickBot="1" x14ac:dyDescent="0.45">
      <c r="A2846" s="319" t="s">
        <v>805</v>
      </c>
      <c r="B2846" s="873" t="s">
        <v>1207</v>
      </c>
      <c r="C2846" s="528">
        <f>C2582</f>
        <v>0</v>
      </c>
      <c r="D2846" s="550">
        <f>C2846*12</f>
        <v>0</v>
      </c>
      <c r="E2846" s="456">
        <f>D2846*0.27</f>
        <v>0</v>
      </c>
      <c r="F2846" s="358">
        <f>E2846*0.87*1.01/151</f>
        <v>0</v>
      </c>
      <c r="G2846" s="358">
        <f t="shared" si="1058"/>
        <v>0</v>
      </c>
      <c r="H2846" s="358" t="s">
        <v>18</v>
      </c>
      <c r="I2846" s="548">
        <f t="shared" si="1059"/>
        <v>0</v>
      </c>
      <c r="J2846" s="358" t="s">
        <v>19</v>
      </c>
      <c r="K2846" s="358"/>
      <c r="L2846" s="358"/>
      <c r="M2846" s="358">
        <f>F2846*7889/3456</f>
        <v>0</v>
      </c>
      <c r="N2846" s="461"/>
      <c r="O2846" s="461"/>
      <c r="P2846" s="366"/>
      <c r="Q2846" s="358" t="s">
        <v>18</v>
      </c>
      <c r="R2846" s="358"/>
      <c r="S2846" s="358" t="s">
        <v>19</v>
      </c>
      <c r="T2846" s="528">
        <v>3</v>
      </c>
      <c r="U2846" s="324">
        <f>E2846/390*60</f>
        <v>0</v>
      </c>
      <c r="V2846" s="676"/>
      <c r="W2846" s="528"/>
      <c r="X2846" s="529"/>
      <c r="Y2846" s="367"/>
      <c r="Z2846" s="312">
        <f t="shared" ref="Z2846:Z2852" si="1060">E2846</f>
        <v>0</v>
      </c>
      <c r="AA2846" s="316">
        <f>SUM(Z2846/168+0.25)</f>
        <v>0.25</v>
      </c>
    </row>
    <row r="2847" spans="1:27" ht="77.25" thickBot="1" x14ac:dyDescent="0.45">
      <c r="A2847" s="319" t="s">
        <v>805</v>
      </c>
      <c r="B2847" s="873" t="s">
        <v>1221</v>
      </c>
      <c r="C2847" s="528">
        <f>C2583</f>
        <v>0</v>
      </c>
      <c r="D2847" s="550">
        <f>C2847*7</f>
        <v>0</v>
      </c>
      <c r="E2847" s="456">
        <f>D2847*0.27</f>
        <v>0</v>
      </c>
      <c r="F2847" s="358">
        <f>E2847*0.87*1.01/151</f>
        <v>0</v>
      </c>
      <c r="G2847" s="358">
        <f t="shared" si="1058"/>
        <v>0</v>
      </c>
      <c r="H2847" s="358" t="s">
        <v>18</v>
      </c>
      <c r="I2847" s="548">
        <f t="shared" si="1059"/>
        <v>0</v>
      </c>
      <c r="J2847" s="358" t="s">
        <v>19</v>
      </c>
      <c r="K2847" s="358"/>
      <c r="L2847" s="358"/>
      <c r="M2847" s="358">
        <f>F2847*7889/3456</f>
        <v>0</v>
      </c>
      <c r="N2847" s="461"/>
      <c r="O2847" s="461"/>
      <c r="P2847" s="366"/>
      <c r="Q2847" s="358" t="s">
        <v>18</v>
      </c>
      <c r="R2847" s="358"/>
      <c r="S2847" s="358" t="s">
        <v>19</v>
      </c>
      <c r="T2847" s="528">
        <v>3</v>
      </c>
      <c r="U2847" s="324">
        <f>E2847/390*60</f>
        <v>0</v>
      </c>
      <c r="V2847" s="676"/>
      <c r="W2847" s="528"/>
      <c r="X2847" s="529"/>
      <c r="Y2847" s="367"/>
      <c r="Z2847" s="312">
        <f t="shared" si="1060"/>
        <v>0</v>
      </c>
      <c r="AA2847" s="316">
        <f>SUM(Z2847/105.75+0.25)</f>
        <v>0.25</v>
      </c>
    </row>
    <row r="2848" spans="1:27" ht="53.25" thickBot="1" x14ac:dyDescent="0.45">
      <c r="A2848" s="329" t="s">
        <v>805</v>
      </c>
      <c r="B2848" s="878" t="s">
        <v>1208</v>
      </c>
      <c r="C2848" s="872"/>
      <c r="D2848" s="548">
        <f>C2848*12</f>
        <v>0</v>
      </c>
      <c r="E2848" s="456">
        <f>D2848*0.3</f>
        <v>0</v>
      </c>
      <c r="F2848" s="358">
        <f>E2848*1.01*0.79/152</f>
        <v>0</v>
      </c>
      <c r="G2848" s="549">
        <f t="shared" si="1058"/>
        <v>0</v>
      </c>
      <c r="H2848" s="359" t="s">
        <v>18</v>
      </c>
      <c r="I2848" s="549">
        <f t="shared" si="1059"/>
        <v>0</v>
      </c>
      <c r="J2848" s="359" t="s">
        <v>19</v>
      </c>
      <c r="K2848" s="358"/>
      <c r="L2848" s="358"/>
      <c r="M2848" s="358">
        <f>F2848*7696/3456</f>
        <v>0</v>
      </c>
      <c r="N2848" s="461"/>
      <c r="O2848" s="461"/>
      <c r="P2848" s="358"/>
      <c r="Q2848" s="358" t="s">
        <v>18</v>
      </c>
      <c r="R2848" s="358"/>
      <c r="S2848" s="358" t="s">
        <v>19</v>
      </c>
      <c r="T2848" s="528">
        <v>3</v>
      </c>
      <c r="U2848" s="324">
        <f>E2848/220*60</f>
        <v>0</v>
      </c>
      <c r="V2848" s="676"/>
      <c r="W2848" s="528"/>
      <c r="X2848" s="529"/>
      <c r="Y2848" s="323"/>
      <c r="Z2848" s="312">
        <f t="shared" si="1060"/>
        <v>0</v>
      </c>
      <c r="AA2848" s="316">
        <f>SUM(Z2848/168+0.25)</f>
        <v>0.25</v>
      </c>
    </row>
    <row r="2849" spans="1:27" ht="53.25" thickBot="1" x14ac:dyDescent="0.45">
      <c r="A2849" s="329" t="s">
        <v>805</v>
      </c>
      <c r="B2849" s="879" t="s">
        <v>1211</v>
      </c>
      <c r="C2849" s="528">
        <f>C331+C561+C789+C971+C1152</f>
        <v>0</v>
      </c>
      <c r="D2849" s="551">
        <f>C2849*14</f>
        <v>0</v>
      </c>
      <c r="E2849" s="456">
        <f>D2849*0.25</f>
        <v>0</v>
      </c>
      <c r="F2849" s="358">
        <f>E2849*0.99*1.03/147</f>
        <v>0</v>
      </c>
      <c r="G2849" s="548">
        <f>INT(M2849)</f>
        <v>0</v>
      </c>
      <c r="H2849" s="358" t="s">
        <v>18</v>
      </c>
      <c r="I2849" s="548">
        <f>(M2849-G2849)*64</f>
        <v>0</v>
      </c>
      <c r="J2849" s="358" t="s">
        <v>19</v>
      </c>
      <c r="K2849" s="358"/>
      <c r="L2849" s="358"/>
      <c r="M2849" s="358">
        <f>(F2849*6989)/2880</f>
        <v>0</v>
      </c>
      <c r="N2849" s="358"/>
      <c r="O2849" s="358"/>
      <c r="P2849" s="358"/>
      <c r="Q2849" s="358" t="s">
        <v>18</v>
      </c>
      <c r="R2849" s="358"/>
      <c r="S2849" s="358" t="s">
        <v>19</v>
      </c>
      <c r="T2849" s="528">
        <v>2</v>
      </c>
      <c r="U2849" s="324">
        <f>E2849/403*60</f>
        <v>0</v>
      </c>
      <c r="V2849" s="676"/>
      <c r="W2849" s="528"/>
      <c r="X2849" s="529"/>
      <c r="Y2849" s="323"/>
      <c r="Z2849" s="312">
        <f t="shared" si="1060"/>
        <v>0</v>
      </c>
      <c r="AA2849" s="316">
        <f>SUM(Z2849/97.92+0.25)</f>
        <v>0.25</v>
      </c>
    </row>
    <row r="2850" spans="1:27" ht="53.25" thickBot="1" x14ac:dyDescent="0.45">
      <c r="A2850" s="329" t="s">
        <v>805</v>
      </c>
      <c r="B2850" s="879" t="s">
        <v>1213</v>
      </c>
      <c r="C2850" s="528">
        <f>C562+C790+C972+C1153+C332</f>
        <v>0</v>
      </c>
      <c r="D2850" s="551">
        <f>C2850*14</f>
        <v>0</v>
      </c>
      <c r="E2850" s="456">
        <f>D2850*0.25</f>
        <v>0</v>
      </c>
      <c r="F2850" s="358">
        <f>E2850*0.99*1.03/147</f>
        <v>0</v>
      </c>
      <c r="G2850" s="548">
        <f>INT(M2850)</f>
        <v>0</v>
      </c>
      <c r="H2850" s="358" t="s">
        <v>18</v>
      </c>
      <c r="I2850" s="548">
        <f>(M2850-G2850)*64</f>
        <v>0</v>
      </c>
      <c r="J2850" s="358" t="s">
        <v>19</v>
      </c>
      <c r="K2850" s="358"/>
      <c r="L2850" s="358"/>
      <c r="M2850" s="358">
        <f>(F2850*6989)/2880</f>
        <v>0</v>
      </c>
      <c r="N2850" s="358"/>
      <c r="O2850" s="358"/>
      <c r="P2850" s="358"/>
      <c r="Q2850" s="358" t="s">
        <v>18</v>
      </c>
      <c r="R2850" s="358"/>
      <c r="S2850" s="358" t="s">
        <v>19</v>
      </c>
      <c r="T2850" s="528">
        <v>2</v>
      </c>
      <c r="U2850" s="324">
        <f>E2850/403*60</f>
        <v>0</v>
      </c>
      <c r="V2850" s="676"/>
      <c r="W2850" s="528"/>
      <c r="X2850" s="529"/>
      <c r="Y2850" s="323"/>
      <c r="Z2850" s="312">
        <f t="shared" si="1060"/>
        <v>0</v>
      </c>
      <c r="AA2850" s="316">
        <f>SUM(Z2850/97.92+0.25)</f>
        <v>0.25</v>
      </c>
    </row>
    <row r="2851" spans="1:27" ht="53.25" thickBot="1" x14ac:dyDescent="0.45">
      <c r="A2851" s="329" t="s">
        <v>805</v>
      </c>
      <c r="B2851" s="879" t="s">
        <v>1212</v>
      </c>
      <c r="C2851" s="528">
        <f>C333+C563+C791</f>
        <v>0</v>
      </c>
      <c r="D2851" s="551">
        <f>C2851*14</f>
        <v>0</v>
      </c>
      <c r="E2851" s="456">
        <f>D2851*0.25</f>
        <v>0</v>
      </c>
      <c r="F2851" s="358">
        <f>E2851*0.99*1.03/147</f>
        <v>0</v>
      </c>
      <c r="G2851" s="548">
        <f>INT(M2851)</f>
        <v>0</v>
      </c>
      <c r="H2851" s="358" t="s">
        <v>18</v>
      </c>
      <c r="I2851" s="548">
        <f>(M2851-G2851)*64</f>
        <v>0</v>
      </c>
      <c r="J2851" s="358" t="s">
        <v>19</v>
      </c>
      <c r="K2851" s="358"/>
      <c r="L2851" s="358"/>
      <c r="M2851" s="358">
        <f>(F2851*6989)/2880</f>
        <v>0</v>
      </c>
      <c r="N2851" s="358"/>
      <c r="O2851" s="358"/>
      <c r="P2851" s="358"/>
      <c r="Q2851" s="358" t="s">
        <v>18</v>
      </c>
      <c r="R2851" s="358"/>
      <c r="S2851" s="358" t="s">
        <v>19</v>
      </c>
      <c r="T2851" s="528">
        <v>2</v>
      </c>
      <c r="U2851" s="324">
        <f>E2851/403*60</f>
        <v>0</v>
      </c>
      <c r="V2851" s="676"/>
      <c r="W2851" s="528"/>
      <c r="X2851" s="529"/>
      <c r="Y2851" s="323"/>
      <c r="Z2851" s="312">
        <f t="shared" si="1060"/>
        <v>0</v>
      </c>
      <c r="AA2851" s="316">
        <f>SUM(Z2851/97.92+0.25)</f>
        <v>0.25</v>
      </c>
    </row>
    <row r="2852" spans="1:27" ht="77.25" outlineLevel="1" thickBot="1" x14ac:dyDescent="0.45">
      <c r="A2852" s="329" t="s">
        <v>805</v>
      </c>
      <c r="B2852" s="799" t="s">
        <v>1214</v>
      </c>
      <c r="C2852" s="586">
        <f>C282+C512+C742+C962+C1107</f>
        <v>0</v>
      </c>
      <c r="D2852" s="528">
        <f>C2852*14</f>
        <v>0</v>
      </c>
      <c r="E2852" s="460">
        <f>D2852*0.25</f>
        <v>0</v>
      </c>
      <c r="F2852" s="324">
        <f>E2852*1.05*0.99/135</f>
        <v>0</v>
      </c>
      <c r="G2852" s="528">
        <f>INT(M2852)</f>
        <v>0</v>
      </c>
      <c r="H2852" s="324" t="s">
        <v>18</v>
      </c>
      <c r="I2852" s="528">
        <f>(M2852-G2852)*64</f>
        <v>0</v>
      </c>
      <c r="J2852" s="324" t="s">
        <v>19</v>
      </c>
      <c r="K2852" s="324"/>
      <c r="L2852" s="324"/>
      <c r="M2852" s="324">
        <f>(F2852*6253)/2880</f>
        <v>0</v>
      </c>
      <c r="N2852" s="324"/>
      <c r="O2852" s="324"/>
      <c r="P2852" s="324"/>
      <c r="Q2852" s="324" t="s">
        <v>18</v>
      </c>
      <c r="R2852" s="324"/>
      <c r="S2852" s="324" t="s">
        <v>19</v>
      </c>
      <c r="T2852" s="528">
        <v>2</v>
      </c>
      <c r="U2852" s="324">
        <f>E2852/259*60</f>
        <v>0</v>
      </c>
      <c r="V2852" s="676"/>
      <c r="W2852" s="528"/>
      <c r="X2852" s="529"/>
      <c r="Y2852" s="323"/>
      <c r="Z2852" s="312">
        <f t="shared" si="1060"/>
        <v>0</v>
      </c>
      <c r="AA2852" s="316">
        <f>SUM(Z2852/97.92+0.25)</f>
        <v>0.25</v>
      </c>
    </row>
    <row r="2853" spans="1:27" outlineLevel="1" thickBot="1" x14ac:dyDescent="0.45">
      <c r="A2853" s="329"/>
      <c r="B2853" s="877"/>
      <c r="C2853" s="583"/>
      <c r="D2853" s="584"/>
      <c r="E2853" s="459"/>
      <c r="F2853" s="393"/>
      <c r="G2853" s="393"/>
      <c r="H2853" s="393"/>
      <c r="I2853" s="583"/>
      <c r="J2853" s="393"/>
      <c r="K2853" s="585"/>
      <c r="L2853" s="324"/>
      <c r="M2853" s="324"/>
      <c r="N2853" s="324"/>
      <c r="O2853" s="324"/>
      <c r="P2853" s="324"/>
      <c r="Q2853" s="324"/>
      <c r="R2853" s="324"/>
      <c r="S2853" s="324"/>
      <c r="T2853" s="528"/>
      <c r="U2853" s="324"/>
      <c r="V2853" s="676"/>
      <c r="W2853" s="528"/>
      <c r="X2853" s="529"/>
      <c r="Y2853" s="323"/>
    </row>
    <row r="2854" spans="1:27" outlineLevel="1" thickBot="1" x14ac:dyDescent="0.45">
      <c r="A2854" s="329"/>
      <c r="B2854" s="344"/>
      <c r="C2854" s="583"/>
      <c r="D2854" s="584"/>
      <c r="E2854" s="459"/>
      <c r="F2854" s="393"/>
      <c r="G2854" s="393"/>
      <c r="H2854" s="393"/>
      <c r="I2854" s="583"/>
      <c r="J2854" s="393"/>
      <c r="K2854" s="585"/>
      <c r="L2854" s="324"/>
      <c r="M2854" s="324"/>
      <c r="N2854" s="324"/>
      <c r="O2854" s="324"/>
      <c r="P2854" s="324"/>
      <c r="Q2854" s="324"/>
      <c r="R2854" s="324"/>
      <c r="S2854" s="324"/>
      <c r="T2854" s="528"/>
      <c r="U2854" s="324"/>
      <c r="V2854" s="676"/>
      <c r="W2854" s="528"/>
      <c r="X2854" s="529"/>
      <c r="Y2854" s="323"/>
    </row>
    <row r="2855" spans="1:27" ht="53.25" outlineLevel="1" thickBot="1" x14ac:dyDescent="0.45">
      <c r="A2855" s="319"/>
      <c r="B2855" s="394" t="s">
        <v>695</v>
      </c>
      <c r="C2855" s="537"/>
      <c r="D2855" s="537"/>
      <c r="E2855" s="496"/>
      <c r="F2855" s="354"/>
      <c r="G2855" s="537"/>
      <c r="H2855" s="354"/>
      <c r="I2855" s="537"/>
      <c r="J2855" s="354"/>
      <c r="K2855" s="354"/>
      <c r="L2855" s="354"/>
      <c r="M2855" s="354"/>
      <c r="N2855" s="354"/>
      <c r="O2855" s="354"/>
      <c r="P2855" s="354"/>
      <c r="Q2855" s="354"/>
      <c r="R2855" s="354"/>
      <c r="S2855" s="354"/>
      <c r="T2855" s="537"/>
      <c r="U2855" s="354"/>
      <c r="V2855" s="682" t="s">
        <v>698</v>
      </c>
      <c r="W2855" s="537"/>
      <c r="X2855" s="540"/>
      <c r="Y2855" s="323"/>
    </row>
    <row r="2856" spans="1:27" outlineLevel="1" thickBot="1" x14ac:dyDescent="0.45">
      <c r="A2856" s="319"/>
      <c r="B2856" s="364"/>
      <c r="C2856" s="528"/>
      <c r="D2856" s="528"/>
      <c r="E2856" s="460"/>
      <c r="F2856" s="324"/>
      <c r="G2856" s="528"/>
      <c r="H2856" s="324"/>
      <c r="I2856" s="528"/>
      <c r="J2856" s="324"/>
      <c r="K2856" s="324"/>
      <c r="L2856" s="324"/>
      <c r="M2856" s="324"/>
      <c r="N2856" s="324"/>
      <c r="O2856" s="324"/>
      <c r="P2856" s="324"/>
      <c r="Q2856" s="324"/>
      <c r="R2856" s="324"/>
      <c r="S2856" s="324"/>
      <c r="T2856" s="528"/>
      <c r="U2856" s="324"/>
      <c r="V2856" s="676"/>
      <c r="W2856" s="528"/>
      <c r="X2856" s="529"/>
      <c r="Y2856" s="323"/>
    </row>
    <row r="2857" spans="1:27" outlineLevel="1" thickBot="1" x14ac:dyDescent="0.45">
      <c r="A2857" s="329"/>
      <c r="B2857" s="364"/>
      <c r="C2857" s="528"/>
      <c r="D2857" s="528"/>
      <c r="E2857" s="460"/>
      <c r="F2857" s="324"/>
      <c r="G2857" s="528"/>
      <c r="H2857" s="324"/>
      <c r="I2857" s="528"/>
      <c r="J2857" s="324"/>
      <c r="K2857" s="324"/>
      <c r="L2857" s="324"/>
      <c r="M2857" s="324"/>
      <c r="N2857" s="324"/>
      <c r="O2857" s="324"/>
      <c r="P2857" s="324"/>
      <c r="Q2857" s="324"/>
      <c r="R2857" s="324"/>
      <c r="S2857" s="324"/>
      <c r="T2857" s="528"/>
      <c r="U2857" s="324"/>
      <c r="V2857" s="676"/>
      <c r="W2857" s="528"/>
      <c r="X2857" s="529"/>
      <c r="Y2857" s="323"/>
    </row>
    <row r="2858" spans="1:27" outlineLevel="1" thickBot="1" x14ac:dyDescent="0.45">
      <c r="A2858" s="329"/>
      <c r="B2858" s="382" t="s">
        <v>147</v>
      </c>
      <c r="C2858" s="537"/>
      <c r="D2858" s="537"/>
      <c r="E2858" s="496">
        <f>E2781+E2782+E2783+E2784+E2785+E2786+E2787+E2788+E2789+E2790+E2791+E2792+E2793+E2795+E2796+E2797+E2798+E2799+E2800+E2801+E2802+E2803+E2804+E2805+E2806+E2807+E2808+E2809+E2810+E2811+E2812+E2813+E2814+E2815+E2816+E2817+E2818+E2819+E2820+E2821+E2822+E2823+E2824+E2825+E2826+E2829+E2830+E2831+E2833+E2835+E2837+E2838+E2839+E2841+E2842+E2843+E2844+E2845+E2827+E2828+E2832+E2846+E2848+E2849+E2850+E2851+E2852+E2840+E2836+E2834+E2794</f>
        <v>19920</v>
      </c>
      <c r="F2858" s="324"/>
      <c r="G2858" s="528"/>
      <c r="H2858" s="324"/>
      <c r="I2858" s="528"/>
      <c r="J2858" s="324"/>
      <c r="K2858" s="324"/>
      <c r="L2858" s="324"/>
      <c r="M2858" s="324"/>
      <c r="N2858" s="324"/>
      <c r="O2858" s="324"/>
      <c r="P2858" s="324"/>
      <c r="Q2858" s="324"/>
      <c r="R2858" s="324"/>
      <c r="S2858" s="324"/>
      <c r="T2858" s="528"/>
      <c r="U2858" s="324"/>
      <c r="V2858" s="676"/>
      <c r="W2858" s="528"/>
      <c r="X2858" s="529"/>
      <c r="Y2858" s="323"/>
    </row>
    <row r="2859" spans="1:27" outlineLevel="1" thickBot="1" x14ac:dyDescent="0.45">
      <c r="A2859" s="350"/>
      <c r="B2859" s="382" t="s">
        <v>709</v>
      </c>
      <c r="C2859" s="537"/>
      <c r="D2859" s="537"/>
      <c r="E2859" s="496">
        <f>E2775+E2776+E2777+E2778+E2779</f>
        <v>0</v>
      </c>
      <c r="F2859" s="324"/>
      <c r="G2859" s="528"/>
      <c r="H2859" s="324"/>
      <c r="I2859" s="528"/>
      <c r="J2859" s="324"/>
      <c r="K2859" s="324"/>
      <c r="L2859" s="324"/>
      <c r="M2859" s="324"/>
      <c r="N2859" s="324"/>
      <c r="O2859" s="324"/>
      <c r="P2859" s="324"/>
      <c r="Q2859" s="324"/>
      <c r="R2859" s="324"/>
      <c r="S2859" s="324"/>
      <c r="T2859" s="528"/>
      <c r="U2859" s="324"/>
      <c r="V2859" s="676"/>
      <c r="W2859" s="528"/>
      <c r="X2859" s="529"/>
      <c r="Y2859" s="323"/>
    </row>
    <row r="2860" spans="1:27" outlineLevel="1" thickBot="1" x14ac:dyDescent="0.45">
      <c r="A2860" s="350"/>
      <c r="B2860" s="357"/>
      <c r="C2860" s="539"/>
      <c r="D2860" s="539"/>
      <c r="E2860" s="502"/>
      <c r="F2860" s="333"/>
      <c r="G2860" s="539"/>
      <c r="H2860" s="333"/>
      <c r="I2860" s="539"/>
      <c r="J2860" s="333"/>
      <c r="K2860" s="333"/>
      <c r="L2860" s="333"/>
      <c r="M2860" s="333"/>
      <c r="N2860" s="333"/>
      <c r="O2860" s="333"/>
      <c r="P2860" s="333"/>
      <c r="Q2860" s="333"/>
      <c r="R2860" s="333"/>
      <c r="S2860" s="333"/>
      <c r="T2860" s="539"/>
      <c r="U2860" s="333"/>
      <c r="V2860" s="681"/>
      <c r="W2860" s="539"/>
      <c r="X2860" s="333"/>
      <c r="Y2860" s="315"/>
    </row>
    <row r="2861" spans="1:27" outlineLevel="1" thickBot="1" x14ac:dyDescent="0.45">
      <c r="A2861" s="350"/>
      <c r="B2861" s="357"/>
      <c r="C2861" s="539"/>
      <c r="D2861" s="539"/>
      <c r="E2861" s="502"/>
      <c r="F2861" s="333"/>
      <c r="G2861" s="539"/>
      <c r="H2861" s="333"/>
      <c r="I2861" s="539"/>
      <c r="J2861" s="333"/>
      <c r="K2861" s="333"/>
      <c r="L2861" s="333"/>
      <c r="M2861" s="333"/>
      <c r="N2861" s="333"/>
      <c r="O2861" s="333"/>
      <c r="P2861" s="333"/>
      <c r="Q2861" s="333"/>
      <c r="R2861" s="333"/>
      <c r="S2861" s="333"/>
      <c r="T2861" s="539"/>
      <c r="U2861" s="333"/>
      <c r="V2861" s="681"/>
      <c r="W2861" s="539"/>
      <c r="X2861" s="333"/>
      <c r="Y2861" s="315"/>
    </row>
    <row r="2862" spans="1:27" thickBot="1" x14ac:dyDescent="0.45">
      <c r="A2862" s="829"/>
      <c r="B2862" s="305" t="s">
        <v>150</v>
      </c>
      <c r="C2862" s="559"/>
      <c r="D2862" s="559"/>
      <c r="E2862" s="510"/>
      <c r="F2862" s="471"/>
      <c r="G2862" s="559"/>
      <c r="H2862" s="471"/>
      <c r="I2862" s="559"/>
      <c r="J2862" s="471"/>
      <c r="K2862" s="471"/>
      <c r="L2862" s="471"/>
      <c r="M2862" s="471"/>
      <c r="N2862" s="471"/>
      <c r="O2862" s="471"/>
      <c r="P2862" s="471"/>
      <c r="Q2862" s="471"/>
      <c r="R2862" s="471"/>
      <c r="S2862" s="471"/>
      <c r="T2862" s="559"/>
      <c r="U2862" s="471"/>
      <c r="V2862" s="687"/>
      <c r="W2862" s="471"/>
      <c r="X2862" s="471"/>
      <c r="Y2862" s="373"/>
      <c r="AA2862" s="391" t="s">
        <v>681</v>
      </c>
    </row>
    <row r="2863" spans="1:27" ht="79.5" thickBot="1" x14ac:dyDescent="0.45">
      <c r="A2863" s="829" t="s">
        <v>737</v>
      </c>
      <c r="B2863" s="422" t="s">
        <v>1158</v>
      </c>
      <c r="C2863" s="537"/>
      <c r="D2863" s="528">
        <f>C2863*12</f>
        <v>0</v>
      </c>
      <c r="E2863" s="460">
        <f>D2863*0.2</f>
        <v>0</v>
      </c>
      <c r="F2863" s="324"/>
      <c r="G2863" s="528"/>
      <c r="H2863" s="324"/>
      <c r="I2863" s="528"/>
      <c r="J2863" s="324"/>
      <c r="K2863" s="324"/>
      <c r="L2863" s="324"/>
      <c r="M2863" s="324"/>
      <c r="N2863" s="324"/>
      <c r="O2863" s="324"/>
      <c r="P2863" s="324"/>
      <c r="Q2863" s="324"/>
      <c r="R2863" s="324"/>
      <c r="S2863" s="324"/>
      <c r="T2863" s="528">
        <v>7</v>
      </c>
      <c r="U2863" s="354"/>
      <c r="V2863" s="682"/>
      <c r="W2863" s="354"/>
      <c r="X2863" s="540"/>
      <c r="Y2863" s="323"/>
      <c r="AA2863" s="316">
        <f>SUM(E2863/1580)</f>
        <v>0</v>
      </c>
    </row>
    <row r="2864" spans="1:27" ht="79.5" thickBot="1" x14ac:dyDescent="0.45">
      <c r="A2864" s="829" t="s">
        <v>737</v>
      </c>
      <c r="B2864" s="813" t="s">
        <v>1193</v>
      </c>
      <c r="C2864" s="537"/>
      <c r="D2864" s="528">
        <f>C2864*8</f>
        <v>0</v>
      </c>
      <c r="E2864" s="460">
        <f>D2864*0.33</f>
        <v>0</v>
      </c>
      <c r="F2864" s="324"/>
      <c r="G2864" s="528"/>
      <c r="H2864" s="324"/>
      <c r="I2864" s="528"/>
      <c r="J2864" s="324"/>
      <c r="K2864" s="324"/>
      <c r="L2864" s="324"/>
      <c r="M2864" s="324"/>
      <c r="N2864" s="324"/>
      <c r="O2864" s="324"/>
      <c r="P2864" s="324"/>
      <c r="Q2864" s="324"/>
      <c r="R2864" s="324"/>
      <c r="S2864" s="324"/>
      <c r="T2864" s="528">
        <v>5</v>
      </c>
      <c r="U2864" s="354"/>
      <c r="V2864" s="682"/>
      <c r="W2864" s="354"/>
      <c r="X2864" s="540"/>
      <c r="Y2864" s="323"/>
      <c r="AA2864" s="316">
        <f>SUM(E2864/19.8)</f>
        <v>0</v>
      </c>
    </row>
    <row r="2865" spans="1:27" thickBot="1" x14ac:dyDescent="0.45">
      <c r="A2865" s="829"/>
      <c r="B2865" s="422"/>
      <c r="C2865" s="537"/>
      <c r="D2865" s="528"/>
      <c r="E2865" s="460"/>
      <c r="F2865" s="324"/>
      <c r="G2865" s="528"/>
      <c r="H2865" s="324"/>
      <c r="I2865" s="528"/>
      <c r="J2865" s="324"/>
      <c r="K2865" s="324"/>
      <c r="L2865" s="324"/>
      <c r="M2865" s="324"/>
      <c r="N2865" s="324"/>
      <c r="O2865" s="324"/>
      <c r="P2865" s="324"/>
      <c r="Q2865" s="324"/>
      <c r="R2865" s="324"/>
      <c r="S2865" s="324"/>
      <c r="T2865" s="528"/>
      <c r="U2865" s="354"/>
      <c r="V2865" s="682"/>
      <c r="W2865" s="354"/>
      <c r="X2865" s="540"/>
      <c r="Y2865" s="323"/>
    </row>
    <row r="2866" spans="1:27" thickBot="1" x14ac:dyDescent="0.45">
      <c r="A2866" s="829"/>
      <c r="B2866" s="422"/>
      <c r="C2866" s="537"/>
      <c r="D2866" s="528"/>
      <c r="E2866" s="460"/>
      <c r="F2866" s="324"/>
      <c r="G2866" s="528"/>
      <c r="H2866" s="324"/>
      <c r="I2866" s="528"/>
      <c r="J2866" s="324"/>
      <c r="K2866" s="324"/>
      <c r="L2866" s="324"/>
      <c r="M2866" s="324"/>
      <c r="N2866" s="324"/>
      <c r="O2866" s="324"/>
      <c r="P2866" s="324"/>
      <c r="Q2866" s="324"/>
      <c r="R2866" s="324"/>
      <c r="S2866" s="324"/>
      <c r="T2866" s="528"/>
      <c r="U2866" s="354"/>
      <c r="V2866" s="682"/>
      <c r="W2866" s="354"/>
      <c r="X2866" s="540"/>
      <c r="Y2866" s="323"/>
    </row>
    <row r="2867" spans="1:27" thickBot="1" x14ac:dyDescent="0.45">
      <c r="A2867" s="829"/>
      <c r="B2867" s="355" t="s">
        <v>134</v>
      </c>
      <c r="C2867" s="537"/>
      <c r="D2867" s="537"/>
      <c r="E2867" s="496">
        <f>SUM(E2863:E2864)</f>
        <v>0</v>
      </c>
      <c r="F2867" s="324"/>
      <c r="G2867" s="528"/>
      <c r="H2867" s="324"/>
      <c r="I2867" s="528"/>
      <c r="J2867" s="324"/>
      <c r="K2867" s="324"/>
      <c r="L2867" s="324"/>
      <c r="M2867" s="324"/>
      <c r="N2867" s="324"/>
      <c r="O2867" s="324"/>
      <c r="P2867" s="324"/>
      <c r="Q2867" s="324"/>
      <c r="R2867" s="324"/>
      <c r="S2867" s="324"/>
      <c r="T2867" s="528"/>
      <c r="U2867" s="324"/>
      <c r="V2867" s="676"/>
      <c r="W2867" s="528"/>
      <c r="X2867" s="529"/>
      <c r="Y2867" s="323"/>
    </row>
    <row r="2868" spans="1:27" thickBot="1" x14ac:dyDescent="0.45">
      <c r="A2868" s="829"/>
      <c r="B2868" s="322"/>
      <c r="C2868" s="539"/>
      <c r="D2868" s="539"/>
      <c r="E2868" s="502"/>
      <c r="F2868" s="333"/>
      <c r="G2868" s="539"/>
      <c r="H2868" s="333"/>
      <c r="I2868" s="539"/>
      <c r="J2868" s="333"/>
      <c r="K2868" s="333"/>
      <c r="L2868" s="333"/>
      <c r="M2868" s="333"/>
      <c r="N2868" s="333"/>
      <c r="O2868" s="333"/>
      <c r="P2868" s="333"/>
      <c r="Q2868" s="333"/>
      <c r="R2868" s="333"/>
      <c r="S2868" s="333"/>
      <c r="T2868" s="539"/>
      <c r="U2868" s="333"/>
      <c r="V2868" s="681"/>
      <c r="W2868" s="539"/>
      <c r="X2868" s="333"/>
      <c r="Y2868" s="323"/>
    </row>
    <row r="2869" spans="1:27" thickBot="1" x14ac:dyDescent="0.45">
      <c r="A2869" s="829"/>
      <c r="B2869" s="322"/>
      <c r="C2869" s="539"/>
      <c r="D2869" s="539"/>
      <c r="E2869" s="502"/>
      <c r="F2869" s="333"/>
      <c r="G2869" s="539"/>
      <c r="H2869" s="333"/>
      <c r="I2869" s="539"/>
      <c r="J2869" s="333"/>
      <c r="K2869" s="333"/>
      <c r="L2869" s="333"/>
      <c r="M2869" s="333"/>
      <c r="N2869" s="333"/>
      <c r="O2869" s="333"/>
      <c r="P2869" s="333"/>
      <c r="Q2869" s="333"/>
      <c r="R2869" s="333"/>
      <c r="S2869" s="333"/>
      <c r="T2869" s="539"/>
      <c r="U2869" s="333"/>
      <c r="V2869" s="681"/>
      <c r="W2869" s="539"/>
      <c r="X2869" s="333"/>
      <c r="Y2869" s="323"/>
    </row>
    <row r="2870" spans="1:27" thickBot="1" x14ac:dyDescent="0.45">
      <c r="A2870" s="829"/>
      <c r="B2870" s="305" t="s">
        <v>157</v>
      </c>
      <c r="C2870" s="559"/>
      <c r="D2870" s="559"/>
      <c r="E2870" s="510"/>
      <c r="F2870" s="471"/>
      <c r="G2870" s="559"/>
      <c r="H2870" s="471"/>
      <c r="I2870" s="559"/>
      <c r="J2870" s="471"/>
      <c r="K2870" s="471"/>
      <c r="L2870" s="471"/>
      <c r="M2870" s="471"/>
      <c r="N2870" s="471"/>
      <c r="O2870" s="471"/>
      <c r="P2870" s="471"/>
      <c r="Q2870" s="471"/>
      <c r="R2870" s="471"/>
      <c r="S2870" s="471"/>
      <c r="T2870" s="559"/>
      <c r="U2870" s="471"/>
      <c r="V2870" s="687"/>
      <c r="W2870" s="471"/>
      <c r="X2870" s="471"/>
      <c r="Y2870" s="373"/>
      <c r="AA2870" s="391" t="s">
        <v>682</v>
      </c>
    </row>
    <row r="2871" spans="1:27" thickBot="1" x14ac:dyDescent="0.45">
      <c r="A2871" s="829"/>
      <c r="B2871" s="423" t="s">
        <v>664</v>
      </c>
      <c r="C2871" s="559"/>
      <c r="D2871" s="559"/>
      <c r="E2871" s="510"/>
      <c r="F2871" s="471"/>
      <c r="G2871" s="559"/>
      <c r="H2871" s="471"/>
      <c r="I2871" s="559"/>
      <c r="J2871" s="471"/>
      <c r="K2871" s="471"/>
      <c r="L2871" s="471"/>
      <c r="M2871" s="471"/>
      <c r="N2871" s="471"/>
      <c r="O2871" s="471"/>
      <c r="P2871" s="471"/>
      <c r="Q2871" s="471"/>
      <c r="R2871" s="471"/>
      <c r="S2871" s="471"/>
      <c r="T2871" s="559"/>
      <c r="U2871" s="471"/>
      <c r="V2871" s="687"/>
      <c r="W2871" s="471"/>
      <c r="X2871" s="471"/>
      <c r="Y2871" s="323"/>
    </row>
    <row r="2872" spans="1:27" ht="77.25" thickBot="1" x14ac:dyDescent="0.45">
      <c r="A2872" s="829" t="s">
        <v>738</v>
      </c>
      <c r="B2872" s="424" t="s">
        <v>646</v>
      </c>
      <c r="C2872" s="537"/>
      <c r="D2872" s="537"/>
      <c r="E2872" s="460">
        <f>C2872*3</f>
        <v>0</v>
      </c>
      <c r="F2872" s="324"/>
      <c r="G2872" s="528"/>
      <c r="H2872" s="324"/>
      <c r="I2872" s="528"/>
      <c r="J2872" s="324"/>
      <c r="K2872" s="324"/>
      <c r="L2872" s="324"/>
      <c r="M2872" s="324"/>
      <c r="N2872" s="324"/>
      <c r="O2872" s="324"/>
      <c r="P2872" s="324"/>
      <c r="Q2872" s="324"/>
      <c r="R2872" s="324"/>
      <c r="S2872" s="324"/>
      <c r="T2872" s="528">
        <v>3</v>
      </c>
      <c r="U2872" s="354"/>
      <c r="V2872" s="682"/>
      <c r="W2872" s="354"/>
      <c r="X2872" s="540"/>
      <c r="Y2872" s="323"/>
      <c r="AA2872" s="316">
        <f>SUM(E2872/253+0.25)</f>
        <v>0.25</v>
      </c>
    </row>
    <row r="2873" spans="1:27" ht="77.25" thickBot="1" x14ac:dyDescent="0.45">
      <c r="A2873" s="829" t="s">
        <v>738</v>
      </c>
      <c r="B2873" s="424" t="s">
        <v>647</v>
      </c>
      <c r="C2873" s="537"/>
      <c r="D2873" s="537"/>
      <c r="E2873" s="460">
        <f>C2873*10</f>
        <v>0</v>
      </c>
      <c r="F2873" s="324"/>
      <c r="G2873" s="528"/>
      <c r="H2873" s="324"/>
      <c r="I2873" s="528"/>
      <c r="J2873" s="324"/>
      <c r="K2873" s="324"/>
      <c r="L2873" s="324"/>
      <c r="M2873" s="324"/>
      <c r="N2873" s="324"/>
      <c r="O2873" s="324"/>
      <c r="P2873" s="324"/>
      <c r="Q2873" s="324"/>
      <c r="R2873" s="324"/>
      <c r="S2873" s="324"/>
      <c r="T2873" s="528">
        <v>3</v>
      </c>
      <c r="U2873" s="354"/>
      <c r="V2873" s="682"/>
      <c r="W2873" s="354"/>
      <c r="X2873" s="540"/>
      <c r="Y2873" s="323"/>
      <c r="AA2873" s="316">
        <f>SUM(E2873/253+0.25)</f>
        <v>0.25</v>
      </c>
    </row>
    <row r="2874" spans="1:27" ht="77.25" thickBot="1" x14ac:dyDescent="0.45">
      <c r="A2874" s="829" t="s">
        <v>738</v>
      </c>
      <c r="B2874" s="424" t="s">
        <v>648</v>
      </c>
      <c r="C2874" s="537"/>
      <c r="D2874" s="537"/>
      <c r="E2874" s="460">
        <f>C2874*10</f>
        <v>0</v>
      </c>
      <c r="F2874" s="324"/>
      <c r="G2874" s="528"/>
      <c r="H2874" s="324"/>
      <c r="I2874" s="528"/>
      <c r="J2874" s="324"/>
      <c r="K2874" s="324"/>
      <c r="L2874" s="324"/>
      <c r="M2874" s="324"/>
      <c r="N2874" s="324"/>
      <c r="O2874" s="324"/>
      <c r="P2874" s="324"/>
      <c r="Q2874" s="324"/>
      <c r="R2874" s="324"/>
      <c r="S2874" s="324"/>
      <c r="T2874" s="528">
        <v>3</v>
      </c>
      <c r="U2874" s="354"/>
      <c r="V2874" s="682"/>
      <c r="W2874" s="354"/>
      <c r="X2874" s="540"/>
      <c r="Y2874" s="323"/>
      <c r="AA2874" s="316">
        <f>SUM(E2874/253+0.25)</f>
        <v>0.25</v>
      </c>
    </row>
    <row r="2875" spans="1:27" ht="77.25" thickBot="1" x14ac:dyDescent="0.45">
      <c r="A2875" s="829" t="s">
        <v>738</v>
      </c>
      <c r="B2875" s="424" t="s">
        <v>649</v>
      </c>
      <c r="C2875" s="537"/>
      <c r="D2875" s="537"/>
      <c r="E2875" s="460">
        <f>C2875*8</f>
        <v>0</v>
      </c>
      <c r="F2875" s="324"/>
      <c r="G2875" s="528"/>
      <c r="H2875" s="324"/>
      <c r="I2875" s="528"/>
      <c r="J2875" s="324"/>
      <c r="K2875" s="324"/>
      <c r="L2875" s="324"/>
      <c r="M2875" s="324"/>
      <c r="N2875" s="324"/>
      <c r="O2875" s="324"/>
      <c r="P2875" s="324"/>
      <c r="Q2875" s="324"/>
      <c r="R2875" s="324"/>
      <c r="S2875" s="324"/>
      <c r="T2875" s="528">
        <v>3</v>
      </c>
      <c r="U2875" s="354"/>
      <c r="V2875" s="682"/>
      <c r="W2875" s="354"/>
      <c r="X2875" s="540"/>
      <c r="Y2875" s="323"/>
      <c r="AA2875" s="316">
        <f>SUM(E2875/253+0.25)</f>
        <v>0.25</v>
      </c>
    </row>
    <row r="2876" spans="1:27" ht="77.25" thickBot="1" x14ac:dyDescent="0.45">
      <c r="A2876" s="829" t="s">
        <v>738</v>
      </c>
      <c r="B2876" s="424" t="s">
        <v>650</v>
      </c>
      <c r="C2876" s="537"/>
      <c r="D2876" s="537"/>
      <c r="E2876" s="460">
        <f>C2876*10</f>
        <v>0</v>
      </c>
      <c r="F2876" s="324"/>
      <c r="G2876" s="528"/>
      <c r="H2876" s="324"/>
      <c r="I2876" s="528"/>
      <c r="J2876" s="324"/>
      <c r="K2876" s="324"/>
      <c r="L2876" s="324"/>
      <c r="M2876" s="324"/>
      <c r="N2876" s="324"/>
      <c r="O2876" s="324"/>
      <c r="P2876" s="324"/>
      <c r="Q2876" s="324"/>
      <c r="R2876" s="324"/>
      <c r="S2876" s="324"/>
      <c r="T2876" s="528">
        <v>3</v>
      </c>
      <c r="U2876" s="354"/>
      <c r="V2876" s="682"/>
      <c r="W2876" s="354"/>
      <c r="X2876" s="540"/>
      <c r="Y2876" s="323"/>
      <c r="AA2876" s="316">
        <f>SUM(E2876/253+0.25)</f>
        <v>0.25</v>
      </c>
    </row>
    <row r="2877" spans="1:27" thickBot="1" x14ac:dyDescent="0.45">
      <c r="A2877" s="829"/>
      <c r="B2877" s="423" t="s">
        <v>651</v>
      </c>
      <c r="C2877" s="537"/>
      <c r="D2877" s="537"/>
      <c r="E2877" s="460"/>
      <c r="F2877" s="324"/>
      <c r="G2877" s="528"/>
      <c r="H2877" s="324"/>
      <c r="I2877" s="528"/>
      <c r="J2877" s="324"/>
      <c r="K2877" s="324"/>
      <c r="L2877" s="324"/>
      <c r="M2877" s="324"/>
      <c r="N2877" s="324"/>
      <c r="O2877" s="324"/>
      <c r="P2877" s="324"/>
      <c r="Q2877" s="324"/>
      <c r="R2877" s="324"/>
      <c r="S2877" s="324"/>
      <c r="T2877" s="528"/>
      <c r="U2877" s="354"/>
      <c r="V2877" s="682"/>
      <c r="W2877" s="354"/>
      <c r="X2877" s="540"/>
      <c r="Y2877" s="323"/>
    </row>
    <row r="2878" spans="1:27" ht="77.25" thickBot="1" x14ac:dyDescent="0.45">
      <c r="A2878" s="829" t="s">
        <v>738</v>
      </c>
      <c r="B2878" s="424" t="s">
        <v>652</v>
      </c>
      <c r="C2878" s="537"/>
      <c r="D2878" s="537"/>
      <c r="E2878" s="460">
        <f>C2878*3.5</f>
        <v>0</v>
      </c>
      <c r="F2878" s="324"/>
      <c r="G2878" s="528"/>
      <c r="H2878" s="324"/>
      <c r="I2878" s="528"/>
      <c r="J2878" s="324"/>
      <c r="K2878" s="324"/>
      <c r="L2878" s="324"/>
      <c r="M2878" s="324"/>
      <c r="N2878" s="324"/>
      <c r="O2878" s="324"/>
      <c r="P2878" s="324"/>
      <c r="Q2878" s="324"/>
      <c r="R2878" s="324"/>
      <c r="S2878" s="324"/>
      <c r="T2878" s="528">
        <v>3</v>
      </c>
      <c r="U2878" s="354"/>
      <c r="V2878" s="682"/>
      <c r="W2878" s="354"/>
      <c r="X2878" s="540"/>
      <c r="Y2878" s="323"/>
      <c r="AA2878" s="316">
        <f>SUM(E2878/253+0.25)</f>
        <v>0.25</v>
      </c>
    </row>
    <row r="2879" spans="1:27" ht="77.25" thickBot="1" x14ac:dyDescent="0.45">
      <c r="A2879" s="829" t="s">
        <v>738</v>
      </c>
      <c r="B2879" s="424" t="s">
        <v>653</v>
      </c>
      <c r="C2879" s="537"/>
      <c r="D2879" s="537"/>
      <c r="E2879" s="460">
        <f t="shared" ref="E2879:E2896" si="1061">C2879*3.5</f>
        <v>0</v>
      </c>
      <c r="F2879" s="324"/>
      <c r="G2879" s="528"/>
      <c r="H2879" s="324"/>
      <c r="I2879" s="528"/>
      <c r="J2879" s="324"/>
      <c r="K2879" s="324"/>
      <c r="L2879" s="324"/>
      <c r="M2879" s="324"/>
      <c r="N2879" s="324"/>
      <c r="O2879" s="324"/>
      <c r="P2879" s="324"/>
      <c r="Q2879" s="324"/>
      <c r="R2879" s="324"/>
      <c r="S2879" s="324"/>
      <c r="T2879" s="528">
        <v>3</v>
      </c>
      <c r="U2879" s="354"/>
      <c r="V2879" s="682"/>
      <c r="W2879" s="354"/>
      <c r="X2879" s="540"/>
      <c r="Y2879" s="323"/>
      <c r="AA2879" s="316">
        <f t="shared" ref="AA2879:AA2887" si="1062">SUM(E2879/253+0.25)</f>
        <v>0.25</v>
      </c>
    </row>
    <row r="2880" spans="1:27" ht="77.25" thickBot="1" x14ac:dyDescent="0.45">
      <c r="A2880" s="829" t="s">
        <v>738</v>
      </c>
      <c r="B2880" s="424" t="s">
        <v>654</v>
      </c>
      <c r="C2880" s="537"/>
      <c r="D2880" s="537"/>
      <c r="E2880" s="460">
        <f t="shared" si="1061"/>
        <v>0</v>
      </c>
      <c r="F2880" s="324"/>
      <c r="G2880" s="528"/>
      <c r="H2880" s="324"/>
      <c r="I2880" s="528"/>
      <c r="J2880" s="324"/>
      <c r="K2880" s="324"/>
      <c r="L2880" s="324"/>
      <c r="M2880" s="324"/>
      <c r="N2880" s="324"/>
      <c r="O2880" s="324"/>
      <c r="P2880" s="324"/>
      <c r="Q2880" s="324"/>
      <c r="R2880" s="324"/>
      <c r="S2880" s="324"/>
      <c r="T2880" s="528">
        <v>3</v>
      </c>
      <c r="U2880" s="354"/>
      <c r="V2880" s="682"/>
      <c r="W2880" s="354"/>
      <c r="X2880" s="540"/>
      <c r="Y2880" s="323"/>
      <c r="AA2880" s="316">
        <f t="shared" si="1062"/>
        <v>0.25</v>
      </c>
    </row>
    <row r="2881" spans="1:27" ht="77.25" thickBot="1" x14ac:dyDescent="0.45">
      <c r="A2881" s="829" t="s">
        <v>738</v>
      </c>
      <c r="B2881" s="424" t="s">
        <v>655</v>
      </c>
      <c r="C2881" s="537"/>
      <c r="D2881" s="537"/>
      <c r="E2881" s="460">
        <f t="shared" si="1061"/>
        <v>0</v>
      </c>
      <c r="F2881" s="324"/>
      <c r="G2881" s="528"/>
      <c r="H2881" s="324"/>
      <c r="I2881" s="528"/>
      <c r="J2881" s="324"/>
      <c r="K2881" s="324"/>
      <c r="L2881" s="324"/>
      <c r="M2881" s="324"/>
      <c r="N2881" s="324"/>
      <c r="O2881" s="324"/>
      <c r="P2881" s="324"/>
      <c r="Q2881" s="324"/>
      <c r="R2881" s="324"/>
      <c r="S2881" s="324"/>
      <c r="T2881" s="528">
        <v>3</v>
      </c>
      <c r="U2881" s="354"/>
      <c r="V2881" s="682"/>
      <c r="W2881" s="354"/>
      <c r="X2881" s="540"/>
      <c r="Y2881" s="323"/>
      <c r="AA2881" s="316">
        <f t="shared" si="1062"/>
        <v>0.25</v>
      </c>
    </row>
    <row r="2882" spans="1:27" ht="77.25" thickBot="1" x14ac:dyDescent="0.45">
      <c r="A2882" s="829" t="s">
        <v>738</v>
      </c>
      <c r="B2882" s="424" t="s">
        <v>656</v>
      </c>
      <c r="C2882" s="537"/>
      <c r="D2882" s="537"/>
      <c r="E2882" s="460">
        <f t="shared" si="1061"/>
        <v>0</v>
      </c>
      <c r="F2882" s="324"/>
      <c r="G2882" s="528"/>
      <c r="H2882" s="324"/>
      <c r="I2882" s="528"/>
      <c r="J2882" s="324"/>
      <c r="K2882" s="324"/>
      <c r="L2882" s="324"/>
      <c r="M2882" s="324"/>
      <c r="N2882" s="324"/>
      <c r="O2882" s="324"/>
      <c r="P2882" s="324"/>
      <c r="Q2882" s="324"/>
      <c r="R2882" s="324"/>
      <c r="S2882" s="324"/>
      <c r="T2882" s="528">
        <v>3</v>
      </c>
      <c r="U2882" s="354"/>
      <c r="V2882" s="682"/>
      <c r="W2882" s="354"/>
      <c r="X2882" s="540"/>
      <c r="Y2882" s="323"/>
      <c r="AA2882" s="316">
        <f t="shared" si="1062"/>
        <v>0.25</v>
      </c>
    </row>
    <row r="2883" spans="1:27" ht="77.25" thickBot="1" x14ac:dyDescent="0.45">
      <c r="A2883" s="829" t="s">
        <v>738</v>
      </c>
      <c r="B2883" s="424" t="s">
        <v>891</v>
      </c>
      <c r="C2883" s="537"/>
      <c r="D2883" s="537"/>
      <c r="E2883" s="460">
        <f t="shared" si="1061"/>
        <v>0</v>
      </c>
      <c r="F2883" s="324"/>
      <c r="G2883" s="528"/>
      <c r="H2883" s="324"/>
      <c r="I2883" s="528"/>
      <c r="J2883" s="324"/>
      <c r="K2883" s="324"/>
      <c r="L2883" s="324"/>
      <c r="M2883" s="324"/>
      <c r="N2883" s="324"/>
      <c r="O2883" s="324"/>
      <c r="P2883" s="324"/>
      <c r="Q2883" s="324"/>
      <c r="R2883" s="324"/>
      <c r="S2883" s="324"/>
      <c r="T2883" s="528">
        <v>3</v>
      </c>
      <c r="U2883" s="354"/>
      <c r="V2883" s="682"/>
      <c r="W2883" s="354"/>
      <c r="X2883" s="540"/>
      <c r="Y2883" s="323"/>
      <c r="AA2883" s="316">
        <f t="shared" si="1062"/>
        <v>0.25</v>
      </c>
    </row>
    <row r="2884" spans="1:27" ht="77.25" thickBot="1" x14ac:dyDescent="0.45">
      <c r="A2884" s="829" t="s">
        <v>738</v>
      </c>
      <c r="B2884" s="424" t="s">
        <v>1183</v>
      </c>
      <c r="C2884" s="537"/>
      <c r="D2884" s="537"/>
      <c r="E2884" s="460">
        <f t="shared" si="1061"/>
        <v>0</v>
      </c>
      <c r="F2884" s="324"/>
      <c r="G2884" s="528"/>
      <c r="H2884" s="324"/>
      <c r="I2884" s="528"/>
      <c r="J2884" s="324"/>
      <c r="K2884" s="324"/>
      <c r="L2884" s="324"/>
      <c r="M2884" s="324"/>
      <c r="N2884" s="324"/>
      <c r="O2884" s="324"/>
      <c r="P2884" s="324"/>
      <c r="Q2884" s="324"/>
      <c r="R2884" s="324"/>
      <c r="S2884" s="324"/>
      <c r="T2884" s="528">
        <v>3</v>
      </c>
      <c r="U2884" s="354"/>
      <c r="V2884" s="682"/>
      <c r="W2884" s="354"/>
      <c r="X2884" s="540"/>
      <c r="Y2884" s="323"/>
      <c r="AA2884" s="316">
        <f t="shared" si="1062"/>
        <v>0.25</v>
      </c>
    </row>
    <row r="2885" spans="1:27" ht="77.25" thickBot="1" x14ac:dyDescent="0.45">
      <c r="A2885" s="829" t="s">
        <v>738</v>
      </c>
      <c r="B2885" s="425" t="s">
        <v>1012</v>
      </c>
      <c r="C2885" s="528"/>
      <c r="D2885" s="528"/>
      <c r="E2885" s="460">
        <f>C2885*10</f>
        <v>0</v>
      </c>
      <c r="F2885" s="324"/>
      <c r="G2885" s="528"/>
      <c r="H2885" s="324"/>
      <c r="I2885" s="528"/>
      <c r="J2885" s="324"/>
      <c r="K2885" s="324"/>
      <c r="L2885" s="324"/>
      <c r="M2885" s="324"/>
      <c r="N2885" s="324"/>
      <c r="O2885" s="324"/>
      <c r="P2885" s="324"/>
      <c r="Q2885" s="324"/>
      <c r="R2885" s="324"/>
      <c r="S2885" s="324"/>
      <c r="T2885" s="528">
        <v>3</v>
      </c>
      <c r="U2885" s="324"/>
      <c r="V2885" s="676"/>
      <c r="W2885" s="354"/>
      <c r="X2885" s="529"/>
      <c r="Y2885" s="323"/>
      <c r="AA2885" s="316">
        <f t="shared" si="1062"/>
        <v>0.25</v>
      </c>
    </row>
    <row r="2886" spans="1:27" ht="77.25" thickBot="1" x14ac:dyDescent="0.45">
      <c r="A2886" s="829" t="s">
        <v>738</v>
      </c>
      <c r="B2886" s="425" t="s">
        <v>1013</v>
      </c>
      <c r="C2886" s="528"/>
      <c r="D2886" s="528"/>
      <c r="E2886" s="460">
        <f>C2886*10</f>
        <v>0</v>
      </c>
      <c r="F2886" s="324"/>
      <c r="G2886" s="528"/>
      <c r="H2886" s="324"/>
      <c r="I2886" s="528"/>
      <c r="J2886" s="324"/>
      <c r="K2886" s="324"/>
      <c r="L2886" s="324"/>
      <c r="M2886" s="324"/>
      <c r="N2886" s="324"/>
      <c r="O2886" s="324"/>
      <c r="P2886" s="324"/>
      <c r="Q2886" s="324"/>
      <c r="R2886" s="324"/>
      <c r="S2886" s="324"/>
      <c r="T2886" s="528">
        <v>3</v>
      </c>
      <c r="U2886" s="324"/>
      <c r="V2886" s="676"/>
      <c r="W2886" s="354"/>
      <c r="X2886" s="529"/>
      <c r="Y2886" s="323"/>
      <c r="AA2886" s="316">
        <f t="shared" si="1062"/>
        <v>0.25</v>
      </c>
    </row>
    <row r="2887" spans="1:27" ht="77.25" thickBot="1" x14ac:dyDescent="0.45">
      <c r="A2887" s="829" t="s">
        <v>738</v>
      </c>
      <c r="B2887" s="424" t="s">
        <v>892</v>
      </c>
      <c r="C2887" s="537"/>
      <c r="D2887" s="537"/>
      <c r="E2887" s="460">
        <f t="shared" si="1061"/>
        <v>0</v>
      </c>
      <c r="F2887" s="324"/>
      <c r="G2887" s="528"/>
      <c r="H2887" s="324"/>
      <c r="I2887" s="528"/>
      <c r="J2887" s="324"/>
      <c r="K2887" s="324"/>
      <c r="L2887" s="324"/>
      <c r="M2887" s="324"/>
      <c r="N2887" s="324"/>
      <c r="O2887" s="324"/>
      <c r="P2887" s="324"/>
      <c r="Q2887" s="324"/>
      <c r="R2887" s="324"/>
      <c r="S2887" s="324"/>
      <c r="T2887" s="528">
        <v>3</v>
      </c>
      <c r="U2887" s="354"/>
      <c r="V2887" s="682"/>
      <c r="W2887" s="354"/>
      <c r="X2887" s="540"/>
      <c r="Y2887" s="323"/>
      <c r="AA2887" s="316">
        <f t="shared" si="1062"/>
        <v>0.25</v>
      </c>
    </row>
    <row r="2888" spans="1:27" thickBot="1" x14ac:dyDescent="0.45">
      <c r="A2888" s="829"/>
      <c r="B2888" s="423" t="s">
        <v>657</v>
      </c>
      <c r="C2888" s="528"/>
      <c r="D2888" s="528"/>
      <c r="E2888" s="460"/>
      <c r="F2888" s="324"/>
      <c r="G2888" s="528"/>
      <c r="H2888" s="324"/>
      <c r="I2888" s="528"/>
      <c r="J2888" s="324"/>
      <c r="K2888" s="324"/>
      <c r="L2888" s="324"/>
      <c r="M2888" s="324"/>
      <c r="N2888" s="324"/>
      <c r="O2888" s="324"/>
      <c r="P2888" s="324"/>
      <c r="Q2888" s="324"/>
      <c r="R2888" s="324"/>
      <c r="S2888" s="324"/>
      <c r="T2888" s="528"/>
      <c r="U2888" s="324"/>
      <c r="V2888" s="676"/>
      <c r="W2888" s="528"/>
      <c r="X2888" s="529"/>
      <c r="Y2888" s="323"/>
    </row>
    <row r="2889" spans="1:27" ht="53.25" thickBot="1" x14ac:dyDescent="0.45">
      <c r="A2889" s="829" t="s">
        <v>957</v>
      </c>
      <c r="B2889" s="424" t="s">
        <v>658</v>
      </c>
      <c r="C2889" s="528"/>
      <c r="D2889" s="528"/>
      <c r="E2889" s="460">
        <f t="shared" si="1061"/>
        <v>0</v>
      </c>
      <c r="F2889" s="324"/>
      <c r="G2889" s="528"/>
      <c r="H2889" s="324"/>
      <c r="I2889" s="528"/>
      <c r="J2889" s="324"/>
      <c r="K2889" s="324"/>
      <c r="L2889" s="324"/>
      <c r="M2889" s="324"/>
      <c r="N2889" s="324"/>
      <c r="O2889" s="324"/>
      <c r="P2889" s="324"/>
      <c r="Q2889" s="324"/>
      <c r="R2889" s="324"/>
      <c r="S2889" s="324"/>
      <c r="T2889" s="528">
        <v>3</v>
      </c>
      <c r="U2889" s="324"/>
      <c r="V2889" s="676"/>
      <c r="W2889" s="354"/>
      <c r="X2889" s="529"/>
      <c r="Y2889" s="323"/>
      <c r="AA2889" s="316">
        <f>SUM(E2889/253+0.25)</f>
        <v>0.25</v>
      </c>
    </row>
    <row r="2890" spans="1:27" ht="77.25" thickBot="1" x14ac:dyDescent="0.45">
      <c r="A2890" s="829" t="s">
        <v>957</v>
      </c>
      <c r="B2890" s="424" t="s">
        <v>659</v>
      </c>
      <c r="C2890" s="528"/>
      <c r="D2890" s="528"/>
      <c r="E2890" s="460">
        <f t="shared" si="1061"/>
        <v>0</v>
      </c>
      <c r="F2890" s="324"/>
      <c r="G2890" s="528"/>
      <c r="H2890" s="324"/>
      <c r="I2890" s="528"/>
      <c r="J2890" s="324"/>
      <c r="K2890" s="324"/>
      <c r="L2890" s="324"/>
      <c r="M2890" s="324"/>
      <c r="N2890" s="324"/>
      <c r="O2890" s="324"/>
      <c r="P2890" s="324"/>
      <c r="Q2890" s="324"/>
      <c r="R2890" s="324"/>
      <c r="S2890" s="324"/>
      <c r="T2890" s="528">
        <v>3</v>
      </c>
      <c r="U2890" s="324"/>
      <c r="V2890" s="676"/>
      <c r="W2890" s="354"/>
      <c r="X2890" s="529"/>
      <c r="Y2890" s="323"/>
      <c r="AA2890" s="316">
        <f t="shared" ref="AA2890:AA2908" si="1063">SUM(E2890/253+0.25)</f>
        <v>0.25</v>
      </c>
    </row>
    <row r="2891" spans="1:27" ht="53.25" thickBot="1" x14ac:dyDescent="0.45">
      <c r="A2891" s="829" t="s">
        <v>958</v>
      </c>
      <c r="B2891" s="424" t="s">
        <v>881</v>
      </c>
      <c r="C2891" s="528"/>
      <c r="D2891" s="528"/>
      <c r="E2891" s="460">
        <f t="shared" si="1061"/>
        <v>0</v>
      </c>
      <c r="F2891" s="324"/>
      <c r="G2891" s="528"/>
      <c r="H2891" s="324"/>
      <c r="I2891" s="528"/>
      <c r="J2891" s="324"/>
      <c r="K2891" s="324"/>
      <c r="L2891" s="324"/>
      <c r="M2891" s="324"/>
      <c r="N2891" s="324"/>
      <c r="O2891" s="324"/>
      <c r="P2891" s="324"/>
      <c r="Q2891" s="324"/>
      <c r="R2891" s="324"/>
      <c r="S2891" s="324"/>
      <c r="T2891" s="528">
        <v>3</v>
      </c>
      <c r="U2891" s="324"/>
      <c r="V2891" s="676"/>
      <c r="W2891" s="354"/>
      <c r="X2891" s="529"/>
      <c r="Y2891" s="323"/>
      <c r="AA2891" s="316">
        <f t="shared" si="1063"/>
        <v>0.25</v>
      </c>
    </row>
    <row r="2892" spans="1:27" ht="77.25" thickBot="1" x14ac:dyDescent="0.45">
      <c r="A2892" s="829" t="s">
        <v>958</v>
      </c>
      <c r="B2892" s="424" t="s">
        <v>882</v>
      </c>
      <c r="C2892" s="528"/>
      <c r="D2892" s="528"/>
      <c r="E2892" s="460">
        <f t="shared" si="1061"/>
        <v>0</v>
      </c>
      <c r="F2892" s="324"/>
      <c r="G2892" s="528"/>
      <c r="H2892" s="324"/>
      <c r="I2892" s="528"/>
      <c r="J2892" s="324"/>
      <c r="K2892" s="324"/>
      <c r="L2892" s="324"/>
      <c r="M2892" s="324"/>
      <c r="N2892" s="324"/>
      <c r="O2892" s="324"/>
      <c r="P2892" s="324"/>
      <c r="Q2892" s="324"/>
      <c r="R2892" s="324"/>
      <c r="S2892" s="324"/>
      <c r="T2892" s="528">
        <v>3</v>
      </c>
      <c r="U2892" s="324"/>
      <c r="V2892" s="676"/>
      <c r="W2892" s="354"/>
      <c r="X2892" s="529"/>
      <c r="Y2892" s="323"/>
      <c r="AA2892" s="316">
        <f t="shared" si="1063"/>
        <v>0.25</v>
      </c>
    </row>
    <row r="2893" spans="1:27" ht="53.25" thickBot="1" x14ac:dyDescent="0.45">
      <c r="A2893" s="829" t="s">
        <v>959</v>
      </c>
      <c r="B2893" s="424" t="s">
        <v>660</v>
      </c>
      <c r="C2893" s="528"/>
      <c r="D2893" s="528"/>
      <c r="E2893" s="460">
        <f t="shared" si="1061"/>
        <v>0</v>
      </c>
      <c r="F2893" s="324"/>
      <c r="G2893" s="528"/>
      <c r="H2893" s="324"/>
      <c r="I2893" s="528"/>
      <c r="J2893" s="324"/>
      <c r="K2893" s="324"/>
      <c r="L2893" s="324"/>
      <c r="M2893" s="324"/>
      <c r="N2893" s="324"/>
      <c r="O2893" s="324"/>
      <c r="P2893" s="324"/>
      <c r="Q2893" s="324"/>
      <c r="R2893" s="324"/>
      <c r="S2893" s="324"/>
      <c r="T2893" s="528">
        <v>3</v>
      </c>
      <c r="U2893" s="324"/>
      <c r="V2893" s="676"/>
      <c r="W2893" s="354"/>
      <c r="X2893" s="529"/>
      <c r="Y2893" s="323"/>
      <c r="AA2893" s="316">
        <f t="shared" si="1063"/>
        <v>0.25</v>
      </c>
    </row>
    <row r="2894" spans="1:27" ht="77.25" thickBot="1" x14ac:dyDescent="0.45">
      <c r="A2894" s="829" t="s">
        <v>959</v>
      </c>
      <c r="B2894" s="424" t="s">
        <v>661</v>
      </c>
      <c r="C2894" s="528"/>
      <c r="D2894" s="528"/>
      <c r="E2894" s="460">
        <f t="shared" si="1061"/>
        <v>0</v>
      </c>
      <c r="F2894" s="324"/>
      <c r="G2894" s="528"/>
      <c r="H2894" s="324"/>
      <c r="I2894" s="528"/>
      <c r="J2894" s="324"/>
      <c r="K2894" s="324"/>
      <c r="L2894" s="324"/>
      <c r="M2894" s="324"/>
      <c r="N2894" s="324"/>
      <c r="O2894" s="324"/>
      <c r="P2894" s="324"/>
      <c r="Q2894" s="324"/>
      <c r="R2894" s="324"/>
      <c r="S2894" s="324"/>
      <c r="T2894" s="528">
        <v>3</v>
      </c>
      <c r="U2894" s="324"/>
      <c r="V2894" s="676"/>
      <c r="W2894" s="354"/>
      <c r="X2894" s="529"/>
      <c r="Y2894" s="323"/>
      <c r="AA2894" s="316">
        <f t="shared" si="1063"/>
        <v>0.25</v>
      </c>
    </row>
    <row r="2895" spans="1:27" ht="53.25" thickBot="1" x14ac:dyDescent="0.45">
      <c r="A2895" s="829" t="s">
        <v>960</v>
      </c>
      <c r="B2895" s="424" t="s">
        <v>662</v>
      </c>
      <c r="C2895" s="528"/>
      <c r="D2895" s="528"/>
      <c r="E2895" s="460">
        <f t="shared" si="1061"/>
        <v>0</v>
      </c>
      <c r="F2895" s="324"/>
      <c r="G2895" s="528"/>
      <c r="H2895" s="324"/>
      <c r="I2895" s="528"/>
      <c r="J2895" s="324"/>
      <c r="K2895" s="324"/>
      <c r="L2895" s="324"/>
      <c r="M2895" s="324"/>
      <c r="N2895" s="324"/>
      <c r="O2895" s="324"/>
      <c r="P2895" s="324"/>
      <c r="Q2895" s="324"/>
      <c r="R2895" s="324"/>
      <c r="S2895" s="324"/>
      <c r="T2895" s="528">
        <v>3</v>
      </c>
      <c r="U2895" s="324"/>
      <c r="V2895" s="676"/>
      <c r="W2895" s="354"/>
      <c r="X2895" s="529"/>
      <c r="Y2895" s="323"/>
      <c r="AA2895" s="316">
        <f t="shared" si="1063"/>
        <v>0.25</v>
      </c>
    </row>
    <row r="2896" spans="1:27" ht="77.25" thickBot="1" x14ac:dyDescent="0.45">
      <c r="A2896" s="829" t="s">
        <v>960</v>
      </c>
      <c r="B2896" s="424" t="s">
        <v>663</v>
      </c>
      <c r="C2896" s="528"/>
      <c r="D2896" s="528"/>
      <c r="E2896" s="460">
        <f t="shared" si="1061"/>
        <v>0</v>
      </c>
      <c r="F2896" s="324"/>
      <c r="G2896" s="528"/>
      <c r="H2896" s="324"/>
      <c r="I2896" s="528"/>
      <c r="J2896" s="324"/>
      <c r="K2896" s="324"/>
      <c r="L2896" s="324"/>
      <c r="M2896" s="324"/>
      <c r="N2896" s="324"/>
      <c r="O2896" s="324"/>
      <c r="P2896" s="324"/>
      <c r="Q2896" s="324"/>
      <c r="R2896" s="324"/>
      <c r="S2896" s="324"/>
      <c r="T2896" s="528">
        <v>3</v>
      </c>
      <c r="U2896" s="324"/>
      <c r="V2896" s="676"/>
      <c r="W2896" s="354"/>
      <c r="X2896" s="529"/>
      <c r="Y2896" s="323"/>
      <c r="AA2896" s="316">
        <f t="shared" si="1063"/>
        <v>0.25</v>
      </c>
    </row>
    <row r="2897" spans="1:27" ht="77.25" thickBot="1" x14ac:dyDescent="0.45">
      <c r="A2897" s="829" t="s">
        <v>961</v>
      </c>
      <c r="B2897" s="424" t="s">
        <v>1056</v>
      </c>
      <c r="C2897" s="528"/>
      <c r="D2897" s="528">
        <f>C2897*12</f>
        <v>0</v>
      </c>
      <c r="E2897" s="460">
        <f>C2897*12*0.15</f>
        <v>0</v>
      </c>
      <c r="F2897" s="324"/>
      <c r="G2897" s="528"/>
      <c r="H2897" s="324"/>
      <c r="I2897" s="528"/>
      <c r="J2897" s="324"/>
      <c r="K2897" s="324"/>
      <c r="L2897" s="324"/>
      <c r="M2897" s="324"/>
      <c r="N2897" s="324"/>
      <c r="O2897" s="324"/>
      <c r="P2897" s="324"/>
      <c r="Q2897" s="324"/>
      <c r="R2897" s="324"/>
      <c r="S2897" s="324"/>
      <c r="T2897" s="528">
        <v>12</v>
      </c>
      <c r="U2897" s="324"/>
      <c r="V2897" s="676"/>
      <c r="W2897" s="354"/>
      <c r="X2897" s="529"/>
      <c r="Y2897" s="323"/>
      <c r="AA2897" s="316">
        <f>SUM(E2897/155.4+0.25)</f>
        <v>0.25</v>
      </c>
    </row>
    <row r="2898" spans="1:27" ht="53.25" thickBot="1" x14ac:dyDescent="0.45">
      <c r="A2898" s="829" t="s">
        <v>961</v>
      </c>
      <c r="B2898" s="424" t="s">
        <v>711</v>
      </c>
      <c r="C2898" s="528"/>
      <c r="D2898" s="528"/>
      <c r="E2898" s="460">
        <f>C2898*3.5</f>
        <v>0</v>
      </c>
      <c r="F2898" s="324"/>
      <c r="G2898" s="528"/>
      <c r="H2898" s="324"/>
      <c r="I2898" s="528"/>
      <c r="J2898" s="324"/>
      <c r="K2898" s="324"/>
      <c r="L2898" s="324"/>
      <c r="M2898" s="324"/>
      <c r="N2898" s="324"/>
      <c r="O2898" s="324"/>
      <c r="P2898" s="324"/>
      <c r="Q2898" s="324"/>
      <c r="R2898" s="324"/>
      <c r="S2898" s="324"/>
      <c r="T2898" s="528">
        <v>3</v>
      </c>
      <c r="U2898" s="324"/>
      <c r="V2898" s="676"/>
      <c r="W2898" s="354"/>
      <c r="X2898" s="529"/>
      <c r="Y2898" s="323"/>
      <c r="AA2898" s="316">
        <f t="shared" si="1063"/>
        <v>0.25</v>
      </c>
    </row>
    <row r="2899" spans="1:27" ht="53.25" thickBot="1" x14ac:dyDescent="0.45">
      <c r="A2899" s="829" t="s">
        <v>957</v>
      </c>
      <c r="B2899" s="424" t="s">
        <v>800</v>
      </c>
      <c r="C2899" s="528"/>
      <c r="D2899" s="528"/>
      <c r="E2899" s="460">
        <f t="shared" ref="E2899:E2908" si="1064">C2899*10</f>
        <v>0</v>
      </c>
      <c r="F2899" s="324"/>
      <c r="G2899" s="528"/>
      <c r="H2899" s="324"/>
      <c r="I2899" s="528"/>
      <c r="J2899" s="324"/>
      <c r="K2899" s="324"/>
      <c r="L2899" s="324"/>
      <c r="M2899" s="324"/>
      <c r="N2899" s="324"/>
      <c r="O2899" s="324"/>
      <c r="P2899" s="324"/>
      <c r="Q2899" s="324"/>
      <c r="R2899" s="324"/>
      <c r="S2899" s="324"/>
      <c r="T2899" s="528">
        <v>3</v>
      </c>
      <c r="U2899" s="324"/>
      <c r="V2899" s="676"/>
      <c r="W2899" s="354"/>
      <c r="X2899" s="529"/>
      <c r="Y2899" s="323"/>
      <c r="AA2899" s="316">
        <f t="shared" si="1063"/>
        <v>0.25</v>
      </c>
    </row>
    <row r="2900" spans="1:27" ht="53.25" thickBot="1" x14ac:dyDescent="0.45">
      <c r="A2900" s="829" t="s">
        <v>958</v>
      </c>
      <c r="B2900" s="424" t="s">
        <v>803</v>
      </c>
      <c r="C2900" s="528"/>
      <c r="D2900" s="528"/>
      <c r="E2900" s="460">
        <f t="shared" si="1064"/>
        <v>0</v>
      </c>
      <c r="F2900" s="324"/>
      <c r="G2900" s="528"/>
      <c r="H2900" s="324"/>
      <c r="I2900" s="528"/>
      <c r="J2900" s="324"/>
      <c r="K2900" s="324"/>
      <c r="L2900" s="324"/>
      <c r="M2900" s="324"/>
      <c r="N2900" s="324"/>
      <c r="O2900" s="324"/>
      <c r="P2900" s="324"/>
      <c r="Q2900" s="324"/>
      <c r="R2900" s="324"/>
      <c r="S2900" s="324"/>
      <c r="T2900" s="528">
        <v>3</v>
      </c>
      <c r="U2900" s="324"/>
      <c r="V2900" s="676"/>
      <c r="W2900" s="354"/>
      <c r="X2900" s="529"/>
      <c r="Y2900" s="323"/>
      <c r="AA2900" s="316">
        <f t="shared" si="1063"/>
        <v>0.25</v>
      </c>
    </row>
    <row r="2901" spans="1:27" ht="53.25" thickBot="1" x14ac:dyDescent="0.45">
      <c r="A2901" s="829" t="s">
        <v>959</v>
      </c>
      <c r="B2901" s="424" t="s">
        <v>801</v>
      </c>
      <c r="C2901" s="528"/>
      <c r="D2901" s="528"/>
      <c r="E2901" s="460">
        <f t="shared" si="1064"/>
        <v>0</v>
      </c>
      <c r="F2901" s="324"/>
      <c r="G2901" s="528"/>
      <c r="H2901" s="324"/>
      <c r="I2901" s="528"/>
      <c r="J2901" s="324"/>
      <c r="K2901" s="324"/>
      <c r="L2901" s="324"/>
      <c r="M2901" s="324"/>
      <c r="N2901" s="324"/>
      <c r="O2901" s="324"/>
      <c r="P2901" s="324"/>
      <c r="Q2901" s="324"/>
      <c r="R2901" s="324"/>
      <c r="S2901" s="324"/>
      <c r="T2901" s="528">
        <v>3</v>
      </c>
      <c r="U2901" s="324"/>
      <c r="V2901" s="676"/>
      <c r="W2901" s="354"/>
      <c r="X2901" s="529"/>
      <c r="Y2901" s="323"/>
      <c r="AA2901" s="316">
        <f t="shared" si="1063"/>
        <v>0.25</v>
      </c>
    </row>
    <row r="2902" spans="1:27" ht="53.25" thickBot="1" x14ac:dyDescent="0.45">
      <c r="A2902" s="829" t="s">
        <v>960</v>
      </c>
      <c r="B2902" s="424" t="s">
        <v>802</v>
      </c>
      <c r="C2902" s="528"/>
      <c r="D2902" s="528"/>
      <c r="E2902" s="460">
        <f t="shared" si="1064"/>
        <v>0</v>
      </c>
      <c r="F2902" s="324"/>
      <c r="G2902" s="528"/>
      <c r="H2902" s="324"/>
      <c r="I2902" s="528"/>
      <c r="J2902" s="324"/>
      <c r="K2902" s="324"/>
      <c r="L2902" s="324"/>
      <c r="M2902" s="324"/>
      <c r="N2902" s="324"/>
      <c r="O2902" s="324"/>
      <c r="P2902" s="324"/>
      <c r="Q2902" s="324"/>
      <c r="R2902" s="324"/>
      <c r="S2902" s="324"/>
      <c r="T2902" s="528">
        <v>3</v>
      </c>
      <c r="U2902" s="324"/>
      <c r="V2902" s="676"/>
      <c r="W2902" s="354"/>
      <c r="X2902" s="529"/>
      <c r="Y2902" s="323"/>
      <c r="AA2902" s="316">
        <f t="shared" si="1063"/>
        <v>0.25</v>
      </c>
    </row>
    <row r="2903" spans="1:27" ht="53.25" thickBot="1" x14ac:dyDescent="0.45">
      <c r="A2903" s="829" t="s">
        <v>961</v>
      </c>
      <c r="B2903" s="425" t="s">
        <v>804</v>
      </c>
      <c r="C2903" s="602"/>
      <c r="D2903" s="602"/>
      <c r="E2903" s="460">
        <f t="shared" si="1064"/>
        <v>0</v>
      </c>
      <c r="F2903" s="603"/>
      <c r="G2903" s="602"/>
      <c r="H2903" s="604"/>
      <c r="I2903" s="602"/>
      <c r="J2903" s="604"/>
      <c r="K2903" s="604"/>
      <c r="L2903" s="604"/>
      <c r="M2903" s="604"/>
      <c r="N2903" s="604"/>
      <c r="O2903" s="604"/>
      <c r="P2903" s="604"/>
      <c r="Q2903" s="604"/>
      <c r="R2903" s="604"/>
      <c r="S2903" s="604"/>
      <c r="T2903" s="602">
        <v>3</v>
      </c>
      <c r="U2903" s="605" t="e">
        <f>#REF!</f>
        <v>#REF!</v>
      </c>
      <c r="V2903" s="698"/>
      <c r="W2903" s="606"/>
      <c r="X2903" s="606"/>
      <c r="Y2903" s="424"/>
      <c r="Z2903" s="426"/>
      <c r="AA2903" s="316">
        <f t="shared" si="1063"/>
        <v>0.25</v>
      </c>
    </row>
    <row r="2904" spans="1:27" ht="53.25" thickBot="1" x14ac:dyDescent="0.45">
      <c r="A2904" s="829" t="s">
        <v>957</v>
      </c>
      <c r="B2904" s="425" t="s">
        <v>978</v>
      </c>
      <c r="C2904" s="528"/>
      <c r="D2904" s="528"/>
      <c r="E2904" s="460">
        <f t="shared" si="1064"/>
        <v>0</v>
      </c>
      <c r="F2904" s="324"/>
      <c r="G2904" s="528"/>
      <c r="H2904" s="324"/>
      <c r="I2904" s="528"/>
      <c r="J2904" s="324"/>
      <c r="K2904" s="324"/>
      <c r="L2904" s="324"/>
      <c r="M2904" s="324"/>
      <c r="N2904" s="324"/>
      <c r="O2904" s="324"/>
      <c r="P2904" s="324"/>
      <c r="Q2904" s="324"/>
      <c r="R2904" s="324"/>
      <c r="S2904" s="324"/>
      <c r="T2904" s="528">
        <v>3</v>
      </c>
      <c r="U2904" s="324"/>
      <c r="V2904" s="676"/>
      <c r="W2904" s="354"/>
      <c r="X2904" s="529"/>
      <c r="Y2904" s="323"/>
      <c r="AA2904" s="316">
        <f t="shared" si="1063"/>
        <v>0.25</v>
      </c>
    </row>
    <row r="2905" spans="1:27" ht="53.25" thickBot="1" x14ac:dyDescent="0.45">
      <c r="A2905" s="829" t="s">
        <v>958</v>
      </c>
      <c r="B2905" s="425" t="s">
        <v>979</v>
      </c>
      <c r="C2905" s="528"/>
      <c r="D2905" s="528"/>
      <c r="E2905" s="460">
        <f t="shared" si="1064"/>
        <v>0</v>
      </c>
      <c r="F2905" s="324"/>
      <c r="G2905" s="528"/>
      <c r="H2905" s="324"/>
      <c r="I2905" s="528"/>
      <c r="J2905" s="324"/>
      <c r="K2905" s="324"/>
      <c r="L2905" s="324"/>
      <c r="M2905" s="324"/>
      <c r="N2905" s="324"/>
      <c r="O2905" s="324"/>
      <c r="P2905" s="324"/>
      <c r="Q2905" s="324"/>
      <c r="R2905" s="324"/>
      <c r="S2905" s="324"/>
      <c r="T2905" s="528">
        <v>3</v>
      </c>
      <c r="U2905" s="324"/>
      <c r="V2905" s="676"/>
      <c r="W2905" s="354"/>
      <c r="X2905" s="529"/>
      <c r="Y2905" s="323"/>
      <c r="AA2905" s="316">
        <f t="shared" si="1063"/>
        <v>0.25</v>
      </c>
    </row>
    <row r="2906" spans="1:27" ht="53.25" thickBot="1" x14ac:dyDescent="0.45">
      <c r="A2906" s="829" t="s">
        <v>959</v>
      </c>
      <c r="B2906" s="425" t="s">
        <v>980</v>
      </c>
      <c r="C2906" s="528"/>
      <c r="D2906" s="528"/>
      <c r="E2906" s="460">
        <f t="shared" si="1064"/>
        <v>0</v>
      </c>
      <c r="F2906" s="324"/>
      <c r="G2906" s="528"/>
      <c r="H2906" s="324"/>
      <c r="I2906" s="528"/>
      <c r="J2906" s="324"/>
      <c r="K2906" s="324"/>
      <c r="L2906" s="324"/>
      <c r="M2906" s="324"/>
      <c r="N2906" s="324"/>
      <c r="O2906" s="324"/>
      <c r="P2906" s="324"/>
      <c r="Q2906" s="324"/>
      <c r="R2906" s="324"/>
      <c r="S2906" s="324"/>
      <c r="T2906" s="528">
        <v>3</v>
      </c>
      <c r="U2906" s="324"/>
      <c r="V2906" s="676"/>
      <c r="W2906" s="354"/>
      <c r="X2906" s="529"/>
      <c r="Y2906" s="323"/>
      <c r="AA2906" s="316">
        <f t="shared" si="1063"/>
        <v>0.25</v>
      </c>
    </row>
    <row r="2907" spans="1:27" ht="53.25" thickBot="1" x14ac:dyDescent="0.45">
      <c r="A2907" s="829" t="s">
        <v>960</v>
      </c>
      <c r="B2907" s="425" t="s">
        <v>981</v>
      </c>
      <c r="C2907" s="528"/>
      <c r="D2907" s="528"/>
      <c r="E2907" s="460">
        <f t="shared" si="1064"/>
        <v>0</v>
      </c>
      <c r="F2907" s="324"/>
      <c r="G2907" s="528"/>
      <c r="H2907" s="324"/>
      <c r="I2907" s="528"/>
      <c r="J2907" s="324"/>
      <c r="K2907" s="324"/>
      <c r="L2907" s="324"/>
      <c r="M2907" s="324"/>
      <c r="N2907" s="324"/>
      <c r="O2907" s="324"/>
      <c r="P2907" s="324"/>
      <c r="Q2907" s="324"/>
      <c r="R2907" s="324"/>
      <c r="S2907" s="324"/>
      <c r="T2907" s="528">
        <v>3</v>
      </c>
      <c r="U2907" s="324"/>
      <c r="V2907" s="676"/>
      <c r="W2907" s="354"/>
      <c r="X2907" s="529"/>
      <c r="Y2907" s="323"/>
      <c r="AA2907" s="316">
        <f t="shared" si="1063"/>
        <v>0.25</v>
      </c>
    </row>
    <row r="2908" spans="1:27" ht="53.25" thickBot="1" x14ac:dyDescent="0.45">
      <c r="A2908" s="829" t="s">
        <v>961</v>
      </c>
      <c r="B2908" s="432" t="s">
        <v>982</v>
      </c>
      <c r="C2908" s="602"/>
      <c r="D2908" s="602"/>
      <c r="E2908" s="460">
        <f t="shared" si="1064"/>
        <v>0</v>
      </c>
      <c r="F2908" s="603"/>
      <c r="G2908" s="602"/>
      <c r="H2908" s="604"/>
      <c r="I2908" s="602"/>
      <c r="J2908" s="604"/>
      <c r="K2908" s="604"/>
      <c r="L2908" s="604"/>
      <c r="M2908" s="604"/>
      <c r="N2908" s="604"/>
      <c r="O2908" s="604"/>
      <c r="P2908" s="604"/>
      <c r="Q2908" s="604"/>
      <c r="R2908" s="604"/>
      <c r="S2908" s="604"/>
      <c r="T2908" s="602">
        <v>3</v>
      </c>
      <c r="U2908" s="605">
        <f>U2769</f>
        <v>0</v>
      </c>
      <c r="V2908" s="698"/>
      <c r="W2908" s="606"/>
      <c r="X2908" s="606"/>
      <c r="Y2908" s="424"/>
      <c r="Z2908" s="426"/>
      <c r="AA2908" s="316">
        <f t="shared" si="1063"/>
        <v>0.25</v>
      </c>
    </row>
    <row r="2909" spans="1:27" thickBot="1" x14ac:dyDescent="0.45">
      <c r="A2909" s="829"/>
      <c r="B2909" s="423" t="s">
        <v>665</v>
      </c>
      <c r="C2909" s="528"/>
      <c r="D2909" s="528"/>
      <c r="E2909" s="460"/>
      <c r="F2909" s="324"/>
      <c r="G2909" s="528"/>
      <c r="H2909" s="324"/>
      <c r="I2909" s="528"/>
      <c r="J2909" s="324"/>
      <c r="K2909" s="324"/>
      <c r="L2909" s="324"/>
      <c r="M2909" s="324"/>
      <c r="N2909" s="324"/>
      <c r="O2909" s="324"/>
      <c r="P2909" s="324"/>
      <c r="Q2909" s="324"/>
      <c r="R2909" s="324"/>
      <c r="S2909" s="324"/>
      <c r="T2909" s="528"/>
      <c r="U2909" s="324"/>
      <c r="V2909" s="676"/>
      <c r="W2909" s="528"/>
      <c r="X2909" s="529"/>
      <c r="Y2909" s="323"/>
    </row>
    <row r="2910" spans="1:27" ht="53.25" thickBot="1" x14ac:dyDescent="0.45">
      <c r="A2910" s="829" t="s">
        <v>957</v>
      </c>
      <c r="B2910" s="424" t="s">
        <v>666</v>
      </c>
      <c r="C2910" s="528"/>
      <c r="D2910" s="528">
        <f>C2910*20</f>
        <v>0</v>
      </c>
      <c r="E2910" s="460">
        <f>C2910*20*0.2</f>
        <v>0</v>
      </c>
      <c r="F2910" s="324"/>
      <c r="G2910" s="528"/>
      <c r="H2910" s="324"/>
      <c r="I2910" s="528"/>
      <c r="J2910" s="324"/>
      <c r="K2910" s="324"/>
      <c r="L2910" s="324"/>
      <c r="M2910" s="324"/>
      <c r="N2910" s="324"/>
      <c r="O2910" s="324"/>
      <c r="P2910" s="324"/>
      <c r="Q2910" s="324"/>
      <c r="R2910" s="324"/>
      <c r="S2910" s="324"/>
      <c r="T2910" s="528">
        <v>3</v>
      </c>
      <c r="U2910" s="324"/>
      <c r="V2910" s="676"/>
      <c r="W2910" s="354"/>
      <c r="X2910" s="529"/>
      <c r="Y2910" s="323"/>
      <c r="AA2910" s="316">
        <f>SUM(E2910/253+0.25)</f>
        <v>0.25</v>
      </c>
    </row>
    <row r="2911" spans="1:27" ht="53.25" thickBot="1" x14ac:dyDescent="0.45">
      <c r="A2911" s="829" t="s">
        <v>958</v>
      </c>
      <c r="B2911" s="424" t="s">
        <v>799</v>
      </c>
      <c r="C2911" s="528"/>
      <c r="D2911" s="528">
        <f>C2911*20</f>
        <v>0</v>
      </c>
      <c r="E2911" s="460">
        <f>C2911*20*0.2</f>
        <v>0</v>
      </c>
      <c r="F2911" s="324"/>
      <c r="G2911" s="528"/>
      <c r="H2911" s="324"/>
      <c r="I2911" s="528"/>
      <c r="J2911" s="324"/>
      <c r="K2911" s="324"/>
      <c r="L2911" s="324"/>
      <c r="M2911" s="324"/>
      <c r="N2911" s="324"/>
      <c r="O2911" s="324"/>
      <c r="P2911" s="324"/>
      <c r="Q2911" s="324"/>
      <c r="R2911" s="324"/>
      <c r="S2911" s="324"/>
      <c r="T2911" s="528">
        <v>3</v>
      </c>
      <c r="U2911" s="324"/>
      <c r="V2911" s="676"/>
      <c r="W2911" s="354"/>
      <c r="X2911" s="529"/>
      <c r="Y2911" s="323"/>
      <c r="AA2911" s="316">
        <f>SUM(E2911/253+0.25)</f>
        <v>0.25</v>
      </c>
    </row>
    <row r="2912" spans="1:27" ht="53.25" thickBot="1" x14ac:dyDescent="0.45">
      <c r="A2912" s="829" t="s">
        <v>959</v>
      </c>
      <c r="B2912" s="424" t="s">
        <v>667</v>
      </c>
      <c r="C2912" s="528"/>
      <c r="D2912" s="528">
        <f>C2912*20</f>
        <v>0</v>
      </c>
      <c r="E2912" s="460">
        <f>C2912*20*0.2</f>
        <v>0</v>
      </c>
      <c r="F2912" s="324"/>
      <c r="G2912" s="528"/>
      <c r="H2912" s="324"/>
      <c r="I2912" s="528"/>
      <c r="J2912" s="324"/>
      <c r="K2912" s="324"/>
      <c r="L2912" s="324"/>
      <c r="M2912" s="324"/>
      <c r="N2912" s="324"/>
      <c r="O2912" s="324"/>
      <c r="P2912" s="324"/>
      <c r="Q2912" s="324"/>
      <c r="R2912" s="324"/>
      <c r="S2912" s="324"/>
      <c r="T2912" s="528">
        <v>3</v>
      </c>
      <c r="U2912" s="324"/>
      <c r="V2912" s="676"/>
      <c r="W2912" s="354"/>
      <c r="X2912" s="529"/>
      <c r="Y2912" s="323"/>
      <c r="AA2912" s="316">
        <f>SUM(E2912/253+0.25)</f>
        <v>0.25</v>
      </c>
    </row>
    <row r="2913" spans="1:27" ht="53.25" thickBot="1" x14ac:dyDescent="0.45">
      <c r="A2913" s="829" t="s">
        <v>960</v>
      </c>
      <c r="B2913" s="427" t="s">
        <v>668</v>
      </c>
      <c r="C2913" s="528"/>
      <c r="D2913" s="528">
        <f>C2913*20</f>
        <v>0</v>
      </c>
      <c r="E2913" s="460">
        <f>C2913*20*0.2</f>
        <v>0</v>
      </c>
      <c r="F2913" s="324"/>
      <c r="G2913" s="528"/>
      <c r="H2913" s="324"/>
      <c r="I2913" s="528"/>
      <c r="J2913" s="324"/>
      <c r="K2913" s="324"/>
      <c r="L2913" s="324"/>
      <c r="M2913" s="324"/>
      <c r="N2913" s="324"/>
      <c r="O2913" s="324"/>
      <c r="P2913" s="324"/>
      <c r="Q2913" s="324"/>
      <c r="R2913" s="324"/>
      <c r="S2913" s="324"/>
      <c r="T2913" s="528">
        <v>3</v>
      </c>
      <c r="U2913" s="324"/>
      <c r="V2913" s="676"/>
      <c r="W2913" s="354"/>
      <c r="X2913" s="529"/>
      <c r="Y2913" s="323"/>
      <c r="AA2913" s="316">
        <f>SUM(E2913/253+0.25)</f>
        <v>0.25</v>
      </c>
    </row>
    <row r="2914" spans="1:27" thickBot="1" x14ac:dyDescent="0.45">
      <c r="A2914" s="350"/>
      <c r="B2914" s="363"/>
      <c r="C2914" s="536"/>
      <c r="D2914" s="528"/>
      <c r="E2914" s="460"/>
      <c r="F2914" s="324"/>
      <c r="G2914" s="528"/>
      <c r="H2914" s="324"/>
      <c r="I2914" s="528"/>
      <c r="J2914" s="324"/>
      <c r="K2914" s="324"/>
      <c r="L2914" s="324"/>
      <c r="M2914" s="324"/>
      <c r="N2914" s="324"/>
      <c r="O2914" s="324"/>
      <c r="P2914" s="324"/>
      <c r="Q2914" s="324"/>
      <c r="R2914" s="324"/>
      <c r="S2914" s="324"/>
      <c r="T2914" s="528"/>
      <c r="U2914" s="324"/>
      <c r="V2914" s="676"/>
      <c r="W2914" s="354"/>
      <c r="X2914" s="529"/>
      <c r="Y2914" s="323"/>
    </row>
    <row r="2915" spans="1:27" thickBot="1" x14ac:dyDescent="0.45">
      <c r="A2915" s="350"/>
      <c r="B2915" s="363"/>
      <c r="C2915" s="536"/>
      <c r="D2915" s="528"/>
      <c r="E2915" s="460"/>
      <c r="F2915" s="324"/>
      <c r="G2915" s="528"/>
      <c r="H2915" s="324"/>
      <c r="I2915" s="528"/>
      <c r="J2915" s="324"/>
      <c r="K2915" s="324"/>
      <c r="L2915" s="324"/>
      <c r="M2915" s="324"/>
      <c r="N2915" s="324"/>
      <c r="O2915" s="324"/>
      <c r="P2915" s="324"/>
      <c r="Q2915" s="324"/>
      <c r="R2915" s="324"/>
      <c r="S2915" s="324"/>
      <c r="T2915" s="528"/>
      <c r="U2915" s="324"/>
      <c r="V2915" s="676"/>
      <c r="W2915" s="354"/>
      <c r="X2915" s="529"/>
      <c r="Y2915" s="323"/>
    </row>
    <row r="2916" spans="1:27" ht="53.25" thickBot="1" x14ac:dyDescent="0.45">
      <c r="A2916" s="319"/>
      <c r="B2916" s="394" t="s">
        <v>695</v>
      </c>
      <c r="C2916" s="537"/>
      <c r="D2916" s="537"/>
      <c r="E2916" s="496"/>
      <c r="F2916" s="354"/>
      <c r="G2916" s="537"/>
      <c r="H2916" s="354"/>
      <c r="I2916" s="537"/>
      <c r="J2916" s="354"/>
      <c r="K2916" s="354"/>
      <c r="L2916" s="354"/>
      <c r="M2916" s="354"/>
      <c r="N2916" s="354"/>
      <c r="O2916" s="354"/>
      <c r="P2916" s="354"/>
      <c r="Q2916" s="354"/>
      <c r="R2916" s="354"/>
      <c r="S2916" s="354"/>
      <c r="T2916" s="537"/>
      <c r="U2916" s="354"/>
      <c r="V2916" s="682" t="s">
        <v>696</v>
      </c>
      <c r="W2916" s="537"/>
      <c r="X2916" s="540"/>
      <c r="Y2916" s="323"/>
    </row>
    <row r="2917" spans="1:27" thickBot="1" x14ac:dyDescent="0.45">
      <c r="A2917" s="319"/>
      <c r="B2917" s="428"/>
      <c r="C2917" s="528"/>
      <c r="D2917" s="528"/>
      <c r="E2917" s="496"/>
      <c r="F2917" s="324"/>
      <c r="G2917" s="528"/>
      <c r="H2917" s="324"/>
      <c r="I2917" s="528"/>
      <c r="J2917" s="324"/>
      <c r="K2917" s="324"/>
      <c r="L2917" s="324"/>
      <c r="M2917" s="324"/>
      <c r="N2917" s="324"/>
      <c r="O2917" s="324"/>
      <c r="P2917" s="324"/>
      <c r="Q2917" s="324"/>
      <c r="R2917" s="324"/>
      <c r="S2917" s="324"/>
      <c r="T2917" s="537"/>
      <c r="U2917" s="324"/>
      <c r="V2917" s="676"/>
      <c r="W2917" s="354"/>
      <c r="X2917" s="529"/>
      <c r="Y2917" s="323"/>
    </row>
    <row r="2918" spans="1:27" thickBot="1" x14ac:dyDescent="0.45">
      <c r="A2918" s="350"/>
      <c r="B2918" s="428"/>
      <c r="C2918" s="528"/>
      <c r="D2918" s="528"/>
      <c r="E2918" s="496"/>
      <c r="F2918" s="324"/>
      <c r="G2918" s="528"/>
      <c r="H2918" s="324"/>
      <c r="I2918" s="528"/>
      <c r="J2918" s="324"/>
      <c r="K2918" s="324"/>
      <c r="L2918" s="324"/>
      <c r="M2918" s="324"/>
      <c r="N2918" s="324"/>
      <c r="O2918" s="324"/>
      <c r="P2918" s="324"/>
      <c r="Q2918" s="324"/>
      <c r="R2918" s="324"/>
      <c r="S2918" s="324"/>
      <c r="T2918" s="537"/>
      <c r="U2918" s="324"/>
      <c r="V2918" s="676"/>
      <c r="W2918" s="354"/>
      <c r="X2918" s="529"/>
      <c r="Y2918" s="323"/>
    </row>
    <row r="2919" spans="1:27" thickBot="1" x14ac:dyDescent="0.45">
      <c r="A2919" s="350"/>
      <c r="B2919" s="382" t="s">
        <v>669</v>
      </c>
      <c r="C2919" s="537"/>
      <c r="D2919" s="537"/>
      <c r="E2919" s="496">
        <f>SUM(E2872:E2913)</f>
        <v>0</v>
      </c>
      <c r="F2919" s="324"/>
      <c r="G2919" s="528"/>
      <c r="H2919" s="324"/>
      <c r="I2919" s="528"/>
      <c r="J2919" s="324"/>
      <c r="K2919" s="324"/>
      <c r="L2919" s="324"/>
      <c r="M2919" s="324"/>
      <c r="N2919" s="324"/>
      <c r="O2919" s="324"/>
      <c r="P2919" s="324"/>
      <c r="Q2919" s="324"/>
      <c r="R2919" s="324"/>
      <c r="S2919" s="324"/>
      <c r="T2919" s="528"/>
      <c r="U2919" s="324"/>
      <c r="V2919" s="676"/>
      <c r="W2919" s="528"/>
      <c r="X2919" s="529"/>
      <c r="Y2919" s="323"/>
    </row>
    <row r="2920" spans="1:27" s="486" customFormat="1" thickBot="1" x14ac:dyDescent="0.45">
      <c r="A2920" s="835"/>
      <c r="B2920" s="481" t="s">
        <v>708</v>
      </c>
      <c r="C2920" s="499"/>
      <c r="D2920" s="499"/>
      <c r="E2920" s="500">
        <f>E2919*0.5%</f>
        <v>0</v>
      </c>
      <c r="F2920" s="482"/>
      <c r="G2920" s="607"/>
      <c r="H2920" s="482"/>
      <c r="I2920" s="607"/>
      <c r="J2920" s="482"/>
      <c r="K2920" s="482"/>
      <c r="L2920" s="482"/>
      <c r="M2920" s="482"/>
      <c r="N2920" s="482"/>
      <c r="O2920" s="482"/>
      <c r="P2920" s="482"/>
      <c r="Q2920" s="482"/>
      <c r="R2920" s="482"/>
      <c r="S2920" s="482"/>
      <c r="T2920" s="607"/>
      <c r="U2920" s="482"/>
      <c r="V2920" s="699"/>
      <c r="W2920" s="607"/>
      <c r="X2920" s="608"/>
      <c r="Y2920" s="483"/>
      <c r="Z2920" s="484"/>
      <c r="AA2920" s="485"/>
    </row>
    <row r="2921" spans="1:27" thickBot="1" x14ac:dyDescent="0.45">
      <c r="A2921" s="350"/>
      <c r="B2921" s="357"/>
      <c r="C2921" s="539"/>
      <c r="D2921" s="539"/>
      <c r="E2921" s="502"/>
      <c r="F2921" s="333"/>
      <c r="G2921" s="539"/>
      <c r="H2921" s="333"/>
      <c r="I2921" s="539"/>
      <c r="J2921" s="333"/>
      <c r="K2921" s="333"/>
      <c r="L2921" s="333"/>
      <c r="M2921" s="333"/>
      <c r="N2921" s="333"/>
      <c r="O2921" s="333"/>
      <c r="P2921" s="333"/>
      <c r="Q2921" s="333"/>
      <c r="R2921" s="333"/>
      <c r="S2921" s="333"/>
      <c r="T2921" s="539"/>
      <c r="U2921" s="333"/>
      <c r="V2921" s="681"/>
      <c r="W2921" s="539"/>
      <c r="X2921" s="333"/>
      <c r="Y2921" s="323"/>
    </row>
    <row r="2922" spans="1:27" thickBot="1" x14ac:dyDescent="0.45">
      <c r="A2922" s="350"/>
      <c r="B2922" s="357"/>
      <c r="C2922" s="539"/>
      <c r="D2922" s="539"/>
      <c r="E2922" s="502"/>
      <c r="F2922" s="333"/>
      <c r="G2922" s="539"/>
      <c r="H2922" s="333"/>
      <c r="I2922" s="539"/>
      <c r="J2922" s="333"/>
      <c r="K2922" s="333"/>
      <c r="L2922" s="333"/>
      <c r="M2922" s="333"/>
      <c r="N2922" s="333"/>
      <c r="O2922" s="333"/>
      <c r="P2922" s="333"/>
      <c r="Q2922" s="333"/>
      <c r="R2922" s="333"/>
      <c r="S2922" s="333"/>
      <c r="T2922" s="539"/>
      <c r="U2922" s="333"/>
      <c r="V2922" s="681"/>
      <c r="W2922" s="539"/>
      <c r="X2922" s="333"/>
      <c r="Y2922" s="323"/>
    </row>
    <row r="2923" spans="1:27" thickBot="1" x14ac:dyDescent="0.45">
      <c r="A2923" s="829"/>
      <c r="B2923" s="305" t="s">
        <v>1190</v>
      </c>
      <c r="C2923" s="559"/>
      <c r="D2923" s="559"/>
      <c r="E2923" s="510"/>
      <c r="F2923" s="471"/>
      <c r="G2923" s="559"/>
      <c r="H2923" s="471"/>
      <c r="I2923" s="559"/>
      <c r="J2923" s="471"/>
      <c r="K2923" s="471"/>
      <c r="L2923" s="471"/>
      <c r="M2923" s="471"/>
      <c r="N2923" s="471"/>
      <c r="O2923" s="471"/>
      <c r="P2923" s="471"/>
      <c r="Q2923" s="471"/>
      <c r="R2923" s="471"/>
      <c r="S2923" s="471"/>
      <c r="T2923" s="559"/>
      <c r="U2923" s="471"/>
      <c r="V2923" s="687"/>
      <c r="W2923" s="471"/>
      <c r="X2923" s="471"/>
      <c r="Y2923" s="373"/>
      <c r="AA2923" s="391" t="s">
        <v>681</v>
      </c>
    </row>
    <row r="2924" spans="1:27" thickBot="1" x14ac:dyDescent="0.45">
      <c r="A2924" s="830"/>
      <c r="B2924" s="395" t="s">
        <v>294</v>
      </c>
      <c r="C2924" s="528"/>
      <c r="D2924" s="528"/>
      <c r="E2924" s="460"/>
      <c r="F2924" s="324"/>
      <c r="G2924" s="528"/>
      <c r="H2924" s="324"/>
      <c r="I2924" s="528"/>
      <c r="J2924" s="324"/>
      <c r="K2924" s="324"/>
      <c r="L2924" s="324"/>
      <c r="M2924" s="324"/>
      <c r="N2924" s="324"/>
      <c r="O2924" s="324"/>
      <c r="P2924" s="324"/>
      <c r="Q2924" s="324"/>
      <c r="R2924" s="324"/>
      <c r="S2924" s="324"/>
      <c r="T2924" s="528"/>
      <c r="U2924" s="324"/>
      <c r="V2924" s="676"/>
      <c r="W2924" s="324"/>
      <c r="X2924" s="529"/>
      <c r="Y2924" s="323"/>
    </row>
    <row r="2925" spans="1:27" s="740" customFormat="1" ht="53.25" outlineLevel="1" thickBot="1" x14ac:dyDescent="0.45">
      <c r="A2925" s="636" t="s">
        <v>739</v>
      </c>
      <c r="B2925" s="803" t="s">
        <v>816</v>
      </c>
      <c r="C2925" s="729">
        <f>C1927</f>
        <v>0</v>
      </c>
      <c r="D2925" s="804">
        <f>C2925*10</f>
        <v>0</v>
      </c>
      <c r="E2925" s="805">
        <f>D2925*0.35</f>
        <v>0</v>
      </c>
      <c r="F2925" s="806">
        <f>E2925*0.8*1/20</f>
        <v>0</v>
      </c>
      <c r="G2925" s="807">
        <f t="shared" ref="G2925:G2936" si="1065">INT(M2925)</f>
        <v>0</v>
      </c>
      <c r="H2925" s="806" t="s">
        <v>18</v>
      </c>
      <c r="I2925" s="807">
        <f t="shared" ref="I2925:I2936" si="1066">(M2925-G2925)*64</f>
        <v>0</v>
      </c>
      <c r="J2925" s="806" t="s">
        <v>19</v>
      </c>
      <c r="K2925" s="806"/>
      <c r="L2925" s="806"/>
      <c r="M2925" s="806">
        <f>F2925*2016/16128</f>
        <v>0</v>
      </c>
      <c r="N2925" s="806"/>
      <c r="O2925" s="806"/>
      <c r="P2925" s="806"/>
      <c r="Q2925" s="806" t="s">
        <v>18</v>
      </c>
      <c r="R2925" s="806"/>
      <c r="S2925" s="806" t="s">
        <v>19</v>
      </c>
      <c r="T2925" s="807">
        <v>3</v>
      </c>
      <c r="U2925" s="806">
        <f t="shared" ref="U2925:U2936" si="1067">E2925/272*60</f>
        <v>0</v>
      </c>
      <c r="V2925" s="808"/>
      <c r="W2925" s="807"/>
      <c r="X2925" s="806"/>
      <c r="Y2925" s="809"/>
      <c r="Z2925" s="727">
        <f t="shared" ref="Z2925:Z2936" si="1068">E2925</f>
        <v>0</v>
      </c>
      <c r="AA2925" s="810">
        <f>SUM(Z2925/360+0.25)</f>
        <v>0.25</v>
      </c>
    </row>
    <row r="2926" spans="1:27" s="740" customFormat="1" ht="77.25" outlineLevel="1" thickBot="1" x14ac:dyDescent="0.45">
      <c r="A2926" s="636" t="s">
        <v>739</v>
      </c>
      <c r="B2926" s="811" t="s">
        <v>983</v>
      </c>
      <c r="C2926" s="729">
        <f t="shared" ref="C2926:C2931" si="1069">C2187</f>
        <v>0</v>
      </c>
      <c r="D2926" s="807">
        <f t="shared" ref="D2926:D2931" si="1070">C2926*5</f>
        <v>0</v>
      </c>
      <c r="E2926" s="805">
        <f t="shared" ref="E2926:E2931" si="1071">D2926*0.5</f>
        <v>0</v>
      </c>
      <c r="F2926" s="806">
        <f t="shared" ref="F2926:F2931" si="1072">E2926*0.76*1.034/20</f>
        <v>0</v>
      </c>
      <c r="G2926" s="807">
        <f t="shared" si="1065"/>
        <v>0</v>
      </c>
      <c r="H2926" s="806" t="s">
        <v>18</v>
      </c>
      <c r="I2926" s="807">
        <f t="shared" si="1066"/>
        <v>0</v>
      </c>
      <c r="J2926" s="806" t="s">
        <v>19</v>
      </c>
      <c r="K2926" s="806"/>
      <c r="L2926" s="806"/>
      <c r="M2926" s="806">
        <f t="shared" ref="M2926:M2931" si="1073">F2926*1008/8064</f>
        <v>0</v>
      </c>
      <c r="N2926" s="806"/>
      <c r="O2926" s="806"/>
      <c r="P2926" s="806"/>
      <c r="Q2926" s="806" t="s">
        <v>18</v>
      </c>
      <c r="R2926" s="806"/>
      <c r="S2926" s="806" t="s">
        <v>19</v>
      </c>
      <c r="T2926" s="807">
        <v>3</v>
      </c>
      <c r="U2926" s="806">
        <f t="shared" si="1067"/>
        <v>0</v>
      </c>
      <c r="V2926" s="808"/>
      <c r="W2926" s="807"/>
      <c r="X2926" s="806"/>
      <c r="Y2926" s="809"/>
      <c r="Z2926" s="727">
        <f t="shared" si="1068"/>
        <v>0</v>
      </c>
      <c r="AA2926" s="812">
        <f>SUM(Z2926/360+0.25)</f>
        <v>0.25</v>
      </c>
    </row>
    <row r="2927" spans="1:27" s="740" customFormat="1" ht="77.25" outlineLevel="1" thickBot="1" x14ac:dyDescent="0.45">
      <c r="A2927" s="636" t="s">
        <v>739</v>
      </c>
      <c r="B2927" s="811" t="s">
        <v>984</v>
      </c>
      <c r="C2927" s="729">
        <f t="shared" si="1069"/>
        <v>0</v>
      </c>
      <c r="D2927" s="807">
        <f t="shared" si="1070"/>
        <v>0</v>
      </c>
      <c r="E2927" s="805">
        <f t="shared" si="1071"/>
        <v>0</v>
      </c>
      <c r="F2927" s="806">
        <f t="shared" si="1072"/>
        <v>0</v>
      </c>
      <c r="G2927" s="807">
        <f t="shared" si="1065"/>
        <v>0</v>
      </c>
      <c r="H2927" s="806" t="s">
        <v>18</v>
      </c>
      <c r="I2927" s="807">
        <f t="shared" si="1066"/>
        <v>0</v>
      </c>
      <c r="J2927" s="806" t="s">
        <v>19</v>
      </c>
      <c r="K2927" s="806"/>
      <c r="L2927" s="806"/>
      <c r="M2927" s="806">
        <f t="shared" si="1073"/>
        <v>0</v>
      </c>
      <c r="N2927" s="806"/>
      <c r="O2927" s="806"/>
      <c r="P2927" s="806"/>
      <c r="Q2927" s="806" t="s">
        <v>18</v>
      </c>
      <c r="R2927" s="806"/>
      <c r="S2927" s="806" t="s">
        <v>19</v>
      </c>
      <c r="T2927" s="807">
        <v>3</v>
      </c>
      <c r="U2927" s="806">
        <f t="shared" si="1067"/>
        <v>0</v>
      </c>
      <c r="V2927" s="808"/>
      <c r="W2927" s="807"/>
      <c r="X2927" s="806"/>
      <c r="Y2927" s="809"/>
      <c r="Z2927" s="727">
        <f t="shared" si="1068"/>
        <v>0</v>
      </c>
      <c r="AA2927" s="812">
        <f t="shared" ref="AA2927:AA2954" si="1074">SUM(Z2927/360+0.25)</f>
        <v>0.25</v>
      </c>
    </row>
    <row r="2928" spans="1:27" s="740" customFormat="1" ht="77.25" outlineLevel="1" thickBot="1" x14ac:dyDescent="0.45">
      <c r="A2928" s="636" t="s">
        <v>739</v>
      </c>
      <c r="B2928" s="811" t="s">
        <v>985</v>
      </c>
      <c r="C2928" s="729">
        <f t="shared" si="1069"/>
        <v>0</v>
      </c>
      <c r="D2928" s="807">
        <f t="shared" si="1070"/>
        <v>0</v>
      </c>
      <c r="E2928" s="805">
        <f t="shared" si="1071"/>
        <v>0</v>
      </c>
      <c r="F2928" s="806">
        <f t="shared" si="1072"/>
        <v>0</v>
      </c>
      <c r="G2928" s="807">
        <f t="shared" si="1065"/>
        <v>0</v>
      </c>
      <c r="H2928" s="806" t="s">
        <v>18</v>
      </c>
      <c r="I2928" s="807">
        <f t="shared" si="1066"/>
        <v>0</v>
      </c>
      <c r="J2928" s="806" t="s">
        <v>19</v>
      </c>
      <c r="K2928" s="806"/>
      <c r="L2928" s="806"/>
      <c r="M2928" s="806">
        <f t="shared" si="1073"/>
        <v>0</v>
      </c>
      <c r="N2928" s="806"/>
      <c r="O2928" s="806"/>
      <c r="P2928" s="806"/>
      <c r="Q2928" s="806" t="s">
        <v>18</v>
      </c>
      <c r="R2928" s="806"/>
      <c r="S2928" s="806" t="s">
        <v>19</v>
      </c>
      <c r="T2928" s="807">
        <v>3</v>
      </c>
      <c r="U2928" s="806">
        <f t="shared" si="1067"/>
        <v>0</v>
      </c>
      <c r="V2928" s="808"/>
      <c r="W2928" s="807"/>
      <c r="X2928" s="806"/>
      <c r="Y2928" s="809"/>
      <c r="Z2928" s="727">
        <f t="shared" si="1068"/>
        <v>0</v>
      </c>
      <c r="AA2928" s="812">
        <f t="shared" si="1074"/>
        <v>0.25</v>
      </c>
    </row>
    <row r="2929" spans="1:28" s="728" customFormat="1" ht="102.75" outlineLevel="1" thickBot="1" x14ac:dyDescent="0.45">
      <c r="A2929" s="636" t="s">
        <v>739</v>
      </c>
      <c r="B2929" s="811" t="s">
        <v>1018</v>
      </c>
      <c r="C2929" s="720">
        <f t="shared" si="1069"/>
        <v>0</v>
      </c>
      <c r="D2929" s="807">
        <f t="shared" si="1070"/>
        <v>0</v>
      </c>
      <c r="E2929" s="805">
        <f t="shared" si="1071"/>
        <v>0</v>
      </c>
      <c r="F2929" s="806">
        <f t="shared" si="1072"/>
        <v>0</v>
      </c>
      <c r="G2929" s="807">
        <f t="shared" si="1065"/>
        <v>0</v>
      </c>
      <c r="H2929" s="806" t="s">
        <v>18</v>
      </c>
      <c r="I2929" s="807">
        <f t="shared" si="1066"/>
        <v>0</v>
      </c>
      <c r="J2929" s="806" t="s">
        <v>19</v>
      </c>
      <c r="K2929" s="806"/>
      <c r="L2929" s="806"/>
      <c r="M2929" s="806">
        <f t="shared" si="1073"/>
        <v>0</v>
      </c>
      <c r="N2929" s="806"/>
      <c r="O2929" s="806"/>
      <c r="P2929" s="806"/>
      <c r="Q2929" s="806" t="s">
        <v>18</v>
      </c>
      <c r="R2929" s="806"/>
      <c r="S2929" s="806" t="s">
        <v>19</v>
      </c>
      <c r="T2929" s="720">
        <v>3</v>
      </c>
      <c r="U2929" s="722">
        <f t="shared" si="1067"/>
        <v>0</v>
      </c>
      <c r="V2929" s="724"/>
      <c r="W2929" s="720"/>
      <c r="X2929" s="725"/>
      <c r="Y2929" s="737"/>
      <c r="Z2929" s="727">
        <f t="shared" si="1068"/>
        <v>0</v>
      </c>
      <c r="AA2929" s="812">
        <f t="shared" si="1074"/>
        <v>0.25</v>
      </c>
      <c r="AB2929" s="740"/>
    </row>
    <row r="2930" spans="1:28" s="728" customFormat="1" ht="102.75" outlineLevel="1" thickBot="1" x14ac:dyDescent="0.45">
      <c r="A2930" s="636" t="s">
        <v>739</v>
      </c>
      <c r="B2930" s="811" t="s">
        <v>1019</v>
      </c>
      <c r="C2930" s="720">
        <f t="shared" si="1069"/>
        <v>0</v>
      </c>
      <c r="D2930" s="807">
        <f t="shared" si="1070"/>
        <v>0</v>
      </c>
      <c r="E2930" s="805">
        <f t="shared" si="1071"/>
        <v>0</v>
      </c>
      <c r="F2930" s="806">
        <f t="shared" si="1072"/>
        <v>0</v>
      </c>
      <c r="G2930" s="807">
        <f t="shared" si="1065"/>
        <v>0</v>
      </c>
      <c r="H2930" s="806" t="s">
        <v>18</v>
      </c>
      <c r="I2930" s="807">
        <f t="shared" si="1066"/>
        <v>0</v>
      </c>
      <c r="J2930" s="806" t="s">
        <v>19</v>
      </c>
      <c r="K2930" s="806"/>
      <c r="L2930" s="806"/>
      <c r="M2930" s="806">
        <f t="shared" si="1073"/>
        <v>0</v>
      </c>
      <c r="N2930" s="806"/>
      <c r="O2930" s="806"/>
      <c r="P2930" s="806"/>
      <c r="Q2930" s="806" t="s">
        <v>18</v>
      </c>
      <c r="R2930" s="806"/>
      <c r="S2930" s="806" t="s">
        <v>19</v>
      </c>
      <c r="T2930" s="720">
        <v>3</v>
      </c>
      <c r="U2930" s="722">
        <f t="shared" si="1067"/>
        <v>0</v>
      </c>
      <c r="V2930" s="724"/>
      <c r="W2930" s="720"/>
      <c r="X2930" s="725"/>
      <c r="Y2930" s="737"/>
      <c r="Z2930" s="727">
        <f t="shared" si="1068"/>
        <v>0</v>
      </c>
      <c r="AA2930" s="812">
        <f t="shared" si="1074"/>
        <v>0.25</v>
      </c>
      <c r="AB2930" s="740"/>
    </row>
    <row r="2931" spans="1:28" s="728" customFormat="1" ht="102.75" outlineLevel="1" thickBot="1" x14ac:dyDescent="0.45">
      <c r="A2931" s="636" t="s">
        <v>739</v>
      </c>
      <c r="B2931" s="811" t="s">
        <v>1020</v>
      </c>
      <c r="C2931" s="720">
        <f t="shared" si="1069"/>
        <v>0</v>
      </c>
      <c r="D2931" s="807">
        <f t="shared" si="1070"/>
        <v>0</v>
      </c>
      <c r="E2931" s="805">
        <f t="shared" si="1071"/>
        <v>0</v>
      </c>
      <c r="F2931" s="806">
        <f t="shared" si="1072"/>
        <v>0</v>
      </c>
      <c r="G2931" s="807">
        <f t="shared" si="1065"/>
        <v>0</v>
      </c>
      <c r="H2931" s="806" t="s">
        <v>18</v>
      </c>
      <c r="I2931" s="807">
        <f t="shared" si="1066"/>
        <v>0</v>
      </c>
      <c r="J2931" s="806" t="s">
        <v>19</v>
      </c>
      <c r="K2931" s="806"/>
      <c r="L2931" s="806"/>
      <c r="M2931" s="806">
        <f t="shared" si="1073"/>
        <v>0</v>
      </c>
      <c r="N2931" s="806"/>
      <c r="O2931" s="806"/>
      <c r="P2931" s="806"/>
      <c r="Q2931" s="806" t="s">
        <v>18</v>
      </c>
      <c r="R2931" s="806"/>
      <c r="S2931" s="806" t="s">
        <v>19</v>
      </c>
      <c r="T2931" s="720">
        <v>3</v>
      </c>
      <c r="U2931" s="722">
        <f>E2931/272*60</f>
        <v>0</v>
      </c>
      <c r="V2931" s="724"/>
      <c r="W2931" s="720"/>
      <c r="X2931" s="725"/>
      <c r="Y2931" s="737"/>
      <c r="Z2931" s="727">
        <f t="shared" si="1068"/>
        <v>0</v>
      </c>
      <c r="AA2931" s="812">
        <f t="shared" si="1074"/>
        <v>0.25</v>
      </c>
      <c r="AB2931" s="740"/>
    </row>
    <row r="2932" spans="1:28" s="740" customFormat="1" ht="77.25" outlineLevel="1" thickBot="1" x14ac:dyDescent="0.45">
      <c r="A2932" s="636" t="s">
        <v>739</v>
      </c>
      <c r="B2932" s="634" t="s">
        <v>986</v>
      </c>
      <c r="C2932" s="729">
        <f>C2194</f>
        <v>0</v>
      </c>
      <c r="D2932" s="807">
        <f>C2932*12</f>
        <v>0</v>
      </c>
      <c r="E2932" s="805">
        <f>D2932*0.25</f>
        <v>0</v>
      </c>
      <c r="F2932" s="806">
        <f>E2932*0.8*1/20</f>
        <v>0</v>
      </c>
      <c r="G2932" s="807">
        <f>INT(M2932)</f>
        <v>0</v>
      </c>
      <c r="H2932" s="806" t="s">
        <v>18</v>
      </c>
      <c r="I2932" s="807">
        <f>(M2932-G2932)*64</f>
        <v>0</v>
      </c>
      <c r="J2932" s="806" t="s">
        <v>19</v>
      </c>
      <c r="K2932" s="722"/>
      <c r="L2932" s="722"/>
      <c r="M2932" s="806">
        <f>F2932*2016/16128</f>
        <v>0</v>
      </c>
      <c r="N2932" s="722"/>
      <c r="O2932" s="722"/>
      <c r="P2932" s="722"/>
      <c r="Q2932" s="806" t="s">
        <v>18</v>
      </c>
      <c r="R2932" s="806"/>
      <c r="S2932" s="806" t="s">
        <v>19</v>
      </c>
      <c r="T2932" s="807">
        <v>3</v>
      </c>
      <c r="U2932" s="806">
        <f t="shared" si="1067"/>
        <v>0</v>
      </c>
      <c r="V2932" s="808"/>
      <c r="W2932" s="807"/>
      <c r="X2932" s="806"/>
      <c r="Y2932" s="809"/>
      <c r="Z2932" s="727">
        <f t="shared" si="1068"/>
        <v>0</v>
      </c>
      <c r="AA2932" s="812">
        <f t="shared" si="1074"/>
        <v>0.25</v>
      </c>
    </row>
    <row r="2933" spans="1:28" s="740" customFormat="1" ht="77.25" outlineLevel="1" thickBot="1" x14ac:dyDescent="0.45">
      <c r="A2933" s="636" t="s">
        <v>739</v>
      </c>
      <c r="B2933" s="634" t="s">
        <v>987</v>
      </c>
      <c r="C2933" s="729">
        <f>C2195</f>
        <v>0</v>
      </c>
      <c r="D2933" s="807">
        <f>C2933*12</f>
        <v>0</v>
      </c>
      <c r="E2933" s="805">
        <f>D2933*0.25</f>
        <v>0</v>
      </c>
      <c r="F2933" s="806">
        <f>E2933*0.8*1/20</f>
        <v>0</v>
      </c>
      <c r="G2933" s="807">
        <f>INT(M2933)</f>
        <v>0</v>
      </c>
      <c r="H2933" s="806" t="s">
        <v>18</v>
      </c>
      <c r="I2933" s="807">
        <f>(M2933-G2933)*64</f>
        <v>0</v>
      </c>
      <c r="J2933" s="806" t="s">
        <v>19</v>
      </c>
      <c r="K2933" s="722"/>
      <c r="L2933" s="722"/>
      <c r="M2933" s="806">
        <f>F2933*2016/16128</f>
        <v>0</v>
      </c>
      <c r="N2933" s="722"/>
      <c r="O2933" s="722"/>
      <c r="P2933" s="722"/>
      <c r="Q2933" s="806" t="s">
        <v>18</v>
      </c>
      <c r="R2933" s="806"/>
      <c r="S2933" s="806" t="s">
        <v>19</v>
      </c>
      <c r="T2933" s="807">
        <v>3</v>
      </c>
      <c r="U2933" s="806">
        <f t="shared" si="1067"/>
        <v>0</v>
      </c>
      <c r="V2933" s="808"/>
      <c r="W2933" s="807"/>
      <c r="X2933" s="806"/>
      <c r="Y2933" s="809"/>
      <c r="Z2933" s="727">
        <f t="shared" si="1068"/>
        <v>0</v>
      </c>
      <c r="AA2933" s="812">
        <f t="shared" si="1074"/>
        <v>0.25</v>
      </c>
    </row>
    <row r="2934" spans="1:28" s="728" customFormat="1" ht="77.25" outlineLevel="1" thickBot="1" x14ac:dyDescent="0.45">
      <c r="A2934" s="636" t="s">
        <v>739</v>
      </c>
      <c r="B2934" s="634" t="s">
        <v>1039</v>
      </c>
      <c r="C2934" s="729">
        <f>C1928</f>
        <v>0</v>
      </c>
      <c r="D2934" s="807">
        <f>C2934*16</f>
        <v>0</v>
      </c>
      <c r="E2934" s="805">
        <f>D2934*0.25</f>
        <v>0</v>
      </c>
      <c r="F2934" s="806">
        <f>E2934*0.8*1/20</f>
        <v>0</v>
      </c>
      <c r="G2934" s="807">
        <f t="shared" si="1065"/>
        <v>0</v>
      </c>
      <c r="H2934" s="806" t="s">
        <v>18</v>
      </c>
      <c r="I2934" s="807">
        <f t="shared" si="1066"/>
        <v>0</v>
      </c>
      <c r="J2934" s="806" t="s">
        <v>19</v>
      </c>
      <c r="K2934" s="722"/>
      <c r="L2934" s="722"/>
      <c r="M2934" s="806">
        <f>F2934*2016/16128</f>
        <v>0</v>
      </c>
      <c r="N2934" s="722"/>
      <c r="O2934" s="722"/>
      <c r="P2934" s="722"/>
      <c r="Q2934" s="722" t="s">
        <v>18</v>
      </c>
      <c r="R2934" s="722"/>
      <c r="S2934" s="722" t="s">
        <v>19</v>
      </c>
      <c r="T2934" s="720">
        <v>3</v>
      </c>
      <c r="U2934" s="722">
        <f t="shared" si="1067"/>
        <v>0</v>
      </c>
      <c r="V2934" s="724"/>
      <c r="W2934" s="720"/>
      <c r="X2934" s="725"/>
      <c r="Y2934" s="736"/>
      <c r="Z2934" s="727">
        <f t="shared" si="1068"/>
        <v>0</v>
      </c>
      <c r="AA2934" s="812">
        <f t="shared" si="1074"/>
        <v>0.25</v>
      </c>
    </row>
    <row r="2935" spans="1:28" s="728" customFormat="1" ht="77.25" outlineLevel="1" thickBot="1" x14ac:dyDescent="0.45">
      <c r="A2935" s="636" t="s">
        <v>739</v>
      </c>
      <c r="B2935" s="811" t="s">
        <v>1079</v>
      </c>
      <c r="C2935" s="729">
        <f>C1929</f>
        <v>0</v>
      </c>
      <c r="D2935" s="807">
        <f>C2935*7</f>
        <v>0</v>
      </c>
      <c r="E2935" s="806">
        <f>D2935*0.2</f>
        <v>0</v>
      </c>
      <c r="F2935" s="806">
        <f>E2935*10/225</f>
        <v>0</v>
      </c>
      <c r="G2935" s="807">
        <f t="shared" si="1065"/>
        <v>0</v>
      </c>
      <c r="H2935" s="806" t="s">
        <v>18</v>
      </c>
      <c r="I2935" s="807">
        <f t="shared" si="1066"/>
        <v>0</v>
      </c>
      <c r="J2935" s="806" t="s">
        <v>19</v>
      </c>
      <c r="K2935" s="722"/>
      <c r="L2935" s="722"/>
      <c r="M2935" s="806">
        <f>F2935*1008/8064</f>
        <v>0</v>
      </c>
      <c r="N2935" s="722"/>
      <c r="O2935" s="722"/>
      <c r="P2935" s="722"/>
      <c r="Q2935" s="722" t="s">
        <v>18</v>
      </c>
      <c r="R2935" s="722"/>
      <c r="S2935" s="722" t="s">
        <v>19</v>
      </c>
      <c r="T2935" s="720">
        <v>3</v>
      </c>
      <c r="U2935" s="722">
        <f t="shared" si="1067"/>
        <v>0</v>
      </c>
      <c r="V2935" s="724"/>
      <c r="W2935" s="720"/>
      <c r="X2935" s="725"/>
      <c r="Y2935" s="736"/>
      <c r="Z2935" s="727">
        <f t="shared" si="1068"/>
        <v>0</v>
      </c>
      <c r="AA2935" s="812">
        <f t="shared" si="1074"/>
        <v>0.25</v>
      </c>
    </row>
    <row r="2936" spans="1:28" ht="77.25" thickBot="1" x14ac:dyDescent="0.45">
      <c r="A2936" s="319" t="s">
        <v>739</v>
      </c>
      <c r="B2936" s="320" t="s">
        <v>613</v>
      </c>
      <c r="C2936" s="586">
        <f>C1930</f>
        <v>0</v>
      </c>
      <c r="D2936" s="528">
        <f>C2936*20</f>
        <v>0</v>
      </c>
      <c r="E2936" s="460">
        <f>D2936*0.2</f>
        <v>0</v>
      </c>
      <c r="F2936" s="324">
        <f>E2936*0.8*1.01/20</f>
        <v>0</v>
      </c>
      <c r="G2936" s="528">
        <f t="shared" si="1065"/>
        <v>0</v>
      </c>
      <c r="H2936" s="324" t="s">
        <v>18</v>
      </c>
      <c r="I2936" s="528">
        <f t="shared" si="1066"/>
        <v>0</v>
      </c>
      <c r="J2936" s="324" t="s">
        <v>19</v>
      </c>
      <c r="K2936" s="324"/>
      <c r="L2936" s="324"/>
      <c r="M2936" s="324">
        <f>F2936*1008/8064</f>
        <v>0</v>
      </c>
      <c r="N2936" s="324"/>
      <c r="O2936" s="324"/>
      <c r="P2936" s="324"/>
      <c r="Q2936" s="324" t="s">
        <v>18</v>
      </c>
      <c r="R2936" s="324"/>
      <c r="S2936" s="324" t="s">
        <v>19</v>
      </c>
      <c r="T2936" s="528">
        <v>3</v>
      </c>
      <c r="U2936" s="324">
        <f t="shared" si="1067"/>
        <v>0</v>
      </c>
      <c r="V2936" s="676"/>
      <c r="W2936" s="528"/>
      <c r="X2936" s="529"/>
      <c r="Y2936" s="323"/>
      <c r="Z2936" s="312">
        <f t="shared" si="1068"/>
        <v>0</v>
      </c>
      <c r="AA2936" s="391">
        <f t="shared" si="1074"/>
        <v>0.25</v>
      </c>
    </row>
    <row r="2937" spans="1:28" thickBot="1" x14ac:dyDescent="0.45">
      <c r="A2937" s="829"/>
      <c r="B2937" s="423" t="s">
        <v>664</v>
      </c>
      <c r="C2937" s="609"/>
      <c r="D2937" s="609"/>
      <c r="E2937" s="610"/>
      <c r="F2937" s="611"/>
      <c r="G2937" s="609"/>
      <c r="H2937" s="611"/>
      <c r="I2937" s="609"/>
      <c r="J2937" s="611"/>
      <c r="K2937" s="611"/>
      <c r="L2937" s="611"/>
      <c r="M2937" s="611"/>
      <c r="N2937" s="611"/>
      <c r="O2937" s="611"/>
      <c r="P2937" s="611"/>
      <c r="Q2937" s="611"/>
      <c r="R2937" s="611"/>
      <c r="S2937" s="611"/>
      <c r="T2937" s="609"/>
      <c r="U2937" s="471"/>
      <c r="V2937" s="700"/>
      <c r="W2937" s="612"/>
      <c r="X2937" s="612"/>
      <c r="Y2937" s="429"/>
    </row>
    <row r="2938" spans="1:28" ht="77.25" thickBot="1" x14ac:dyDescent="0.45">
      <c r="A2938" s="319" t="s">
        <v>739</v>
      </c>
      <c r="B2938" s="425" t="s">
        <v>646</v>
      </c>
      <c r="C2938" s="602">
        <f>C2872</f>
        <v>0</v>
      </c>
      <c r="D2938" s="602"/>
      <c r="E2938" s="459">
        <f>C2938*3</f>
        <v>0</v>
      </c>
      <c r="F2938" s="603"/>
      <c r="G2938" s="602"/>
      <c r="H2938" s="604"/>
      <c r="I2938" s="602"/>
      <c r="J2938" s="604"/>
      <c r="K2938" s="604"/>
      <c r="L2938" s="604"/>
      <c r="M2938" s="604"/>
      <c r="N2938" s="604"/>
      <c r="O2938" s="604" t="e">
        <f>#REF!</f>
        <v>#REF!</v>
      </c>
      <c r="P2938" s="604" t="e">
        <f>#REF!</f>
        <v>#REF!</v>
      </c>
      <c r="Q2938" s="604" t="e">
        <f>#REF!</f>
        <v>#REF!</v>
      </c>
      <c r="R2938" s="604" t="e">
        <f>#REF!</f>
        <v>#REF!</v>
      </c>
      <c r="S2938" s="604" t="e">
        <f>#REF!</f>
        <v>#REF!</v>
      </c>
      <c r="T2938" s="602">
        <v>3</v>
      </c>
      <c r="U2938" s="471"/>
      <c r="V2938" s="700"/>
      <c r="W2938" s="612"/>
      <c r="X2938" s="612"/>
      <c r="Y2938" s="429"/>
      <c r="Z2938" s="312">
        <f t="shared" ref="Z2938:Z2944" si="1075">E2938</f>
        <v>0</v>
      </c>
      <c r="AA2938" s="391">
        <f t="shared" si="1074"/>
        <v>0.25</v>
      </c>
    </row>
    <row r="2939" spans="1:28" ht="77.25" thickBot="1" x14ac:dyDescent="0.45">
      <c r="A2939" s="319" t="s">
        <v>739</v>
      </c>
      <c r="B2939" s="425" t="s">
        <v>647</v>
      </c>
      <c r="C2939" s="602">
        <f>C2873</f>
        <v>0</v>
      </c>
      <c r="D2939" s="602"/>
      <c r="E2939" s="459">
        <f>C2939*10</f>
        <v>0</v>
      </c>
      <c r="F2939" s="603"/>
      <c r="G2939" s="602"/>
      <c r="H2939" s="604"/>
      <c r="I2939" s="602"/>
      <c r="J2939" s="604"/>
      <c r="K2939" s="604"/>
      <c r="L2939" s="604"/>
      <c r="M2939" s="604"/>
      <c r="N2939" s="604"/>
      <c r="O2939" s="604" t="e">
        <f>#REF!</f>
        <v>#REF!</v>
      </c>
      <c r="P2939" s="604" t="e">
        <f>#REF!</f>
        <v>#REF!</v>
      </c>
      <c r="Q2939" s="604" t="e">
        <f>#REF!</f>
        <v>#REF!</v>
      </c>
      <c r="R2939" s="604" t="e">
        <f>#REF!</f>
        <v>#REF!</v>
      </c>
      <c r="S2939" s="604" t="e">
        <f>#REF!</f>
        <v>#REF!</v>
      </c>
      <c r="T2939" s="602">
        <v>3</v>
      </c>
      <c r="U2939" s="471"/>
      <c r="V2939" s="700"/>
      <c r="W2939" s="612"/>
      <c r="X2939" s="612"/>
      <c r="Y2939" s="429"/>
      <c r="Z2939" s="312">
        <f t="shared" si="1075"/>
        <v>0</v>
      </c>
      <c r="AA2939" s="391">
        <f t="shared" si="1074"/>
        <v>0.25</v>
      </c>
    </row>
    <row r="2940" spans="1:28" ht="77.25" thickBot="1" x14ac:dyDescent="0.45">
      <c r="A2940" s="319" t="s">
        <v>739</v>
      </c>
      <c r="B2940" s="425" t="s">
        <v>648</v>
      </c>
      <c r="C2940" s="602">
        <f>C2874</f>
        <v>0</v>
      </c>
      <c r="D2940" s="602"/>
      <c r="E2940" s="459">
        <f>C2940*10</f>
        <v>0</v>
      </c>
      <c r="F2940" s="603"/>
      <c r="G2940" s="602"/>
      <c r="H2940" s="604"/>
      <c r="I2940" s="602"/>
      <c r="J2940" s="604"/>
      <c r="K2940" s="604"/>
      <c r="L2940" s="604"/>
      <c r="M2940" s="604"/>
      <c r="N2940" s="604"/>
      <c r="O2940" s="604" t="e">
        <f>#REF!</f>
        <v>#REF!</v>
      </c>
      <c r="P2940" s="604" t="e">
        <f>#REF!</f>
        <v>#REF!</v>
      </c>
      <c r="Q2940" s="604" t="e">
        <f>#REF!</f>
        <v>#REF!</v>
      </c>
      <c r="R2940" s="604" t="e">
        <f>#REF!</f>
        <v>#REF!</v>
      </c>
      <c r="S2940" s="604" t="e">
        <f>#REF!</f>
        <v>#REF!</v>
      </c>
      <c r="T2940" s="602">
        <v>3</v>
      </c>
      <c r="U2940" s="471"/>
      <c r="V2940" s="700"/>
      <c r="W2940" s="612"/>
      <c r="X2940" s="612"/>
      <c r="Y2940" s="429"/>
      <c r="Z2940" s="312">
        <f t="shared" si="1075"/>
        <v>0</v>
      </c>
      <c r="AA2940" s="391">
        <f t="shared" si="1074"/>
        <v>0.25</v>
      </c>
    </row>
    <row r="2941" spans="1:28" ht="77.25" thickBot="1" x14ac:dyDescent="0.45">
      <c r="A2941" s="319" t="s">
        <v>739</v>
      </c>
      <c r="B2941" s="425" t="s">
        <v>1012</v>
      </c>
      <c r="C2941" s="528">
        <f>C2885</f>
        <v>0</v>
      </c>
      <c r="D2941" s="528"/>
      <c r="E2941" s="460">
        <f>C2941*10</f>
        <v>0</v>
      </c>
      <c r="F2941" s="324"/>
      <c r="G2941" s="528"/>
      <c r="H2941" s="324"/>
      <c r="I2941" s="528"/>
      <c r="J2941" s="324"/>
      <c r="K2941" s="324"/>
      <c r="L2941" s="324"/>
      <c r="M2941" s="324"/>
      <c r="N2941" s="324"/>
      <c r="O2941" s="324"/>
      <c r="P2941" s="324"/>
      <c r="Q2941" s="324"/>
      <c r="R2941" s="324"/>
      <c r="S2941" s="324"/>
      <c r="T2941" s="528">
        <v>3</v>
      </c>
      <c r="U2941" s="324"/>
      <c r="V2941" s="676"/>
      <c r="W2941" s="354"/>
      <c r="X2941" s="529"/>
      <c r="Y2941" s="323"/>
      <c r="Z2941" s="312">
        <f t="shared" si="1075"/>
        <v>0</v>
      </c>
      <c r="AA2941" s="391">
        <f t="shared" si="1074"/>
        <v>0.25</v>
      </c>
    </row>
    <row r="2942" spans="1:28" ht="77.25" thickBot="1" x14ac:dyDescent="0.45">
      <c r="A2942" s="319" t="s">
        <v>739</v>
      </c>
      <c r="B2942" s="425" t="s">
        <v>1013</v>
      </c>
      <c r="C2942" s="528">
        <f>C2886</f>
        <v>0</v>
      </c>
      <c r="D2942" s="528"/>
      <c r="E2942" s="460">
        <f>C2942*10</f>
        <v>0</v>
      </c>
      <c r="F2942" s="324"/>
      <c r="G2942" s="528"/>
      <c r="H2942" s="324"/>
      <c r="I2942" s="528"/>
      <c r="J2942" s="324"/>
      <c r="K2942" s="324"/>
      <c r="L2942" s="324"/>
      <c r="M2942" s="324"/>
      <c r="N2942" s="324"/>
      <c r="O2942" s="324"/>
      <c r="P2942" s="324"/>
      <c r="Q2942" s="324"/>
      <c r="R2942" s="324"/>
      <c r="S2942" s="324"/>
      <c r="T2942" s="528">
        <v>3</v>
      </c>
      <c r="U2942" s="324"/>
      <c r="V2942" s="676"/>
      <c r="W2942" s="354"/>
      <c r="X2942" s="529"/>
      <c r="Y2942" s="323"/>
      <c r="Z2942" s="312">
        <f t="shared" si="1075"/>
        <v>0</v>
      </c>
      <c r="AA2942" s="391">
        <f t="shared" si="1074"/>
        <v>0.25</v>
      </c>
    </row>
    <row r="2943" spans="1:28" ht="77.25" thickBot="1" x14ac:dyDescent="0.45">
      <c r="A2943" s="319" t="s">
        <v>739</v>
      </c>
      <c r="B2943" s="425" t="s">
        <v>649</v>
      </c>
      <c r="C2943" s="602">
        <f>C2875</f>
        <v>0</v>
      </c>
      <c r="D2943" s="602"/>
      <c r="E2943" s="459">
        <f>C2943*8</f>
        <v>0</v>
      </c>
      <c r="F2943" s="603"/>
      <c r="G2943" s="602"/>
      <c r="H2943" s="604"/>
      <c r="I2943" s="602"/>
      <c r="J2943" s="604"/>
      <c r="K2943" s="604"/>
      <c r="L2943" s="604"/>
      <c r="M2943" s="604"/>
      <c r="N2943" s="604"/>
      <c r="O2943" s="604" t="e">
        <f>#REF!</f>
        <v>#REF!</v>
      </c>
      <c r="P2943" s="604" t="e">
        <f>#REF!</f>
        <v>#REF!</v>
      </c>
      <c r="Q2943" s="604" t="e">
        <f>#REF!</f>
        <v>#REF!</v>
      </c>
      <c r="R2943" s="604" t="e">
        <f>#REF!</f>
        <v>#REF!</v>
      </c>
      <c r="S2943" s="604" t="e">
        <f>#REF!</f>
        <v>#REF!</v>
      </c>
      <c r="T2943" s="602">
        <v>3</v>
      </c>
      <c r="U2943" s="471"/>
      <c r="V2943" s="700"/>
      <c r="W2943" s="612"/>
      <c r="X2943" s="612"/>
      <c r="Y2943" s="429"/>
      <c r="Z2943" s="312">
        <f t="shared" si="1075"/>
        <v>0</v>
      </c>
      <c r="AA2943" s="391">
        <f t="shared" si="1074"/>
        <v>0.25</v>
      </c>
    </row>
    <row r="2944" spans="1:28" ht="77.25" thickBot="1" x14ac:dyDescent="0.45">
      <c r="A2944" s="319" t="s">
        <v>739</v>
      </c>
      <c r="B2944" s="425" t="s">
        <v>650</v>
      </c>
      <c r="C2944" s="602">
        <f>C2876</f>
        <v>0</v>
      </c>
      <c r="D2944" s="613"/>
      <c r="E2944" s="614">
        <f>C2944*10</f>
        <v>0</v>
      </c>
      <c r="F2944" s="615"/>
      <c r="G2944" s="613"/>
      <c r="H2944" s="616"/>
      <c r="I2944" s="613"/>
      <c r="J2944" s="616"/>
      <c r="K2944" s="616"/>
      <c r="L2944" s="616"/>
      <c r="M2944" s="616"/>
      <c r="N2944" s="616"/>
      <c r="O2944" s="616" t="e">
        <f>#REF!</f>
        <v>#REF!</v>
      </c>
      <c r="P2944" s="616" t="e">
        <f>#REF!</f>
        <v>#REF!</v>
      </c>
      <c r="Q2944" s="616" t="e">
        <f>#REF!</f>
        <v>#REF!</v>
      </c>
      <c r="R2944" s="616" t="e">
        <f>#REF!</f>
        <v>#REF!</v>
      </c>
      <c r="S2944" s="616" t="e">
        <f>#REF!</f>
        <v>#REF!</v>
      </c>
      <c r="T2944" s="617">
        <v>3</v>
      </c>
      <c r="U2944" s="611"/>
      <c r="V2944" s="701"/>
      <c r="W2944" s="618"/>
      <c r="X2944" s="618"/>
      <c r="Y2944" s="429"/>
      <c r="Z2944" s="312">
        <f t="shared" si="1075"/>
        <v>0</v>
      </c>
      <c r="AA2944" s="391">
        <f t="shared" si="1074"/>
        <v>0.25</v>
      </c>
    </row>
    <row r="2945" spans="1:27" thickBot="1" x14ac:dyDescent="0.45">
      <c r="A2945" s="829"/>
      <c r="B2945" s="430" t="s">
        <v>665</v>
      </c>
      <c r="C2945" s="583"/>
      <c r="D2945" s="583"/>
      <c r="E2945" s="459"/>
      <c r="F2945" s="393"/>
      <c r="G2945" s="583"/>
      <c r="H2945" s="393"/>
      <c r="I2945" s="583"/>
      <c r="J2945" s="393"/>
      <c r="K2945" s="393"/>
      <c r="L2945" s="393"/>
      <c r="M2945" s="393"/>
      <c r="N2945" s="393"/>
      <c r="O2945" s="393"/>
      <c r="P2945" s="393"/>
      <c r="Q2945" s="393"/>
      <c r="R2945" s="393"/>
      <c r="S2945" s="393"/>
      <c r="T2945" s="583"/>
      <c r="U2945" s="393"/>
      <c r="V2945" s="696"/>
      <c r="W2945" s="583"/>
      <c r="X2945" s="393"/>
      <c r="Y2945" s="396"/>
    </row>
    <row r="2946" spans="1:27" ht="51.75" thickBot="1" x14ac:dyDescent="0.45">
      <c r="A2946" s="319" t="s">
        <v>739</v>
      </c>
      <c r="B2946" s="425" t="s">
        <v>666</v>
      </c>
      <c r="C2946" s="602">
        <f>C2910</f>
        <v>0</v>
      </c>
      <c r="D2946" s="528">
        <f>C2946*20</f>
        <v>0</v>
      </c>
      <c r="E2946" s="460">
        <f>C2946*20*0.2</f>
        <v>0</v>
      </c>
      <c r="F2946" s="393"/>
      <c r="G2946" s="583"/>
      <c r="H2946" s="393"/>
      <c r="I2946" s="583"/>
      <c r="J2946" s="393"/>
      <c r="K2946" s="393"/>
      <c r="L2946" s="393"/>
      <c r="M2946" s="393"/>
      <c r="N2946" s="583"/>
      <c r="O2946" s="393"/>
      <c r="P2946" s="393"/>
      <c r="Q2946" s="393"/>
      <c r="R2946" s="393"/>
      <c r="S2946" s="393"/>
      <c r="T2946" s="583">
        <v>3</v>
      </c>
      <c r="U2946" s="393"/>
      <c r="V2946" s="696"/>
      <c r="W2946" s="393"/>
      <c r="X2946" s="393"/>
      <c r="Y2946" s="396"/>
      <c r="Z2946" s="312">
        <f t="shared" ref="Z2946:Z2955" si="1076">E2946</f>
        <v>0</v>
      </c>
      <c r="AA2946" s="391">
        <f t="shared" si="1074"/>
        <v>0.25</v>
      </c>
    </row>
    <row r="2947" spans="1:27" ht="51.75" thickBot="1" x14ac:dyDescent="0.45">
      <c r="A2947" s="319" t="s">
        <v>739</v>
      </c>
      <c r="B2947" s="424" t="s">
        <v>799</v>
      </c>
      <c r="C2947" s="602">
        <f>C2911</f>
        <v>0</v>
      </c>
      <c r="D2947" s="528">
        <f>C2947*20</f>
        <v>0</v>
      </c>
      <c r="E2947" s="460">
        <f>C2947*20*0.2</f>
        <v>0</v>
      </c>
      <c r="F2947" s="393"/>
      <c r="G2947" s="583"/>
      <c r="H2947" s="393"/>
      <c r="I2947" s="583"/>
      <c r="J2947" s="393"/>
      <c r="K2947" s="393"/>
      <c r="L2947" s="393"/>
      <c r="M2947" s="393"/>
      <c r="N2947" s="583"/>
      <c r="O2947" s="393"/>
      <c r="P2947" s="393"/>
      <c r="Q2947" s="393"/>
      <c r="R2947" s="393"/>
      <c r="S2947" s="393"/>
      <c r="T2947" s="583">
        <v>3</v>
      </c>
      <c r="U2947" s="393"/>
      <c r="V2947" s="696"/>
      <c r="W2947" s="393"/>
      <c r="X2947" s="393"/>
      <c r="Y2947" s="396"/>
      <c r="Z2947" s="312">
        <f t="shared" si="1076"/>
        <v>0</v>
      </c>
      <c r="AA2947" s="391">
        <f t="shared" si="1074"/>
        <v>0.25</v>
      </c>
    </row>
    <row r="2948" spans="1:27" ht="51.75" thickBot="1" x14ac:dyDescent="0.45">
      <c r="A2948" s="319" t="s">
        <v>739</v>
      </c>
      <c r="B2948" s="425" t="s">
        <v>667</v>
      </c>
      <c r="C2948" s="602">
        <f>C2912</f>
        <v>0</v>
      </c>
      <c r="D2948" s="528">
        <f>C2948*20</f>
        <v>0</v>
      </c>
      <c r="E2948" s="460">
        <f>C2948*20*0.2</f>
        <v>0</v>
      </c>
      <c r="F2948" s="393"/>
      <c r="G2948" s="583"/>
      <c r="H2948" s="393"/>
      <c r="I2948" s="583"/>
      <c r="J2948" s="393"/>
      <c r="K2948" s="393"/>
      <c r="L2948" s="393"/>
      <c r="M2948" s="393"/>
      <c r="N2948" s="583"/>
      <c r="O2948" s="393"/>
      <c r="P2948" s="393"/>
      <c r="Q2948" s="393"/>
      <c r="R2948" s="393"/>
      <c r="S2948" s="393"/>
      <c r="T2948" s="583">
        <v>3</v>
      </c>
      <c r="U2948" s="393"/>
      <c r="V2948" s="696"/>
      <c r="W2948" s="393"/>
      <c r="X2948" s="393"/>
      <c r="Y2948" s="396"/>
      <c r="Z2948" s="312">
        <f t="shared" si="1076"/>
        <v>0</v>
      </c>
      <c r="AA2948" s="391">
        <f t="shared" si="1074"/>
        <v>0.25</v>
      </c>
    </row>
    <row r="2949" spans="1:27" ht="51.75" thickBot="1" x14ac:dyDescent="0.45">
      <c r="A2949" s="319" t="s">
        <v>739</v>
      </c>
      <c r="B2949" s="425" t="s">
        <v>668</v>
      </c>
      <c r="C2949" s="602">
        <f>C2913</f>
        <v>0</v>
      </c>
      <c r="D2949" s="528">
        <f>C2949*20</f>
        <v>0</v>
      </c>
      <c r="E2949" s="460">
        <f>C2949*20*0.2</f>
        <v>0</v>
      </c>
      <c r="F2949" s="393"/>
      <c r="G2949" s="583"/>
      <c r="H2949" s="393"/>
      <c r="I2949" s="583"/>
      <c r="J2949" s="393"/>
      <c r="K2949" s="393"/>
      <c r="L2949" s="393"/>
      <c r="M2949" s="393"/>
      <c r="N2949" s="583"/>
      <c r="O2949" s="393"/>
      <c r="P2949" s="393"/>
      <c r="Q2949" s="393"/>
      <c r="R2949" s="393"/>
      <c r="S2949" s="393"/>
      <c r="T2949" s="583">
        <v>3</v>
      </c>
      <c r="U2949" s="393"/>
      <c r="V2949" s="696"/>
      <c r="W2949" s="393"/>
      <c r="X2949" s="393"/>
      <c r="Y2949" s="396"/>
      <c r="Z2949" s="312">
        <f t="shared" si="1076"/>
        <v>0</v>
      </c>
      <c r="AA2949" s="391">
        <f t="shared" si="1074"/>
        <v>0.25</v>
      </c>
    </row>
    <row r="2950" spans="1:27" ht="51.75" thickBot="1" x14ac:dyDescent="0.45">
      <c r="A2950" s="319" t="s">
        <v>739</v>
      </c>
      <c r="B2950" s="425" t="s">
        <v>978</v>
      </c>
      <c r="C2950" s="583">
        <f>C2904</f>
        <v>0</v>
      </c>
      <c r="D2950" s="583"/>
      <c r="E2950" s="459">
        <f>C2950*10</f>
        <v>0</v>
      </c>
      <c r="F2950" s="393"/>
      <c r="G2950" s="583"/>
      <c r="H2950" s="393"/>
      <c r="I2950" s="583"/>
      <c r="J2950" s="393"/>
      <c r="K2950" s="393"/>
      <c r="L2950" s="393"/>
      <c r="M2950" s="393"/>
      <c r="N2950" s="393"/>
      <c r="O2950" s="393"/>
      <c r="P2950" s="393"/>
      <c r="Q2950" s="393"/>
      <c r="R2950" s="393"/>
      <c r="S2950" s="393"/>
      <c r="T2950" s="583">
        <v>3</v>
      </c>
      <c r="U2950" s="393"/>
      <c r="V2950" s="696"/>
      <c r="W2950" s="612"/>
      <c r="X2950" s="393"/>
      <c r="Y2950" s="396"/>
      <c r="Z2950" s="312">
        <f t="shared" si="1076"/>
        <v>0</v>
      </c>
      <c r="AA2950" s="391">
        <f t="shared" si="1074"/>
        <v>0.25</v>
      </c>
    </row>
    <row r="2951" spans="1:27" ht="51.75" thickBot="1" x14ac:dyDescent="0.45">
      <c r="A2951" s="319" t="s">
        <v>739</v>
      </c>
      <c r="B2951" s="425" t="s">
        <v>979</v>
      </c>
      <c r="C2951" s="583">
        <f>C2905</f>
        <v>0</v>
      </c>
      <c r="D2951" s="583"/>
      <c r="E2951" s="459">
        <f>C2951*10</f>
        <v>0</v>
      </c>
      <c r="F2951" s="393"/>
      <c r="G2951" s="583"/>
      <c r="H2951" s="393"/>
      <c r="I2951" s="583"/>
      <c r="J2951" s="393"/>
      <c r="K2951" s="393"/>
      <c r="L2951" s="393"/>
      <c r="M2951" s="393"/>
      <c r="N2951" s="393"/>
      <c r="O2951" s="393"/>
      <c r="P2951" s="393"/>
      <c r="Q2951" s="393"/>
      <c r="R2951" s="393"/>
      <c r="S2951" s="393"/>
      <c r="T2951" s="583">
        <v>3</v>
      </c>
      <c r="U2951" s="393"/>
      <c r="V2951" s="696"/>
      <c r="W2951" s="612"/>
      <c r="X2951" s="393"/>
      <c r="Y2951" s="396"/>
      <c r="Z2951" s="312">
        <f t="shared" si="1076"/>
        <v>0</v>
      </c>
      <c r="AA2951" s="391">
        <f t="shared" si="1074"/>
        <v>0.25</v>
      </c>
    </row>
    <row r="2952" spans="1:27" ht="51.75" thickBot="1" x14ac:dyDescent="0.45">
      <c r="A2952" s="319" t="s">
        <v>739</v>
      </c>
      <c r="B2952" s="425" t="s">
        <v>980</v>
      </c>
      <c r="C2952" s="583">
        <f>C2906</f>
        <v>0</v>
      </c>
      <c r="D2952" s="583"/>
      <c r="E2952" s="459">
        <f>C2952*10</f>
        <v>0</v>
      </c>
      <c r="F2952" s="393"/>
      <c r="G2952" s="583"/>
      <c r="H2952" s="393"/>
      <c r="I2952" s="583"/>
      <c r="J2952" s="393"/>
      <c r="K2952" s="393"/>
      <c r="L2952" s="393"/>
      <c r="M2952" s="393"/>
      <c r="N2952" s="393"/>
      <c r="O2952" s="393"/>
      <c r="P2952" s="393"/>
      <c r="Q2952" s="393"/>
      <c r="R2952" s="393"/>
      <c r="S2952" s="393"/>
      <c r="T2952" s="583">
        <v>3</v>
      </c>
      <c r="U2952" s="393"/>
      <c r="V2952" s="696"/>
      <c r="W2952" s="612"/>
      <c r="X2952" s="393"/>
      <c r="Y2952" s="396"/>
      <c r="Z2952" s="312">
        <f t="shared" si="1076"/>
        <v>0</v>
      </c>
      <c r="AA2952" s="391">
        <f t="shared" si="1074"/>
        <v>0.25</v>
      </c>
    </row>
    <row r="2953" spans="1:27" ht="51.75" thickBot="1" x14ac:dyDescent="0.45">
      <c r="A2953" s="319" t="s">
        <v>739</v>
      </c>
      <c r="B2953" s="425" t="s">
        <v>981</v>
      </c>
      <c r="C2953" s="583">
        <f>C2907</f>
        <v>0</v>
      </c>
      <c r="D2953" s="583"/>
      <c r="E2953" s="459">
        <f>C2953*10</f>
        <v>0</v>
      </c>
      <c r="F2953" s="393"/>
      <c r="G2953" s="583"/>
      <c r="H2953" s="393"/>
      <c r="I2953" s="583"/>
      <c r="J2953" s="393"/>
      <c r="K2953" s="393"/>
      <c r="L2953" s="393"/>
      <c r="M2953" s="393"/>
      <c r="N2953" s="393"/>
      <c r="O2953" s="393"/>
      <c r="P2953" s="393"/>
      <c r="Q2953" s="393"/>
      <c r="R2953" s="393"/>
      <c r="S2953" s="393"/>
      <c r="T2953" s="583">
        <v>3</v>
      </c>
      <c r="U2953" s="393"/>
      <c r="V2953" s="696"/>
      <c r="W2953" s="612"/>
      <c r="X2953" s="393"/>
      <c r="Y2953" s="396"/>
      <c r="Z2953" s="312">
        <f t="shared" si="1076"/>
        <v>0</v>
      </c>
      <c r="AA2953" s="391">
        <f t="shared" si="1074"/>
        <v>0.25</v>
      </c>
    </row>
    <row r="2954" spans="1:27" ht="51.75" thickBot="1" x14ac:dyDescent="0.45">
      <c r="A2954" s="319" t="s">
        <v>739</v>
      </c>
      <c r="B2954" s="432" t="s">
        <v>982</v>
      </c>
      <c r="C2954" s="583">
        <f>C2908</f>
        <v>0</v>
      </c>
      <c r="D2954" s="613"/>
      <c r="E2954" s="614">
        <f>C2954*10</f>
        <v>0</v>
      </c>
      <c r="F2954" s="615"/>
      <c r="G2954" s="613"/>
      <c r="H2954" s="616"/>
      <c r="I2954" s="613"/>
      <c r="J2954" s="616"/>
      <c r="K2954" s="616"/>
      <c r="L2954" s="616"/>
      <c r="M2954" s="616"/>
      <c r="N2954" s="616"/>
      <c r="O2954" s="616"/>
      <c r="P2954" s="616"/>
      <c r="Q2954" s="616"/>
      <c r="R2954" s="616"/>
      <c r="S2954" s="616"/>
      <c r="T2954" s="613">
        <v>3</v>
      </c>
      <c r="U2954" s="616" t="e">
        <f>#REF!</f>
        <v>#REF!</v>
      </c>
      <c r="V2954" s="702"/>
      <c r="W2954" s="616"/>
      <c r="X2954" s="616"/>
      <c r="Y2954" s="431"/>
      <c r="Z2954" s="312">
        <f t="shared" si="1076"/>
        <v>0</v>
      </c>
      <c r="AA2954" s="391">
        <f t="shared" si="1074"/>
        <v>0.25</v>
      </c>
    </row>
    <row r="2955" spans="1:27" ht="77.25" thickBot="1" x14ac:dyDescent="0.45">
      <c r="A2955" s="319" t="s">
        <v>739</v>
      </c>
      <c r="B2955" s="887" t="s">
        <v>1225</v>
      </c>
      <c r="C2955" s="528">
        <f>C219+C449+C679+C866+C1047</f>
        <v>0</v>
      </c>
      <c r="D2955" s="528">
        <f>C2955*10</f>
        <v>0</v>
      </c>
      <c r="E2955" s="460">
        <f>D2955*0.3</f>
        <v>0</v>
      </c>
      <c r="F2955" s="324">
        <f>E2955*1.03*0.82/147</f>
        <v>0</v>
      </c>
      <c r="G2955" s="537">
        <f>INT(M2955)</f>
        <v>0</v>
      </c>
      <c r="H2955" s="354"/>
      <c r="I2955" s="537">
        <f>(M2955-G2955)*64</f>
        <v>0</v>
      </c>
      <c r="J2955" s="354"/>
      <c r="K2955" s="324"/>
      <c r="L2955" s="324"/>
      <c r="M2955" s="324">
        <f>(F2955*4900/2880)</f>
        <v>0</v>
      </c>
      <c r="N2955" s="324"/>
      <c r="O2955" s="324"/>
      <c r="P2955" s="324"/>
      <c r="Q2955" s="324"/>
      <c r="R2955" s="324"/>
      <c r="S2955" s="324"/>
      <c r="T2955" s="528">
        <v>3</v>
      </c>
      <c r="U2955" s="324"/>
      <c r="V2955" s="676"/>
      <c r="W2955" s="528"/>
      <c r="X2955" s="529"/>
      <c r="Y2955" s="323"/>
      <c r="Z2955" s="824">
        <f t="shared" si="1076"/>
        <v>0</v>
      </c>
      <c r="AA2955" s="810">
        <f>SUM(Z2955/360+0.25)</f>
        <v>0.25</v>
      </c>
    </row>
    <row r="2956" spans="1:27" thickBot="1" x14ac:dyDescent="0.45">
      <c r="A2956" s="329"/>
      <c r="B2956" s="363"/>
      <c r="C2956" s="583"/>
      <c r="D2956" s="602"/>
      <c r="E2956" s="459"/>
      <c r="F2956" s="603"/>
      <c r="G2956" s="602"/>
      <c r="H2956" s="604"/>
      <c r="I2956" s="602"/>
      <c r="J2956" s="604"/>
      <c r="K2956" s="604"/>
      <c r="L2956" s="604"/>
      <c r="M2956" s="604"/>
      <c r="N2956" s="604"/>
      <c r="O2956" s="604"/>
      <c r="P2956" s="604"/>
      <c r="Q2956" s="604"/>
      <c r="R2956" s="604"/>
      <c r="S2956" s="604"/>
      <c r="T2956" s="602"/>
      <c r="U2956" s="604"/>
      <c r="V2956" s="703"/>
      <c r="W2956" s="604"/>
      <c r="X2956" s="604"/>
      <c r="Y2956" s="363"/>
      <c r="Z2956" s="433"/>
    </row>
    <row r="2957" spans="1:27" thickBot="1" x14ac:dyDescent="0.45">
      <c r="A2957" s="329"/>
      <c r="B2957" s="363"/>
      <c r="C2957" s="583"/>
      <c r="D2957" s="602"/>
      <c r="E2957" s="459"/>
      <c r="F2957" s="603"/>
      <c r="G2957" s="602"/>
      <c r="H2957" s="604"/>
      <c r="I2957" s="602"/>
      <c r="J2957" s="604"/>
      <c r="K2957" s="604"/>
      <c r="L2957" s="604"/>
      <c r="M2957" s="604"/>
      <c r="N2957" s="604"/>
      <c r="O2957" s="604"/>
      <c r="P2957" s="604"/>
      <c r="Q2957" s="604"/>
      <c r="R2957" s="604"/>
      <c r="S2957" s="604"/>
      <c r="T2957" s="602"/>
      <c r="U2957" s="604"/>
      <c r="V2957" s="703"/>
      <c r="W2957" s="604"/>
      <c r="X2957" s="604"/>
      <c r="Y2957" s="363"/>
      <c r="Z2957" s="433"/>
    </row>
    <row r="2958" spans="1:27" ht="53.25" thickBot="1" x14ac:dyDescent="0.45">
      <c r="A2958" s="319"/>
      <c r="B2958" s="394" t="s">
        <v>695</v>
      </c>
      <c r="C2958" s="537"/>
      <c r="D2958" s="537"/>
      <c r="E2958" s="496"/>
      <c r="F2958" s="354"/>
      <c r="G2958" s="537"/>
      <c r="H2958" s="354"/>
      <c r="I2958" s="537"/>
      <c r="J2958" s="354"/>
      <c r="K2958" s="354"/>
      <c r="L2958" s="354"/>
      <c r="M2958" s="354"/>
      <c r="N2958" s="354"/>
      <c r="O2958" s="354"/>
      <c r="P2958" s="354"/>
      <c r="Q2958" s="354"/>
      <c r="R2958" s="354"/>
      <c r="S2958" s="354"/>
      <c r="T2958" s="537"/>
      <c r="U2958" s="354"/>
      <c r="V2958" s="682" t="s">
        <v>698</v>
      </c>
      <c r="W2958" s="537"/>
      <c r="X2958" s="540"/>
      <c r="Y2958" s="323"/>
    </row>
    <row r="2959" spans="1:27" thickBot="1" x14ac:dyDescent="0.45">
      <c r="A2959" s="319"/>
      <c r="B2959" s="434"/>
      <c r="C2959" s="528"/>
      <c r="D2959" s="528"/>
      <c r="E2959" s="496"/>
      <c r="F2959" s="324"/>
      <c r="G2959" s="528"/>
      <c r="H2959" s="324"/>
      <c r="I2959" s="528"/>
      <c r="J2959" s="324"/>
      <c r="K2959" s="324"/>
      <c r="L2959" s="324"/>
      <c r="M2959" s="324"/>
      <c r="N2959" s="324"/>
      <c r="O2959" s="324"/>
      <c r="P2959" s="324"/>
      <c r="Q2959" s="324"/>
      <c r="R2959" s="324"/>
      <c r="S2959" s="324"/>
      <c r="T2959" s="537"/>
      <c r="U2959" s="324"/>
      <c r="V2959" s="676"/>
      <c r="W2959" s="354"/>
      <c r="X2959" s="529"/>
      <c r="Y2959" s="323"/>
    </row>
    <row r="2960" spans="1:27" thickBot="1" x14ac:dyDescent="0.45">
      <c r="A2960" s="829"/>
      <c r="B2960" s="435"/>
      <c r="C2960" s="528"/>
      <c r="D2960" s="528"/>
      <c r="E2960" s="496"/>
      <c r="F2960" s="324"/>
      <c r="G2960" s="528"/>
      <c r="H2960" s="324"/>
      <c r="I2960" s="528"/>
      <c r="J2960" s="324"/>
      <c r="K2960" s="324"/>
      <c r="L2960" s="324"/>
      <c r="M2960" s="324"/>
      <c r="N2960" s="324"/>
      <c r="O2960" s="324"/>
      <c r="P2960" s="324"/>
      <c r="Q2960" s="324"/>
      <c r="R2960" s="324"/>
      <c r="S2960" s="324"/>
      <c r="T2960" s="537"/>
      <c r="U2960" s="324"/>
      <c r="V2960" s="676"/>
      <c r="W2960" s="354"/>
      <c r="X2960" s="529"/>
      <c r="Y2960" s="323"/>
    </row>
    <row r="2961" spans="1:28" thickBot="1" x14ac:dyDescent="0.45">
      <c r="A2961" s="829"/>
      <c r="B2961" s="436" t="s">
        <v>709</v>
      </c>
      <c r="C2961" s="537"/>
      <c r="D2961" s="537"/>
      <c r="E2961" s="496">
        <f>SUM(E2925:E2936)</f>
        <v>0</v>
      </c>
      <c r="F2961" s="324"/>
      <c r="G2961" s="528"/>
      <c r="H2961" s="324"/>
      <c r="I2961" s="528"/>
      <c r="J2961" s="324"/>
      <c r="K2961" s="324"/>
      <c r="L2961" s="324"/>
      <c r="M2961" s="324"/>
      <c r="N2961" s="324"/>
      <c r="O2961" s="324"/>
      <c r="P2961" s="324"/>
      <c r="Q2961" s="324"/>
      <c r="R2961" s="324"/>
      <c r="S2961" s="324"/>
      <c r="T2961" s="537"/>
      <c r="U2961" s="324"/>
      <c r="V2961" s="676"/>
      <c r="W2961" s="354"/>
      <c r="X2961" s="529"/>
      <c r="Y2961" s="323"/>
    </row>
    <row r="2962" spans="1:28" thickBot="1" x14ac:dyDescent="0.45">
      <c r="A2962" s="829"/>
      <c r="B2962" s="355" t="s">
        <v>148</v>
      </c>
      <c r="C2962" s="537"/>
      <c r="D2962" s="537"/>
      <c r="E2962" s="496">
        <f>SUM(E2938:E2954)</f>
        <v>0</v>
      </c>
      <c r="F2962" s="324"/>
      <c r="G2962" s="528"/>
      <c r="H2962" s="324"/>
      <c r="I2962" s="528"/>
      <c r="J2962" s="324"/>
      <c r="K2962" s="324"/>
      <c r="L2962" s="324"/>
      <c r="M2962" s="324"/>
      <c r="N2962" s="324"/>
      <c r="O2962" s="324"/>
      <c r="P2962" s="324"/>
      <c r="Q2962" s="324"/>
      <c r="R2962" s="324"/>
      <c r="S2962" s="324"/>
      <c r="T2962" s="528"/>
      <c r="U2962" s="324"/>
      <c r="V2962" s="676"/>
      <c r="W2962" s="528"/>
      <c r="X2962" s="529"/>
      <c r="Y2962" s="323"/>
    </row>
    <row r="2963" spans="1:28" thickBot="1" x14ac:dyDescent="0.45">
      <c r="A2963" s="829"/>
      <c r="B2963" s="355" t="s">
        <v>1226</v>
      </c>
      <c r="C2963" s="537"/>
      <c r="D2963" s="537"/>
      <c r="E2963" s="496">
        <f>E2955</f>
        <v>0</v>
      </c>
      <c r="F2963" s="324"/>
      <c r="G2963" s="528"/>
      <c r="H2963" s="324"/>
      <c r="I2963" s="528"/>
      <c r="J2963" s="324"/>
      <c r="K2963" s="324"/>
      <c r="L2963" s="324"/>
      <c r="M2963" s="324"/>
      <c r="N2963" s="324"/>
      <c r="O2963" s="324"/>
      <c r="P2963" s="324"/>
      <c r="Q2963" s="324"/>
      <c r="R2963" s="324"/>
      <c r="S2963" s="324"/>
      <c r="T2963" s="528"/>
      <c r="U2963" s="324"/>
      <c r="V2963" s="676"/>
      <c r="W2963" s="528"/>
      <c r="X2963" s="529"/>
      <c r="Y2963" s="323"/>
    </row>
    <row r="2964" spans="1:28" thickBot="1" x14ac:dyDescent="0.45">
      <c r="A2964" s="829"/>
      <c r="B2964" s="355"/>
      <c r="C2964" s="537"/>
      <c r="D2964" s="537"/>
      <c r="E2964" s="496"/>
      <c r="F2964" s="324"/>
      <c r="G2964" s="528"/>
      <c r="H2964" s="324"/>
      <c r="I2964" s="528"/>
      <c r="J2964" s="324"/>
      <c r="K2964" s="324"/>
      <c r="L2964" s="324"/>
      <c r="M2964" s="324"/>
      <c r="N2964" s="324"/>
      <c r="O2964" s="324"/>
      <c r="P2964" s="324"/>
      <c r="Q2964" s="324"/>
      <c r="R2964" s="324"/>
      <c r="S2964" s="324"/>
      <c r="T2964" s="528"/>
      <c r="U2964" s="324"/>
      <c r="V2964" s="676"/>
      <c r="W2964" s="528"/>
      <c r="X2964" s="529"/>
      <c r="Y2964" s="323"/>
    </row>
    <row r="2965" spans="1:28" thickBot="1" x14ac:dyDescent="0.45">
      <c r="A2965" s="829"/>
      <c r="B2965" s="355"/>
      <c r="C2965" s="537"/>
      <c r="D2965" s="537"/>
      <c r="E2965" s="496"/>
      <c r="F2965" s="324"/>
      <c r="G2965" s="528"/>
      <c r="H2965" s="324"/>
      <c r="I2965" s="528"/>
      <c r="J2965" s="324"/>
      <c r="K2965" s="324"/>
      <c r="L2965" s="324"/>
      <c r="M2965" s="324"/>
      <c r="N2965" s="324"/>
      <c r="O2965" s="324"/>
      <c r="P2965" s="324"/>
      <c r="Q2965" s="324"/>
      <c r="R2965" s="324"/>
      <c r="S2965" s="324"/>
      <c r="T2965" s="528"/>
      <c r="U2965" s="324"/>
      <c r="V2965" s="676"/>
      <c r="W2965" s="528"/>
      <c r="X2965" s="529"/>
      <c r="Y2965" s="323"/>
    </row>
    <row r="2966" spans="1:28" thickBot="1" x14ac:dyDescent="0.45">
      <c r="A2966" s="829"/>
      <c r="B2966" s="305" t="s">
        <v>1191</v>
      </c>
      <c r="C2966" s="559"/>
      <c r="D2966" s="559"/>
      <c r="E2966" s="510"/>
      <c r="F2966" s="471"/>
      <c r="G2966" s="559"/>
      <c r="H2966" s="471"/>
      <c r="I2966" s="559"/>
      <c r="J2966" s="471"/>
      <c r="K2966" s="471"/>
      <c r="L2966" s="471"/>
      <c r="M2966" s="471"/>
      <c r="N2966" s="471"/>
      <c r="O2966" s="471"/>
      <c r="P2966" s="471"/>
      <c r="Q2966" s="471"/>
      <c r="R2966" s="471"/>
      <c r="S2966" s="471"/>
      <c r="T2966" s="559"/>
      <c r="U2966" s="471"/>
      <c r="V2966" s="687"/>
      <c r="W2966" s="471"/>
      <c r="X2966" s="471"/>
      <c r="Y2966" s="373"/>
      <c r="AA2966" s="391" t="s">
        <v>681</v>
      </c>
    </row>
    <row r="2967" spans="1:28" thickBot="1" x14ac:dyDescent="0.45">
      <c r="A2967" s="830"/>
      <c r="B2967" s="395" t="s">
        <v>294</v>
      </c>
      <c r="C2967" s="528"/>
      <c r="D2967" s="528"/>
      <c r="E2967" s="460"/>
      <c r="F2967" s="324"/>
      <c r="G2967" s="528"/>
      <c r="H2967" s="324"/>
      <c r="I2967" s="528"/>
      <c r="J2967" s="324"/>
      <c r="K2967" s="324"/>
      <c r="L2967" s="324"/>
      <c r="M2967" s="324"/>
      <c r="N2967" s="324"/>
      <c r="O2967" s="324"/>
      <c r="P2967" s="324"/>
      <c r="Q2967" s="324"/>
      <c r="R2967" s="324"/>
      <c r="S2967" s="324"/>
      <c r="T2967" s="528"/>
      <c r="U2967" s="324"/>
      <c r="V2967" s="676"/>
      <c r="W2967" s="324"/>
      <c r="X2967" s="529"/>
      <c r="Y2967" s="323"/>
    </row>
    <row r="2968" spans="1:28" s="327" customFormat="1" ht="53.25" thickBot="1" x14ac:dyDescent="0.45">
      <c r="A2968" s="319" t="s">
        <v>739</v>
      </c>
      <c r="B2968" s="325" t="s">
        <v>816</v>
      </c>
      <c r="C2968" s="586">
        <f t="shared" ref="C2968:C2979" si="1077">C2925</f>
        <v>0</v>
      </c>
      <c r="D2968" s="535">
        <f>C2968*10</f>
        <v>0</v>
      </c>
      <c r="E2968" s="534">
        <f>D2968*0.35</f>
        <v>0</v>
      </c>
      <c r="F2968" s="321">
        <f>E2968*0.8*1/20</f>
        <v>0</v>
      </c>
      <c r="G2968" s="533">
        <f t="shared" ref="G2968:G2974" si="1078">INT(M2968)</f>
        <v>0</v>
      </c>
      <c r="H2968" s="321" t="s">
        <v>18</v>
      </c>
      <c r="I2968" s="533">
        <f t="shared" ref="I2968:I2974" si="1079">(M2968-G2968)*64</f>
        <v>0</v>
      </c>
      <c r="J2968" s="321" t="s">
        <v>19</v>
      </c>
      <c r="K2968" s="321"/>
      <c r="L2968" s="321"/>
      <c r="M2968" s="321">
        <f>F2968*2016/16128</f>
        <v>0</v>
      </c>
      <c r="N2968" s="321"/>
      <c r="O2968" s="321"/>
      <c r="P2968" s="321"/>
      <c r="Q2968" s="321" t="s">
        <v>18</v>
      </c>
      <c r="R2968" s="321"/>
      <c r="S2968" s="321" t="s">
        <v>19</v>
      </c>
      <c r="T2968" s="533">
        <v>3</v>
      </c>
      <c r="U2968" s="321">
        <f t="shared" ref="U2968:U2973" si="1080">E2968/272*60</f>
        <v>0</v>
      </c>
      <c r="V2968" s="683"/>
      <c r="W2968" s="533"/>
      <c r="X2968" s="321"/>
      <c r="Y2968" s="326"/>
      <c r="Z2968" s="312">
        <f t="shared" ref="Z2968:Z2979" si="1081">E2968</f>
        <v>0</v>
      </c>
      <c r="AA2968" s="415">
        <f>SUM(Z2968/120+0.25)</f>
        <v>0.25</v>
      </c>
    </row>
    <row r="2969" spans="1:28" s="327" customFormat="1" ht="77.25" thickBot="1" x14ac:dyDescent="0.45">
      <c r="A2969" s="319" t="s">
        <v>739</v>
      </c>
      <c r="B2969" s="462" t="s">
        <v>983</v>
      </c>
      <c r="C2969" s="586">
        <f t="shared" si="1077"/>
        <v>0</v>
      </c>
      <c r="D2969" s="526">
        <f t="shared" ref="D2969:D2974" si="1082">C2969*5</f>
        <v>0</v>
      </c>
      <c r="E2969" s="527">
        <f t="shared" ref="E2969:E2974" si="1083">D2969*0.5</f>
        <v>0</v>
      </c>
      <c r="F2969" s="463">
        <f t="shared" ref="F2969:F2974" si="1084">E2969*0.76*1.034/20</f>
        <v>0</v>
      </c>
      <c r="G2969" s="526">
        <f t="shared" si="1078"/>
        <v>0</v>
      </c>
      <c r="H2969" s="463" t="s">
        <v>18</v>
      </c>
      <c r="I2969" s="526">
        <f t="shared" si="1079"/>
        <v>0</v>
      </c>
      <c r="J2969" s="463" t="s">
        <v>19</v>
      </c>
      <c r="K2969" s="463"/>
      <c r="L2969" s="463"/>
      <c r="M2969" s="463">
        <f t="shared" ref="M2969:M2974" si="1085">F2969*1008/8064</f>
        <v>0</v>
      </c>
      <c r="N2969" s="463"/>
      <c r="O2969" s="463"/>
      <c r="P2969" s="463"/>
      <c r="Q2969" s="321" t="s">
        <v>18</v>
      </c>
      <c r="R2969" s="321"/>
      <c r="S2969" s="321" t="s">
        <v>19</v>
      </c>
      <c r="T2969" s="533">
        <v>3</v>
      </c>
      <c r="U2969" s="321">
        <f t="shared" si="1080"/>
        <v>0</v>
      </c>
      <c r="V2969" s="683"/>
      <c r="W2969" s="533"/>
      <c r="X2969" s="321"/>
      <c r="Y2969" s="326"/>
      <c r="Z2969" s="312">
        <f t="shared" si="1081"/>
        <v>0</v>
      </c>
      <c r="AA2969" s="391">
        <f t="shared" ref="AA2969:AA2974" si="1086">SUM(Z2969/180+0.25)</f>
        <v>0.25</v>
      </c>
      <c r="AB2969" s="327" t="s">
        <v>1159</v>
      </c>
    </row>
    <row r="2970" spans="1:28" s="327" customFormat="1" ht="77.25" thickBot="1" x14ac:dyDescent="0.45">
      <c r="A2970" s="319" t="s">
        <v>739</v>
      </c>
      <c r="B2970" s="462" t="s">
        <v>984</v>
      </c>
      <c r="C2970" s="586">
        <f t="shared" si="1077"/>
        <v>0</v>
      </c>
      <c r="D2970" s="526">
        <f t="shared" si="1082"/>
        <v>0</v>
      </c>
      <c r="E2970" s="527">
        <f t="shared" si="1083"/>
        <v>0</v>
      </c>
      <c r="F2970" s="463">
        <f t="shared" si="1084"/>
        <v>0</v>
      </c>
      <c r="G2970" s="526">
        <f t="shared" si="1078"/>
        <v>0</v>
      </c>
      <c r="H2970" s="463" t="s">
        <v>18</v>
      </c>
      <c r="I2970" s="526">
        <f t="shared" si="1079"/>
        <v>0</v>
      </c>
      <c r="J2970" s="463" t="s">
        <v>19</v>
      </c>
      <c r="K2970" s="463"/>
      <c r="L2970" s="463"/>
      <c r="M2970" s="463">
        <f t="shared" si="1085"/>
        <v>0</v>
      </c>
      <c r="N2970" s="463"/>
      <c r="O2970" s="463"/>
      <c r="P2970" s="463"/>
      <c r="Q2970" s="321" t="s">
        <v>18</v>
      </c>
      <c r="R2970" s="321"/>
      <c r="S2970" s="321" t="s">
        <v>19</v>
      </c>
      <c r="T2970" s="533">
        <v>3</v>
      </c>
      <c r="U2970" s="321">
        <f t="shared" si="1080"/>
        <v>0</v>
      </c>
      <c r="V2970" s="683"/>
      <c r="W2970" s="533"/>
      <c r="X2970" s="321"/>
      <c r="Y2970" s="326"/>
      <c r="Z2970" s="312">
        <f t="shared" si="1081"/>
        <v>0</v>
      </c>
      <c r="AA2970" s="391">
        <f t="shared" si="1086"/>
        <v>0.25</v>
      </c>
      <c r="AB2970" s="327" t="s">
        <v>1159</v>
      </c>
    </row>
    <row r="2971" spans="1:28" s="327" customFormat="1" ht="77.25" thickBot="1" x14ac:dyDescent="0.45">
      <c r="A2971" s="319" t="s">
        <v>739</v>
      </c>
      <c r="B2971" s="462" t="s">
        <v>985</v>
      </c>
      <c r="C2971" s="586">
        <f t="shared" si="1077"/>
        <v>0</v>
      </c>
      <c r="D2971" s="526">
        <f t="shared" si="1082"/>
        <v>0</v>
      </c>
      <c r="E2971" s="527">
        <f t="shared" si="1083"/>
        <v>0</v>
      </c>
      <c r="F2971" s="463">
        <f t="shared" si="1084"/>
        <v>0</v>
      </c>
      <c r="G2971" s="526">
        <f t="shared" si="1078"/>
        <v>0</v>
      </c>
      <c r="H2971" s="463" t="s">
        <v>18</v>
      </c>
      <c r="I2971" s="526">
        <f t="shared" si="1079"/>
        <v>0</v>
      </c>
      <c r="J2971" s="463" t="s">
        <v>19</v>
      </c>
      <c r="K2971" s="463"/>
      <c r="L2971" s="463"/>
      <c r="M2971" s="463">
        <f t="shared" si="1085"/>
        <v>0</v>
      </c>
      <c r="N2971" s="463"/>
      <c r="O2971" s="463"/>
      <c r="P2971" s="463"/>
      <c r="Q2971" s="321" t="s">
        <v>18</v>
      </c>
      <c r="R2971" s="321"/>
      <c r="S2971" s="321" t="s">
        <v>19</v>
      </c>
      <c r="T2971" s="533">
        <v>3</v>
      </c>
      <c r="U2971" s="321">
        <f t="shared" si="1080"/>
        <v>0</v>
      </c>
      <c r="V2971" s="683"/>
      <c r="W2971" s="533"/>
      <c r="X2971" s="321"/>
      <c r="Y2971" s="326"/>
      <c r="Z2971" s="312">
        <f t="shared" si="1081"/>
        <v>0</v>
      </c>
      <c r="AA2971" s="391">
        <f t="shared" si="1086"/>
        <v>0.25</v>
      </c>
      <c r="AB2971" s="327" t="s">
        <v>1159</v>
      </c>
    </row>
    <row r="2972" spans="1:28" ht="102.75" thickBot="1" x14ac:dyDescent="0.45">
      <c r="A2972" s="319" t="s">
        <v>739</v>
      </c>
      <c r="B2972" s="462" t="s">
        <v>1018</v>
      </c>
      <c r="C2972" s="586">
        <f t="shared" si="1077"/>
        <v>0</v>
      </c>
      <c r="D2972" s="526">
        <f t="shared" si="1082"/>
        <v>0</v>
      </c>
      <c r="E2972" s="527">
        <f t="shared" si="1083"/>
        <v>0</v>
      </c>
      <c r="F2972" s="463">
        <f t="shared" si="1084"/>
        <v>0</v>
      </c>
      <c r="G2972" s="526">
        <f t="shared" si="1078"/>
        <v>0</v>
      </c>
      <c r="H2972" s="463" t="s">
        <v>18</v>
      </c>
      <c r="I2972" s="526">
        <f t="shared" si="1079"/>
        <v>0</v>
      </c>
      <c r="J2972" s="463" t="s">
        <v>19</v>
      </c>
      <c r="K2972" s="463"/>
      <c r="L2972" s="463"/>
      <c r="M2972" s="463">
        <f t="shared" si="1085"/>
        <v>0</v>
      </c>
      <c r="N2972" s="463"/>
      <c r="O2972" s="463"/>
      <c r="P2972" s="463"/>
      <c r="Q2972" s="321" t="s">
        <v>18</v>
      </c>
      <c r="R2972" s="321"/>
      <c r="S2972" s="321" t="s">
        <v>19</v>
      </c>
      <c r="T2972" s="528">
        <v>3</v>
      </c>
      <c r="U2972" s="324">
        <f t="shared" si="1080"/>
        <v>0</v>
      </c>
      <c r="V2972" s="676"/>
      <c r="W2972" s="528"/>
      <c r="X2972" s="529"/>
      <c r="Y2972" s="360"/>
      <c r="Z2972" s="312">
        <f t="shared" si="1081"/>
        <v>0</v>
      </c>
      <c r="AA2972" s="391">
        <f t="shared" si="1086"/>
        <v>0.25</v>
      </c>
      <c r="AB2972" s="327" t="s">
        <v>1159</v>
      </c>
    </row>
    <row r="2973" spans="1:28" ht="102.75" thickBot="1" x14ac:dyDescent="0.45">
      <c r="A2973" s="319" t="s">
        <v>739</v>
      </c>
      <c r="B2973" s="462" t="s">
        <v>1019</v>
      </c>
      <c r="C2973" s="586">
        <f t="shared" si="1077"/>
        <v>0</v>
      </c>
      <c r="D2973" s="526">
        <f t="shared" si="1082"/>
        <v>0</v>
      </c>
      <c r="E2973" s="527">
        <f t="shared" si="1083"/>
        <v>0</v>
      </c>
      <c r="F2973" s="463">
        <f t="shared" si="1084"/>
        <v>0</v>
      </c>
      <c r="G2973" s="526">
        <f t="shared" si="1078"/>
        <v>0</v>
      </c>
      <c r="H2973" s="463" t="s">
        <v>18</v>
      </c>
      <c r="I2973" s="526">
        <f t="shared" si="1079"/>
        <v>0</v>
      </c>
      <c r="J2973" s="463" t="s">
        <v>19</v>
      </c>
      <c r="K2973" s="463"/>
      <c r="L2973" s="463"/>
      <c r="M2973" s="463">
        <f t="shared" si="1085"/>
        <v>0</v>
      </c>
      <c r="N2973" s="463"/>
      <c r="O2973" s="463"/>
      <c r="P2973" s="463"/>
      <c r="Q2973" s="321" t="s">
        <v>18</v>
      </c>
      <c r="R2973" s="321"/>
      <c r="S2973" s="321" t="s">
        <v>19</v>
      </c>
      <c r="T2973" s="528">
        <v>3</v>
      </c>
      <c r="U2973" s="324">
        <f t="shared" si="1080"/>
        <v>0</v>
      </c>
      <c r="V2973" s="676"/>
      <c r="W2973" s="528"/>
      <c r="X2973" s="529"/>
      <c r="Y2973" s="360"/>
      <c r="Z2973" s="312">
        <f t="shared" si="1081"/>
        <v>0</v>
      </c>
      <c r="AA2973" s="391">
        <f t="shared" si="1086"/>
        <v>0.25</v>
      </c>
      <c r="AB2973" s="327" t="s">
        <v>1159</v>
      </c>
    </row>
    <row r="2974" spans="1:28" ht="102.75" thickBot="1" x14ac:dyDescent="0.45">
      <c r="A2974" s="319" t="s">
        <v>739</v>
      </c>
      <c r="B2974" s="462" t="s">
        <v>1020</v>
      </c>
      <c r="C2974" s="586">
        <f t="shared" si="1077"/>
        <v>0</v>
      </c>
      <c r="D2974" s="526">
        <f t="shared" si="1082"/>
        <v>0</v>
      </c>
      <c r="E2974" s="527">
        <f t="shared" si="1083"/>
        <v>0</v>
      </c>
      <c r="F2974" s="463">
        <f t="shared" si="1084"/>
        <v>0</v>
      </c>
      <c r="G2974" s="526">
        <f t="shared" si="1078"/>
        <v>0</v>
      </c>
      <c r="H2974" s="463" t="s">
        <v>18</v>
      </c>
      <c r="I2974" s="526">
        <f t="shared" si="1079"/>
        <v>0</v>
      </c>
      <c r="J2974" s="463" t="s">
        <v>19</v>
      </c>
      <c r="K2974" s="463"/>
      <c r="L2974" s="463"/>
      <c r="M2974" s="463">
        <f t="shared" si="1085"/>
        <v>0</v>
      </c>
      <c r="N2974" s="463"/>
      <c r="O2974" s="463"/>
      <c r="P2974" s="463"/>
      <c r="Q2974" s="321" t="s">
        <v>18</v>
      </c>
      <c r="R2974" s="321"/>
      <c r="S2974" s="321" t="s">
        <v>19</v>
      </c>
      <c r="T2974" s="528">
        <v>3</v>
      </c>
      <c r="U2974" s="324">
        <f t="shared" ref="U2974:U2979" si="1087">E2974/272*60</f>
        <v>0</v>
      </c>
      <c r="V2974" s="676"/>
      <c r="W2974" s="528"/>
      <c r="X2974" s="529"/>
      <c r="Y2974" s="360"/>
      <c r="Z2974" s="312">
        <f t="shared" si="1081"/>
        <v>0</v>
      </c>
      <c r="AA2974" s="391">
        <f t="shared" si="1086"/>
        <v>0.25</v>
      </c>
      <c r="AB2974" s="327" t="s">
        <v>1160</v>
      </c>
    </row>
    <row r="2975" spans="1:28" s="327" customFormat="1" ht="77.25" thickBot="1" x14ac:dyDescent="0.45">
      <c r="A2975" s="319" t="s">
        <v>739</v>
      </c>
      <c r="B2975" s="320" t="s">
        <v>986</v>
      </c>
      <c r="C2975" s="586">
        <f t="shared" si="1077"/>
        <v>0</v>
      </c>
      <c r="D2975" s="533">
        <f>C2975*12</f>
        <v>0</v>
      </c>
      <c r="E2975" s="534">
        <f>D2975*0.25</f>
        <v>0</v>
      </c>
      <c r="F2975" s="321">
        <f>E2975*0.8*1/20</f>
        <v>0</v>
      </c>
      <c r="G2975" s="533">
        <f>INT(M2975)</f>
        <v>0</v>
      </c>
      <c r="H2975" s="321" t="s">
        <v>18</v>
      </c>
      <c r="I2975" s="533">
        <f>(M2975-G2975)*64</f>
        <v>0</v>
      </c>
      <c r="J2975" s="321" t="s">
        <v>19</v>
      </c>
      <c r="K2975" s="324"/>
      <c r="L2975" s="324"/>
      <c r="M2975" s="321">
        <f>F2975*2016/16128</f>
        <v>0</v>
      </c>
      <c r="N2975" s="324"/>
      <c r="O2975" s="324"/>
      <c r="P2975" s="324"/>
      <c r="Q2975" s="321" t="s">
        <v>18</v>
      </c>
      <c r="R2975" s="321"/>
      <c r="S2975" s="321" t="s">
        <v>19</v>
      </c>
      <c r="T2975" s="533">
        <v>3</v>
      </c>
      <c r="U2975" s="321">
        <f t="shared" si="1087"/>
        <v>0</v>
      </c>
      <c r="V2975" s="683"/>
      <c r="W2975" s="533"/>
      <c r="X2975" s="321"/>
      <c r="Y2975" s="326"/>
      <c r="Z2975" s="312">
        <f t="shared" si="1081"/>
        <v>0</v>
      </c>
      <c r="AA2975" s="415">
        <f>SUM(Z2975/220+0.25)</f>
        <v>0.25</v>
      </c>
    </row>
    <row r="2976" spans="1:28" s="327" customFormat="1" ht="77.25" thickBot="1" x14ac:dyDescent="0.45">
      <c r="A2976" s="319" t="s">
        <v>739</v>
      </c>
      <c r="B2976" s="320" t="s">
        <v>987</v>
      </c>
      <c r="C2976" s="586">
        <f t="shared" si="1077"/>
        <v>0</v>
      </c>
      <c r="D2976" s="533">
        <f>C2976*12</f>
        <v>0</v>
      </c>
      <c r="E2976" s="534">
        <f>D2976*0.25</f>
        <v>0</v>
      </c>
      <c r="F2976" s="321">
        <f>E2976*0.8*1/20</f>
        <v>0</v>
      </c>
      <c r="G2976" s="533">
        <f>INT(M2976)</f>
        <v>0</v>
      </c>
      <c r="H2976" s="321" t="s">
        <v>18</v>
      </c>
      <c r="I2976" s="533">
        <f>(M2976-G2976)*64</f>
        <v>0</v>
      </c>
      <c r="J2976" s="321" t="s">
        <v>19</v>
      </c>
      <c r="K2976" s="324"/>
      <c r="L2976" s="324"/>
      <c r="M2976" s="321">
        <f>F2976*2016/16128</f>
        <v>0</v>
      </c>
      <c r="N2976" s="324"/>
      <c r="O2976" s="324"/>
      <c r="P2976" s="324"/>
      <c r="Q2976" s="321" t="s">
        <v>18</v>
      </c>
      <c r="R2976" s="321"/>
      <c r="S2976" s="321" t="s">
        <v>19</v>
      </c>
      <c r="T2976" s="533">
        <v>3</v>
      </c>
      <c r="U2976" s="321">
        <f t="shared" si="1087"/>
        <v>0</v>
      </c>
      <c r="V2976" s="683"/>
      <c r="W2976" s="533"/>
      <c r="X2976" s="321"/>
      <c r="Y2976" s="326"/>
      <c r="Z2976" s="312">
        <f t="shared" si="1081"/>
        <v>0</v>
      </c>
      <c r="AA2976" s="415">
        <f>SUM(Z2976/220+0.25)</f>
        <v>0.25</v>
      </c>
    </row>
    <row r="2977" spans="1:27" ht="77.25" thickBot="1" x14ac:dyDescent="0.45">
      <c r="A2977" s="319" t="s">
        <v>739</v>
      </c>
      <c r="B2977" s="320" t="s">
        <v>1039</v>
      </c>
      <c r="C2977" s="586">
        <f t="shared" si="1077"/>
        <v>0</v>
      </c>
      <c r="D2977" s="533">
        <f>C2977*16</f>
        <v>0</v>
      </c>
      <c r="E2977" s="534">
        <f>D2977*0.25</f>
        <v>0</v>
      </c>
      <c r="F2977" s="321">
        <f>E2977*0.8*1/20</f>
        <v>0</v>
      </c>
      <c r="G2977" s="533">
        <f>INT(M2977)</f>
        <v>0</v>
      </c>
      <c r="H2977" s="321" t="s">
        <v>18</v>
      </c>
      <c r="I2977" s="533">
        <f>(M2977-G2977)*64</f>
        <v>0</v>
      </c>
      <c r="J2977" s="321" t="s">
        <v>19</v>
      </c>
      <c r="K2977" s="324"/>
      <c r="L2977" s="324"/>
      <c r="M2977" s="321">
        <f>F2977*2016/16128</f>
        <v>0</v>
      </c>
      <c r="N2977" s="324"/>
      <c r="O2977" s="324"/>
      <c r="P2977" s="324"/>
      <c r="Q2977" s="324" t="s">
        <v>18</v>
      </c>
      <c r="R2977" s="324"/>
      <c r="S2977" s="324" t="s">
        <v>19</v>
      </c>
      <c r="T2977" s="528">
        <v>3</v>
      </c>
      <c r="U2977" s="324">
        <f t="shared" si="1087"/>
        <v>0</v>
      </c>
      <c r="V2977" s="676"/>
      <c r="W2977" s="528"/>
      <c r="X2977" s="529"/>
      <c r="Y2977" s="323"/>
      <c r="Z2977" s="312">
        <f t="shared" si="1081"/>
        <v>0</v>
      </c>
      <c r="AA2977" s="316">
        <f>SUM(Z2977/220+0.25)</f>
        <v>0.25</v>
      </c>
    </row>
    <row r="2978" spans="1:27" ht="77.25" thickBot="1" x14ac:dyDescent="0.45">
      <c r="A2978" s="319" t="s">
        <v>739</v>
      </c>
      <c r="B2978" s="708" t="s">
        <v>1079</v>
      </c>
      <c r="C2978" s="586">
        <f t="shared" si="1077"/>
        <v>0</v>
      </c>
      <c r="D2978" s="533">
        <f>C2978*7</f>
        <v>0</v>
      </c>
      <c r="E2978" s="321">
        <f>D2978*0.2</f>
        <v>0</v>
      </c>
      <c r="F2978" s="321">
        <f>E2978*10/225</f>
        <v>0</v>
      </c>
      <c r="G2978" s="533">
        <f>INT(M2978)</f>
        <v>0</v>
      </c>
      <c r="H2978" s="321" t="s">
        <v>18</v>
      </c>
      <c r="I2978" s="533">
        <f>(M2978-G2978)*64</f>
        <v>0</v>
      </c>
      <c r="J2978" s="321" t="s">
        <v>19</v>
      </c>
      <c r="K2978" s="324"/>
      <c r="L2978" s="324"/>
      <c r="M2978" s="321">
        <f>F2978*1008/8064</f>
        <v>0</v>
      </c>
      <c r="N2978" s="324"/>
      <c r="O2978" s="324"/>
      <c r="P2978" s="324"/>
      <c r="Q2978" s="324" t="s">
        <v>18</v>
      </c>
      <c r="R2978" s="324"/>
      <c r="S2978" s="324" t="s">
        <v>19</v>
      </c>
      <c r="T2978" s="528">
        <v>3</v>
      </c>
      <c r="U2978" s="324">
        <f t="shared" si="1087"/>
        <v>0</v>
      </c>
      <c r="V2978" s="676"/>
      <c r="W2978" s="528"/>
      <c r="X2978" s="529"/>
      <c r="Y2978" s="323"/>
      <c r="Z2978" s="312">
        <f t="shared" si="1081"/>
        <v>0</v>
      </c>
      <c r="AA2978" s="316">
        <f>SUM(Z2978/220+0.25)</f>
        <v>0.25</v>
      </c>
    </row>
    <row r="2979" spans="1:27" ht="77.25" thickBot="1" x14ac:dyDescent="0.45">
      <c r="A2979" s="319" t="s">
        <v>739</v>
      </c>
      <c r="B2979" s="320" t="s">
        <v>613</v>
      </c>
      <c r="C2979" s="586">
        <f t="shared" si="1077"/>
        <v>0</v>
      </c>
      <c r="D2979" s="528">
        <f>C2979*20</f>
        <v>0</v>
      </c>
      <c r="E2979" s="460">
        <f>D2979*0.2</f>
        <v>0</v>
      </c>
      <c r="F2979" s="324">
        <f>E2979*0.8*1.01/20</f>
        <v>0</v>
      </c>
      <c r="G2979" s="528">
        <f>INT(M2979)</f>
        <v>0</v>
      </c>
      <c r="H2979" s="324" t="s">
        <v>18</v>
      </c>
      <c r="I2979" s="528">
        <f>(M2979-G2979)*64</f>
        <v>0</v>
      </c>
      <c r="J2979" s="324" t="s">
        <v>19</v>
      </c>
      <c r="K2979" s="324"/>
      <c r="L2979" s="324"/>
      <c r="M2979" s="324">
        <f>F2979*1008/8064</f>
        <v>0</v>
      </c>
      <c r="N2979" s="324"/>
      <c r="O2979" s="324"/>
      <c r="P2979" s="324"/>
      <c r="Q2979" s="324" t="s">
        <v>18</v>
      </c>
      <c r="R2979" s="324"/>
      <c r="S2979" s="324" t="s">
        <v>19</v>
      </c>
      <c r="T2979" s="528">
        <v>3</v>
      </c>
      <c r="U2979" s="324">
        <f t="shared" si="1087"/>
        <v>0</v>
      </c>
      <c r="V2979" s="676"/>
      <c r="W2979" s="528"/>
      <c r="X2979" s="529"/>
      <c r="Y2979" s="323"/>
      <c r="Z2979" s="312">
        <f t="shared" si="1081"/>
        <v>0</v>
      </c>
      <c r="AA2979" s="316">
        <f>SUM(Z2979/220+0.25)</f>
        <v>0.25</v>
      </c>
    </row>
    <row r="2980" spans="1:27" thickBot="1" x14ac:dyDescent="0.45">
      <c r="A2980" s="829"/>
      <c r="B2980" s="423" t="s">
        <v>664</v>
      </c>
      <c r="C2980" s="586"/>
      <c r="D2980" s="609"/>
      <c r="E2980" s="610"/>
      <c r="F2980" s="611"/>
      <c r="G2980" s="609"/>
      <c r="H2980" s="611"/>
      <c r="I2980" s="609"/>
      <c r="J2980" s="611"/>
      <c r="K2980" s="611"/>
      <c r="L2980" s="611"/>
      <c r="M2980" s="611"/>
      <c r="N2980" s="611"/>
      <c r="O2980" s="611"/>
      <c r="P2980" s="611"/>
      <c r="Q2980" s="611"/>
      <c r="R2980" s="611"/>
      <c r="S2980" s="611"/>
      <c r="T2980" s="609"/>
      <c r="U2980" s="471"/>
      <c r="V2980" s="700"/>
      <c r="W2980" s="612"/>
      <c r="X2980" s="612"/>
      <c r="Y2980" s="429"/>
    </row>
    <row r="2981" spans="1:27" ht="77.25" thickBot="1" x14ac:dyDescent="0.45">
      <c r="A2981" s="319" t="s">
        <v>739</v>
      </c>
      <c r="B2981" s="425" t="s">
        <v>646</v>
      </c>
      <c r="C2981" s="586">
        <f t="shared" ref="C2981:C2987" si="1088">C2938</f>
        <v>0</v>
      </c>
      <c r="D2981" s="602"/>
      <c r="E2981" s="459">
        <f>C2981*3</f>
        <v>0</v>
      </c>
      <c r="F2981" s="603"/>
      <c r="G2981" s="602"/>
      <c r="H2981" s="604"/>
      <c r="I2981" s="602"/>
      <c r="J2981" s="604"/>
      <c r="K2981" s="604"/>
      <c r="L2981" s="604"/>
      <c r="M2981" s="604"/>
      <c r="N2981" s="604"/>
      <c r="O2981" s="604" t="e">
        <f>#REF!</f>
        <v>#REF!</v>
      </c>
      <c r="P2981" s="604" t="e">
        <f>#REF!</f>
        <v>#REF!</v>
      </c>
      <c r="Q2981" s="604" t="e">
        <f>#REF!</f>
        <v>#REF!</v>
      </c>
      <c r="R2981" s="604" t="e">
        <f>#REF!</f>
        <v>#REF!</v>
      </c>
      <c r="S2981" s="604" t="e">
        <f>#REF!</f>
        <v>#REF!</v>
      </c>
      <c r="T2981" s="602">
        <v>3</v>
      </c>
      <c r="U2981" s="471"/>
      <c r="V2981" s="700"/>
      <c r="W2981" s="612"/>
      <c r="X2981" s="612"/>
      <c r="Y2981" s="429"/>
      <c r="Z2981" s="312">
        <f t="shared" ref="Z2981:Z2987" si="1089">E2981</f>
        <v>0</v>
      </c>
      <c r="AA2981" s="316">
        <f>SUM(E2981/435+0.25)</f>
        <v>0.25</v>
      </c>
    </row>
    <row r="2982" spans="1:27" ht="77.25" thickBot="1" x14ac:dyDescent="0.45">
      <c r="A2982" s="319" t="s">
        <v>739</v>
      </c>
      <c r="B2982" s="425" t="s">
        <v>647</v>
      </c>
      <c r="C2982" s="586">
        <f t="shared" si="1088"/>
        <v>0</v>
      </c>
      <c r="D2982" s="602"/>
      <c r="E2982" s="459">
        <f>C2982*10</f>
        <v>0</v>
      </c>
      <c r="F2982" s="603"/>
      <c r="G2982" s="602"/>
      <c r="H2982" s="604"/>
      <c r="I2982" s="602"/>
      <c r="J2982" s="604"/>
      <c r="K2982" s="604"/>
      <c r="L2982" s="604"/>
      <c r="M2982" s="604"/>
      <c r="N2982" s="604"/>
      <c r="O2982" s="604" t="e">
        <f>#REF!</f>
        <v>#REF!</v>
      </c>
      <c r="P2982" s="604" t="e">
        <f>#REF!</f>
        <v>#REF!</v>
      </c>
      <c r="Q2982" s="604" t="e">
        <f>#REF!</f>
        <v>#REF!</v>
      </c>
      <c r="R2982" s="604" t="e">
        <f>#REF!</f>
        <v>#REF!</v>
      </c>
      <c r="S2982" s="604" t="e">
        <f>#REF!</f>
        <v>#REF!</v>
      </c>
      <c r="T2982" s="602">
        <v>3</v>
      </c>
      <c r="U2982" s="471"/>
      <c r="V2982" s="700"/>
      <c r="W2982" s="612"/>
      <c r="X2982" s="612"/>
      <c r="Y2982" s="429"/>
      <c r="Z2982" s="312">
        <f t="shared" si="1089"/>
        <v>0</v>
      </c>
      <c r="AA2982" s="316">
        <f t="shared" ref="AA2982:AA2987" si="1090">SUM(E2982/435+0.25)</f>
        <v>0.25</v>
      </c>
    </row>
    <row r="2983" spans="1:27" ht="77.25" thickBot="1" x14ac:dyDescent="0.45">
      <c r="A2983" s="319" t="s">
        <v>739</v>
      </c>
      <c r="B2983" s="425" t="s">
        <v>648</v>
      </c>
      <c r="C2983" s="586">
        <f t="shared" si="1088"/>
        <v>0</v>
      </c>
      <c r="D2983" s="602"/>
      <c r="E2983" s="459">
        <f>C2983*10</f>
        <v>0</v>
      </c>
      <c r="F2983" s="603"/>
      <c r="G2983" s="602"/>
      <c r="H2983" s="604"/>
      <c r="I2983" s="602"/>
      <c r="J2983" s="604"/>
      <c r="K2983" s="604"/>
      <c r="L2983" s="604"/>
      <c r="M2983" s="604"/>
      <c r="N2983" s="604"/>
      <c r="O2983" s="604" t="e">
        <f>#REF!</f>
        <v>#REF!</v>
      </c>
      <c r="P2983" s="604" t="e">
        <f>#REF!</f>
        <v>#REF!</v>
      </c>
      <c r="Q2983" s="604" t="e">
        <f>#REF!</f>
        <v>#REF!</v>
      </c>
      <c r="R2983" s="604" t="e">
        <f>#REF!</f>
        <v>#REF!</v>
      </c>
      <c r="S2983" s="604" t="e">
        <f>#REF!</f>
        <v>#REF!</v>
      </c>
      <c r="T2983" s="602">
        <v>3</v>
      </c>
      <c r="U2983" s="471"/>
      <c r="V2983" s="700"/>
      <c r="W2983" s="612"/>
      <c r="X2983" s="612"/>
      <c r="Y2983" s="429"/>
      <c r="Z2983" s="312">
        <f t="shared" si="1089"/>
        <v>0</v>
      </c>
      <c r="AA2983" s="316">
        <f t="shared" si="1090"/>
        <v>0.25</v>
      </c>
    </row>
    <row r="2984" spans="1:27" ht="77.25" thickBot="1" x14ac:dyDescent="0.45">
      <c r="A2984" s="319" t="s">
        <v>739</v>
      </c>
      <c r="B2984" s="425" t="s">
        <v>1012</v>
      </c>
      <c r="C2984" s="586">
        <f t="shared" si="1088"/>
        <v>0</v>
      </c>
      <c r="D2984" s="528"/>
      <c r="E2984" s="460">
        <f>C2984*10</f>
        <v>0</v>
      </c>
      <c r="F2984" s="324"/>
      <c r="G2984" s="528"/>
      <c r="H2984" s="324"/>
      <c r="I2984" s="528"/>
      <c r="J2984" s="324"/>
      <c r="K2984" s="324"/>
      <c r="L2984" s="324"/>
      <c r="M2984" s="324"/>
      <c r="N2984" s="324"/>
      <c r="O2984" s="324"/>
      <c r="P2984" s="324"/>
      <c r="Q2984" s="324"/>
      <c r="R2984" s="324"/>
      <c r="S2984" s="324"/>
      <c r="T2984" s="528">
        <v>3</v>
      </c>
      <c r="U2984" s="324"/>
      <c r="V2984" s="676"/>
      <c r="W2984" s="354"/>
      <c r="X2984" s="529"/>
      <c r="Y2984" s="323"/>
      <c r="Z2984" s="312">
        <f t="shared" si="1089"/>
        <v>0</v>
      </c>
      <c r="AA2984" s="316">
        <f t="shared" si="1090"/>
        <v>0.25</v>
      </c>
    </row>
    <row r="2985" spans="1:27" ht="77.25" thickBot="1" x14ac:dyDescent="0.45">
      <c r="A2985" s="319" t="s">
        <v>739</v>
      </c>
      <c r="B2985" s="425" t="s">
        <v>1013</v>
      </c>
      <c r="C2985" s="586">
        <f t="shared" si="1088"/>
        <v>0</v>
      </c>
      <c r="D2985" s="528"/>
      <c r="E2985" s="460">
        <f>C2985*10</f>
        <v>0</v>
      </c>
      <c r="F2985" s="324"/>
      <c r="G2985" s="528"/>
      <c r="H2985" s="324"/>
      <c r="I2985" s="528"/>
      <c r="J2985" s="324"/>
      <c r="K2985" s="324"/>
      <c r="L2985" s="324"/>
      <c r="M2985" s="324"/>
      <c r="N2985" s="324"/>
      <c r="O2985" s="324"/>
      <c r="P2985" s="324"/>
      <c r="Q2985" s="324"/>
      <c r="R2985" s="324"/>
      <c r="S2985" s="324"/>
      <c r="T2985" s="528">
        <v>3</v>
      </c>
      <c r="U2985" s="324"/>
      <c r="V2985" s="676"/>
      <c r="W2985" s="354"/>
      <c r="X2985" s="529"/>
      <c r="Y2985" s="323"/>
      <c r="Z2985" s="312">
        <f t="shared" si="1089"/>
        <v>0</v>
      </c>
      <c r="AA2985" s="316">
        <f t="shared" si="1090"/>
        <v>0.25</v>
      </c>
    </row>
    <row r="2986" spans="1:27" ht="77.25" thickBot="1" x14ac:dyDescent="0.45">
      <c r="A2986" s="319" t="s">
        <v>739</v>
      </c>
      <c r="B2986" s="425" t="s">
        <v>649</v>
      </c>
      <c r="C2986" s="586">
        <f t="shared" si="1088"/>
        <v>0</v>
      </c>
      <c r="D2986" s="602"/>
      <c r="E2986" s="459">
        <f>C2986*8</f>
        <v>0</v>
      </c>
      <c r="F2986" s="603"/>
      <c r="G2986" s="602"/>
      <c r="H2986" s="604"/>
      <c r="I2986" s="602"/>
      <c r="J2986" s="604"/>
      <c r="K2986" s="604"/>
      <c r="L2986" s="604"/>
      <c r="M2986" s="604"/>
      <c r="N2986" s="604"/>
      <c r="O2986" s="604" t="e">
        <f>#REF!</f>
        <v>#REF!</v>
      </c>
      <c r="P2986" s="604" t="e">
        <f>#REF!</f>
        <v>#REF!</v>
      </c>
      <c r="Q2986" s="604" t="e">
        <f>#REF!</f>
        <v>#REF!</v>
      </c>
      <c r="R2986" s="604" t="e">
        <f>#REF!</f>
        <v>#REF!</v>
      </c>
      <c r="S2986" s="604" t="e">
        <f>#REF!</f>
        <v>#REF!</v>
      </c>
      <c r="T2986" s="602">
        <v>3</v>
      </c>
      <c r="U2986" s="471"/>
      <c r="V2986" s="700"/>
      <c r="W2986" s="612"/>
      <c r="X2986" s="612"/>
      <c r="Y2986" s="429"/>
      <c r="Z2986" s="312">
        <f t="shared" si="1089"/>
        <v>0</v>
      </c>
      <c r="AA2986" s="316">
        <f t="shared" si="1090"/>
        <v>0.25</v>
      </c>
    </row>
    <row r="2987" spans="1:27" ht="77.25" thickBot="1" x14ac:dyDescent="0.45">
      <c r="A2987" s="319" t="s">
        <v>739</v>
      </c>
      <c r="B2987" s="425" t="s">
        <v>650</v>
      </c>
      <c r="C2987" s="586">
        <f t="shared" si="1088"/>
        <v>0</v>
      </c>
      <c r="D2987" s="613"/>
      <c r="E2987" s="614">
        <f>C2987*10</f>
        <v>0</v>
      </c>
      <c r="F2987" s="615"/>
      <c r="G2987" s="613"/>
      <c r="H2987" s="616"/>
      <c r="I2987" s="613"/>
      <c r="J2987" s="616"/>
      <c r="K2987" s="616"/>
      <c r="L2987" s="616"/>
      <c r="M2987" s="616"/>
      <c r="N2987" s="616"/>
      <c r="O2987" s="616" t="e">
        <f>#REF!</f>
        <v>#REF!</v>
      </c>
      <c r="P2987" s="616" t="e">
        <f>#REF!</f>
        <v>#REF!</v>
      </c>
      <c r="Q2987" s="616" t="e">
        <f>#REF!</f>
        <v>#REF!</v>
      </c>
      <c r="R2987" s="616" t="e">
        <f>#REF!</f>
        <v>#REF!</v>
      </c>
      <c r="S2987" s="616" t="e">
        <f>#REF!</f>
        <v>#REF!</v>
      </c>
      <c r="T2987" s="617">
        <v>3</v>
      </c>
      <c r="U2987" s="611"/>
      <c r="V2987" s="701"/>
      <c r="W2987" s="618"/>
      <c r="X2987" s="618"/>
      <c r="Y2987" s="429"/>
      <c r="Z2987" s="312">
        <f t="shared" si="1089"/>
        <v>0</v>
      </c>
      <c r="AA2987" s="316">
        <f t="shared" si="1090"/>
        <v>0.25</v>
      </c>
    </row>
    <row r="2988" spans="1:27" thickBot="1" x14ac:dyDescent="0.45">
      <c r="A2988" s="829"/>
      <c r="B2988" s="430" t="s">
        <v>665</v>
      </c>
      <c r="C2988" s="586"/>
      <c r="D2988" s="583"/>
      <c r="E2988" s="459"/>
      <c r="F2988" s="393"/>
      <c r="G2988" s="583"/>
      <c r="H2988" s="393"/>
      <c r="I2988" s="583"/>
      <c r="J2988" s="393"/>
      <c r="K2988" s="393"/>
      <c r="L2988" s="393"/>
      <c r="M2988" s="393"/>
      <c r="N2988" s="393"/>
      <c r="O2988" s="393"/>
      <c r="P2988" s="393"/>
      <c r="Q2988" s="393"/>
      <c r="R2988" s="393"/>
      <c r="S2988" s="393"/>
      <c r="T2988" s="583"/>
      <c r="U2988" s="393"/>
      <c r="V2988" s="696"/>
      <c r="W2988" s="583"/>
      <c r="X2988" s="393"/>
      <c r="Y2988" s="396"/>
    </row>
    <row r="2989" spans="1:27" ht="51.75" thickBot="1" x14ac:dyDescent="0.45">
      <c r="A2989" s="319" t="s">
        <v>739</v>
      </c>
      <c r="B2989" s="425" t="s">
        <v>666</v>
      </c>
      <c r="C2989" s="586">
        <f t="shared" ref="C2989:C2997" si="1091">C2946</f>
        <v>0</v>
      </c>
      <c r="D2989" s="528">
        <f>C2989*20</f>
        <v>0</v>
      </c>
      <c r="E2989" s="460">
        <f>C2989*20*0.2</f>
        <v>0</v>
      </c>
      <c r="F2989" s="393"/>
      <c r="G2989" s="583"/>
      <c r="H2989" s="393"/>
      <c r="I2989" s="583"/>
      <c r="J2989" s="393"/>
      <c r="K2989" s="393"/>
      <c r="L2989" s="393"/>
      <c r="M2989" s="393"/>
      <c r="N2989" s="583"/>
      <c r="O2989" s="393"/>
      <c r="P2989" s="393"/>
      <c r="Q2989" s="393"/>
      <c r="R2989" s="393"/>
      <c r="S2989" s="393"/>
      <c r="T2989" s="583">
        <v>3</v>
      </c>
      <c r="U2989" s="393"/>
      <c r="V2989" s="696"/>
      <c r="W2989" s="393"/>
      <c r="X2989" s="393"/>
      <c r="Y2989" s="396"/>
      <c r="Z2989" s="312">
        <f t="shared" ref="Z2989:Z2997" si="1092">E2989</f>
        <v>0</v>
      </c>
      <c r="AA2989" s="316">
        <f t="shared" ref="AA2989:AA2997" si="1093">SUM(E2989/220+0.25)</f>
        <v>0.25</v>
      </c>
    </row>
    <row r="2990" spans="1:27" ht="51.75" thickBot="1" x14ac:dyDescent="0.45">
      <c r="A2990" s="319" t="s">
        <v>739</v>
      </c>
      <c r="B2990" s="424" t="s">
        <v>799</v>
      </c>
      <c r="C2990" s="586">
        <f t="shared" si="1091"/>
        <v>0</v>
      </c>
      <c r="D2990" s="528">
        <f>C2990*20</f>
        <v>0</v>
      </c>
      <c r="E2990" s="460">
        <f>C2990*20*0.2</f>
        <v>0</v>
      </c>
      <c r="F2990" s="393"/>
      <c r="G2990" s="583"/>
      <c r="H2990" s="393"/>
      <c r="I2990" s="583"/>
      <c r="J2990" s="393"/>
      <c r="K2990" s="393"/>
      <c r="L2990" s="393"/>
      <c r="M2990" s="393"/>
      <c r="N2990" s="583"/>
      <c r="O2990" s="393"/>
      <c r="P2990" s="393"/>
      <c r="Q2990" s="393"/>
      <c r="R2990" s="393"/>
      <c r="S2990" s="393"/>
      <c r="T2990" s="583">
        <v>3</v>
      </c>
      <c r="U2990" s="393"/>
      <c r="V2990" s="696"/>
      <c r="W2990" s="393"/>
      <c r="X2990" s="393"/>
      <c r="Y2990" s="396"/>
      <c r="Z2990" s="312">
        <f t="shared" si="1092"/>
        <v>0</v>
      </c>
      <c r="AA2990" s="316">
        <f t="shared" si="1093"/>
        <v>0.25</v>
      </c>
    </row>
    <row r="2991" spans="1:27" ht="51.75" thickBot="1" x14ac:dyDescent="0.45">
      <c r="A2991" s="319" t="s">
        <v>739</v>
      </c>
      <c r="B2991" s="425" t="s">
        <v>667</v>
      </c>
      <c r="C2991" s="586">
        <f t="shared" si="1091"/>
        <v>0</v>
      </c>
      <c r="D2991" s="528">
        <f>C2991*20</f>
        <v>0</v>
      </c>
      <c r="E2991" s="460">
        <f>C2991*20*0.2</f>
        <v>0</v>
      </c>
      <c r="F2991" s="393"/>
      <c r="G2991" s="583"/>
      <c r="H2991" s="393"/>
      <c r="I2991" s="583"/>
      <c r="J2991" s="393"/>
      <c r="K2991" s="393"/>
      <c r="L2991" s="393"/>
      <c r="M2991" s="393"/>
      <c r="N2991" s="583"/>
      <c r="O2991" s="393"/>
      <c r="P2991" s="393"/>
      <c r="Q2991" s="393"/>
      <c r="R2991" s="393"/>
      <c r="S2991" s="393"/>
      <c r="T2991" s="583">
        <v>3</v>
      </c>
      <c r="U2991" s="393"/>
      <c r="V2991" s="696"/>
      <c r="W2991" s="393"/>
      <c r="X2991" s="393"/>
      <c r="Y2991" s="396"/>
      <c r="Z2991" s="312">
        <f t="shared" si="1092"/>
        <v>0</v>
      </c>
      <c r="AA2991" s="316">
        <f t="shared" si="1093"/>
        <v>0.25</v>
      </c>
    </row>
    <row r="2992" spans="1:27" ht="51.75" thickBot="1" x14ac:dyDescent="0.45">
      <c r="A2992" s="319" t="s">
        <v>739</v>
      </c>
      <c r="B2992" s="425" t="s">
        <v>668</v>
      </c>
      <c r="C2992" s="586">
        <f t="shared" si="1091"/>
        <v>0</v>
      </c>
      <c r="D2992" s="528">
        <f>C2992*20</f>
        <v>0</v>
      </c>
      <c r="E2992" s="460">
        <f>C2992*20*0.2</f>
        <v>0</v>
      </c>
      <c r="F2992" s="393"/>
      <c r="G2992" s="583"/>
      <c r="H2992" s="393"/>
      <c r="I2992" s="583"/>
      <c r="J2992" s="393"/>
      <c r="K2992" s="393"/>
      <c r="L2992" s="393"/>
      <c r="M2992" s="393"/>
      <c r="N2992" s="583"/>
      <c r="O2992" s="393"/>
      <c r="P2992" s="393"/>
      <c r="Q2992" s="393"/>
      <c r="R2992" s="393"/>
      <c r="S2992" s="393"/>
      <c r="T2992" s="583">
        <v>3</v>
      </c>
      <c r="U2992" s="393"/>
      <c r="V2992" s="696"/>
      <c r="W2992" s="393"/>
      <c r="X2992" s="393"/>
      <c r="Y2992" s="396"/>
      <c r="Z2992" s="312">
        <f t="shared" si="1092"/>
        <v>0</v>
      </c>
      <c r="AA2992" s="316">
        <f t="shared" si="1093"/>
        <v>0.25</v>
      </c>
    </row>
    <row r="2993" spans="1:27" ht="51.75" thickBot="1" x14ac:dyDescent="0.45">
      <c r="A2993" s="319" t="s">
        <v>739</v>
      </c>
      <c r="B2993" s="425" t="s">
        <v>978</v>
      </c>
      <c r="C2993" s="586">
        <f t="shared" si="1091"/>
        <v>0</v>
      </c>
      <c r="D2993" s="583"/>
      <c r="E2993" s="459">
        <f>C2993*10</f>
        <v>0</v>
      </c>
      <c r="F2993" s="393"/>
      <c r="G2993" s="583"/>
      <c r="H2993" s="393"/>
      <c r="I2993" s="583"/>
      <c r="J2993" s="393"/>
      <c r="K2993" s="393"/>
      <c r="L2993" s="393"/>
      <c r="M2993" s="393"/>
      <c r="N2993" s="393"/>
      <c r="O2993" s="393"/>
      <c r="P2993" s="393"/>
      <c r="Q2993" s="393"/>
      <c r="R2993" s="393"/>
      <c r="S2993" s="393"/>
      <c r="T2993" s="583">
        <v>3</v>
      </c>
      <c r="U2993" s="393"/>
      <c r="V2993" s="696"/>
      <c r="W2993" s="612"/>
      <c r="X2993" s="393"/>
      <c r="Y2993" s="396"/>
      <c r="Z2993" s="312">
        <f t="shared" si="1092"/>
        <v>0</v>
      </c>
      <c r="AA2993" s="316">
        <f t="shared" si="1093"/>
        <v>0.25</v>
      </c>
    </row>
    <row r="2994" spans="1:27" ht="51.75" thickBot="1" x14ac:dyDescent="0.45">
      <c r="A2994" s="319" t="s">
        <v>739</v>
      </c>
      <c r="B2994" s="425" t="s">
        <v>979</v>
      </c>
      <c r="C2994" s="586">
        <f t="shared" si="1091"/>
        <v>0</v>
      </c>
      <c r="D2994" s="583"/>
      <c r="E2994" s="459">
        <f>C2994*10</f>
        <v>0</v>
      </c>
      <c r="F2994" s="393"/>
      <c r="G2994" s="583"/>
      <c r="H2994" s="393"/>
      <c r="I2994" s="583"/>
      <c r="J2994" s="393"/>
      <c r="K2994" s="393"/>
      <c r="L2994" s="393"/>
      <c r="M2994" s="393"/>
      <c r="N2994" s="393"/>
      <c r="O2994" s="393"/>
      <c r="P2994" s="393"/>
      <c r="Q2994" s="393"/>
      <c r="R2994" s="393"/>
      <c r="S2994" s="393"/>
      <c r="T2994" s="583">
        <v>3</v>
      </c>
      <c r="U2994" s="393"/>
      <c r="V2994" s="696"/>
      <c r="W2994" s="612"/>
      <c r="X2994" s="393"/>
      <c r="Y2994" s="396"/>
      <c r="Z2994" s="312">
        <f t="shared" si="1092"/>
        <v>0</v>
      </c>
      <c r="AA2994" s="316">
        <f t="shared" si="1093"/>
        <v>0.25</v>
      </c>
    </row>
    <row r="2995" spans="1:27" ht="51.75" thickBot="1" x14ac:dyDescent="0.45">
      <c r="A2995" s="319" t="s">
        <v>739</v>
      </c>
      <c r="B2995" s="425" t="s">
        <v>980</v>
      </c>
      <c r="C2995" s="586">
        <f t="shared" si="1091"/>
        <v>0</v>
      </c>
      <c r="D2995" s="583"/>
      <c r="E2995" s="459">
        <f>C2995*10</f>
        <v>0</v>
      </c>
      <c r="F2995" s="393"/>
      <c r="G2995" s="583"/>
      <c r="H2995" s="393"/>
      <c r="I2995" s="583"/>
      <c r="J2995" s="393"/>
      <c r="K2995" s="393"/>
      <c r="L2995" s="393"/>
      <c r="M2995" s="393"/>
      <c r="N2995" s="393"/>
      <c r="O2995" s="393"/>
      <c r="P2995" s="393"/>
      <c r="Q2995" s="393"/>
      <c r="R2995" s="393"/>
      <c r="S2995" s="393"/>
      <c r="T2995" s="583">
        <v>3</v>
      </c>
      <c r="U2995" s="393"/>
      <c r="V2995" s="696"/>
      <c r="W2995" s="612"/>
      <c r="X2995" s="393"/>
      <c r="Y2995" s="396"/>
      <c r="Z2995" s="312">
        <f t="shared" si="1092"/>
        <v>0</v>
      </c>
      <c r="AA2995" s="316">
        <f t="shared" si="1093"/>
        <v>0.25</v>
      </c>
    </row>
    <row r="2996" spans="1:27" ht="51.75" thickBot="1" x14ac:dyDescent="0.45">
      <c r="A2996" s="319" t="s">
        <v>739</v>
      </c>
      <c r="B2996" s="425" t="s">
        <v>981</v>
      </c>
      <c r="C2996" s="586">
        <f t="shared" si="1091"/>
        <v>0</v>
      </c>
      <c r="D2996" s="583"/>
      <c r="E2996" s="459">
        <f>C2996*10</f>
        <v>0</v>
      </c>
      <c r="F2996" s="393"/>
      <c r="G2996" s="583"/>
      <c r="H2996" s="393"/>
      <c r="I2996" s="583"/>
      <c r="J2996" s="393"/>
      <c r="K2996" s="393"/>
      <c r="L2996" s="393"/>
      <c r="M2996" s="393"/>
      <c r="N2996" s="393"/>
      <c r="O2996" s="393"/>
      <c r="P2996" s="393"/>
      <c r="Q2996" s="393"/>
      <c r="R2996" s="393"/>
      <c r="S2996" s="393"/>
      <c r="T2996" s="583">
        <v>3</v>
      </c>
      <c r="U2996" s="393"/>
      <c r="V2996" s="696"/>
      <c r="W2996" s="612"/>
      <c r="X2996" s="393"/>
      <c r="Y2996" s="396"/>
      <c r="Z2996" s="312">
        <f t="shared" si="1092"/>
        <v>0</v>
      </c>
      <c r="AA2996" s="316">
        <f t="shared" si="1093"/>
        <v>0.25</v>
      </c>
    </row>
    <row r="2997" spans="1:27" ht="51.75" thickBot="1" x14ac:dyDescent="0.45">
      <c r="A2997" s="319" t="s">
        <v>739</v>
      </c>
      <c r="B2997" s="432" t="s">
        <v>982</v>
      </c>
      <c r="C2997" s="586">
        <f t="shared" si="1091"/>
        <v>0</v>
      </c>
      <c r="D2997" s="613"/>
      <c r="E2997" s="614">
        <f>C2997*10</f>
        <v>0</v>
      </c>
      <c r="F2997" s="615"/>
      <c r="G2997" s="613"/>
      <c r="H2997" s="616"/>
      <c r="I2997" s="613"/>
      <c r="J2997" s="616"/>
      <c r="K2997" s="616"/>
      <c r="L2997" s="616"/>
      <c r="M2997" s="616"/>
      <c r="N2997" s="616"/>
      <c r="O2997" s="616"/>
      <c r="P2997" s="616"/>
      <c r="Q2997" s="616"/>
      <c r="R2997" s="616"/>
      <c r="S2997" s="616"/>
      <c r="T2997" s="613">
        <v>3</v>
      </c>
      <c r="U2997" s="616" t="e">
        <f>#REF!</f>
        <v>#REF!</v>
      </c>
      <c r="V2997" s="702"/>
      <c r="W2997" s="616"/>
      <c r="X2997" s="616"/>
      <c r="Y2997" s="431"/>
      <c r="Z2997" s="312">
        <f t="shared" si="1092"/>
        <v>0</v>
      </c>
      <c r="AA2997" s="316">
        <f t="shared" si="1093"/>
        <v>0.25</v>
      </c>
    </row>
    <row r="2998" spans="1:27" thickBot="1" x14ac:dyDescent="0.45">
      <c r="A2998" s="329"/>
      <c r="B2998" s="363"/>
      <c r="C2998" s="583"/>
      <c r="D2998" s="602"/>
      <c r="E2998" s="459"/>
      <c r="F2998" s="603"/>
      <c r="G2998" s="602"/>
      <c r="H2998" s="604"/>
      <c r="I2998" s="602"/>
      <c r="J2998" s="604"/>
      <c r="K2998" s="604"/>
      <c r="L2998" s="604"/>
      <c r="M2998" s="604"/>
      <c r="N2998" s="604"/>
      <c r="O2998" s="604"/>
      <c r="P2998" s="604"/>
      <c r="Q2998" s="604"/>
      <c r="R2998" s="604"/>
      <c r="S2998" s="604"/>
      <c r="T2998" s="602"/>
      <c r="U2998" s="604"/>
      <c r="V2998" s="703"/>
      <c r="W2998" s="604"/>
      <c r="X2998" s="604"/>
      <c r="Y2998" s="363"/>
      <c r="Z2998" s="433"/>
    </row>
    <row r="2999" spans="1:27" thickBot="1" x14ac:dyDescent="0.45">
      <c r="A2999" s="329"/>
      <c r="B2999" s="363"/>
      <c r="C2999" s="583"/>
      <c r="D2999" s="602"/>
      <c r="E2999" s="459"/>
      <c r="F2999" s="603"/>
      <c r="G2999" s="602"/>
      <c r="H2999" s="604"/>
      <c r="I2999" s="602"/>
      <c r="J2999" s="604"/>
      <c r="K2999" s="604"/>
      <c r="L2999" s="604"/>
      <c r="M2999" s="604"/>
      <c r="N2999" s="604"/>
      <c r="O2999" s="604"/>
      <c r="P2999" s="604"/>
      <c r="Q2999" s="604"/>
      <c r="R2999" s="604"/>
      <c r="S2999" s="604"/>
      <c r="T2999" s="602"/>
      <c r="U2999" s="604"/>
      <c r="V2999" s="703"/>
      <c r="W2999" s="604"/>
      <c r="X2999" s="604"/>
      <c r="Y2999" s="363"/>
      <c r="Z2999" s="433"/>
    </row>
    <row r="3000" spans="1:27" ht="53.25" thickBot="1" x14ac:dyDescent="0.45">
      <c r="A3000" s="319"/>
      <c r="B3000" s="394" t="s">
        <v>695</v>
      </c>
      <c r="C3000" s="537"/>
      <c r="D3000" s="537"/>
      <c r="E3000" s="496"/>
      <c r="F3000" s="354"/>
      <c r="G3000" s="537"/>
      <c r="H3000" s="354"/>
      <c r="I3000" s="537"/>
      <c r="J3000" s="354"/>
      <c r="K3000" s="354"/>
      <c r="L3000" s="354"/>
      <c r="M3000" s="354"/>
      <c r="N3000" s="354"/>
      <c r="O3000" s="354"/>
      <c r="P3000" s="354"/>
      <c r="Q3000" s="354"/>
      <c r="R3000" s="354"/>
      <c r="S3000" s="354"/>
      <c r="T3000" s="537"/>
      <c r="U3000" s="354"/>
      <c r="V3000" s="682" t="s">
        <v>698</v>
      </c>
      <c r="W3000" s="537"/>
      <c r="X3000" s="540"/>
      <c r="Y3000" s="323"/>
    </row>
    <row r="3001" spans="1:27" thickBot="1" x14ac:dyDescent="0.45">
      <c r="A3001" s="319"/>
      <c r="B3001" s="434"/>
      <c r="C3001" s="528"/>
      <c r="D3001" s="528"/>
      <c r="E3001" s="496"/>
      <c r="F3001" s="324"/>
      <c r="G3001" s="528"/>
      <c r="H3001" s="324"/>
      <c r="I3001" s="528"/>
      <c r="J3001" s="324"/>
      <c r="K3001" s="324"/>
      <c r="L3001" s="324"/>
      <c r="M3001" s="324"/>
      <c r="N3001" s="324"/>
      <c r="O3001" s="324"/>
      <c r="P3001" s="324"/>
      <c r="Q3001" s="324"/>
      <c r="R3001" s="324"/>
      <c r="S3001" s="324"/>
      <c r="T3001" s="537"/>
      <c r="U3001" s="324"/>
      <c r="V3001" s="676"/>
      <c r="W3001" s="354"/>
      <c r="X3001" s="529"/>
      <c r="Y3001" s="323"/>
    </row>
    <row r="3002" spans="1:27" thickBot="1" x14ac:dyDescent="0.45">
      <c r="A3002" s="829"/>
      <c r="B3002" s="435"/>
      <c r="C3002" s="528"/>
      <c r="D3002" s="528"/>
      <c r="E3002" s="496"/>
      <c r="F3002" s="324"/>
      <c r="G3002" s="528"/>
      <c r="H3002" s="324"/>
      <c r="I3002" s="528"/>
      <c r="J3002" s="324"/>
      <c r="K3002" s="324"/>
      <c r="L3002" s="324"/>
      <c r="M3002" s="324"/>
      <c r="N3002" s="324"/>
      <c r="O3002" s="324"/>
      <c r="P3002" s="324"/>
      <c r="Q3002" s="324"/>
      <c r="R3002" s="324"/>
      <c r="S3002" s="324"/>
      <c r="T3002" s="537"/>
      <c r="U3002" s="324"/>
      <c r="V3002" s="676"/>
      <c r="W3002" s="354"/>
      <c r="X3002" s="529"/>
      <c r="Y3002" s="323"/>
    </row>
    <row r="3003" spans="1:27" thickBot="1" x14ac:dyDescent="0.45">
      <c r="A3003" s="829"/>
      <c r="B3003" s="436" t="s">
        <v>709</v>
      </c>
      <c r="C3003" s="537"/>
      <c r="D3003" s="537"/>
      <c r="E3003" s="496">
        <f>SUM(E2968:E2979)</f>
        <v>0</v>
      </c>
      <c r="F3003" s="324"/>
      <c r="G3003" s="528"/>
      <c r="H3003" s="324"/>
      <c r="I3003" s="528"/>
      <c r="J3003" s="324"/>
      <c r="K3003" s="324"/>
      <c r="L3003" s="324"/>
      <c r="M3003" s="324"/>
      <c r="N3003" s="324"/>
      <c r="O3003" s="324"/>
      <c r="P3003" s="324"/>
      <c r="Q3003" s="324"/>
      <c r="R3003" s="324"/>
      <c r="S3003" s="324"/>
      <c r="T3003" s="537"/>
      <c r="U3003" s="324"/>
      <c r="V3003" s="676"/>
      <c r="W3003" s="354"/>
      <c r="X3003" s="529"/>
      <c r="Y3003" s="323"/>
    </row>
    <row r="3004" spans="1:27" thickBot="1" x14ac:dyDescent="0.45">
      <c r="A3004" s="829"/>
      <c r="B3004" s="355" t="s">
        <v>148</v>
      </c>
      <c r="C3004" s="537"/>
      <c r="D3004" s="537"/>
      <c r="E3004" s="496">
        <f>SUM(E2981:E2997)</f>
        <v>0</v>
      </c>
      <c r="F3004" s="324"/>
      <c r="G3004" s="528"/>
      <c r="H3004" s="324"/>
      <c r="I3004" s="528"/>
      <c r="J3004" s="324"/>
      <c r="K3004" s="324"/>
      <c r="L3004" s="324"/>
      <c r="M3004" s="324"/>
      <c r="N3004" s="324"/>
      <c r="O3004" s="324"/>
      <c r="P3004" s="324"/>
      <c r="Q3004" s="324"/>
      <c r="R3004" s="324"/>
      <c r="S3004" s="324"/>
      <c r="T3004" s="528"/>
      <c r="U3004" s="324"/>
      <c r="V3004" s="676"/>
      <c r="W3004" s="528"/>
      <c r="X3004" s="529"/>
      <c r="Y3004" s="323"/>
    </row>
    <row r="3005" spans="1:27" thickBot="1" x14ac:dyDescent="0.45">
      <c r="A3005" s="829"/>
      <c r="B3005" s="355"/>
      <c r="C3005" s="537"/>
      <c r="D3005" s="537"/>
      <c r="E3005" s="496"/>
      <c r="F3005" s="324"/>
      <c r="G3005" s="528"/>
      <c r="H3005" s="324"/>
      <c r="I3005" s="528"/>
      <c r="J3005" s="324"/>
      <c r="K3005" s="324"/>
      <c r="L3005" s="324"/>
      <c r="M3005" s="324"/>
      <c r="N3005" s="324"/>
      <c r="O3005" s="324"/>
      <c r="P3005" s="324"/>
      <c r="Q3005" s="324"/>
      <c r="R3005" s="324"/>
      <c r="S3005" s="324"/>
      <c r="T3005" s="528"/>
      <c r="U3005" s="324"/>
      <c r="V3005" s="676"/>
      <c r="W3005" s="528"/>
      <c r="X3005" s="529"/>
      <c r="Y3005" s="323"/>
    </row>
    <row r="3006" spans="1:27" thickBot="1" x14ac:dyDescent="0.45">
      <c r="A3006" s="829"/>
      <c r="B3006" s="355"/>
      <c r="C3006" s="537"/>
      <c r="D3006" s="537"/>
      <c r="E3006" s="496"/>
      <c r="F3006" s="324"/>
      <c r="G3006" s="528"/>
      <c r="H3006" s="324"/>
      <c r="I3006" s="528"/>
      <c r="J3006" s="324"/>
      <c r="K3006" s="324"/>
      <c r="L3006" s="324"/>
      <c r="M3006" s="324"/>
      <c r="N3006" s="324"/>
      <c r="O3006" s="324"/>
      <c r="P3006" s="324"/>
      <c r="Q3006" s="324"/>
      <c r="R3006" s="324"/>
      <c r="S3006" s="324"/>
      <c r="T3006" s="528"/>
      <c r="U3006" s="324"/>
      <c r="V3006" s="676"/>
      <c r="W3006" s="528"/>
      <c r="X3006" s="529"/>
      <c r="Y3006" s="323"/>
    </row>
    <row r="3007" spans="1:27" thickBot="1" x14ac:dyDescent="0.45">
      <c r="A3007" s="829"/>
      <c r="B3007" s="355"/>
      <c r="C3007" s="537"/>
      <c r="D3007" s="537"/>
      <c r="E3007" s="496"/>
      <c r="F3007" s="324"/>
      <c r="G3007" s="528"/>
      <c r="H3007" s="324"/>
      <c r="I3007" s="528"/>
      <c r="J3007" s="324"/>
      <c r="K3007" s="324"/>
      <c r="L3007" s="324"/>
      <c r="M3007" s="324"/>
      <c r="N3007" s="324"/>
      <c r="O3007" s="324"/>
      <c r="P3007" s="324"/>
      <c r="Q3007" s="324"/>
      <c r="R3007" s="324"/>
      <c r="S3007" s="324"/>
      <c r="T3007" s="528"/>
      <c r="U3007" s="324"/>
      <c r="V3007" s="676"/>
      <c r="W3007" s="528"/>
      <c r="X3007" s="529"/>
      <c r="Y3007" s="323"/>
    </row>
    <row r="3008" spans="1:27" thickBot="1" x14ac:dyDescent="0.45">
      <c r="A3008" s="350"/>
      <c r="B3008" s="382" t="s">
        <v>638</v>
      </c>
      <c r="C3008" s="537"/>
      <c r="D3008" s="537"/>
      <c r="E3008" s="511">
        <f>E2812+E2813+E2814+E2815+E2722+E2723+E2724+E2725+E2726+E2632+E2633+E2634+E2635+E2370+E2371+E1816+E1817+E1818+E1306+E1307+E1308</f>
        <v>0</v>
      </c>
      <c r="F3008" s="324"/>
      <c r="G3008" s="528"/>
      <c r="H3008" s="324"/>
      <c r="I3008" s="528"/>
      <c r="J3008" s="324"/>
      <c r="K3008" s="324"/>
      <c r="L3008" s="324"/>
      <c r="M3008" s="324"/>
      <c r="N3008" s="324"/>
      <c r="O3008" s="324"/>
      <c r="P3008" s="324"/>
      <c r="Q3008" s="324"/>
      <c r="R3008" s="324"/>
      <c r="S3008" s="324"/>
      <c r="T3008" s="528"/>
      <c r="U3008" s="324"/>
      <c r="V3008" s="676"/>
      <c r="W3008" s="528"/>
      <c r="X3008" s="529"/>
      <c r="Y3008" s="323"/>
      <c r="Z3008" s="437"/>
      <c r="AA3008" s="310"/>
    </row>
    <row r="3009" spans="1:27" thickBot="1" x14ac:dyDescent="0.45">
      <c r="A3009" s="350"/>
      <c r="B3009" s="355"/>
      <c r="C3009" s="537"/>
      <c r="D3009" s="537"/>
      <c r="E3009" s="496"/>
      <c r="F3009" s="324"/>
      <c r="G3009" s="528"/>
      <c r="H3009" s="324"/>
      <c r="I3009" s="528"/>
      <c r="J3009" s="324"/>
      <c r="K3009" s="324"/>
      <c r="L3009" s="324"/>
      <c r="M3009" s="324"/>
      <c r="N3009" s="324"/>
      <c r="O3009" s="324"/>
      <c r="P3009" s="324"/>
      <c r="Q3009" s="324"/>
      <c r="R3009" s="324"/>
      <c r="S3009" s="324"/>
      <c r="T3009" s="528"/>
      <c r="U3009" s="324"/>
      <c r="V3009" s="676"/>
      <c r="W3009" s="528"/>
      <c r="X3009" s="529"/>
      <c r="Y3009" s="323"/>
    </row>
    <row r="3010" spans="1:27" thickBot="1" x14ac:dyDescent="0.45">
      <c r="A3010" s="350"/>
      <c r="B3010" s="382" t="s">
        <v>1164</v>
      </c>
      <c r="C3010" s="537"/>
      <c r="D3010" s="537"/>
      <c r="E3010" s="511">
        <f>E2573+E2448+E2420+E2419+E2396+E1893+E1864+E1842+E1379+E1333+E1332+E1375</f>
        <v>0</v>
      </c>
      <c r="F3010" s="324"/>
      <c r="G3010" s="528"/>
      <c r="H3010" s="324"/>
      <c r="I3010" s="528"/>
      <c r="J3010" s="324"/>
      <c r="K3010" s="324"/>
      <c r="L3010" s="324"/>
      <c r="M3010" s="324"/>
      <c r="N3010" s="324"/>
      <c r="O3010" s="324"/>
      <c r="P3010" s="324"/>
      <c r="Q3010" s="324"/>
      <c r="R3010" s="324"/>
      <c r="S3010" s="324"/>
      <c r="T3010" s="528"/>
      <c r="U3010" s="324"/>
      <c r="V3010" s="676"/>
      <c r="W3010" s="528"/>
      <c r="X3010" s="529"/>
      <c r="Y3010" s="323"/>
      <c r="Z3010" s="437"/>
      <c r="AA3010" s="310"/>
    </row>
    <row r="3011" spans="1:27" thickBot="1" x14ac:dyDescent="0.45">
      <c r="A3011" s="350"/>
      <c r="B3011" s="355"/>
      <c r="C3011" s="537"/>
      <c r="D3011" s="537"/>
      <c r="E3011" s="496"/>
      <c r="F3011" s="324"/>
      <c r="G3011" s="528"/>
      <c r="H3011" s="324"/>
      <c r="I3011" s="528"/>
      <c r="J3011" s="324"/>
      <c r="K3011" s="324"/>
      <c r="L3011" s="324"/>
      <c r="M3011" s="324"/>
      <c r="N3011" s="324"/>
      <c r="O3011" s="324"/>
      <c r="P3011" s="324"/>
      <c r="Q3011" s="324"/>
      <c r="R3011" s="324"/>
      <c r="S3011" s="324"/>
      <c r="T3011" s="528"/>
      <c r="U3011" s="324"/>
      <c r="V3011" s="676"/>
      <c r="W3011" s="528"/>
      <c r="X3011" s="529"/>
      <c r="Y3011" s="323"/>
    </row>
    <row r="3012" spans="1:27" thickBot="1" x14ac:dyDescent="0.45">
      <c r="A3012" s="350"/>
      <c r="B3012" s="382" t="s">
        <v>1166</v>
      </c>
      <c r="C3012" s="537"/>
      <c r="D3012" s="537"/>
      <c r="E3012" s="511">
        <f>E2823+E2733+E2640</f>
        <v>0</v>
      </c>
      <c r="F3012" s="324"/>
      <c r="G3012" s="528"/>
      <c r="H3012" s="324"/>
      <c r="I3012" s="528"/>
      <c r="J3012" s="324"/>
      <c r="K3012" s="324"/>
      <c r="L3012" s="324"/>
      <c r="M3012" s="324"/>
      <c r="N3012" s="324"/>
      <c r="O3012" s="324"/>
      <c r="P3012" s="324"/>
      <c r="Q3012" s="324"/>
      <c r="R3012" s="324"/>
      <c r="S3012" s="324"/>
      <c r="T3012" s="528"/>
      <c r="U3012" s="324"/>
      <c r="V3012" s="676"/>
      <c r="W3012" s="528"/>
      <c r="X3012" s="529"/>
      <c r="Y3012" s="323"/>
      <c r="Z3012" s="437"/>
      <c r="AA3012" s="310"/>
    </row>
    <row r="3013" spans="1:27" thickBot="1" x14ac:dyDescent="0.45">
      <c r="A3013" s="350"/>
      <c r="B3013" s="355"/>
      <c r="C3013" s="537"/>
      <c r="D3013" s="537"/>
      <c r="E3013" s="496"/>
      <c r="F3013" s="324"/>
      <c r="G3013" s="528"/>
      <c r="H3013" s="324"/>
      <c r="I3013" s="528"/>
      <c r="J3013" s="324"/>
      <c r="K3013" s="324"/>
      <c r="L3013" s="324"/>
      <c r="M3013" s="324"/>
      <c r="N3013" s="324"/>
      <c r="O3013" s="324"/>
      <c r="P3013" s="324"/>
      <c r="Q3013" s="324"/>
      <c r="R3013" s="324"/>
      <c r="S3013" s="324"/>
      <c r="T3013" s="528"/>
      <c r="U3013" s="324"/>
      <c r="V3013" s="676"/>
      <c r="W3013" s="528"/>
      <c r="X3013" s="529"/>
      <c r="Y3013" s="323"/>
    </row>
    <row r="3014" spans="1:27" thickBot="1" x14ac:dyDescent="0.45">
      <c r="A3014" s="350"/>
      <c r="B3014" s="382" t="s">
        <v>1163</v>
      </c>
      <c r="C3014" s="537"/>
      <c r="D3014" s="537"/>
      <c r="E3014" s="511">
        <f>E2843+E2844+E2753+E2754+E2663+E2664+E2451+E1895+E1382</f>
        <v>0</v>
      </c>
      <c r="F3014" s="324"/>
      <c r="G3014" s="528"/>
      <c r="H3014" s="324"/>
      <c r="I3014" s="528"/>
      <c r="J3014" s="324"/>
      <c r="K3014" s="324"/>
      <c r="L3014" s="324"/>
      <c r="M3014" s="324"/>
      <c r="N3014" s="324"/>
      <c r="O3014" s="324"/>
      <c r="P3014" s="324"/>
      <c r="Q3014" s="324"/>
      <c r="R3014" s="324"/>
      <c r="S3014" s="324"/>
      <c r="T3014" s="528"/>
      <c r="U3014" s="324"/>
      <c r="V3014" s="676"/>
      <c r="W3014" s="528"/>
      <c r="X3014" s="529"/>
      <c r="Y3014" s="323"/>
      <c r="Z3014" s="437"/>
      <c r="AA3014" s="310"/>
    </row>
    <row r="3015" spans="1:27" thickBot="1" x14ac:dyDescent="0.45">
      <c r="A3015" s="350"/>
      <c r="B3015" s="355"/>
      <c r="C3015" s="537"/>
      <c r="D3015" s="537"/>
      <c r="E3015" s="496"/>
      <c r="F3015" s="324"/>
      <c r="G3015" s="528"/>
      <c r="H3015" s="324"/>
      <c r="I3015" s="528"/>
      <c r="J3015" s="324"/>
      <c r="K3015" s="324"/>
      <c r="L3015" s="324"/>
      <c r="M3015" s="324"/>
      <c r="N3015" s="324"/>
      <c r="O3015" s="324"/>
      <c r="P3015" s="324"/>
      <c r="Q3015" s="324"/>
      <c r="R3015" s="324"/>
      <c r="S3015" s="324"/>
      <c r="T3015" s="528"/>
      <c r="U3015" s="324"/>
      <c r="V3015" s="676"/>
      <c r="W3015" s="528"/>
      <c r="X3015" s="529"/>
      <c r="Y3015" s="323"/>
    </row>
    <row r="3016" spans="1:27" thickBot="1" x14ac:dyDescent="0.45">
      <c r="A3016" s="350"/>
      <c r="B3016" s="382" t="s">
        <v>181</v>
      </c>
      <c r="C3016" s="537"/>
      <c r="D3016" s="537"/>
      <c r="E3016" s="511">
        <f>E2679+E2590+E2468+E2181+E2078+E1913+E1630+E1563+E1399+E2832+E2828+E2827+E2742+E2738+E2737+E2649+E2648+E2647+E2091+E1925-E3008-E3010-E3012-E3014+E2963</f>
        <v>43920</v>
      </c>
      <c r="F3016" s="324"/>
      <c r="G3016" s="528"/>
      <c r="H3016" s="324"/>
      <c r="I3016" s="528"/>
      <c r="J3016" s="324"/>
      <c r="K3016" s="324"/>
      <c r="L3016" s="324"/>
      <c r="M3016" s="324"/>
      <c r="N3016" s="324"/>
      <c r="O3016" s="324"/>
      <c r="P3016" s="324"/>
      <c r="Q3016" s="324"/>
      <c r="R3016" s="324"/>
      <c r="S3016" s="324"/>
      <c r="T3016" s="528"/>
      <c r="U3016" s="324"/>
      <c r="V3016" s="676"/>
      <c r="W3016" s="528"/>
      <c r="X3016" s="529"/>
      <c r="Y3016" s="323"/>
      <c r="Z3016" s="437"/>
      <c r="AA3016" s="310"/>
    </row>
    <row r="3017" spans="1:27" thickBot="1" x14ac:dyDescent="0.45">
      <c r="A3017" s="350"/>
      <c r="B3017" s="304" t="s">
        <v>1055</v>
      </c>
      <c r="C3017" s="499"/>
      <c r="D3017" s="499"/>
      <c r="E3017" s="499">
        <f>E1298+E2001+E2113+E2365+E1809+E2567+E2206+E1486</f>
        <v>1033</v>
      </c>
      <c r="F3017" s="324"/>
      <c r="G3017" s="528"/>
      <c r="H3017" s="324"/>
      <c r="I3017" s="528"/>
      <c r="J3017" s="324"/>
      <c r="K3017" s="324"/>
      <c r="L3017" s="324"/>
      <c r="M3017" s="324"/>
      <c r="N3017" s="324"/>
      <c r="O3017" s="324"/>
      <c r="P3017" s="324"/>
      <c r="Q3017" s="324"/>
      <c r="R3017" s="324"/>
      <c r="S3017" s="324"/>
      <c r="T3017" s="528"/>
      <c r="U3017" s="324"/>
      <c r="V3017" s="676"/>
      <c r="W3017" s="528"/>
      <c r="X3017" s="529"/>
      <c r="Y3017" s="323"/>
      <c r="Z3017" s="437"/>
      <c r="AA3017" s="310"/>
    </row>
    <row r="3018" spans="1:27" thickBot="1" x14ac:dyDescent="0.45">
      <c r="A3018" s="350"/>
      <c r="B3018" s="382"/>
      <c r="C3018" s="537"/>
      <c r="D3018" s="537"/>
      <c r="E3018" s="496"/>
      <c r="F3018" s="324"/>
      <c r="G3018" s="528"/>
      <c r="H3018" s="324"/>
      <c r="I3018" s="528"/>
      <c r="J3018" s="324"/>
      <c r="K3018" s="324"/>
      <c r="L3018" s="324"/>
      <c r="M3018" s="324"/>
      <c r="N3018" s="324"/>
      <c r="O3018" s="324"/>
      <c r="P3018" s="324"/>
      <c r="Q3018" s="324"/>
      <c r="R3018" s="324"/>
      <c r="S3018" s="324"/>
      <c r="T3018" s="528"/>
      <c r="U3018" s="324"/>
      <c r="V3018" s="676"/>
      <c r="W3018" s="528"/>
      <c r="X3018" s="529"/>
      <c r="Y3018" s="323"/>
      <c r="Z3018" s="437"/>
      <c r="AA3018" s="310"/>
    </row>
    <row r="3019" spans="1:27" thickBot="1" x14ac:dyDescent="0.45">
      <c r="A3019" s="350"/>
      <c r="B3019" s="382" t="s">
        <v>699</v>
      </c>
      <c r="C3019" s="537"/>
      <c r="D3019" s="537"/>
      <c r="E3019" s="511">
        <f>E2770+E2680+E1631+E2079+E1564+E2182+E2859</f>
        <v>0</v>
      </c>
      <c r="F3019" s="324"/>
      <c r="G3019" s="528"/>
      <c r="H3019" s="324"/>
      <c r="I3019" s="528"/>
      <c r="J3019" s="324"/>
      <c r="K3019" s="324"/>
      <c r="L3019" s="324"/>
      <c r="M3019" s="324"/>
      <c r="N3019" s="324"/>
      <c r="O3019" s="324"/>
      <c r="P3019" s="324"/>
      <c r="Q3019" s="324"/>
      <c r="R3019" s="324"/>
      <c r="S3019" s="324"/>
      <c r="T3019" s="528"/>
      <c r="U3019" s="324"/>
      <c r="V3019" s="676"/>
      <c r="W3019" s="528"/>
      <c r="X3019" s="529"/>
      <c r="Y3019" s="323"/>
      <c r="Z3019" s="437"/>
      <c r="AA3019" s="310"/>
    </row>
    <row r="3020" spans="1:27" thickBot="1" x14ac:dyDescent="0.45">
      <c r="A3020" s="350"/>
      <c r="B3020" s="382" t="s">
        <v>700</v>
      </c>
      <c r="C3020" s="537"/>
      <c r="D3020" s="537"/>
      <c r="E3020" s="511">
        <f>E2080+E1565</f>
        <v>0</v>
      </c>
      <c r="F3020" s="324"/>
      <c r="G3020" s="528"/>
      <c r="H3020" s="324"/>
      <c r="I3020" s="528"/>
      <c r="J3020" s="324"/>
      <c r="K3020" s="324"/>
      <c r="L3020" s="324"/>
      <c r="M3020" s="324"/>
      <c r="N3020" s="324"/>
      <c r="O3020" s="324"/>
      <c r="P3020" s="324"/>
      <c r="Q3020" s="324"/>
      <c r="R3020" s="324"/>
      <c r="S3020" s="324"/>
      <c r="T3020" s="528"/>
      <c r="U3020" s="324"/>
      <c r="V3020" s="676"/>
      <c r="W3020" s="528"/>
      <c r="X3020" s="529"/>
      <c r="Y3020" s="323"/>
      <c r="Z3020" s="437"/>
      <c r="AA3020" s="310"/>
    </row>
    <row r="3021" spans="1:27" thickBot="1" x14ac:dyDescent="0.45">
      <c r="A3021" s="350"/>
      <c r="B3021" s="304" t="s">
        <v>36</v>
      </c>
      <c r="C3021" s="499"/>
      <c r="D3021" s="499"/>
      <c r="E3021" s="499">
        <f>E1998</f>
        <v>0</v>
      </c>
      <c r="F3021" s="324"/>
      <c r="G3021" s="528"/>
      <c r="H3021" s="324"/>
      <c r="I3021" s="528"/>
      <c r="J3021" s="324"/>
      <c r="K3021" s="324"/>
      <c r="L3021" s="324"/>
      <c r="M3021" s="324"/>
      <c r="N3021" s="324"/>
      <c r="O3021" s="324"/>
      <c r="P3021" s="324"/>
      <c r="Q3021" s="324"/>
      <c r="R3021" s="324"/>
      <c r="S3021" s="324"/>
      <c r="T3021" s="528"/>
      <c r="U3021" s="324"/>
      <c r="V3021" s="676"/>
      <c r="W3021" s="528"/>
      <c r="X3021" s="529"/>
      <c r="Y3021" s="323"/>
      <c r="Z3021" s="437"/>
      <c r="AA3021" s="310"/>
    </row>
    <row r="3022" spans="1:27" thickBot="1" x14ac:dyDescent="0.45">
      <c r="A3022" s="350"/>
      <c r="B3022" s="304" t="s">
        <v>52</v>
      </c>
      <c r="C3022" s="499"/>
      <c r="D3022" s="499"/>
      <c r="E3022" s="499">
        <f>E2214</f>
        <v>0</v>
      </c>
      <c r="F3022" s="324"/>
      <c r="G3022" s="528"/>
      <c r="H3022" s="324"/>
      <c r="I3022" s="528"/>
      <c r="J3022" s="324"/>
      <c r="K3022" s="324"/>
      <c r="L3022" s="324"/>
      <c r="M3022" s="324"/>
      <c r="N3022" s="324"/>
      <c r="O3022" s="324"/>
      <c r="P3022" s="324"/>
      <c r="Q3022" s="324"/>
      <c r="R3022" s="324"/>
      <c r="S3022" s="324"/>
      <c r="T3022" s="528"/>
      <c r="U3022" s="324"/>
      <c r="V3022" s="676"/>
      <c r="W3022" s="528"/>
      <c r="X3022" s="529"/>
      <c r="Y3022" s="323"/>
      <c r="Z3022" s="437"/>
      <c r="AA3022" s="310"/>
    </row>
    <row r="3023" spans="1:27" thickBot="1" x14ac:dyDescent="0.45">
      <c r="A3023" s="350"/>
      <c r="B3023" s="332"/>
      <c r="C3023" s="537"/>
      <c r="D3023" s="537"/>
      <c r="E3023" s="496"/>
      <c r="F3023" s="324"/>
      <c r="G3023" s="528"/>
      <c r="H3023" s="324"/>
      <c r="I3023" s="528"/>
      <c r="J3023" s="324"/>
      <c r="K3023" s="324"/>
      <c r="L3023" s="324"/>
      <c r="M3023" s="324"/>
      <c r="N3023" s="324"/>
      <c r="O3023" s="324"/>
      <c r="P3023" s="324"/>
      <c r="Q3023" s="324"/>
      <c r="R3023" s="324"/>
      <c r="S3023" s="324"/>
      <c r="T3023" s="528"/>
      <c r="U3023" s="324"/>
      <c r="V3023" s="676"/>
      <c r="W3023" s="528"/>
      <c r="X3023" s="529"/>
      <c r="Y3023" s="323"/>
      <c r="Z3023" s="437"/>
      <c r="AA3023" s="310"/>
    </row>
    <row r="3024" spans="1:27" thickBot="1" x14ac:dyDescent="0.45">
      <c r="A3024" s="350"/>
      <c r="B3024" s="382"/>
      <c r="C3024" s="537"/>
      <c r="D3024" s="537"/>
      <c r="E3024" s="496"/>
      <c r="F3024" s="324"/>
      <c r="G3024" s="528"/>
      <c r="H3024" s="324"/>
      <c r="I3024" s="528"/>
      <c r="J3024" s="324"/>
      <c r="K3024" s="324"/>
      <c r="L3024" s="324"/>
      <c r="M3024" s="324"/>
      <c r="N3024" s="324"/>
      <c r="O3024" s="324"/>
      <c r="P3024" s="324"/>
      <c r="Q3024" s="324"/>
      <c r="R3024" s="324"/>
      <c r="S3024" s="324"/>
      <c r="T3024" s="528"/>
      <c r="U3024" s="324"/>
      <c r="V3024" s="676"/>
      <c r="W3024" s="528"/>
      <c r="X3024" s="529"/>
      <c r="Y3024" s="323"/>
      <c r="Z3024" s="437"/>
      <c r="AA3024" s="310"/>
    </row>
    <row r="3025" spans="1:27" thickBot="1" x14ac:dyDescent="0.45">
      <c r="A3025" s="350"/>
      <c r="B3025" s="382" t="s">
        <v>182</v>
      </c>
      <c r="C3025" s="537"/>
      <c r="D3025" s="537"/>
      <c r="E3025" s="511">
        <f>E2919</f>
        <v>0</v>
      </c>
      <c r="F3025" s="324"/>
      <c r="G3025" s="528"/>
      <c r="H3025" s="324"/>
      <c r="I3025" s="528"/>
      <c r="J3025" s="324"/>
      <c r="K3025" s="324"/>
      <c r="L3025" s="324"/>
      <c r="M3025" s="324"/>
      <c r="N3025" s="324"/>
      <c r="O3025" s="324"/>
      <c r="P3025" s="324"/>
      <c r="Q3025" s="324"/>
      <c r="R3025" s="324"/>
      <c r="S3025" s="324"/>
      <c r="T3025" s="528"/>
      <c r="U3025" s="324"/>
      <c r="V3025" s="676"/>
      <c r="W3025" s="528"/>
      <c r="X3025" s="529"/>
      <c r="Y3025" s="323"/>
      <c r="Z3025" s="437"/>
      <c r="AA3025" s="310"/>
    </row>
    <row r="3026" spans="1:27" thickBot="1" x14ac:dyDescent="0.45">
      <c r="A3026" s="350"/>
      <c r="B3026" s="304" t="s">
        <v>708</v>
      </c>
      <c r="C3026" s="499"/>
      <c r="D3026" s="499"/>
      <c r="E3026" s="499">
        <f>E2920</f>
        <v>0</v>
      </c>
      <c r="F3026" s="324"/>
      <c r="G3026" s="528"/>
      <c r="H3026" s="324"/>
      <c r="I3026" s="528"/>
      <c r="J3026" s="324"/>
      <c r="K3026" s="324"/>
      <c r="L3026" s="324"/>
      <c r="M3026" s="324"/>
      <c r="N3026" s="324"/>
      <c r="O3026" s="324"/>
      <c r="P3026" s="324"/>
      <c r="Q3026" s="324"/>
      <c r="R3026" s="324"/>
      <c r="S3026" s="324"/>
      <c r="T3026" s="528"/>
      <c r="U3026" s="324"/>
      <c r="V3026" s="676"/>
      <c r="W3026" s="528"/>
      <c r="X3026" s="529"/>
      <c r="Y3026" s="323"/>
      <c r="Z3026" s="437"/>
      <c r="AA3026" s="310"/>
    </row>
    <row r="3027" spans="1:27" thickBot="1" x14ac:dyDescent="0.45">
      <c r="A3027" s="350"/>
      <c r="B3027" s="382"/>
      <c r="C3027" s="537"/>
      <c r="D3027" s="537"/>
      <c r="E3027" s="496"/>
      <c r="F3027" s="324"/>
      <c r="G3027" s="528"/>
      <c r="H3027" s="324"/>
      <c r="I3027" s="528"/>
      <c r="J3027" s="324"/>
      <c r="K3027" s="324"/>
      <c r="L3027" s="324"/>
      <c r="M3027" s="324"/>
      <c r="N3027" s="324"/>
      <c r="O3027" s="324"/>
      <c r="P3027" s="324"/>
      <c r="Q3027" s="324"/>
      <c r="R3027" s="324"/>
      <c r="S3027" s="324"/>
      <c r="T3027" s="528"/>
      <c r="U3027" s="324"/>
      <c r="V3027" s="676"/>
      <c r="W3027" s="528"/>
      <c r="X3027" s="529"/>
      <c r="Y3027" s="323"/>
      <c r="Z3027" s="437"/>
      <c r="AA3027" s="310"/>
    </row>
    <row r="3028" spans="1:27" thickBot="1" x14ac:dyDescent="0.45">
      <c r="A3028" s="350"/>
      <c r="B3028" s="382"/>
      <c r="C3028" s="537"/>
      <c r="D3028" s="537"/>
      <c r="E3028" s="496"/>
      <c r="F3028" s="324"/>
      <c r="G3028" s="528"/>
      <c r="H3028" s="324"/>
      <c r="I3028" s="528"/>
      <c r="J3028" s="324"/>
      <c r="K3028" s="324"/>
      <c r="L3028" s="324"/>
      <c r="M3028" s="324"/>
      <c r="N3028" s="324"/>
      <c r="O3028" s="324"/>
      <c r="P3028" s="324"/>
      <c r="Q3028" s="324"/>
      <c r="R3028" s="324"/>
      <c r="S3028" s="324"/>
      <c r="T3028" s="528"/>
      <c r="U3028" s="324"/>
      <c r="V3028" s="676"/>
      <c r="W3028" s="528"/>
      <c r="X3028" s="529"/>
      <c r="Y3028" s="323"/>
      <c r="Z3028" s="437"/>
      <c r="AA3028" s="310"/>
    </row>
    <row r="3029" spans="1:27" thickBot="1" x14ac:dyDescent="0.45">
      <c r="A3029" s="350"/>
      <c r="B3029" s="382" t="s">
        <v>183</v>
      </c>
      <c r="C3029" s="537"/>
      <c r="D3029" s="537"/>
      <c r="E3029" s="511">
        <f>E3016+E3019+E3020+E3025+E3008+E3010+E3012+E3014</f>
        <v>43920</v>
      </c>
      <c r="F3029" s="324"/>
      <c r="G3029" s="528"/>
      <c r="H3029" s="324"/>
      <c r="I3029" s="528"/>
      <c r="J3029" s="324"/>
      <c r="K3029" s="324"/>
      <c r="L3029" s="324"/>
      <c r="M3029" s="324"/>
      <c r="N3029" s="324"/>
      <c r="O3029" s="324"/>
      <c r="P3029" s="324"/>
      <c r="Q3029" s="324"/>
      <c r="R3029" s="324"/>
      <c r="S3029" s="324"/>
      <c r="T3029" s="528"/>
      <c r="U3029" s="324"/>
      <c r="V3029" s="676"/>
      <c r="W3029" s="528"/>
      <c r="X3029" s="529"/>
      <c r="Y3029" s="323"/>
      <c r="Z3029" s="437"/>
      <c r="AA3029" s="310"/>
    </row>
    <row r="3030" spans="1:27" thickBot="1" x14ac:dyDescent="0.45">
      <c r="A3030" s="350"/>
      <c r="B3030" s="357"/>
      <c r="C3030" s="539"/>
      <c r="D3030" s="539"/>
      <c r="E3030" s="502"/>
      <c r="F3030" s="333"/>
      <c r="G3030" s="539"/>
      <c r="H3030" s="333"/>
      <c r="I3030" s="539"/>
      <c r="J3030" s="333"/>
      <c r="K3030" s="333"/>
      <c r="L3030" s="333"/>
      <c r="M3030" s="333"/>
      <c r="N3030" s="333"/>
      <c r="O3030" s="333"/>
      <c r="P3030" s="333"/>
      <c r="Q3030" s="333"/>
      <c r="R3030" s="333"/>
      <c r="S3030" s="333"/>
      <c r="T3030" s="539"/>
      <c r="U3030" s="333"/>
      <c r="V3030" s="681"/>
      <c r="W3030" s="539"/>
      <c r="X3030" s="333"/>
      <c r="Y3030" s="323"/>
      <c r="Z3030" s="437"/>
      <c r="AA3030" s="310"/>
    </row>
    <row r="3031" spans="1:27" thickBot="1" x14ac:dyDescent="0.45">
      <c r="A3031" s="350"/>
      <c r="B3031" s="357"/>
      <c r="C3031" s="539"/>
      <c r="D3031" s="539"/>
      <c r="E3031" s="502"/>
      <c r="F3031" s="333"/>
      <c r="G3031" s="539"/>
      <c r="H3031" s="333"/>
      <c r="I3031" s="539"/>
      <c r="J3031" s="333"/>
      <c r="K3031" s="333"/>
      <c r="L3031" s="333"/>
      <c r="M3031" s="333"/>
      <c r="N3031" s="333"/>
      <c r="O3031" s="333"/>
      <c r="P3031" s="333"/>
      <c r="Q3031" s="333"/>
      <c r="R3031" s="333"/>
      <c r="S3031" s="333"/>
      <c r="T3031" s="539"/>
      <c r="U3031" s="333"/>
      <c r="V3031" s="681"/>
      <c r="W3031" s="539"/>
      <c r="X3031" s="333"/>
      <c r="Y3031" s="323"/>
    </row>
    <row r="3032" spans="1:27" thickBot="1" x14ac:dyDescent="0.45">
      <c r="A3032" s="829"/>
      <c r="B3032" s="305" t="s">
        <v>184</v>
      </c>
      <c r="C3032" s="559"/>
      <c r="D3032" s="559"/>
      <c r="E3032" s="510"/>
      <c r="F3032" s="471"/>
      <c r="G3032" s="559"/>
      <c r="H3032" s="471"/>
      <c r="I3032" s="559"/>
      <c r="J3032" s="471"/>
      <c r="K3032" s="471"/>
      <c r="L3032" s="471"/>
      <c r="M3032" s="471"/>
      <c r="N3032" s="471"/>
      <c r="O3032" s="471"/>
      <c r="P3032" s="471"/>
      <c r="Q3032" s="471"/>
      <c r="R3032" s="471"/>
      <c r="S3032" s="471"/>
      <c r="T3032" s="559"/>
      <c r="U3032" s="471"/>
      <c r="V3032" s="687"/>
      <c r="W3032" s="471"/>
      <c r="X3032" s="471"/>
      <c r="Y3032" s="373"/>
    </row>
    <row r="3033" spans="1:27" thickBot="1" x14ac:dyDescent="0.45">
      <c r="A3033" s="829"/>
      <c r="B3033" s="305" t="s">
        <v>185</v>
      </c>
      <c r="C3033" s="539"/>
      <c r="D3033" s="539"/>
      <c r="E3033" s="502"/>
      <c r="F3033" s="333"/>
      <c r="G3033" s="539"/>
      <c r="H3033" s="333"/>
      <c r="I3033" s="539"/>
      <c r="J3033" s="333"/>
      <c r="K3033" s="333"/>
      <c r="L3033" s="333"/>
      <c r="M3033" s="333"/>
      <c r="N3033" s="333"/>
      <c r="O3033" s="333"/>
      <c r="P3033" s="333"/>
      <c r="Q3033" s="333"/>
      <c r="R3033" s="333"/>
      <c r="S3033" s="333"/>
      <c r="T3033" s="539"/>
      <c r="U3033" s="333"/>
      <c r="V3033" s="681"/>
      <c r="W3033" s="333"/>
      <c r="X3033" s="333"/>
      <c r="Y3033" s="374"/>
    </row>
    <row r="3034" spans="1:27" ht="26.25" customHeight="1" thickBot="1" x14ac:dyDescent="0.45">
      <c r="A3034" s="829" t="s">
        <v>740</v>
      </c>
      <c r="B3034" s="438" t="s">
        <v>186</v>
      </c>
      <c r="C3034" s="900"/>
      <c r="D3034" s="900"/>
      <c r="E3034" s="900"/>
      <c r="F3034" s="324">
        <f>C3034/500</f>
        <v>0</v>
      </c>
      <c r="G3034" s="528"/>
      <c r="H3034" s="528"/>
      <c r="I3034" s="528"/>
      <c r="J3034" s="528"/>
      <c r="K3034" s="900"/>
      <c r="L3034" s="900"/>
      <c r="M3034" s="900"/>
      <c r="N3034" s="900"/>
      <c r="O3034" s="528"/>
      <c r="P3034" s="528"/>
      <c r="Q3034" s="528"/>
      <c r="R3034" s="528"/>
      <c r="S3034" s="528"/>
      <c r="T3034" s="528">
        <v>1</v>
      </c>
      <c r="U3034" s="528"/>
      <c r="V3034" s="704"/>
      <c r="W3034" s="528"/>
      <c r="X3034" s="619"/>
      <c r="Y3034" s="323"/>
      <c r="AA3034" s="316">
        <f t="shared" ref="AA3034:AA3045" si="1094">SUM(C3034/136.4)</f>
        <v>0</v>
      </c>
    </row>
    <row r="3035" spans="1:27" ht="26.25" customHeight="1" thickBot="1" x14ac:dyDescent="0.45">
      <c r="A3035" s="829" t="s">
        <v>740</v>
      </c>
      <c r="B3035" s="438" t="s">
        <v>942</v>
      </c>
      <c r="C3035" s="900"/>
      <c r="D3035" s="900"/>
      <c r="E3035" s="900"/>
      <c r="F3035" s="324">
        <f>C3035/500</f>
        <v>0</v>
      </c>
      <c r="G3035" s="528"/>
      <c r="H3035" s="528"/>
      <c r="I3035" s="528"/>
      <c r="J3035" s="528"/>
      <c r="K3035" s="619"/>
      <c r="L3035" s="539"/>
      <c r="M3035" s="539"/>
      <c r="N3035" s="536"/>
      <c r="O3035" s="528"/>
      <c r="P3035" s="528"/>
      <c r="Q3035" s="528"/>
      <c r="R3035" s="528"/>
      <c r="S3035" s="528"/>
      <c r="T3035" s="528">
        <v>1</v>
      </c>
      <c r="U3035" s="528"/>
      <c r="V3035" s="704"/>
      <c r="W3035" s="528"/>
      <c r="X3035" s="619"/>
      <c r="Y3035" s="323"/>
      <c r="AA3035" s="316">
        <f>SUM(C3035/136.4)</f>
        <v>0</v>
      </c>
    </row>
    <row r="3036" spans="1:27" ht="26.25" customHeight="1" thickBot="1" x14ac:dyDescent="0.45">
      <c r="A3036" s="829" t="s">
        <v>740</v>
      </c>
      <c r="B3036" s="438" t="s">
        <v>588</v>
      </c>
      <c r="C3036" s="900"/>
      <c r="D3036" s="900"/>
      <c r="E3036" s="900"/>
      <c r="F3036" s="324">
        <f t="shared" ref="F3036:F3043" si="1095">C3036/500</f>
        <v>0</v>
      </c>
      <c r="G3036" s="528"/>
      <c r="H3036" s="528"/>
      <c r="I3036" s="528"/>
      <c r="J3036" s="528"/>
      <c r="K3036" s="619"/>
      <c r="L3036" s="539"/>
      <c r="M3036" s="539"/>
      <c r="N3036" s="536"/>
      <c r="O3036" s="528"/>
      <c r="P3036" s="528"/>
      <c r="Q3036" s="528"/>
      <c r="R3036" s="528"/>
      <c r="S3036" s="528"/>
      <c r="T3036" s="528">
        <v>1</v>
      </c>
      <c r="U3036" s="528"/>
      <c r="V3036" s="704"/>
      <c r="W3036" s="528"/>
      <c r="X3036" s="619"/>
      <c r="Y3036" s="323"/>
      <c r="AA3036" s="316">
        <f t="shared" si="1094"/>
        <v>0</v>
      </c>
    </row>
    <row r="3037" spans="1:27" ht="26.25" customHeight="1" thickBot="1" x14ac:dyDescent="0.45">
      <c r="A3037" s="829" t="s">
        <v>740</v>
      </c>
      <c r="B3037" s="438" t="s">
        <v>589</v>
      </c>
      <c r="C3037" s="900"/>
      <c r="D3037" s="900"/>
      <c r="E3037" s="900"/>
      <c r="F3037" s="324">
        <f t="shared" si="1095"/>
        <v>0</v>
      </c>
      <c r="G3037" s="528"/>
      <c r="H3037" s="528"/>
      <c r="I3037" s="528"/>
      <c r="J3037" s="528"/>
      <c r="K3037" s="619"/>
      <c r="L3037" s="539"/>
      <c r="M3037" s="539"/>
      <c r="N3037" s="536"/>
      <c r="O3037" s="528"/>
      <c r="P3037" s="528"/>
      <c r="Q3037" s="528"/>
      <c r="R3037" s="528"/>
      <c r="S3037" s="528"/>
      <c r="T3037" s="528">
        <v>1</v>
      </c>
      <c r="U3037" s="528"/>
      <c r="V3037" s="704"/>
      <c r="W3037" s="528"/>
      <c r="X3037" s="619"/>
      <c r="Y3037" s="323"/>
      <c r="AA3037" s="316">
        <f t="shared" si="1094"/>
        <v>0</v>
      </c>
    </row>
    <row r="3038" spans="1:27" ht="26.25" customHeight="1" thickBot="1" x14ac:dyDescent="0.45">
      <c r="A3038" s="829" t="s">
        <v>740</v>
      </c>
      <c r="B3038" s="438" t="s">
        <v>590</v>
      </c>
      <c r="C3038" s="900"/>
      <c r="D3038" s="900"/>
      <c r="E3038" s="900"/>
      <c r="F3038" s="324">
        <f t="shared" si="1095"/>
        <v>0</v>
      </c>
      <c r="G3038" s="528"/>
      <c r="H3038" s="528"/>
      <c r="I3038" s="528"/>
      <c r="J3038" s="528"/>
      <c r="K3038" s="619"/>
      <c r="L3038" s="539"/>
      <c r="M3038" s="539"/>
      <c r="N3038" s="536"/>
      <c r="O3038" s="528"/>
      <c r="P3038" s="528"/>
      <c r="Q3038" s="528"/>
      <c r="R3038" s="528"/>
      <c r="S3038" s="528"/>
      <c r="T3038" s="528">
        <v>1</v>
      </c>
      <c r="U3038" s="528"/>
      <c r="V3038" s="704"/>
      <c r="W3038" s="528"/>
      <c r="X3038" s="619"/>
      <c r="Y3038" s="323"/>
      <c r="AA3038" s="316">
        <f t="shared" si="1094"/>
        <v>0</v>
      </c>
    </row>
    <row r="3039" spans="1:27" ht="26.25" customHeight="1" thickBot="1" x14ac:dyDescent="0.45">
      <c r="A3039" s="829" t="s">
        <v>740</v>
      </c>
      <c r="B3039" s="438" t="s">
        <v>1161</v>
      </c>
      <c r="C3039" s="900"/>
      <c r="D3039" s="900"/>
      <c r="E3039" s="900"/>
      <c r="F3039" s="324">
        <f t="shared" si="1095"/>
        <v>0</v>
      </c>
      <c r="G3039" s="528"/>
      <c r="H3039" s="528"/>
      <c r="I3039" s="528"/>
      <c r="J3039" s="528"/>
      <c r="K3039" s="619"/>
      <c r="L3039" s="539"/>
      <c r="M3039" s="539"/>
      <c r="N3039" s="536"/>
      <c r="O3039" s="528"/>
      <c r="P3039" s="528"/>
      <c r="Q3039" s="528"/>
      <c r="R3039" s="528"/>
      <c r="S3039" s="528"/>
      <c r="T3039" s="528">
        <v>1</v>
      </c>
      <c r="U3039" s="528"/>
      <c r="V3039" s="704"/>
      <c r="W3039" s="528"/>
      <c r="X3039" s="619"/>
      <c r="Y3039" s="323"/>
      <c r="AA3039" s="316">
        <f t="shared" si="1094"/>
        <v>0</v>
      </c>
    </row>
    <row r="3040" spans="1:27" ht="26.25" customHeight="1" thickBot="1" x14ac:dyDescent="0.45">
      <c r="A3040" s="829" t="s">
        <v>740</v>
      </c>
      <c r="B3040" s="438" t="s">
        <v>592</v>
      </c>
      <c r="C3040" s="900"/>
      <c r="D3040" s="900"/>
      <c r="E3040" s="900"/>
      <c r="F3040" s="324">
        <f t="shared" si="1095"/>
        <v>0</v>
      </c>
      <c r="G3040" s="528"/>
      <c r="H3040" s="528"/>
      <c r="I3040" s="528"/>
      <c r="J3040" s="528"/>
      <c r="K3040" s="619"/>
      <c r="L3040" s="539"/>
      <c r="M3040" s="539"/>
      <c r="N3040" s="536"/>
      <c r="O3040" s="528"/>
      <c r="P3040" s="528"/>
      <c r="Q3040" s="528"/>
      <c r="R3040" s="528"/>
      <c r="S3040" s="528"/>
      <c r="T3040" s="528">
        <v>1</v>
      </c>
      <c r="U3040" s="528"/>
      <c r="V3040" s="704"/>
      <c r="W3040" s="528"/>
      <c r="X3040" s="619"/>
      <c r="Y3040" s="323"/>
      <c r="AA3040" s="316">
        <f t="shared" si="1094"/>
        <v>0</v>
      </c>
    </row>
    <row r="3041" spans="1:27" ht="26.25" customHeight="1" thickBot="1" x14ac:dyDescent="0.45">
      <c r="A3041" s="829" t="s">
        <v>740</v>
      </c>
      <c r="B3041" s="438" t="s">
        <v>593</v>
      </c>
      <c r="C3041" s="900"/>
      <c r="D3041" s="900"/>
      <c r="E3041" s="900"/>
      <c r="F3041" s="324">
        <f t="shared" si="1095"/>
        <v>0</v>
      </c>
      <c r="G3041" s="528"/>
      <c r="H3041" s="528"/>
      <c r="I3041" s="528"/>
      <c r="J3041" s="528"/>
      <c r="K3041" s="619"/>
      <c r="L3041" s="539"/>
      <c r="M3041" s="539"/>
      <c r="N3041" s="536"/>
      <c r="O3041" s="528"/>
      <c r="P3041" s="528"/>
      <c r="Q3041" s="528"/>
      <c r="R3041" s="528"/>
      <c r="S3041" s="528"/>
      <c r="T3041" s="528">
        <v>1</v>
      </c>
      <c r="U3041" s="528"/>
      <c r="V3041" s="704"/>
      <c r="W3041" s="528"/>
      <c r="X3041" s="619"/>
      <c r="Y3041" s="323"/>
      <c r="AA3041" s="316">
        <f t="shared" si="1094"/>
        <v>0</v>
      </c>
    </row>
    <row r="3042" spans="1:27" ht="26.25" customHeight="1" thickBot="1" x14ac:dyDescent="0.45">
      <c r="A3042" s="829" t="s">
        <v>740</v>
      </c>
      <c r="B3042" s="438" t="s">
        <v>594</v>
      </c>
      <c r="C3042" s="900"/>
      <c r="D3042" s="900"/>
      <c r="E3042" s="900"/>
      <c r="F3042" s="324">
        <f t="shared" si="1095"/>
        <v>0</v>
      </c>
      <c r="G3042" s="528"/>
      <c r="H3042" s="528"/>
      <c r="I3042" s="528"/>
      <c r="J3042" s="528"/>
      <c r="K3042" s="619"/>
      <c r="L3042" s="539"/>
      <c r="M3042" s="539"/>
      <c r="N3042" s="536"/>
      <c r="O3042" s="528"/>
      <c r="P3042" s="528"/>
      <c r="Q3042" s="528"/>
      <c r="R3042" s="528"/>
      <c r="S3042" s="528"/>
      <c r="T3042" s="528">
        <v>1</v>
      </c>
      <c r="U3042" s="528"/>
      <c r="V3042" s="704"/>
      <c r="W3042" s="528"/>
      <c r="X3042" s="619"/>
      <c r="Y3042" s="323"/>
      <c r="AA3042" s="316">
        <f t="shared" si="1094"/>
        <v>0</v>
      </c>
    </row>
    <row r="3043" spans="1:27" ht="26.25" customHeight="1" thickBot="1" x14ac:dyDescent="0.45">
      <c r="A3043" s="829" t="s">
        <v>740</v>
      </c>
      <c r="B3043" s="438" t="s">
        <v>1162</v>
      </c>
      <c r="C3043" s="900"/>
      <c r="D3043" s="900"/>
      <c r="E3043" s="900"/>
      <c r="F3043" s="324">
        <f t="shared" si="1095"/>
        <v>0</v>
      </c>
      <c r="G3043" s="528"/>
      <c r="H3043" s="528"/>
      <c r="I3043" s="528"/>
      <c r="J3043" s="528"/>
      <c r="K3043" s="619"/>
      <c r="L3043" s="539"/>
      <c r="M3043" s="539"/>
      <c r="N3043" s="536"/>
      <c r="O3043" s="528"/>
      <c r="P3043" s="528"/>
      <c r="Q3043" s="528"/>
      <c r="R3043" s="528"/>
      <c r="S3043" s="528"/>
      <c r="T3043" s="528">
        <v>1</v>
      </c>
      <c r="U3043" s="528"/>
      <c r="V3043" s="704"/>
      <c r="W3043" s="528"/>
      <c r="X3043" s="619"/>
      <c r="Y3043" s="323"/>
      <c r="AA3043" s="316">
        <f t="shared" si="1094"/>
        <v>0</v>
      </c>
    </row>
    <row r="3044" spans="1:27" ht="26.25" customHeight="1" thickBot="1" x14ac:dyDescent="0.45">
      <c r="A3044" s="829" t="s">
        <v>740</v>
      </c>
      <c r="B3044" s="438" t="s">
        <v>187</v>
      </c>
      <c r="C3044" s="900"/>
      <c r="D3044" s="900"/>
      <c r="E3044" s="900"/>
      <c r="F3044" s="324">
        <f>C3044/500</f>
        <v>0</v>
      </c>
      <c r="G3044" s="528"/>
      <c r="H3044" s="528"/>
      <c r="I3044" s="528"/>
      <c r="J3044" s="528"/>
      <c r="K3044" s="900"/>
      <c r="L3044" s="900"/>
      <c r="M3044" s="900"/>
      <c r="N3044" s="900"/>
      <c r="O3044" s="528"/>
      <c r="P3044" s="528"/>
      <c r="Q3044" s="528"/>
      <c r="R3044" s="528"/>
      <c r="S3044" s="528"/>
      <c r="T3044" s="528">
        <v>1</v>
      </c>
      <c r="U3044" s="528"/>
      <c r="V3044" s="704"/>
      <c r="W3044" s="528"/>
      <c r="X3044" s="619"/>
      <c r="Y3044" s="323"/>
      <c r="AA3044" s="316">
        <f t="shared" si="1094"/>
        <v>0</v>
      </c>
    </row>
    <row r="3045" spans="1:27" ht="26.25" customHeight="1" thickBot="1" x14ac:dyDescent="0.45">
      <c r="A3045" s="829" t="s">
        <v>740</v>
      </c>
      <c r="B3045" s="438" t="s">
        <v>188</v>
      </c>
      <c r="C3045" s="900"/>
      <c r="D3045" s="900"/>
      <c r="E3045" s="900"/>
      <c r="F3045" s="324">
        <f>C3045/500</f>
        <v>0</v>
      </c>
      <c r="G3045" s="528"/>
      <c r="H3045" s="528"/>
      <c r="I3045" s="528"/>
      <c r="J3045" s="528"/>
      <c r="K3045" s="619"/>
      <c r="L3045" s="539"/>
      <c r="M3045" s="539"/>
      <c r="N3045" s="536"/>
      <c r="O3045" s="528"/>
      <c r="P3045" s="528"/>
      <c r="Q3045" s="528"/>
      <c r="R3045" s="528"/>
      <c r="S3045" s="528"/>
      <c r="T3045" s="528">
        <v>1</v>
      </c>
      <c r="U3045" s="528"/>
      <c r="V3045" s="704"/>
      <c r="W3045" s="528"/>
      <c r="X3045" s="619"/>
      <c r="Y3045" s="323"/>
      <c r="AA3045" s="316">
        <f t="shared" si="1094"/>
        <v>0</v>
      </c>
    </row>
    <row r="3046" spans="1:27" thickBot="1" x14ac:dyDescent="0.45">
      <c r="A3046" s="829"/>
      <c r="B3046" s="439" t="s">
        <v>189</v>
      </c>
      <c r="C3046" s="539"/>
      <c r="D3046" s="539"/>
      <c r="E3046" s="502"/>
      <c r="F3046" s="333"/>
      <c r="G3046" s="539"/>
      <c r="H3046" s="539"/>
      <c r="I3046" s="539"/>
      <c r="J3046" s="539"/>
      <c r="K3046" s="539"/>
      <c r="L3046" s="539"/>
      <c r="M3046" s="539"/>
      <c r="N3046" s="539"/>
      <c r="O3046" s="539"/>
      <c r="P3046" s="539"/>
      <c r="Q3046" s="539"/>
      <c r="R3046" s="539"/>
      <c r="S3046" s="539"/>
      <c r="T3046" s="539"/>
      <c r="U3046" s="539"/>
      <c r="V3046" s="705"/>
      <c r="W3046" s="539"/>
      <c r="Y3046" s="440"/>
    </row>
    <row r="3047" spans="1:27" ht="24.75" customHeight="1" thickBot="1" x14ac:dyDescent="0.45">
      <c r="A3047" s="829" t="s">
        <v>740</v>
      </c>
      <c r="B3047" s="438" t="s">
        <v>712</v>
      </c>
      <c r="C3047" s="900"/>
      <c r="D3047" s="900"/>
      <c r="E3047" s="900"/>
      <c r="F3047" s="324">
        <f>C3047/1500</f>
        <v>0</v>
      </c>
      <c r="G3047" s="528"/>
      <c r="H3047" s="528"/>
      <c r="I3047" s="528"/>
      <c r="J3047" s="528"/>
      <c r="K3047" s="900"/>
      <c r="L3047" s="900"/>
      <c r="M3047" s="900"/>
      <c r="N3047" s="900"/>
      <c r="O3047" s="528"/>
      <c r="P3047" s="528"/>
      <c r="Q3047" s="528"/>
      <c r="R3047" s="528"/>
      <c r="S3047" s="528"/>
      <c r="T3047" s="528">
        <v>1</v>
      </c>
      <c r="U3047" s="528"/>
      <c r="V3047" s="704"/>
      <c r="W3047" s="528"/>
      <c r="X3047" s="619"/>
      <c r="Y3047" s="323"/>
      <c r="AA3047" s="316">
        <f>SUM(C3047/227.3)</f>
        <v>0</v>
      </c>
    </row>
    <row r="3048" spans="1:27" ht="24.75" customHeight="1" thickBot="1" x14ac:dyDescent="0.45">
      <c r="A3048" s="829" t="s">
        <v>740</v>
      </c>
      <c r="B3048" s="438" t="s">
        <v>713</v>
      </c>
      <c r="C3048" s="900"/>
      <c r="D3048" s="900"/>
      <c r="E3048" s="900"/>
      <c r="F3048" s="324">
        <f>C3048/1500</f>
        <v>0</v>
      </c>
      <c r="G3048" s="528"/>
      <c r="H3048" s="528"/>
      <c r="I3048" s="528"/>
      <c r="J3048" s="528"/>
      <c r="K3048" s="900"/>
      <c r="L3048" s="900"/>
      <c r="M3048" s="900"/>
      <c r="N3048" s="900"/>
      <c r="O3048" s="528"/>
      <c r="P3048" s="528"/>
      <c r="Q3048" s="528"/>
      <c r="R3048" s="528"/>
      <c r="S3048" s="528"/>
      <c r="T3048" s="528">
        <v>1</v>
      </c>
      <c r="U3048" s="528"/>
      <c r="V3048" s="704"/>
      <c r="W3048" s="528"/>
      <c r="X3048" s="619"/>
      <c r="Y3048" s="323"/>
      <c r="AA3048" s="316">
        <f>SUM(C3048/227.3)</f>
        <v>0</v>
      </c>
    </row>
    <row r="3049" spans="1:27" thickBot="1" x14ac:dyDescent="0.45">
      <c r="A3049" s="829"/>
      <c r="B3049" s="409"/>
      <c r="C3049" s="539"/>
      <c r="D3049" s="539"/>
      <c r="E3049" s="502"/>
      <c r="F3049" s="333"/>
      <c r="G3049" s="539"/>
      <c r="H3049" s="539"/>
      <c r="I3049" s="539"/>
      <c r="J3049" s="539"/>
      <c r="K3049" s="539"/>
      <c r="L3049" s="539"/>
      <c r="M3049" s="539"/>
      <c r="N3049" s="539"/>
      <c r="O3049" s="539"/>
      <c r="P3049" s="539"/>
      <c r="Q3049" s="539"/>
      <c r="R3049" s="539"/>
      <c r="S3049" s="539"/>
      <c r="T3049" s="539"/>
      <c r="U3049" s="539"/>
      <c r="V3049" s="705"/>
      <c r="W3049" s="539"/>
      <c r="X3049" s="539"/>
      <c r="Y3049" s="323"/>
    </row>
    <row r="3050" spans="1:27" thickBot="1" x14ac:dyDescent="0.45">
      <c r="A3050" s="829"/>
      <c r="B3050" s="409"/>
      <c r="C3050" s="539"/>
      <c r="D3050" s="539"/>
      <c r="E3050" s="502"/>
      <c r="F3050" s="333"/>
      <c r="G3050" s="539"/>
      <c r="H3050" s="539"/>
      <c r="I3050" s="539"/>
      <c r="J3050" s="539"/>
      <c r="K3050" s="539"/>
      <c r="L3050" s="539"/>
      <c r="M3050" s="539"/>
      <c r="N3050" s="539"/>
      <c r="O3050" s="539"/>
      <c r="P3050" s="539"/>
      <c r="Q3050" s="539"/>
      <c r="R3050" s="539"/>
      <c r="S3050" s="539"/>
      <c r="T3050" s="539"/>
      <c r="U3050" s="539"/>
      <c r="V3050" s="705"/>
      <c r="W3050" s="539"/>
      <c r="X3050" s="539"/>
      <c r="Y3050" s="323"/>
    </row>
    <row r="3051" spans="1:27" s="437" customFormat="1" ht="26.25" thickBot="1" x14ac:dyDescent="0.4">
      <c r="A3051" s="836"/>
      <c r="B3051" s="308" t="s">
        <v>191</v>
      </c>
      <c r="C3051" s="559"/>
      <c r="D3051" s="559"/>
      <c r="E3051" s="510"/>
      <c r="F3051" s="471"/>
      <c r="G3051" s="559"/>
      <c r="H3051" s="620"/>
      <c r="I3051" s="559"/>
      <c r="J3051" s="620"/>
      <c r="K3051" s="620"/>
      <c r="L3051" s="620"/>
      <c r="M3051" s="620"/>
      <c r="N3051" s="620"/>
      <c r="O3051" s="620"/>
      <c r="P3051" s="620"/>
      <c r="Q3051" s="620"/>
      <c r="R3051" s="620"/>
      <c r="S3051" s="620"/>
      <c r="T3051" s="559"/>
      <c r="U3051" s="620"/>
      <c r="V3051" s="706"/>
      <c r="W3051" s="620"/>
      <c r="X3051" s="620"/>
      <c r="Y3051" s="441"/>
      <c r="Z3051" s="312"/>
      <c r="AA3051" s="391" t="s">
        <v>676</v>
      </c>
    </row>
    <row r="3052" spans="1:27" thickBot="1" x14ac:dyDescent="0.45">
      <c r="B3052" s="308" t="s">
        <v>192</v>
      </c>
      <c r="C3052" s="539"/>
      <c r="D3052" s="539"/>
      <c r="E3052" s="502"/>
      <c r="F3052" s="333"/>
      <c r="G3052" s="539"/>
      <c r="H3052" s="621"/>
      <c r="I3052" s="539"/>
      <c r="J3052" s="621"/>
      <c r="K3052" s="621"/>
      <c r="L3052" s="621"/>
      <c r="M3052" s="621"/>
      <c r="N3052" s="621"/>
      <c r="O3052" s="621"/>
      <c r="P3052" s="621"/>
      <c r="Q3052" s="621"/>
      <c r="R3052" s="621"/>
      <c r="S3052" s="621"/>
      <c r="T3052" s="539"/>
      <c r="U3052" s="621"/>
      <c r="V3052" s="707"/>
      <c r="W3052" s="621"/>
      <c r="X3052" s="621"/>
      <c r="Y3052" s="323"/>
    </row>
    <row r="3053" spans="1:27" ht="51.75" thickBot="1" x14ac:dyDescent="0.45">
      <c r="A3053" s="319" t="s">
        <v>741</v>
      </c>
      <c r="B3053" s="320" t="s">
        <v>717</v>
      </c>
      <c r="C3053" s="528">
        <f>C30</f>
        <v>0</v>
      </c>
      <c r="D3053" s="528">
        <f>C3053*12</f>
        <v>0</v>
      </c>
      <c r="E3053" s="460"/>
      <c r="F3053" s="324"/>
      <c r="G3053" s="528"/>
      <c r="H3053" s="324"/>
      <c r="I3053" s="528"/>
      <c r="J3053" s="324"/>
      <c r="K3053" s="324"/>
      <c r="L3053" s="324"/>
      <c r="M3053" s="324"/>
      <c r="N3053" s="324"/>
      <c r="O3053" s="324"/>
      <c r="P3053" s="324"/>
      <c r="Q3053" s="324"/>
      <c r="R3053" s="324"/>
      <c r="S3053" s="324"/>
      <c r="T3053" s="528">
        <v>1</v>
      </c>
      <c r="U3053" s="324">
        <f>E3053/207*60</f>
        <v>0</v>
      </c>
      <c r="V3053" s="676"/>
      <c r="W3053" s="528"/>
      <c r="X3053" s="529"/>
      <c r="Y3053" s="323"/>
      <c r="AA3053" s="316">
        <f t="shared" ref="AA3053:AA3061" si="1096">SUM(D3053/2700)</f>
        <v>0</v>
      </c>
    </row>
    <row r="3054" spans="1:27" thickBot="1" x14ac:dyDescent="0.45">
      <c r="A3054" s="319" t="s">
        <v>741</v>
      </c>
      <c r="B3054" s="320" t="s">
        <v>716</v>
      </c>
      <c r="C3054" s="528">
        <f>C31</f>
        <v>0</v>
      </c>
      <c r="D3054" s="528">
        <f>C3054*12</f>
        <v>0</v>
      </c>
      <c r="E3054" s="460"/>
      <c r="F3054" s="324"/>
      <c r="G3054" s="528"/>
      <c r="H3054" s="324"/>
      <c r="I3054" s="528"/>
      <c r="J3054" s="324"/>
      <c r="K3054" s="324"/>
      <c r="L3054" s="324"/>
      <c r="M3054" s="324"/>
      <c r="N3054" s="324"/>
      <c r="O3054" s="324"/>
      <c r="P3054" s="324"/>
      <c r="Q3054" s="324"/>
      <c r="R3054" s="324"/>
      <c r="S3054" s="324"/>
      <c r="T3054" s="528">
        <v>1</v>
      </c>
      <c r="U3054" s="324">
        <f>E3054/207*60</f>
        <v>0</v>
      </c>
      <c r="V3054" s="676"/>
      <c r="W3054" s="528"/>
      <c r="X3054" s="529"/>
      <c r="Y3054" s="323"/>
      <c r="AA3054" s="316">
        <f t="shared" si="1096"/>
        <v>0</v>
      </c>
    </row>
    <row r="3055" spans="1:27" ht="51.75" thickBot="1" x14ac:dyDescent="0.45">
      <c r="A3055" s="319" t="s">
        <v>741</v>
      </c>
      <c r="B3055" s="320" t="s">
        <v>714</v>
      </c>
      <c r="C3055" s="528">
        <f>C132+C356+C584</f>
        <v>0</v>
      </c>
      <c r="D3055" s="528">
        <f>C3055*10</f>
        <v>0</v>
      </c>
      <c r="E3055" s="460"/>
      <c r="F3055" s="324"/>
      <c r="G3055" s="528"/>
      <c r="H3055" s="324"/>
      <c r="I3055" s="528"/>
      <c r="J3055" s="324"/>
      <c r="K3055" s="324"/>
      <c r="L3055" s="324"/>
      <c r="M3055" s="324"/>
      <c r="N3055" s="324"/>
      <c r="O3055" s="324"/>
      <c r="P3055" s="324"/>
      <c r="Q3055" s="324"/>
      <c r="R3055" s="324"/>
      <c r="S3055" s="324"/>
      <c r="T3055" s="528">
        <v>1</v>
      </c>
      <c r="U3055" s="324">
        <f>E3055/272*60</f>
        <v>0</v>
      </c>
      <c r="V3055" s="676"/>
      <c r="W3055" s="528"/>
      <c r="X3055" s="529"/>
      <c r="Y3055" s="323"/>
      <c r="AA3055" s="316">
        <f t="shared" si="1096"/>
        <v>0</v>
      </c>
    </row>
    <row r="3056" spans="1:27" ht="51.75" thickBot="1" x14ac:dyDescent="0.45">
      <c r="A3056" s="319" t="s">
        <v>741</v>
      </c>
      <c r="B3056" s="320" t="s">
        <v>831</v>
      </c>
      <c r="C3056" s="528">
        <f>C133+C201+C357+C429+C585+C657+C1030+C849</f>
        <v>0</v>
      </c>
      <c r="D3056" s="528">
        <f>C3056*10</f>
        <v>0</v>
      </c>
      <c r="E3056" s="460"/>
      <c r="F3056" s="324"/>
      <c r="G3056" s="528"/>
      <c r="H3056" s="324"/>
      <c r="I3056" s="528"/>
      <c r="J3056" s="324"/>
      <c r="K3056" s="324"/>
      <c r="L3056" s="324"/>
      <c r="M3056" s="324"/>
      <c r="N3056" s="324"/>
      <c r="O3056" s="324"/>
      <c r="P3056" s="324"/>
      <c r="Q3056" s="324"/>
      <c r="R3056" s="324"/>
      <c r="S3056" s="324"/>
      <c r="T3056" s="528">
        <v>1</v>
      </c>
      <c r="U3056" s="324">
        <f t="shared" ref="U3056:U3063" si="1097">E3056/207*60</f>
        <v>0</v>
      </c>
      <c r="V3056" s="676"/>
      <c r="W3056" s="528"/>
      <c r="X3056" s="529"/>
      <c r="Y3056" s="323"/>
      <c r="AA3056" s="316">
        <f t="shared" si="1096"/>
        <v>0</v>
      </c>
    </row>
    <row r="3057" spans="1:27" ht="51.75" thickBot="1" x14ac:dyDescent="0.45">
      <c r="A3057" s="319" t="s">
        <v>741</v>
      </c>
      <c r="B3057" s="320" t="s">
        <v>1069</v>
      </c>
      <c r="C3057" s="528">
        <f>C202+C430+C658+C850+C1031</f>
        <v>0</v>
      </c>
      <c r="D3057" s="528">
        <f>C3057*10</f>
        <v>0</v>
      </c>
      <c r="E3057" s="460"/>
      <c r="F3057" s="324"/>
      <c r="G3057" s="528"/>
      <c r="H3057" s="324"/>
      <c r="I3057" s="528"/>
      <c r="J3057" s="324"/>
      <c r="K3057" s="324"/>
      <c r="L3057" s="324"/>
      <c r="M3057" s="324"/>
      <c r="N3057" s="324"/>
      <c r="O3057" s="324"/>
      <c r="P3057" s="324"/>
      <c r="Q3057" s="324"/>
      <c r="R3057" s="324"/>
      <c r="S3057" s="324"/>
      <c r="T3057" s="528">
        <v>1</v>
      </c>
      <c r="U3057" s="324">
        <f>E3057/207*60</f>
        <v>0</v>
      </c>
      <c r="V3057" s="676"/>
      <c r="W3057" s="528"/>
      <c r="X3057" s="529"/>
      <c r="Y3057" s="323"/>
      <c r="AA3057" s="316">
        <f>SUM(D3057/2700)</f>
        <v>0</v>
      </c>
    </row>
    <row r="3058" spans="1:27" ht="77.25" thickBot="1" x14ac:dyDescent="0.45">
      <c r="A3058" s="319" t="s">
        <v>741</v>
      </c>
      <c r="B3058" s="320" t="s">
        <v>993</v>
      </c>
      <c r="C3058" s="528">
        <f>C1045+C864</f>
        <v>0</v>
      </c>
      <c r="D3058" s="528">
        <f>C3058*12</f>
        <v>0</v>
      </c>
      <c r="E3058" s="460"/>
      <c r="F3058" s="324"/>
      <c r="G3058" s="528"/>
      <c r="H3058" s="324"/>
      <c r="I3058" s="528"/>
      <c r="J3058" s="324"/>
      <c r="K3058" s="324"/>
      <c r="L3058" s="324"/>
      <c r="M3058" s="324"/>
      <c r="N3058" s="324"/>
      <c r="O3058" s="324"/>
      <c r="P3058" s="324"/>
      <c r="Q3058" s="324"/>
      <c r="R3058" s="324"/>
      <c r="S3058" s="324"/>
      <c r="T3058" s="528">
        <v>1</v>
      </c>
      <c r="U3058" s="324">
        <f>E3058/207*60</f>
        <v>0</v>
      </c>
      <c r="V3058" s="676"/>
      <c r="W3058" s="528"/>
      <c r="X3058" s="529"/>
      <c r="Y3058" s="323"/>
      <c r="AA3058" s="316">
        <f>SUM(D3058/2700)</f>
        <v>0</v>
      </c>
    </row>
    <row r="3059" spans="1:27" s="728" customFormat="1" ht="51.75" outlineLevel="1" thickBot="1" x14ac:dyDescent="0.45">
      <c r="A3059" s="636" t="s">
        <v>741</v>
      </c>
      <c r="B3059" s="634" t="s">
        <v>834</v>
      </c>
      <c r="C3059" s="720">
        <f>C206+C434+C663+C854+C1035</f>
        <v>0</v>
      </c>
      <c r="D3059" s="720">
        <f>C3059*12</f>
        <v>0</v>
      </c>
      <c r="E3059" s="721"/>
      <c r="F3059" s="722"/>
      <c r="G3059" s="720"/>
      <c r="H3059" s="722"/>
      <c r="I3059" s="720"/>
      <c r="J3059" s="722"/>
      <c r="K3059" s="722"/>
      <c r="L3059" s="722"/>
      <c r="M3059" s="722"/>
      <c r="N3059" s="722"/>
      <c r="O3059" s="722"/>
      <c r="P3059" s="722"/>
      <c r="Q3059" s="722"/>
      <c r="R3059" s="722"/>
      <c r="S3059" s="722"/>
      <c r="T3059" s="720">
        <v>1</v>
      </c>
      <c r="U3059" s="324">
        <f t="shared" si="1097"/>
        <v>0</v>
      </c>
      <c r="V3059" s="724"/>
      <c r="W3059" s="720"/>
      <c r="X3059" s="725"/>
      <c r="Y3059" s="736"/>
      <c r="Z3059" s="727"/>
      <c r="AA3059" s="815">
        <f t="shared" si="1096"/>
        <v>0</v>
      </c>
    </row>
    <row r="3060" spans="1:27" s="728" customFormat="1" ht="51.75" outlineLevel="1" thickBot="1" x14ac:dyDescent="0.45">
      <c r="A3060" s="636" t="s">
        <v>741</v>
      </c>
      <c r="B3060" s="634" t="s">
        <v>835</v>
      </c>
      <c r="C3060" s="720">
        <f>C309+C539+C769+C945+C1135</f>
        <v>0</v>
      </c>
      <c r="D3060" s="720">
        <f>C3060*12</f>
        <v>0</v>
      </c>
      <c r="E3060" s="721"/>
      <c r="F3060" s="722"/>
      <c r="G3060" s="720"/>
      <c r="H3060" s="722"/>
      <c r="I3060" s="720"/>
      <c r="J3060" s="722"/>
      <c r="K3060" s="722"/>
      <c r="L3060" s="722"/>
      <c r="M3060" s="722"/>
      <c r="N3060" s="722"/>
      <c r="O3060" s="722"/>
      <c r="P3060" s="722"/>
      <c r="Q3060" s="722"/>
      <c r="R3060" s="722"/>
      <c r="S3060" s="722"/>
      <c r="T3060" s="720">
        <v>1</v>
      </c>
      <c r="U3060" s="324">
        <f t="shared" si="1097"/>
        <v>0</v>
      </c>
      <c r="V3060" s="724"/>
      <c r="W3060" s="720"/>
      <c r="X3060" s="725"/>
      <c r="Y3060" s="736"/>
      <c r="Z3060" s="727"/>
      <c r="AA3060" s="815">
        <f t="shared" si="1096"/>
        <v>0</v>
      </c>
    </row>
    <row r="3061" spans="1:27" s="728" customFormat="1" ht="51.75" outlineLevel="1" thickBot="1" x14ac:dyDescent="0.45">
      <c r="A3061" s="636" t="s">
        <v>741</v>
      </c>
      <c r="B3061" s="634" t="s">
        <v>836</v>
      </c>
      <c r="C3061" s="720">
        <f>C320+C550+C770+C963+C1146</f>
        <v>0</v>
      </c>
      <c r="D3061" s="720">
        <f>C3061*12</f>
        <v>0</v>
      </c>
      <c r="E3061" s="721"/>
      <c r="F3061" s="722"/>
      <c r="G3061" s="720"/>
      <c r="H3061" s="722"/>
      <c r="I3061" s="720"/>
      <c r="J3061" s="722"/>
      <c r="K3061" s="722"/>
      <c r="L3061" s="722"/>
      <c r="M3061" s="722"/>
      <c r="N3061" s="722"/>
      <c r="O3061" s="722"/>
      <c r="P3061" s="722"/>
      <c r="Q3061" s="722"/>
      <c r="R3061" s="722"/>
      <c r="S3061" s="722"/>
      <c r="T3061" s="720">
        <v>1</v>
      </c>
      <c r="U3061" s="324">
        <f t="shared" si="1097"/>
        <v>0</v>
      </c>
      <c r="V3061" s="724"/>
      <c r="W3061" s="720"/>
      <c r="X3061" s="725"/>
      <c r="Y3061" s="736"/>
      <c r="Z3061" s="727"/>
      <c r="AA3061" s="815">
        <f t="shared" si="1096"/>
        <v>0</v>
      </c>
    </row>
    <row r="3062" spans="1:27" s="728" customFormat="1" outlineLevel="1" collapsed="1" thickBot="1" x14ac:dyDescent="0.45">
      <c r="A3062" s="636" t="s">
        <v>741</v>
      </c>
      <c r="B3062" s="634" t="s">
        <v>715</v>
      </c>
      <c r="C3062" s="720">
        <f>C197+C425+C653+C1026+C845</f>
        <v>0</v>
      </c>
      <c r="D3062" s="720">
        <f>C3062*10</f>
        <v>0</v>
      </c>
      <c r="E3062" s="721"/>
      <c r="F3062" s="722"/>
      <c r="G3062" s="720"/>
      <c r="H3062" s="722"/>
      <c r="I3062" s="720"/>
      <c r="J3062" s="722"/>
      <c r="K3062" s="722"/>
      <c r="L3062" s="722"/>
      <c r="M3062" s="722"/>
      <c r="N3062" s="722"/>
      <c r="O3062" s="722"/>
      <c r="P3062" s="722"/>
      <c r="Q3062" s="722"/>
      <c r="R3062" s="722"/>
      <c r="S3062" s="722"/>
      <c r="T3062" s="720">
        <v>1</v>
      </c>
      <c r="U3062" s="722">
        <f t="shared" si="1097"/>
        <v>0</v>
      </c>
      <c r="V3062" s="724"/>
      <c r="W3062" s="720"/>
      <c r="X3062" s="725"/>
      <c r="Y3062" s="736"/>
      <c r="Z3062" s="727"/>
      <c r="AA3062" s="815">
        <f t="shared" ref="AA3062:AA3067" si="1098">SUM(D3062/2700)</f>
        <v>0</v>
      </c>
    </row>
    <row r="3063" spans="1:27" ht="51.75" thickBot="1" x14ac:dyDescent="0.45">
      <c r="A3063" s="319" t="s">
        <v>741</v>
      </c>
      <c r="B3063" s="320" t="s">
        <v>912</v>
      </c>
      <c r="C3063" s="528">
        <f>C203+C431+C659+C1032+C135+C359+C587+C851</f>
        <v>0</v>
      </c>
      <c r="D3063" s="528">
        <f>C3063*10</f>
        <v>0</v>
      </c>
      <c r="E3063" s="460"/>
      <c r="F3063" s="324"/>
      <c r="G3063" s="528"/>
      <c r="H3063" s="324"/>
      <c r="I3063" s="528"/>
      <c r="J3063" s="324"/>
      <c r="K3063" s="324"/>
      <c r="L3063" s="324"/>
      <c r="M3063" s="324"/>
      <c r="N3063" s="324"/>
      <c r="O3063" s="324"/>
      <c r="P3063" s="324"/>
      <c r="Q3063" s="324"/>
      <c r="R3063" s="324"/>
      <c r="S3063" s="324"/>
      <c r="T3063" s="528">
        <v>1</v>
      </c>
      <c r="U3063" s="324">
        <f t="shared" si="1097"/>
        <v>0</v>
      </c>
      <c r="V3063" s="676"/>
      <c r="W3063" s="528"/>
      <c r="X3063" s="529"/>
      <c r="Y3063" s="323"/>
      <c r="AA3063" s="316">
        <f t="shared" si="1098"/>
        <v>0</v>
      </c>
    </row>
    <row r="3064" spans="1:27" ht="51.75" thickBot="1" x14ac:dyDescent="0.45">
      <c r="A3064" s="319" t="s">
        <v>741</v>
      </c>
      <c r="B3064" s="320" t="s">
        <v>1201</v>
      </c>
      <c r="C3064" s="528">
        <f>C338+C568+C796+C976+C1157</f>
        <v>0</v>
      </c>
      <c r="D3064" s="528">
        <f>C3064*12</f>
        <v>0</v>
      </c>
      <c r="E3064" s="460"/>
      <c r="F3064" s="324"/>
      <c r="G3064" s="528"/>
      <c r="H3064" s="324"/>
      <c r="I3064" s="528"/>
      <c r="J3064" s="324"/>
      <c r="K3064" s="324"/>
      <c r="L3064" s="324"/>
      <c r="M3064" s="324"/>
      <c r="N3064" s="324"/>
      <c r="O3064" s="324"/>
      <c r="P3064" s="324"/>
      <c r="Q3064" s="324"/>
      <c r="R3064" s="324"/>
      <c r="S3064" s="324"/>
      <c r="T3064" s="528">
        <v>1</v>
      </c>
      <c r="U3064" s="324">
        <f>E3064/207*60</f>
        <v>0</v>
      </c>
      <c r="V3064" s="676"/>
      <c r="W3064" s="528"/>
      <c r="X3064" s="529"/>
      <c r="Y3064" s="323"/>
      <c r="AA3064" s="316">
        <f t="shared" si="1098"/>
        <v>0</v>
      </c>
    </row>
    <row r="3065" spans="1:27" ht="51.75" thickBot="1" x14ac:dyDescent="0.45">
      <c r="A3065" s="319" t="s">
        <v>741</v>
      </c>
      <c r="B3065" s="320" t="s">
        <v>1025</v>
      </c>
      <c r="C3065" s="528">
        <f>C337+C567+C795+C975+C1156</f>
        <v>0</v>
      </c>
      <c r="D3065" s="528">
        <f>C3065*8</f>
        <v>0</v>
      </c>
      <c r="E3065" s="460"/>
      <c r="F3065" s="324"/>
      <c r="G3065" s="528"/>
      <c r="H3065" s="324"/>
      <c r="I3065" s="528"/>
      <c r="J3065" s="324"/>
      <c r="K3065" s="324"/>
      <c r="L3065" s="324"/>
      <c r="M3065" s="324"/>
      <c r="N3065" s="324"/>
      <c r="O3065" s="324"/>
      <c r="P3065" s="324"/>
      <c r="Q3065" s="324"/>
      <c r="R3065" s="324"/>
      <c r="S3065" s="324"/>
      <c r="T3065" s="528">
        <v>1</v>
      </c>
      <c r="U3065" s="324">
        <f>E3065/207*60</f>
        <v>0</v>
      </c>
      <c r="V3065" s="676"/>
      <c r="W3065" s="528"/>
      <c r="X3065" s="529"/>
      <c r="Y3065" s="323"/>
      <c r="AA3065" s="316">
        <f t="shared" si="1098"/>
        <v>0</v>
      </c>
    </row>
    <row r="3066" spans="1:27" ht="77.25" thickBot="1" x14ac:dyDescent="0.45">
      <c r="A3066" s="319" t="s">
        <v>741</v>
      </c>
      <c r="B3066" s="320" t="s">
        <v>1216</v>
      </c>
      <c r="C3066" s="528">
        <f>C339+C569+C797+C977+C1158</f>
        <v>0</v>
      </c>
      <c r="D3066" s="528">
        <f>C3066*10</f>
        <v>0</v>
      </c>
      <c r="E3066" s="460"/>
      <c r="F3066" s="324"/>
      <c r="G3066" s="528"/>
      <c r="H3066" s="324"/>
      <c r="I3066" s="528"/>
      <c r="J3066" s="324"/>
      <c r="K3066" s="324"/>
      <c r="L3066" s="324"/>
      <c r="M3066" s="324"/>
      <c r="N3066" s="324"/>
      <c r="O3066" s="324"/>
      <c r="P3066" s="324"/>
      <c r="Q3066" s="324"/>
      <c r="R3066" s="324"/>
      <c r="S3066" s="324"/>
      <c r="T3066" s="528">
        <v>1</v>
      </c>
      <c r="U3066" s="324">
        <f>E3066/207*60</f>
        <v>0</v>
      </c>
      <c r="V3066" s="676"/>
      <c r="W3066" s="528"/>
      <c r="X3066" s="529"/>
      <c r="Y3066" s="323"/>
      <c r="AA3066" s="316">
        <f t="shared" si="1098"/>
        <v>0</v>
      </c>
    </row>
    <row r="3067" spans="1:27" ht="77.25" thickBot="1" x14ac:dyDescent="0.45">
      <c r="A3067" s="319" t="s">
        <v>741</v>
      </c>
      <c r="B3067" s="320" t="s">
        <v>962</v>
      </c>
      <c r="C3067" s="528">
        <f>C134+C358+C586</f>
        <v>0</v>
      </c>
      <c r="D3067" s="525">
        <f>C3067*10</f>
        <v>0</v>
      </c>
      <c r="E3067" s="545"/>
      <c r="F3067" s="461"/>
      <c r="G3067" s="525"/>
      <c r="H3067" s="461"/>
      <c r="I3067" s="525"/>
      <c r="J3067" s="461"/>
      <c r="K3067" s="461"/>
      <c r="L3067" s="461"/>
      <c r="M3067" s="461"/>
      <c r="N3067" s="461"/>
      <c r="O3067" s="461"/>
      <c r="P3067" s="461"/>
      <c r="Q3067" s="324"/>
      <c r="R3067" s="324"/>
      <c r="S3067" s="324"/>
      <c r="T3067" s="528">
        <v>1</v>
      </c>
      <c r="U3067" s="324">
        <f>E3067/207*60</f>
        <v>0</v>
      </c>
      <c r="V3067" s="676"/>
      <c r="W3067" s="528"/>
      <c r="X3067" s="529"/>
      <c r="Y3067" s="323"/>
      <c r="AA3067" s="316">
        <f t="shared" si="1098"/>
        <v>0</v>
      </c>
    </row>
    <row r="3068" spans="1:27" thickBot="1" x14ac:dyDescent="0.45">
      <c r="B3068" s="838" t="s">
        <v>193</v>
      </c>
      <c r="C3068" s="539"/>
      <c r="D3068" s="539"/>
      <c r="E3068" s="502"/>
      <c r="F3068" s="333"/>
      <c r="G3068" s="539"/>
      <c r="H3068" s="621"/>
      <c r="I3068" s="539"/>
      <c r="J3068" s="621"/>
      <c r="K3068" s="621"/>
      <c r="L3068" s="621"/>
      <c r="M3068" s="621"/>
      <c r="N3068" s="621"/>
      <c r="O3068" s="621"/>
      <c r="P3068" s="621"/>
      <c r="Q3068" s="621"/>
      <c r="R3068" s="621"/>
      <c r="S3068" s="621"/>
      <c r="T3068" s="539"/>
      <c r="U3068" s="621"/>
      <c r="V3068" s="707"/>
      <c r="W3068" s="621"/>
      <c r="X3068" s="621"/>
      <c r="Y3068" s="323"/>
    </row>
    <row r="3069" spans="1:27" ht="51.75" thickBot="1" x14ac:dyDescent="0.45">
      <c r="A3069" s="319" t="s">
        <v>741</v>
      </c>
      <c r="B3069" s="320" t="s">
        <v>717</v>
      </c>
      <c r="C3069" s="528">
        <f>C3053</f>
        <v>0</v>
      </c>
      <c r="D3069" s="528">
        <f>C3069*12</f>
        <v>0</v>
      </c>
      <c r="E3069" s="460"/>
      <c r="F3069" s="324"/>
      <c r="G3069" s="528"/>
      <c r="H3069" s="324"/>
      <c r="I3069" s="528"/>
      <c r="J3069" s="324"/>
      <c r="K3069" s="324"/>
      <c r="L3069" s="324"/>
      <c r="M3069" s="324"/>
      <c r="N3069" s="324"/>
      <c r="O3069" s="324"/>
      <c r="P3069" s="324"/>
      <c r="Q3069" s="324"/>
      <c r="R3069" s="324"/>
      <c r="S3069" s="324"/>
      <c r="T3069" s="528">
        <v>1</v>
      </c>
      <c r="U3069" s="324">
        <f t="shared" ref="U3069:U3074" si="1099">E3069/207*60</f>
        <v>0</v>
      </c>
      <c r="V3069" s="676"/>
      <c r="W3069" s="528"/>
      <c r="X3069" s="529"/>
      <c r="Y3069" s="323"/>
      <c r="AA3069" s="316">
        <f>SUM(D3069/1680)</f>
        <v>0</v>
      </c>
    </row>
    <row r="3070" spans="1:27" ht="53.25" thickBot="1" x14ac:dyDescent="0.45">
      <c r="A3070" s="319" t="s">
        <v>741</v>
      </c>
      <c r="B3070" s="319" t="s">
        <v>718</v>
      </c>
      <c r="C3070" s="528">
        <f>C3053</f>
        <v>0</v>
      </c>
      <c r="D3070" s="528">
        <f>C3070*12</f>
        <v>0</v>
      </c>
      <c r="E3070" s="460"/>
      <c r="F3070" s="324"/>
      <c r="G3070" s="528"/>
      <c r="H3070" s="324"/>
      <c r="I3070" s="528"/>
      <c r="J3070" s="324"/>
      <c r="K3070" s="324"/>
      <c r="L3070" s="324"/>
      <c r="M3070" s="324"/>
      <c r="N3070" s="324"/>
      <c r="O3070" s="324"/>
      <c r="P3070" s="324"/>
      <c r="Q3070" s="324"/>
      <c r="R3070" s="324"/>
      <c r="S3070" s="324"/>
      <c r="T3070" s="528">
        <v>1</v>
      </c>
      <c r="U3070" s="324">
        <f t="shared" si="1099"/>
        <v>0</v>
      </c>
      <c r="V3070" s="676"/>
      <c r="W3070" s="528"/>
      <c r="X3070" s="529"/>
      <c r="Y3070" s="323"/>
      <c r="AA3070" s="316">
        <f>SUM(D3070/1500)</f>
        <v>0</v>
      </c>
    </row>
    <row r="3071" spans="1:27" thickBot="1" x14ac:dyDescent="0.45">
      <c r="A3071" s="319" t="s">
        <v>741</v>
      </c>
      <c r="B3071" s="320" t="s">
        <v>716</v>
      </c>
      <c r="C3071" s="528">
        <f>C3054</f>
        <v>0</v>
      </c>
      <c r="D3071" s="528">
        <f>C3071*12</f>
        <v>0</v>
      </c>
      <c r="E3071" s="460"/>
      <c r="F3071" s="324"/>
      <c r="G3071" s="528"/>
      <c r="H3071" s="324"/>
      <c r="I3071" s="528"/>
      <c r="J3071" s="324"/>
      <c r="K3071" s="324"/>
      <c r="L3071" s="324"/>
      <c r="M3071" s="324"/>
      <c r="N3071" s="324"/>
      <c r="O3071" s="324"/>
      <c r="P3071" s="324"/>
      <c r="Q3071" s="324"/>
      <c r="R3071" s="324"/>
      <c r="S3071" s="324"/>
      <c r="T3071" s="528">
        <v>1</v>
      </c>
      <c r="U3071" s="324">
        <f t="shared" si="1099"/>
        <v>0</v>
      </c>
      <c r="V3071" s="676"/>
      <c r="W3071" s="528"/>
      <c r="X3071" s="529"/>
      <c r="Y3071" s="323"/>
      <c r="AA3071" s="316">
        <f>SUM(D3071/1680)</f>
        <v>0</v>
      </c>
    </row>
    <row r="3072" spans="1:27" thickBot="1" x14ac:dyDescent="0.45">
      <c r="A3072" s="319" t="s">
        <v>741</v>
      </c>
      <c r="B3072" s="319" t="s">
        <v>719</v>
      </c>
      <c r="C3072" s="528">
        <f>C3054</f>
        <v>0</v>
      </c>
      <c r="D3072" s="528">
        <f>C3072*12</f>
        <v>0</v>
      </c>
      <c r="E3072" s="460"/>
      <c r="F3072" s="324"/>
      <c r="G3072" s="528"/>
      <c r="H3072" s="324"/>
      <c r="I3072" s="528"/>
      <c r="J3072" s="324"/>
      <c r="K3072" s="324"/>
      <c r="L3072" s="324"/>
      <c r="M3072" s="324"/>
      <c r="N3072" s="324"/>
      <c r="O3072" s="324"/>
      <c r="P3072" s="324"/>
      <c r="Q3072" s="324"/>
      <c r="R3072" s="324"/>
      <c r="S3072" s="324"/>
      <c r="T3072" s="528">
        <v>1</v>
      </c>
      <c r="U3072" s="324">
        <f t="shared" si="1099"/>
        <v>0</v>
      </c>
      <c r="V3072" s="676"/>
      <c r="W3072" s="528"/>
      <c r="X3072" s="529"/>
      <c r="Y3072" s="323"/>
      <c r="AA3072" s="316">
        <f>SUM(D3072/1500)</f>
        <v>0</v>
      </c>
    </row>
    <row r="3073" spans="1:27" ht="51.75" thickBot="1" x14ac:dyDescent="0.45">
      <c r="A3073" s="319" t="s">
        <v>741</v>
      </c>
      <c r="B3073" s="320" t="s">
        <v>714</v>
      </c>
      <c r="C3073" s="528">
        <f>C3055</f>
        <v>0</v>
      </c>
      <c r="D3073" s="528">
        <f t="shared" ref="D3073:D3078" si="1100">C3073*10</f>
        <v>0</v>
      </c>
      <c r="E3073" s="460"/>
      <c r="F3073" s="324"/>
      <c r="G3073" s="528"/>
      <c r="H3073" s="324"/>
      <c r="I3073" s="528"/>
      <c r="J3073" s="324"/>
      <c r="K3073" s="324"/>
      <c r="L3073" s="324"/>
      <c r="M3073" s="324"/>
      <c r="N3073" s="324"/>
      <c r="O3073" s="324"/>
      <c r="P3073" s="324"/>
      <c r="Q3073" s="324"/>
      <c r="R3073" s="324"/>
      <c r="S3073" s="324"/>
      <c r="T3073" s="528">
        <v>1</v>
      </c>
      <c r="U3073" s="324">
        <f t="shared" si="1099"/>
        <v>0</v>
      </c>
      <c r="V3073" s="676"/>
      <c r="W3073" s="528"/>
      <c r="X3073" s="529"/>
      <c r="Y3073" s="323"/>
      <c r="AA3073" s="316">
        <f>SUM(D3073/1680)</f>
        <v>0</v>
      </c>
    </row>
    <row r="3074" spans="1:27" thickBot="1" x14ac:dyDescent="0.45">
      <c r="A3074" s="319" t="s">
        <v>741</v>
      </c>
      <c r="B3074" s="319" t="s">
        <v>720</v>
      </c>
      <c r="C3074" s="528">
        <f>C3055</f>
        <v>0</v>
      </c>
      <c r="D3074" s="528">
        <f t="shared" si="1100"/>
        <v>0</v>
      </c>
      <c r="E3074" s="460"/>
      <c r="F3074" s="324"/>
      <c r="G3074" s="528"/>
      <c r="H3074" s="324"/>
      <c r="I3074" s="528"/>
      <c r="J3074" s="324"/>
      <c r="K3074" s="324"/>
      <c r="L3074" s="324"/>
      <c r="M3074" s="324"/>
      <c r="N3074" s="324"/>
      <c r="O3074" s="324"/>
      <c r="P3074" s="324"/>
      <c r="Q3074" s="324"/>
      <c r="R3074" s="324"/>
      <c r="S3074" s="324"/>
      <c r="T3074" s="528">
        <v>1</v>
      </c>
      <c r="U3074" s="324">
        <f t="shared" si="1099"/>
        <v>0</v>
      </c>
      <c r="V3074" s="676"/>
      <c r="W3074" s="528"/>
      <c r="X3074" s="529"/>
      <c r="Y3074" s="323"/>
      <c r="AA3074" s="316">
        <f>SUM(D3074/1500)</f>
        <v>0</v>
      </c>
    </row>
    <row r="3075" spans="1:27" ht="51.75" thickBot="1" x14ac:dyDescent="0.45">
      <c r="A3075" s="319" t="s">
        <v>741</v>
      </c>
      <c r="B3075" s="320" t="s">
        <v>831</v>
      </c>
      <c r="C3075" s="528">
        <f>C3056</f>
        <v>0</v>
      </c>
      <c r="D3075" s="528">
        <f t="shared" si="1100"/>
        <v>0</v>
      </c>
      <c r="E3075" s="460"/>
      <c r="F3075" s="324"/>
      <c r="G3075" s="528"/>
      <c r="H3075" s="324"/>
      <c r="I3075" s="528"/>
      <c r="J3075" s="324"/>
      <c r="K3075" s="324"/>
      <c r="L3075" s="324"/>
      <c r="M3075" s="324"/>
      <c r="N3075" s="324"/>
      <c r="O3075" s="324"/>
      <c r="P3075" s="324"/>
      <c r="Q3075" s="324"/>
      <c r="R3075" s="324"/>
      <c r="S3075" s="324"/>
      <c r="T3075" s="528">
        <v>1</v>
      </c>
      <c r="U3075" s="324">
        <f t="shared" ref="U3075:U3080" si="1101">E3075/272*60</f>
        <v>0</v>
      </c>
      <c r="V3075" s="676"/>
      <c r="W3075" s="528"/>
      <c r="X3075" s="529"/>
      <c r="Y3075" s="323"/>
      <c r="AA3075" s="316">
        <f>SUM(D3075/1680)</f>
        <v>0</v>
      </c>
    </row>
    <row r="3076" spans="1:27" ht="51.75" thickBot="1" x14ac:dyDescent="0.45">
      <c r="A3076" s="319" t="s">
        <v>741</v>
      </c>
      <c r="B3076" s="320" t="s">
        <v>832</v>
      </c>
      <c r="C3076" s="528">
        <f>C3056</f>
        <v>0</v>
      </c>
      <c r="D3076" s="528">
        <f t="shared" si="1100"/>
        <v>0</v>
      </c>
      <c r="E3076" s="460"/>
      <c r="F3076" s="324"/>
      <c r="G3076" s="528"/>
      <c r="H3076" s="324"/>
      <c r="I3076" s="528"/>
      <c r="J3076" s="324"/>
      <c r="K3076" s="324"/>
      <c r="L3076" s="324"/>
      <c r="M3076" s="324"/>
      <c r="N3076" s="324"/>
      <c r="O3076" s="324"/>
      <c r="P3076" s="324"/>
      <c r="Q3076" s="324"/>
      <c r="R3076" s="324"/>
      <c r="S3076" s="324"/>
      <c r="T3076" s="528">
        <v>1</v>
      </c>
      <c r="U3076" s="324">
        <f t="shared" si="1101"/>
        <v>0</v>
      </c>
      <c r="V3076" s="676"/>
      <c r="W3076" s="528"/>
      <c r="X3076" s="529"/>
      <c r="Y3076" s="323"/>
      <c r="AA3076" s="316">
        <f>SUM(D3076/1500)</f>
        <v>0</v>
      </c>
    </row>
    <row r="3077" spans="1:27" ht="51.75" thickBot="1" x14ac:dyDescent="0.45">
      <c r="A3077" s="319" t="s">
        <v>741</v>
      </c>
      <c r="B3077" s="320" t="s">
        <v>1070</v>
      </c>
      <c r="C3077" s="528">
        <f>C3057</f>
        <v>0</v>
      </c>
      <c r="D3077" s="528">
        <f t="shared" si="1100"/>
        <v>0</v>
      </c>
      <c r="E3077" s="460"/>
      <c r="F3077" s="324"/>
      <c r="G3077" s="528"/>
      <c r="H3077" s="324"/>
      <c r="I3077" s="528"/>
      <c r="J3077" s="324"/>
      <c r="K3077" s="324"/>
      <c r="L3077" s="324"/>
      <c r="M3077" s="324"/>
      <c r="N3077" s="324"/>
      <c r="O3077" s="324"/>
      <c r="P3077" s="324"/>
      <c r="Q3077" s="324"/>
      <c r="R3077" s="324"/>
      <c r="S3077" s="324"/>
      <c r="T3077" s="528">
        <v>1</v>
      </c>
      <c r="U3077" s="324">
        <f t="shared" si="1101"/>
        <v>0</v>
      </c>
      <c r="V3077" s="676"/>
      <c r="W3077" s="528"/>
      <c r="X3077" s="529"/>
      <c r="Y3077" s="323"/>
      <c r="AA3077" s="316">
        <f>SUM(D3077/1680)</f>
        <v>0</v>
      </c>
    </row>
    <row r="3078" spans="1:27" ht="51.75" thickBot="1" x14ac:dyDescent="0.45">
      <c r="A3078" s="319" t="s">
        <v>741</v>
      </c>
      <c r="B3078" s="320" t="s">
        <v>1071</v>
      </c>
      <c r="C3078" s="528">
        <f>C3057</f>
        <v>0</v>
      </c>
      <c r="D3078" s="528">
        <f t="shared" si="1100"/>
        <v>0</v>
      </c>
      <c r="E3078" s="460"/>
      <c r="F3078" s="324"/>
      <c r="G3078" s="528"/>
      <c r="H3078" s="324"/>
      <c r="I3078" s="528"/>
      <c r="J3078" s="324"/>
      <c r="K3078" s="324"/>
      <c r="L3078" s="324"/>
      <c r="M3078" s="324"/>
      <c r="N3078" s="324"/>
      <c r="O3078" s="324"/>
      <c r="P3078" s="324"/>
      <c r="Q3078" s="324"/>
      <c r="R3078" s="324"/>
      <c r="S3078" s="324"/>
      <c r="T3078" s="528">
        <v>1</v>
      </c>
      <c r="U3078" s="324">
        <f t="shared" si="1101"/>
        <v>0</v>
      </c>
      <c r="V3078" s="676"/>
      <c r="W3078" s="528"/>
      <c r="X3078" s="529"/>
      <c r="Y3078" s="323"/>
      <c r="AA3078" s="316">
        <f>SUM(D3078/1500)</f>
        <v>0</v>
      </c>
    </row>
    <row r="3079" spans="1:27" ht="77.25" thickBot="1" x14ac:dyDescent="0.45">
      <c r="A3079" s="319" t="s">
        <v>741</v>
      </c>
      <c r="B3079" s="320" t="s">
        <v>994</v>
      </c>
      <c r="C3079" s="528">
        <f>C3058</f>
        <v>0</v>
      </c>
      <c r="D3079" s="528">
        <f>C3079*12</f>
        <v>0</v>
      </c>
      <c r="E3079" s="460"/>
      <c r="F3079" s="324"/>
      <c r="G3079" s="528"/>
      <c r="H3079" s="324"/>
      <c r="I3079" s="528"/>
      <c r="J3079" s="324"/>
      <c r="K3079" s="324"/>
      <c r="L3079" s="324"/>
      <c r="M3079" s="324"/>
      <c r="N3079" s="324"/>
      <c r="O3079" s="324"/>
      <c r="P3079" s="324"/>
      <c r="Q3079" s="324"/>
      <c r="R3079" s="324"/>
      <c r="S3079" s="324"/>
      <c r="T3079" s="528">
        <v>1</v>
      </c>
      <c r="U3079" s="324">
        <f t="shared" si="1101"/>
        <v>0</v>
      </c>
      <c r="V3079" s="676"/>
      <c r="W3079" s="528"/>
      <c r="X3079" s="529"/>
      <c r="Y3079" s="323"/>
      <c r="AA3079" s="316">
        <f>SUM(D3079/1680)</f>
        <v>0</v>
      </c>
    </row>
    <row r="3080" spans="1:27" ht="77.25" thickBot="1" x14ac:dyDescent="0.45">
      <c r="A3080" s="319" t="s">
        <v>741</v>
      </c>
      <c r="B3080" s="320" t="s">
        <v>995</v>
      </c>
      <c r="C3080" s="528">
        <f>C3058</f>
        <v>0</v>
      </c>
      <c r="D3080" s="528">
        <f>C3080*12</f>
        <v>0</v>
      </c>
      <c r="E3080" s="460"/>
      <c r="F3080" s="324"/>
      <c r="G3080" s="528"/>
      <c r="H3080" s="324"/>
      <c r="I3080" s="528"/>
      <c r="J3080" s="324"/>
      <c r="K3080" s="324"/>
      <c r="L3080" s="324"/>
      <c r="M3080" s="324"/>
      <c r="N3080" s="324"/>
      <c r="O3080" s="324"/>
      <c r="P3080" s="324"/>
      <c r="Q3080" s="324"/>
      <c r="R3080" s="324"/>
      <c r="S3080" s="324"/>
      <c r="T3080" s="528">
        <v>1</v>
      </c>
      <c r="U3080" s="324">
        <f t="shared" si="1101"/>
        <v>0</v>
      </c>
      <c r="V3080" s="676"/>
      <c r="W3080" s="528"/>
      <c r="X3080" s="529"/>
      <c r="Y3080" s="323"/>
      <c r="AA3080" s="316">
        <f>SUM(D3080/1500)</f>
        <v>0</v>
      </c>
    </row>
    <row r="3081" spans="1:27" s="728" customFormat="1" ht="51.75" outlineLevel="1" thickBot="1" x14ac:dyDescent="0.45">
      <c r="A3081" s="636" t="s">
        <v>741</v>
      </c>
      <c r="B3081" s="634" t="s">
        <v>834</v>
      </c>
      <c r="C3081" s="720">
        <f>C3059</f>
        <v>0</v>
      </c>
      <c r="D3081" s="720">
        <f t="shared" ref="D3081:D3086" si="1102">C3081*12</f>
        <v>0</v>
      </c>
      <c r="E3081" s="721"/>
      <c r="F3081" s="722"/>
      <c r="G3081" s="720"/>
      <c r="H3081" s="722"/>
      <c r="I3081" s="720"/>
      <c r="J3081" s="722"/>
      <c r="K3081" s="722"/>
      <c r="L3081" s="722"/>
      <c r="M3081" s="722"/>
      <c r="N3081" s="722"/>
      <c r="O3081" s="722"/>
      <c r="P3081" s="722"/>
      <c r="Q3081" s="722"/>
      <c r="R3081" s="722"/>
      <c r="S3081" s="722"/>
      <c r="T3081" s="720">
        <v>1</v>
      </c>
      <c r="U3081" s="324">
        <f t="shared" ref="U3081:U3086" si="1103">E3081/207*60</f>
        <v>0</v>
      </c>
      <c r="V3081" s="724"/>
      <c r="W3081" s="720"/>
      <c r="X3081" s="725"/>
      <c r="Y3081" s="736"/>
      <c r="Z3081" s="727"/>
      <c r="AA3081" s="815">
        <f>SUM(D3081/1680)</f>
        <v>0</v>
      </c>
    </row>
    <row r="3082" spans="1:27" s="728" customFormat="1" ht="51.75" outlineLevel="1" thickBot="1" x14ac:dyDescent="0.45">
      <c r="A3082" s="636" t="s">
        <v>741</v>
      </c>
      <c r="B3082" s="634" t="s">
        <v>833</v>
      </c>
      <c r="C3082" s="720">
        <f>C3059</f>
        <v>0</v>
      </c>
      <c r="D3082" s="720">
        <f t="shared" si="1102"/>
        <v>0</v>
      </c>
      <c r="E3082" s="721"/>
      <c r="F3082" s="722"/>
      <c r="G3082" s="720"/>
      <c r="H3082" s="722"/>
      <c r="I3082" s="720"/>
      <c r="J3082" s="722"/>
      <c r="K3082" s="722"/>
      <c r="L3082" s="722"/>
      <c r="M3082" s="722"/>
      <c r="N3082" s="722"/>
      <c r="O3082" s="722"/>
      <c r="P3082" s="722"/>
      <c r="Q3082" s="722"/>
      <c r="R3082" s="722"/>
      <c r="S3082" s="722"/>
      <c r="T3082" s="720">
        <v>2</v>
      </c>
      <c r="U3082" s="324">
        <f t="shared" si="1103"/>
        <v>0</v>
      </c>
      <c r="V3082" s="724"/>
      <c r="W3082" s="720"/>
      <c r="X3082" s="725"/>
      <c r="Y3082" s="736"/>
      <c r="Z3082" s="727"/>
      <c r="AA3082" s="815">
        <f>SUM(D3082/1500)</f>
        <v>0</v>
      </c>
    </row>
    <row r="3083" spans="1:27" s="728" customFormat="1" ht="51.75" outlineLevel="1" thickBot="1" x14ac:dyDescent="0.45">
      <c r="A3083" s="636" t="s">
        <v>741</v>
      </c>
      <c r="B3083" s="634" t="s">
        <v>835</v>
      </c>
      <c r="C3083" s="720">
        <f>C3060</f>
        <v>0</v>
      </c>
      <c r="D3083" s="720">
        <f t="shared" si="1102"/>
        <v>0</v>
      </c>
      <c r="E3083" s="721"/>
      <c r="F3083" s="722"/>
      <c r="G3083" s="720"/>
      <c r="H3083" s="722"/>
      <c r="I3083" s="720"/>
      <c r="J3083" s="722"/>
      <c r="K3083" s="722"/>
      <c r="L3083" s="722"/>
      <c r="M3083" s="722"/>
      <c r="N3083" s="722"/>
      <c r="O3083" s="722"/>
      <c r="P3083" s="722"/>
      <c r="Q3083" s="722"/>
      <c r="R3083" s="722"/>
      <c r="S3083" s="722"/>
      <c r="T3083" s="720">
        <v>1</v>
      </c>
      <c r="U3083" s="324">
        <f t="shared" si="1103"/>
        <v>0</v>
      </c>
      <c r="V3083" s="724"/>
      <c r="W3083" s="720"/>
      <c r="X3083" s="725"/>
      <c r="Y3083" s="736"/>
      <c r="Z3083" s="727"/>
      <c r="AA3083" s="815">
        <f>SUM(D3083/1680)</f>
        <v>0</v>
      </c>
    </row>
    <row r="3084" spans="1:27" s="728" customFormat="1" ht="51.75" outlineLevel="1" thickBot="1" x14ac:dyDescent="0.45">
      <c r="A3084" s="636" t="s">
        <v>741</v>
      </c>
      <c r="B3084" s="634" t="s">
        <v>837</v>
      </c>
      <c r="C3084" s="720">
        <f>C3060</f>
        <v>0</v>
      </c>
      <c r="D3084" s="720">
        <f t="shared" si="1102"/>
        <v>0</v>
      </c>
      <c r="E3084" s="721"/>
      <c r="F3084" s="722"/>
      <c r="G3084" s="720"/>
      <c r="H3084" s="722"/>
      <c r="I3084" s="720"/>
      <c r="J3084" s="722"/>
      <c r="K3084" s="722"/>
      <c r="L3084" s="722"/>
      <c r="M3084" s="722"/>
      <c r="N3084" s="722"/>
      <c r="O3084" s="722"/>
      <c r="P3084" s="722"/>
      <c r="Q3084" s="722"/>
      <c r="R3084" s="722"/>
      <c r="S3084" s="722"/>
      <c r="T3084" s="720">
        <v>2</v>
      </c>
      <c r="U3084" s="324">
        <f t="shared" si="1103"/>
        <v>0</v>
      </c>
      <c r="V3084" s="724"/>
      <c r="W3084" s="720"/>
      <c r="X3084" s="725"/>
      <c r="Y3084" s="736"/>
      <c r="Z3084" s="727"/>
      <c r="AA3084" s="815">
        <f>SUM(D3084/1500)</f>
        <v>0</v>
      </c>
    </row>
    <row r="3085" spans="1:27" s="728" customFormat="1" ht="51.75" outlineLevel="1" thickBot="1" x14ac:dyDescent="0.45">
      <c r="A3085" s="636" t="s">
        <v>741</v>
      </c>
      <c r="B3085" s="634" t="s">
        <v>836</v>
      </c>
      <c r="C3085" s="720">
        <f>C3061</f>
        <v>0</v>
      </c>
      <c r="D3085" s="720">
        <f t="shared" si="1102"/>
        <v>0</v>
      </c>
      <c r="E3085" s="721"/>
      <c r="F3085" s="722"/>
      <c r="G3085" s="720"/>
      <c r="H3085" s="722"/>
      <c r="I3085" s="720"/>
      <c r="J3085" s="722"/>
      <c r="K3085" s="722"/>
      <c r="L3085" s="722"/>
      <c r="M3085" s="722"/>
      <c r="N3085" s="722"/>
      <c r="O3085" s="722"/>
      <c r="P3085" s="722"/>
      <c r="Q3085" s="722"/>
      <c r="R3085" s="722"/>
      <c r="S3085" s="722"/>
      <c r="T3085" s="720">
        <v>1</v>
      </c>
      <c r="U3085" s="324">
        <f t="shared" si="1103"/>
        <v>0</v>
      </c>
      <c r="V3085" s="724"/>
      <c r="W3085" s="720"/>
      <c r="X3085" s="725"/>
      <c r="Y3085" s="736"/>
      <c r="Z3085" s="727"/>
      <c r="AA3085" s="815">
        <f>SUM(D3085/1680)</f>
        <v>0</v>
      </c>
    </row>
    <row r="3086" spans="1:27" s="728" customFormat="1" ht="51.75" outlineLevel="1" thickBot="1" x14ac:dyDescent="0.45">
      <c r="A3086" s="636" t="s">
        <v>741</v>
      </c>
      <c r="B3086" s="634" t="s">
        <v>838</v>
      </c>
      <c r="C3086" s="720">
        <f>C3061</f>
        <v>0</v>
      </c>
      <c r="D3086" s="720">
        <f t="shared" si="1102"/>
        <v>0</v>
      </c>
      <c r="E3086" s="721"/>
      <c r="F3086" s="722"/>
      <c r="G3086" s="720"/>
      <c r="H3086" s="722"/>
      <c r="I3086" s="720"/>
      <c r="J3086" s="722"/>
      <c r="K3086" s="722"/>
      <c r="L3086" s="722"/>
      <c r="M3086" s="722"/>
      <c r="N3086" s="722"/>
      <c r="O3086" s="722"/>
      <c r="P3086" s="722"/>
      <c r="Q3086" s="722"/>
      <c r="R3086" s="722"/>
      <c r="S3086" s="722"/>
      <c r="T3086" s="720">
        <v>2</v>
      </c>
      <c r="U3086" s="324">
        <f t="shared" si="1103"/>
        <v>0</v>
      </c>
      <c r="V3086" s="724"/>
      <c r="W3086" s="720"/>
      <c r="X3086" s="725"/>
      <c r="Y3086" s="736"/>
      <c r="Z3086" s="727"/>
      <c r="AA3086" s="815">
        <f>SUM(D3086/1500)</f>
        <v>0</v>
      </c>
    </row>
    <row r="3087" spans="1:27" s="728" customFormat="1" outlineLevel="1" collapsed="1" thickBot="1" x14ac:dyDescent="0.45">
      <c r="A3087" s="636" t="s">
        <v>741</v>
      </c>
      <c r="B3087" s="634" t="s">
        <v>715</v>
      </c>
      <c r="C3087" s="720">
        <f>C3062</f>
        <v>0</v>
      </c>
      <c r="D3087" s="720">
        <f>C3087*10</f>
        <v>0</v>
      </c>
      <c r="E3087" s="721"/>
      <c r="F3087" s="722"/>
      <c r="G3087" s="720"/>
      <c r="H3087" s="722"/>
      <c r="I3087" s="720"/>
      <c r="J3087" s="722"/>
      <c r="K3087" s="722"/>
      <c r="L3087" s="722"/>
      <c r="M3087" s="722"/>
      <c r="N3087" s="722"/>
      <c r="O3087" s="722"/>
      <c r="P3087" s="722"/>
      <c r="Q3087" s="722"/>
      <c r="R3087" s="722"/>
      <c r="S3087" s="722"/>
      <c r="T3087" s="720">
        <v>1</v>
      </c>
      <c r="U3087" s="722">
        <f>E3087/272*60</f>
        <v>0</v>
      </c>
      <c r="V3087" s="724"/>
      <c r="W3087" s="720"/>
      <c r="X3087" s="725"/>
      <c r="Y3087" s="736"/>
      <c r="Z3087" s="727"/>
      <c r="AA3087" s="815">
        <f>SUM(D3087/1680)</f>
        <v>0</v>
      </c>
    </row>
    <row r="3088" spans="1:27" s="728" customFormat="1" outlineLevel="1" thickBot="1" x14ac:dyDescent="0.45">
      <c r="A3088" s="636" t="s">
        <v>741</v>
      </c>
      <c r="B3088" s="839" t="s">
        <v>721</v>
      </c>
      <c r="C3088" s="828">
        <f>C3062</f>
        <v>0</v>
      </c>
      <c r="D3088" s="720">
        <f>C3088*10</f>
        <v>0</v>
      </c>
      <c r="E3088" s="721"/>
      <c r="F3088" s="722"/>
      <c r="G3088" s="720"/>
      <c r="H3088" s="722"/>
      <c r="I3088" s="720"/>
      <c r="J3088" s="722"/>
      <c r="K3088" s="722"/>
      <c r="L3088" s="722"/>
      <c r="M3088" s="722"/>
      <c r="N3088" s="722"/>
      <c r="O3088" s="722"/>
      <c r="P3088" s="722"/>
      <c r="Q3088" s="722"/>
      <c r="R3088" s="722"/>
      <c r="S3088" s="722"/>
      <c r="T3088" s="720">
        <v>1</v>
      </c>
      <c r="U3088" s="722">
        <f>E3088/272*60</f>
        <v>0</v>
      </c>
      <c r="V3088" s="724"/>
      <c r="W3088" s="720"/>
      <c r="X3088" s="725"/>
      <c r="Y3088" s="736"/>
      <c r="Z3088" s="727"/>
      <c r="AA3088" s="815">
        <f>SUM(D3088/1500)</f>
        <v>0</v>
      </c>
    </row>
    <row r="3089" spans="1:28" ht="51.75" thickBot="1" x14ac:dyDescent="0.45">
      <c r="A3089" s="319" t="s">
        <v>741</v>
      </c>
      <c r="B3089" s="320" t="s">
        <v>912</v>
      </c>
      <c r="C3089" s="528">
        <f>C3063</f>
        <v>0</v>
      </c>
      <c r="D3089" s="528">
        <f>C3089*10</f>
        <v>0</v>
      </c>
      <c r="E3089" s="460"/>
      <c r="F3089" s="324"/>
      <c r="G3089" s="528"/>
      <c r="H3089" s="324"/>
      <c r="I3089" s="528"/>
      <c r="J3089" s="324"/>
      <c r="K3089" s="324"/>
      <c r="L3089" s="324"/>
      <c r="M3089" s="324"/>
      <c r="N3089" s="324"/>
      <c r="O3089" s="324"/>
      <c r="P3089" s="324"/>
      <c r="Q3089" s="324"/>
      <c r="R3089" s="324"/>
      <c r="S3089" s="324"/>
      <c r="T3089" s="528">
        <v>1</v>
      </c>
      <c r="U3089" s="324">
        <f>E3089/272*60</f>
        <v>0</v>
      </c>
      <c r="V3089" s="676"/>
      <c r="W3089" s="528"/>
      <c r="X3089" s="529"/>
      <c r="Y3089" s="323"/>
      <c r="AA3089" s="316">
        <f>SUM(D3089/1680)</f>
        <v>0</v>
      </c>
    </row>
    <row r="3090" spans="1:28" ht="51.75" thickBot="1" x14ac:dyDescent="0.45">
      <c r="A3090" s="319" t="s">
        <v>741</v>
      </c>
      <c r="B3090" s="320" t="s">
        <v>913</v>
      </c>
      <c r="C3090" s="528">
        <f>C3063</f>
        <v>0</v>
      </c>
      <c r="D3090" s="528">
        <f>C3090*10</f>
        <v>0</v>
      </c>
      <c r="E3090" s="460"/>
      <c r="F3090" s="324"/>
      <c r="G3090" s="528"/>
      <c r="H3090" s="324"/>
      <c r="I3090" s="528"/>
      <c r="J3090" s="324"/>
      <c r="K3090" s="324"/>
      <c r="L3090" s="324"/>
      <c r="M3090" s="324"/>
      <c r="N3090" s="324"/>
      <c r="O3090" s="324"/>
      <c r="P3090" s="324"/>
      <c r="Q3090" s="324"/>
      <c r="R3090" s="324"/>
      <c r="S3090" s="324"/>
      <c r="T3090" s="528">
        <v>1</v>
      </c>
      <c r="U3090" s="324">
        <f>E3090/272*60</f>
        <v>0</v>
      </c>
      <c r="V3090" s="676"/>
      <c r="W3090" s="528"/>
      <c r="X3090" s="529"/>
      <c r="Y3090" s="323"/>
      <c r="AA3090" s="316">
        <f>SUM(D3090/1500)</f>
        <v>0</v>
      </c>
    </row>
    <row r="3091" spans="1:28" ht="51.75" thickBot="1" x14ac:dyDescent="0.45">
      <c r="A3091" s="319" t="s">
        <v>741</v>
      </c>
      <c r="B3091" s="425" t="str">
        <f>B3064</f>
        <v>Крой Зефир  без сахара (в ассортименте) крышка 160 г  12шт</v>
      </c>
      <c r="C3091" s="583">
        <f>C3064</f>
        <v>0</v>
      </c>
      <c r="D3091" s="528">
        <f>C3091*12</f>
        <v>0</v>
      </c>
      <c r="E3091" s="622"/>
      <c r="F3091" s="324"/>
      <c r="G3091" s="528"/>
      <c r="H3091" s="324"/>
      <c r="I3091" s="528"/>
      <c r="J3091" s="324"/>
      <c r="K3091" s="324"/>
      <c r="L3091" s="324"/>
      <c r="M3091" s="324"/>
      <c r="N3091" s="324"/>
      <c r="O3091" s="324"/>
      <c r="P3091" s="324"/>
      <c r="Q3091" s="324"/>
      <c r="R3091" s="324"/>
      <c r="S3091" s="324"/>
      <c r="T3091" s="528">
        <v>1</v>
      </c>
      <c r="U3091" s="324">
        <f>D3091/375</f>
        <v>0</v>
      </c>
      <c r="V3091" s="676"/>
      <c r="W3091" s="528"/>
      <c r="X3091" s="529"/>
      <c r="Y3091" s="323"/>
      <c r="AA3091" s="316">
        <f>SUM(D3091/1680)</f>
        <v>0</v>
      </c>
    </row>
    <row r="3092" spans="1:28" ht="51.75" thickBot="1" x14ac:dyDescent="0.45">
      <c r="A3092" s="319" t="s">
        <v>741</v>
      </c>
      <c r="B3092" s="320" t="s">
        <v>1202</v>
      </c>
      <c r="C3092" s="528">
        <f>C3064</f>
        <v>0</v>
      </c>
      <c r="D3092" s="528">
        <f>C3092*12</f>
        <v>0</v>
      </c>
      <c r="E3092" s="460"/>
      <c r="F3092" s="324"/>
      <c r="G3092" s="528"/>
      <c r="H3092" s="324"/>
      <c r="I3092" s="528"/>
      <c r="J3092" s="324"/>
      <c r="K3092" s="324"/>
      <c r="L3092" s="324"/>
      <c r="M3092" s="324"/>
      <c r="N3092" s="324"/>
      <c r="O3092" s="324"/>
      <c r="P3092" s="324"/>
      <c r="Q3092" s="324"/>
      <c r="R3092" s="324"/>
      <c r="S3092" s="324"/>
      <c r="T3092" s="528">
        <v>1</v>
      </c>
      <c r="U3092" s="324">
        <f>E3092/207*60</f>
        <v>0</v>
      </c>
      <c r="V3092" s="676"/>
      <c r="W3092" s="528"/>
      <c r="X3092" s="529"/>
      <c r="Y3092" s="323"/>
      <c r="AA3092" s="316">
        <f>SUM(D3092/1500)</f>
        <v>0</v>
      </c>
    </row>
    <row r="3093" spans="1:28" ht="51.75" thickBot="1" x14ac:dyDescent="0.45">
      <c r="A3093" s="319" t="s">
        <v>741</v>
      </c>
      <c r="B3093" s="425" t="str">
        <f>B3065</f>
        <v>Крой Зефир  без сахара (в ассортименте) крышка 160 г  8 шт</v>
      </c>
      <c r="C3093" s="583">
        <f>C3065</f>
        <v>0</v>
      </c>
      <c r="D3093" s="528">
        <f>C3093*8</f>
        <v>0</v>
      </c>
      <c r="E3093" s="622"/>
      <c r="F3093" s="324"/>
      <c r="G3093" s="528"/>
      <c r="H3093" s="324"/>
      <c r="I3093" s="528"/>
      <c r="J3093" s="324"/>
      <c r="K3093" s="324"/>
      <c r="L3093" s="324"/>
      <c r="M3093" s="324"/>
      <c r="N3093" s="324"/>
      <c r="O3093" s="324"/>
      <c r="P3093" s="324"/>
      <c r="Q3093" s="324"/>
      <c r="R3093" s="324"/>
      <c r="S3093" s="324"/>
      <c r="T3093" s="528">
        <v>1</v>
      </c>
      <c r="U3093" s="324">
        <f>D3093/375</f>
        <v>0</v>
      </c>
      <c r="V3093" s="676"/>
      <c r="W3093" s="528"/>
      <c r="X3093" s="529"/>
      <c r="Y3093" s="323"/>
      <c r="AA3093" s="316">
        <f>SUM(D3093/1680)</f>
        <v>0</v>
      </c>
    </row>
    <row r="3094" spans="1:28" ht="51.75" thickBot="1" x14ac:dyDescent="0.45">
      <c r="A3094" s="319" t="s">
        <v>741</v>
      </c>
      <c r="B3094" s="320" t="s">
        <v>1026</v>
      </c>
      <c r="C3094" s="528">
        <f>C3065</f>
        <v>0</v>
      </c>
      <c r="D3094" s="528">
        <f>C3094*8</f>
        <v>0</v>
      </c>
      <c r="E3094" s="460"/>
      <c r="F3094" s="324"/>
      <c r="G3094" s="528"/>
      <c r="H3094" s="324"/>
      <c r="I3094" s="528"/>
      <c r="J3094" s="324"/>
      <c r="K3094" s="324"/>
      <c r="L3094" s="324"/>
      <c r="M3094" s="324"/>
      <c r="N3094" s="324"/>
      <c r="O3094" s="324"/>
      <c r="P3094" s="324"/>
      <c r="Q3094" s="324"/>
      <c r="R3094" s="324"/>
      <c r="S3094" s="324"/>
      <c r="T3094" s="528">
        <v>1</v>
      </c>
      <c r="U3094" s="324">
        <f>E3094/207*60</f>
        <v>0</v>
      </c>
      <c r="V3094" s="676"/>
      <c r="W3094" s="528"/>
      <c r="X3094" s="529"/>
      <c r="Y3094" s="323"/>
      <c r="AA3094" s="316">
        <f>SUM(D3094/1500)</f>
        <v>0</v>
      </c>
    </row>
    <row r="3095" spans="1:28" ht="80.25" customHeight="1" thickBot="1" x14ac:dyDescent="0.45">
      <c r="A3095" s="319" t="s">
        <v>741</v>
      </c>
      <c r="B3095" s="425" t="str">
        <f>B3066</f>
        <v>Крой Зефир  без сахара (в ассортименте) крышка 160 г  10 шт Вайлдберриз</v>
      </c>
      <c r="C3095" s="583">
        <f>C3066</f>
        <v>0</v>
      </c>
      <c r="D3095" s="528">
        <f>C3095*10</f>
        <v>0</v>
      </c>
      <c r="E3095" s="622"/>
      <c r="F3095" s="324"/>
      <c r="G3095" s="528"/>
      <c r="H3095" s="324"/>
      <c r="I3095" s="528"/>
      <c r="J3095" s="324"/>
      <c r="K3095" s="324"/>
      <c r="L3095" s="324"/>
      <c r="M3095" s="324"/>
      <c r="N3095" s="324"/>
      <c r="O3095" s="324"/>
      <c r="P3095" s="324"/>
      <c r="Q3095" s="324"/>
      <c r="R3095" s="324"/>
      <c r="S3095" s="324"/>
      <c r="T3095" s="528">
        <v>1</v>
      </c>
      <c r="U3095" s="324">
        <f>D3095/375</f>
        <v>0</v>
      </c>
      <c r="V3095" s="676"/>
      <c r="W3095" s="528"/>
      <c r="X3095" s="529"/>
      <c r="Y3095" s="323"/>
      <c r="AA3095" s="316">
        <f>SUM(D3095/1680)</f>
        <v>0</v>
      </c>
    </row>
    <row r="3096" spans="1:28" ht="77.25" thickBot="1" x14ac:dyDescent="0.45">
      <c r="A3096" s="319" t="s">
        <v>741</v>
      </c>
      <c r="B3096" s="320" t="s">
        <v>1217</v>
      </c>
      <c r="C3096" s="528">
        <f>C3066</f>
        <v>0</v>
      </c>
      <c r="D3096" s="528">
        <f>C3096*10</f>
        <v>0</v>
      </c>
      <c r="E3096" s="460"/>
      <c r="F3096" s="324"/>
      <c r="G3096" s="528"/>
      <c r="H3096" s="324"/>
      <c r="I3096" s="528"/>
      <c r="J3096" s="324"/>
      <c r="K3096" s="324"/>
      <c r="L3096" s="324"/>
      <c r="M3096" s="324"/>
      <c r="N3096" s="324"/>
      <c r="O3096" s="324"/>
      <c r="P3096" s="324"/>
      <c r="Q3096" s="324"/>
      <c r="R3096" s="324"/>
      <c r="S3096" s="324"/>
      <c r="T3096" s="528">
        <v>1</v>
      </c>
      <c r="U3096" s="324">
        <f>E3096/207*60</f>
        <v>0</v>
      </c>
      <c r="V3096" s="676"/>
      <c r="W3096" s="528"/>
      <c r="X3096" s="529"/>
      <c r="Y3096" s="323"/>
      <c r="AA3096" s="316">
        <f>SUM(D3096/1500)</f>
        <v>0</v>
      </c>
    </row>
    <row r="3097" spans="1:28" ht="77.25" thickBot="1" x14ac:dyDescent="0.45">
      <c r="A3097" s="319" t="s">
        <v>741</v>
      </c>
      <c r="B3097" s="320" t="s">
        <v>962</v>
      </c>
      <c r="C3097" s="528">
        <f>C3067</f>
        <v>0</v>
      </c>
      <c r="D3097" s="525">
        <f>C3097*10</f>
        <v>0</v>
      </c>
      <c r="E3097" s="545"/>
      <c r="F3097" s="461"/>
      <c r="G3097" s="525"/>
      <c r="H3097" s="461"/>
      <c r="I3097" s="525"/>
      <c r="J3097" s="461"/>
      <c r="K3097" s="461"/>
      <c r="L3097" s="461"/>
      <c r="M3097" s="461"/>
      <c r="N3097" s="461"/>
      <c r="O3097" s="461"/>
      <c r="P3097" s="461"/>
      <c r="Q3097" s="324"/>
      <c r="R3097" s="324"/>
      <c r="S3097" s="324"/>
      <c r="T3097" s="528">
        <v>1</v>
      </c>
      <c r="U3097" s="324">
        <f>E3097/272*60</f>
        <v>0</v>
      </c>
      <c r="V3097" s="676"/>
      <c r="W3097" s="528"/>
      <c r="X3097" s="529"/>
      <c r="Y3097" s="323"/>
      <c r="AA3097" s="316">
        <f>SUM(D3097/1680)</f>
        <v>0</v>
      </c>
    </row>
    <row r="3098" spans="1:28" ht="77.25" thickBot="1" x14ac:dyDescent="0.45">
      <c r="A3098" s="319" t="s">
        <v>741</v>
      </c>
      <c r="B3098" s="442" t="s">
        <v>963</v>
      </c>
      <c r="C3098" s="561">
        <f>C3067</f>
        <v>0</v>
      </c>
      <c r="D3098" s="525">
        <f>C3098*10</f>
        <v>0</v>
      </c>
      <c r="E3098" s="545"/>
      <c r="F3098" s="461"/>
      <c r="G3098" s="525"/>
      <c r="H3098" s="461"/>
      <c r="I3098" s="525"/>
      <c r="J3098" s="461"/>
      <c r="K3098" s="461"/>
      <c r="L3098" s="461"/>
      <c r="M3098" s="461"/>
      <c r="N3098" s="461"/>
      <c r="O3098" s="461"/>
      <c r="P3098" s="461"/>
      <c r="Q3098" s="324"/>
      <c r="R3098" s="324"/>
      <c r="S3098" s="324"/>
      <c r="T3098" s="528">
        <v>1</v>
      </c>
      <c r="U3098" s="324">
        <f>E3098/272*60</f>
        <v>0</v>
      </c>
      <c r="V3098" s="676"/>
      <c r="W3098" s="528"/>
      <c r="X3098" s="529"/>
      <c r="Y3098" s="323"/>
      <c r="AA3098" s="316">
        <f>SUM(D3098/1500)</f>
        <v>0</v>
      </c>
    </row>
    <row r="3099" spans="1:28" ht="77.25" thickBot="1" x14ac:dyDescent="0.45">
      <c r="A3099" s="319" t="s">
        <v>741</v>
      </c>
      <c r="B3099" s="424" t="s">
        <v>1056</v>
      </c>
      <c r="C3099" s="561">
        <f>C2897</f>
        <v>0</v>
      </c>
      <c r="D3099" s="528">
        <f>C3099*12</f>
        <v>0</v>
      </c>
      <c r="E3099" s="460"/>
      <c r="F3099" s="324"/>
      <c r="G3099" s="528"/>
      <c r="H3099" s="324"/>
      <c r="I3099" s="528"/>
      <c r="J3099" s="324"/>
      <c r="K3099" s="324"/>
      <c r="L3099" s="324"/>
      <c r="M3099" s="324"/>
      <c r="N3099" s="324"/>
      <c r="O3099" s="324"/>
      <c r="P3099" s="324"/>
      <c r="Q3099" s="324"/>
      <c r="R3099" s="324"/>
      <c r="S3099" s="324"/>
      <c r="T3099" s="528">
        <v>5</v>
      </c>
      <c r="U3099" s="324">
        <f>E3099/272*60</f>
        <v>0</v>
      </c>
      <c r="V3099" s="676"/>
      <c r="W3099" s="528"/>
      <c r="X3099" s="529"/>
      <c r="Y3099" s="323"/>
      <c r="AA3099" s="316">
        <f>SUM(D3099/155.4)</f>
        <v>0</v>
      </c>
    </row>
    <row r="3100" spans="1:28" thickBot="1" x14ac:dyDescent="0.45">
      <c r="A3100" s="893" t="s">
        <v>673</v>
      </c>
      <c r="B3100" s="894"/>
      <c r="C3100" s="894"/>
      <c r="D3100" s="894"/>
      <c r="E3100" s="894"/>
      <c r="F3100" s="894"/>
      <c r="G3100" s="894"/>
      <c r="H3100" s="894"/>
      <c r="I3100" s="894"/>
      <c r="J3100" s="894"/>
      <c r="K3100" s="894"/>
      <c r="L3100" s="894"/>
      <c r="M3100" s="894"/>
      <c r="N3100" s="894"/>
      <c r="O3100" s="894"/>
      <c r="P3100" s="894"/>
      <c r="Q3100" s="894"/>
      <c r="R3100" s="894"/>
      <c r="S3100" s="894"/>
      <c r="T3100" s="894"/>
      <c r="U3100" s="894"/>
      <c r="V3100" s="894"/>
      <c r="W3100" s="894"/>
      <c r="X3100" s="894"/>
      <c r="Y3100" s="895"/>
    </row>
    <row r="3101" spans="1:28" ht="77.25" thickBot="1" x14ac:dyDescent="0.45">
      <c r="A3101" s="319" t="s">
        <v>262</v>
      </c>
      <c r="B3101" s="320" t="s">
        <v>894</v>
      </c>
      <c r="C3101" s="528">
        <f>C145+C367+C595</f>
        <v>0</v>
      </c>
      <c r="D3101" s="532">
        <f>C3101*12</f>
        <v>0</v>
      </c>
      <c r="E3101" s="472">
        <f>D3101*0.27</f>
        <v>0</v>
      </c>
      <c r="F3101" s="472">
        <f>E3101*1.03*0.87/19.3</f>
        <v>0</v>
      </c>
      <c r="G3101" s="531">
        <f t="shared" ref="G3101:G3109" si="1104">INT(M3101)</f>
        <v>0</v>
      </c>
      <c r="H3101" s="472" t="s">
        <v>18</v>
      </c>
      <c r="I3101" s="531">
        <f t="shared" ref="I3101:I3109" si="1105">(M3101-G3101)*64</f>
        <v>0</v>
      </c>
      <c r="J3101" s="472" t="s">
        <v>19</v>
      </c>
      <c r="K3101" s="472"/>
      <c r="L3101" s="472"/>
      <c r="M3101" s="472">
        <f>(F3101*877/2880)</f>
        <v>0</v>
      </c>
      <c r="N3101" s="472"/>
      <c r="O3101" s="461"/>
      <c r="P3101" s="461"/>
      <c r="Q3101" s="461" t="s">
        <v>18</v>
      </c>
      <c r="R3101" s="461"/>
      <c r="S3101" s="461" t="s">
        <v>19</v>
      </c>
      <c r="T3101" s="528">
        <v>1</v>
      </c>
      <c r="U3101" s="324">
        <f>E3101/259*60</f>
        <v>0</v>
      </c>
      <c r="V3101" s="676"/>
      <c r="W3101" s="528"/>
      <c r="X3101" s="529"/>
      <c r="Y3101" s="323"/>
      <c r="AA3101" s="316">
        <f>D3101/240</f>
        <v>0</v>
      </c>
      <c r="AB3101" s="352"/>
    </row>
    <row r="3102" spans="1:28" ht="77.25" thickBot="1" x14ac:dyDescent="0.45">
      <c r="A3102" s="319" t="s">
        <v>262</v>
      </c>
      <c r="B3102" s="320" t="s">
        <v>1005</v>
      </c>
      <c r="C3102" s="528">
        <f>C144+C368+C596</f>
        <v>0</v>
      </c>
      <c r="D3102" s="718">
        <f>C3102*1</f>
        <v>0</v>
      </c>
      <c r="E3102" s="546">
        <f>D3102*0.65</f>
        <v>0</v>
      </c>
      <c r="F3102" s="546">
        <f>E3102*1.03*0.87/19.3</f>
        <v>0</v>
      </c>
      <c r="G3102" s="639">
        <f t="shared" si="1104"/>
        <v>0</v>
      </c>
      <c r="H3102" s="546" t="s">
        <v>18</v>
      </c>
      <c r="I3102" s="639">
        <f t="shared" si="1105"/>
        <v>0</v>
      </c>
      <c r="J3102" s="546" t="s">
        <v>19</v>
      </c>
      <c r="K3102" s="546"/>
      <c r="L3102" s="546"/>
      <c r="M3102" s="546">
        <f>(F3102*877/2880)</f>
        <v>0</v>
      </c>
      <c r="N3102" s="546"/>
      <c r="O3102" s="324"/>
      <c r="P3102" s="324"/>
      <c r="Q3102" s="324" t="s">
        <v>18</v>
      </c>
      <c r="R3102" s="324"/>
      <c r="S3102" s="324" t="s">
        <v>19</v>
      </c>
      <c r="T3102" s="528">
        <v>1</v>
      </c>
      <c r="U3102" s="324">
        <f>E3102/259*60</f>
        <v>0</v>
      </c>
      <c r="V3102" s="676"/>
      <c r="W3102" s="528"/>
      <c r="X3102" s="529"/>
      <c r="Y3102" s="323"/>
      <c r="AA3102" s="316">
        <f t="shared" ref="AA3102:AA3121" si="1106">D3102/240</f>
        <v>0</v>
      </c>
      <c r="AB3102" s="352"/>
    </row>
    <row r="3103" spans="1:28" ht="51.75" thickBot="1" x14ac:dyDescent="0.45">
      <c r="A3103" s="319" t="s">
        <v>262</v>
      </c>
      <c r="B3103" s="320" t="s">
        <v>815</v>
      </c>
      <c r="C3103" s="586">
        <f>C893+C1074</f>
        <v>1000</v>
      </c>
      <c r="D3103" s="551">
        <f t="shared" ref="D3103:D3110" si="1107">C3103*12</f>
        <v>12000</v>
      </c>
      <c r="E3103" s="456">
        <f>D3103*0.5</f>
        <v>6000</v>
      </c>
      <c r="F3103" s="358">
        <f>E3103*1.02*0.99/147</f>
        <v>41.216326530612243</v>
      </c>
      <c r="G3103" s="548">
        <f t="shared" si="1104"/>
        <v>75</v>
      </c>
      <c r="H3103" s="358" t="s">
        <v>18</v>
      </c>
      <c r="I3103" s="548">
        <f t="shared" si="1105"/>
        <v>14.982857142857029</v>
      </c>
      <c r="J3103" s="358" t="s">
        <v>19</v>
      </c>
      <c r="K3103" s="358"/>
      <c r="L3103" s="358"/>
      <c r="M3103" s="358">
        <f>(F3103*5257)/2880</f>
        <v>75.234107142857141</v>
      </c>
      <c r="N3103" s="358"/>
      <c r="O3103" s="358"/>
      <c r="P3103" s="358"/>
      <c r="Q3103" s="358" t="s">
        <v>18</v>
      </c>
      <c r="R3103" s="358"/>
      <c r="S3103" s="358" t="s">
        <v>19</v>
      </c>
      <c r="T3103" s="528">
        <v>1</v>
      </c>
      <c r="U3103" s="324"/>
      <c r="V3103" s="676"/>
      <c r="W3103" s="528"/>
      <c r="X3103" s="529"/>
      <c r="Y3103" s="323"/>
      <c r="AA3103" s="316">
        <f t="shared" si="1106"/>
        <v>50</v>
      </c>
    </row>
    <row r="3104" spans="1:28" ht="77.25" thickBot="1" x14ac:dyDescent="0.45">
      <c r="A3104" s="319" t="s">
        <v>262</v>
      </c>
      <c r="B3104" s="320" t="s">
        <v>825</v>
      </c>
      <c r="C3104" s="586">
        <f>C894+C1075</f>
        <v>1000</v>
      </c>
      <c r="D3104" s="551">
        <f t="shared" si="1107"/>
        <v>12000</v>
      </c>
      <c r="E3104" s="456">
        <f>D3104*0.5</f>
        <v>6000</v>
      </c>
      <c r="F3104" s="358">
        <f>E3104*1.02*0.99/147</f>
        <v>41.216326530612243</v>
      </c>
      <c r="G3104" s="548">
        <f t="shared" si="1104"/>
        <v>75</v>
      </c>
      <c r="H3104" s="358" t="s">
        <v>18</v>
      </c>
      <c r="I3104" s="548">
        <f t="shared" si="1105"/>
        <v>14.982857142857029</v>
      </c>
      <c r="J3104" s="358" t="s">
        <v>19</v>
      </c>
      <c r="K3104" s="358"/>
      <c r="L3104" s="358"/>
      <c r="M3104" s="358">
        <f>(F3104*5257)/2880</f>
        <v>75.234107142857141</v>
      </c>
      <c r="N3104" s="358"/>
      <c r="O3104" s="358"/>
      <c r="P3104" s="358"/>
      <c r="Q3104" s="358" t="s">
        <v>18</v>
      </c>
      <c r="R3104" s="358"/>
      <c r="S3104" s="358" t="s">
        <v>19</v>
      </c>
      <c r="T3104" s="528">
        <v>1</v>
      </c>
      <c r="U3104" s="324"/>
      <c r="V3104" s="676"/>
      <c r="W3104" s="528"/>
      <c r="X3104" s="529"/>
      <c r="Y3104" s="323"/>
      <c r="AA3104" s="316">
        <f t="shared" si="1106"/>
        <v>50</v>
      </c>
    </row>
    <row r="3105" spans="1:27" ht="51.75" thickBot="1" x14ac:dyDescent="0.45">
      <c r="A3105" s="319" t="s">
        <v>262</v>
      </c>
      <c r="B3105" s="320" t="s">
        <v>826</v>
      </c>
      <c r="C3105" s="586">
        <f>C325+C555+C775+C895+C1076</f>
        <v>1000</v>
      </c>
      <c r="D3105" s="551">
        <f t="shared" si="1107"/>
        <v>12000</v>
      </c>
      <c r="E3105" s="456">
        <f>D3105*0.5</f>
        <v>6000</v>
      </c>
      <c r="F3105" s="358">
        <f>E3105*1.02*0.99/147</f>
        <v>41.216326530612243</v>
      </c>
      <c r="G3105" s="548">
        <f t="shared" si="1104"/>
        <v>75</v>
      </c>
      <c r="H3105" s="358" t="s">
        <v>18</v>
      </c>
      <c r="I3105" s="548">
        <f t="shared" si="1105"/>
        <v>14.982857142857029</v>
      </c>
      <c r="J3105" s="358" t="s">
        <v>19</v>
      </c>
      <c r="K3105" s="358"/>
      <c r="L3105" s="358"/>
      <c r="M3105" s="358">
        <f>(F3105*5257)/2880</f>
        <v>75.234107142857141</v>
      </c>
      <c r="N3105" s="358"/>
      <c r="O3105" s="358"/>
      <c r="P3105" s="358"/>
      <c r="Q3105" s="358" t="s">
        <v>18</v>
      </c>
      <c r="R3105" s="358"/>
      <c r="S3105" s="358" t="s">
        <v>19</v>
      </c>
      <c r="T3105" s="528">
        <v>1</v>
      </c>
      <c r="U3105" s="324"/>
      <c r="V3105" s="676"/>
      <c r="W3105" s="528"/>
      <c r="X3105" s="529"/>
      <c r="Y3105" s="323"/>
      <c r="AA3105" s="316">
        <f>D3105/240</f>
        <v>50</v>
      </c>
    </row>
    <row r="3106" spans="1:27" ht="77.25" thickBot="1" x14ac:dyDescent="0.45">
      <c r="A3106" s="319" t="s">
        <v>262</v>
      </c>
      <c r="B3106" s="480" t="s">
        <v>1083</v>
      </c>
      <c r="C3106" s="586">
        <f>C612+C160+C384</f>
        <v>0</v>
      </c>
      <c r="D3106" s="626"/>
      <c r="E3106" s="358">
        <f>C3106*0.4</f>
        <v>0</v>
      </c>
      <c r="F3106" s="627">
        <f>E3106*1.03*0.85/147</f>
        <v>0</v>
      </c>
      <c r="G3106" s="628">
        <f t="shared" si="1104"/>
        <v>0</v>
      </c>
      <c r="H3106" s="359"/>
      <c r="I3106" s="628">
        <f t="shared" si="1105"/>
        <v>0</v>
      </c>
      <c r="J3106" s="629"/>
      <c r="K3106" s="630"/>
      <c r="L3106" s="630"/>
      <c r="M3106" s="627">
        <f>F3106*147/0.57/64</f>
        <v>0</v>
      </c>
      <c r="N3106" s="631"/>
      <c r="O3106" s="631"/>
      <c r="P3106" s="631"/>
      <c r="Q3106" s="358" t="s">
        <v>18</v>
      </c>
      <c r="R3106" s="358"/>
      <c r="S3106" s="358" t="s">
        <v>19</v>
      </c>
      <c r="T3106" s="528">
        <v>1</v>
      </c>
      <c r="U3106" s="324"/>
      <c r="V3106" s="676"/>
      <c r="W3106" s="528"/>
      <c r="X3106" s="529"/>
      <c r="Y3106" s="323"/>
      <c r="AA3106" s="316">
        <f t="shared" si="1106"/>
        <v>0</v>
      </c>
    </row>
    <row r="3107" spans="1:27" ht="51.75" thickBot="1" x14ac:dyDescent="0.45">
      <c r="A3107" s="319" t="s">
        <v>262</v>
      </c>
      <c r="B3107" s="480" t="s">
        <v>1084</v>
      </c>
      <c r="C3107" s="586">
        <f>C161+C385+C613</f>
        <v>0</v>
      </c>
      <c r="D3107" s="626"/>
      <c r="E3107" s="358">
        <f>C3107*0.4</f>
        <v>0</v>
      </c>
      <c r="F3107" s="627">
        <f>E3107*1.03*0.82/147</f>
        <v>0</v>
      </c>
      <c r="G3107" s="628">
        <f t="shared" si="1104"/>
        <v>0</v>
      </c>
      <c r="H3107" s="359"/>
      <c r="I3107" s="628">
        <f t="shared" si="1105"/>
        <v>0</v>
      </c>
      <c r="J3107" s="629" t="s">
        <v>19</v>
      </c>
      <c r="K3107" s="630"/>
      <c r="L3107" s="630"/>
      <c r="M3107" s="627">
        <f>F3107*147/0.46/64</f>
        <v>0</v>
      </c>
      <c r="N3107" s="631"/>
      <c r="O3107" s="631"/>
      <c r="P3107" s="631"/>
      <c r="Q3107" s="358" t="s">
        <v>18</v>
      </c>
      <c r="R3107" s="358"/>
      <c r="S3107" s="358" t="s">
        <v>19</v>
      </c>
      <c r="T3107" s="528">
        <v>1</v>
      </c>
      <c r="U3107" s="324"/>
      <c r="V3107" s="676"/>
      <c r="W3107" s="528"/>
      <c r="X3107" s="529"/>
      <c r="Y3107" s="323"/>
      <c r="AA3107" s="316">
        <f t="shared" si="1106"/>
        <v>0</v>
      </c>
    </row>
    <row r="3108" spans="1:27" ht="77.25" thickBot="1" x14ac:dyDescent="0.45">
      <c r="A3108" s="319" t="s">
        <v>262</v>
      </c>
      <c r="B3108" s="320" t="s">
        <v>904</v>
      </c>
      <c r="C3108" s="586">
        <f>C326+C556+C784+C958+C1112</f>
        <v>0</v>
      </c>
      <c r="D3108" s="569">
        <f t="shared" si="1107"/>
        <v>0</v>
      </c>
      <c r="E3108" s="458">
        <f>D3108*0.55</f>
        <v>0</v>
      </c>
      <c r="F3108" s="358">
        <f>E3108*0.9*1.01/147</f>
        <v>0</v>
      </c>
      <c r="G3108" s="556">
        <f t="shared" si="1104"/>
        <v>0</v>
      </c>
      <c r="H3108" s="366" t="s">
        <v>18</v>
      </c>
      <c r="I3108" s="556">
        <f t="shared" si="1105"/>
        <v>0</v>
      </c>
      <c r="J3108" s="366" t="s">
        <v>19</v>
      </c>
      <c r="K3108" s="366"/>
      <c r="L3108" s="366"/>
      <c r="M3108" s="570">
        <f>(F3108*5300/3456)</f>
        <v>0</v>
      </c>
      <c r="N3108" s="366"/>
      <c r="O3108" s="366"/>
      <c r="P3108" s="366"/>
      <c r="Q3108" s="366" t="s">
        <v>18</v>
      </c>
      <c r="R3108" s="366"/>
      <c r="S3108" s="366" t="s">
        <v>19</v>
      </c>
      <c r="T3108" s="528">
        <v>1</v>
      </c>
      <c r="U3108" s="324"/>
      <c r="V3108" s="676"/>
      <c r="W3108" s="528"/>
      <c r="X3108" s="529"/>
      <c r="Y3108" s="400"/>
      <c r="AA3108" s="316">
        <f t="shared" si="1106"/>
        <v>0</v>
      </c>
    </row>
    <row r="3109" spans="1:27" ht="77.25" thickBot="1" x14ac:dyDescent="0.45">
      <c r="A3109" s="319" t="s">
        <v>262</v>
      </c>
      <c r="B3109" s="320" t="s">
        <v>905</v>
      </c>
      <c r="C3109" s="586">
        <f>C327+C557+C785+C959+C1113</f>
        <v>0</v>
      </c>
      <c r="D3109" s="569">
        <f t="shared" si="1107"/>
        <v>0</v>
      </c>
      <c r="E3109" s="458">
        <f>D3109*0.55</f>
        <v>0</v>
      </c>
      <c r="F3109" s="358">
        <f>E3109*0.9*1.01/147</f>
        <v>0</v>
      </c>
      <c r="G3109" s="556">
        <f t="shared" si="1104"/>
        <v>0</v>
      </c>
      <c r="H3109" s="366" t="s">
        <v>18</v>
      </c>
      <c r="I3109" s="556">
        <f t="shared" si="1105"/>
        <v>0</v>
      </c>
      <c r="J3109" s="366" t="s">
        <v>19</v>
      </c>
      <c r="K3109" s="366"/>
      <c r="L3109" s="366"/>
      <c r="M3109" s="570">
        <f>(F3109*5300/3456)</f>
        <v>0</v>
      </c>
      <c r="N3109" s="366"/>
      <c r="O3109" s="366"/>
      <c r="P3109" s="366"/>
      <c r="Q3109" s="366" t="s">
        <v>18</v>
      </c>
      <c r="R3109" s="366"/>
      <c r="S3109" s="366" t="s">
        <v>19</v>
      </c>
      <c r="T3109" s="528">
        <v>1</v>
      </c>
      <c r="U3109" s="324"/>
      <c r="V3109" s="676"/>
      <c r="W3109" s="528"/>
      <c r="X3109" s="529"/>
      <c r="Y3109" s="663"/>
      <c r="AA3109" s="316">
        <f t="shared" si="1106"/>
        <v>0</v>
      </c>
    </row>
    <row r="3110" spans="1:27" ht="77.25" thickBot="1" x14ac:dyDescent="0.45">
      <c r="A3110" s="319" t="s">
        <v>262</v>
      </c>
      <c r="B3110" s="343" t="s">
        <v>827</v>
      </c>
      <c r="C3110" s="586">
        <f>C837+C1018+C218+C448+C678</f>
        <v>0</v>
      </c>
      <c r="D3110" s="548">
        <f t="shared" si="1107"/>
        <v>0</v>
      </c>
      <c r="E3110" s="456">
        <f>D3110*0.6</f>
        <v>0</v>
      </c>
      <c r="F3110" s="358">
        <f>E3110*1.03*0.82/147</f>
        <v>0</v>
      </c>
      <c r="G3110" s="549">
        <f t="shared" ref="G3110:G3116" si="1108">INT(M3110)</f>
        <v>0</v>
      </c>
      <c r="H3110" s="359" t="s">
        <v>18</v>
      </c>
      <c r="I3110" s="549">
        <f t="shared" ref="I3110:I3116" si="1109">(M3110-G3110)*64</f>
        <v>0</v>
      </c>
      <c r="J3110" s="359" t="s">
        <v>19</v>
      </c>
      <c r="K3110" s="358"/>
      <c r="L3110" s="358"/>
      <c r="M3110" s="358">
        <f>(F3110*5250/3456)</f>
        <v>0</v>
      </c>
      <c r="N3110" s="358"/>
      <c r="O3110" s="358"/>
      <c r="P3110" s="358"/>
      <c r="Q3110" s="358" t="s">
        <v>18</v>
      </c>
      <c r="R3110" s="358"/>
      <c r="S3110" s="358" t="s">
        <v>19</v>
      </c>
      <c r="T3110" s="528">
        <v>1</v>
      </c>
      <c r="U3110" s="324"/>
      <c r="V3110" s="676"/>
      <c r="W3110" s="528"/>
      <c r="X3110" s="529"/>
      <c r="Y3110" s="381"/>
      <c r="AA3110" s="316">
        <f>D3110/240</f>
        <v>0</v>
      </c>
    </row>
    <row r="3111" spans="1:27" ht="77.25" thickBot="1" x14ac:dyDescent="0.45">
      <c r="A3111" s="319" t="s">
        <v>262</v>
      </c>
      <c r="B3111" s="343" t="s">
        <v>1015</v>
      </c>
      <c r="C3111" s="528">
        <f>C838+C1019+C677+C447+C217</f>
        <v>0</v>
      </c>
      <c r="D3111" s="528">
        <f>C3111*12</f>
        <v>0</v>
      </c>
      <c r="E3111" s="460">
        <f>D3111*0.5</f>
        <v>0</v>
      </c>
      <c r="F3111" s="324">
        <f>E3111*1.03*0.82/147</f>
        <v>0</v>
      </c>
      <c r="G3111" s="537">
        <f t="shared" si="1108"/>
        <v>0</v>
      </c>
      <c r="H3111" s="354" t="s">
        <v>18</v>
      </c>
      <c r="I3111" s="537">
        <f t="shared" si="1109"/>
        <v>0</v>
      </c>
      <c r="J3111" s="354" t="s">
        <v>19</v>
      </c>
      <c r="K3111" s="324"/>
      <c r="L3111" s="324"/>
      <c r="M3111" s="324">
        <f>(F3111*5250/3456)</f>
        <v>0</v>
      </c>
      <c r="N3111" s="324"/>
      <c r="O3111" s="324"/>
      <c r="P3111" s="324"/>
      <c r="Q3111" s="324" t="s">
        <v>18</v>
      </c>
      <c r="R3111" s="324"/>
      <c r="S3111" s="324" t="s">
        <v>19</v>
      </c>
      <c r="T3111" s="528">
        <v>1</v>
      </c>
      <c r="U3111" s="324">
        <f>E3111/324*60</f>
        <v>0</v>
      </c>
      <c r="V3111" s="676"/>
      <c r="W3111" s="528"/>
      <c r="X3111" s="529"/>
      <c r="Y3111" s="323"/>
      <c r="AA3111" s="316">
        <f t="shared" si="1106"/>
        <v>0</v>
      </c>
    </row>
    <row r="3112" spans="1:27" ht="77.25" thickBot="1" x14ac:dyDescent="0.45">
      <c r="A3112" s="319" t="s">
        <v>262</v>
      </c>
      <c r="B3112" s="343" t="s">
        <v>971</v>
      </c>
      <c r="C3112" s="586">
        <f>C1046+C865</f>
        <v>0</v>
      </c>
      <c r="D3112" s="548"/>
      <c r="E3112" s="456">
        <f>C3112*0.3</f>
        <v>0</v>
      </c>
      <c r="F3112" s="358">
        <f>E3112*1.03*0.82/147</f>
        <v>0</v>
      </c>
      <c r="G3112" s="549">
        <f t="shared" si="1108"/>
        <v>0</v>
      </c>
      <c r="H3112" s="359" t="s">
        <v>18</v>
      </c>
      <c r="I3112" s="549">
        <f t="shared" si="1109"/>
        <v>0</v>
      </c>
      <c r="J3112" s="359" t="s">
        <v>19</v>
      </c>
      <c r="K3112" s="358"/>
      <c r="L3112" s="358"/>
      <c r="M3112" s="358">
        <f>(F3112*5547/3456)</f>
        <v>0</v>
      </c>
      <c r="N3112" s="461"/>
      <c r="O3112" s="461"/>
      <c r="P3112" s="461"/>
      <c r="Q3112" s="358" t="s">
        <v>18</v>
      </c>
      <c r="R3112" s="358"/>
      <c r="S3112" s="358" t="s">
        <v>19</v>
      </c>
      <c r="T3112" s="528">
        <v>1</v>
      </c>
      <c r="U3112" s="324"/>
      <c r="V3112" s="676"/>
      <c r="W3112" s="528"/>
      <c r="X3112" s="529"/>
      <c r="Y3112" s="323"/>
      <c r="AA3112" s="316">
        <f t="shared" si="1106"/>
        <v>0</v>
      </c>
    </row>
    <row r="3113" spans="1:27" ht="77.25" thickBot="1" x14ac:dyDescent="0.45">
      <c r="A3113" s="319" t="s">
        <v>262</v>
      </c>
      <c r="B3113" s="343" t="s">
        <v>967</v>
      </c>
      <c r="C3113" s="586">
        <f>C867+C1048</f>
        <v>0</v>
      </c>
      <c r="D3113" s="548"/>
      <c r="E3113" s="456">
        <f>C3113*0.3</f>
        <v>0</v>
      </c>
      <c r="F3113" s="358">
        <f>E3113*1.03*0.82/147</f>
        <v>0</v>
      </c>
      <c r="G3113" s="549">
        <f t="shared" si="1108"/>
        <v>0</v>
      </c>
      <c r="H3113" s="359" t="s">
        <v>18</v>
      </c>
      <c r="I3113" s="549">
        <f t="shared" si="1109"/>
        <v>0</v>
      </c>
      <c r="J3113" s="359" t="s">
        <v>19</v>
      </c>
      <c r="K3113" s="358"/>
      <c r="L3113" s="358"/>
      <c r="M3113" s="358">
        <f>(F3113*5547/3456)</f>
        <v>0</v>
      </c>
      <c r="N3113" s="461"/>
      <c r="O3113" s="461"/>
      <c r="P3113" s="461"/>
      <c r="Q3113" s="358" t="s">
        <v>18</v>
      </c>
      <c r="R3113" s="358"/>
      <c r="S3113" s="358" t="s">
        <v>19</v>
      </c>
      <c r="T3113" s="528">
        <v>1</v>
      </c>
      <c r="U3113" s="324"/>
      <c r="V3113" s="676"/>
      <c r="W3113" s="528"/>
      <c r="X3113" s="529"/>
      <c r="Y3113" s="323"/>
      <c r="AA3113" s="316">
        <f t="shared" si="1106"/>
        <v>0</v>
      </c>
    </row>
    <row r="3114" spans="1:27" ht="77.25" thickBot="1" x14ac:dyDescent="0.45">
      <c r="A3114" s="319" t="s">
        <v>262</v>
      </c>
      <c r="B3114" s="343" t="s">
        <v>968</v>
      </c>
      <c r="C3114" s="586">
        <f>C1049+C868</f>
        <v>0</v>
      </c>
      <c r="D3114" s="548"/>
      <c r="E3114" s="456">
        <f>C3114*0.3</f>
        <v>0</v>
      </c>
      <c r="F3114" s="358">
        <f>E3114*1.03*0.72/147</f>
        <v>0</v>
      </c>
      <c r="G3114" s="548">
        <f t="shared" si="1108"/>
        <v>0</v>
      </c>
      <c r="H3114" s="358" t="s">
        <v>18</v>
      </c>
      <c r="I3114" s="548">
        <f t="shared" si="1109"/>
        <v>0</v>
      </c>
      <c r="J3114" s="358" t="s">
        <v>19</v>
      </c>
      <c r="K3114" s="358"/>
      <c r="L3114" s="358"/>
      <c r="M3114" s="358">
        <f>(F3114*6035/3456)</f>
        <v>0</v>
      </c>
      <c r="N3114" s="461"/>
      <c r="O3114" s="461"/>
      <c r="P3114" s="461"/>
      <c r="Q3114" s="358" t="s">
        <v>18</v>
      </c>
      <c r="R3114" s="358"/>
      <c r="S3114" s="358" t="s">
        <v>19</v>
      </c>
      <c r="T3114" s="528">
        <v>1</v>
      </c>
      <c r="U3114" s="324"/>
      <c r="V3114" s="676"/>
      <c r="W3114" s="528"/>
      <c r="X3114" s="529"/>
      <c r="Y3114" s="323"/>
      <c r="AA3114" s="316">
        <f t="shared" si="1106"/>
        <v>0</v>
      </c>
    </row>
    <row r="3115" spans="1:27" ht="77.25" thickBot="1" x14ac:dyDescent="0.45">
      <c r="A3115" s="319" t="s">
        <v>262</v>
      </c>
      <c r="B3115" s="343" t="s">
        <v>1141</v>
      </c>
      <c r="C3115" s="586">
        <f>C869+C1050</f>
        <v>0</v>
      </c>
      <c r="D3115" s="548"/>
      <c r="E3115" s="456">
        <f>C3115*0.3</f>
        <v>0</v>
      </c>
      <c r="F3115" s="358">
        <f>E3115*1.03*0.72/147</f>
        <v>0</v>
      </c>
      <c r="G3115" s="548">
        <f t="shared" si="1108"/>
        <v>0</v>
      </c>
      <c r="H3115" s="358" t="s">
        <v>18</v>
      </c>
      <c r="I3115" s="548">
        <f t="shared" si="1109"/>
        <v>0</v>
      </c>
      <c r="J3115" s="358" t="s">
        <v>19</v>
      </c>
      <c r="K3115" s="358"/>
      <c r="L3115" s="358"/>
      <c r="M3115" s="358">
        <f>(F3115*6035/3456)</f>
        <v>0</v>
      </c>
      <c r="N3115" s="461"/>
      <c r="O3115" s="461"/>
      <c r="P3115" s="461"/>
      <c r="Q3115" s="358" t="s">
        <v>18</v>
      </c>
      <c r="R3115" s="358"/>
      <c r="S3115" s="358" t="s">
        <v>19</v>
      </c>
      <c r="T3115" s="528">
        <v>1</v>
      </c>
      <c r="U3115" s="324"/>
      <c r="V3115" s="676"/>
      <c r="W3115" s="528"/>
      <c r="X3115" s="529"/>
      <c r="Y3115" s="323"/>
      <c r="AA3115" s="316">
        <f t="shared" si="1106"/>
        <v>0</v>
      </c>
    </row>
    <row r="3116" spans="1:27" ht="102.75" thickBot="1" x14ac:dyDescent="0.45">
      <c r="A3116" s="319" t="s">
        <v>262</v>
      </c>
      <c r="B3116" s="320" t="s">
        <v>969</v>
      </c>
      <c r="C3116" s="586">
        <f>C220+C450+C680</f>
        <v>0</v>
      </c>
      <c r="D3116" s="548"/>
      <c r="E3116" s="456">
        <f>C3116*0.3</f>
        <v>0</v>
      </c>
      <c r="F3116" s="358">
        <f>E3116*1.03*0.84/147</f>
        <v>0</v>
      </c>
      <c r="G3116" s="549">
        <f t="shared" si="1108"/>
        <v>0</v>
      </c>
      <c r="H3116" s="359" t="s">
        <v>18</v>
      </c>
      <c r="I3116" s="549">
        <f t="shared" si="1109"/>
        <v>0</v>
      </c>
      <c r="J3116" s="359" t="s">
        <v>19</v>
      </c>
      <c r="K3116" s="358"/>
      <c r="L3116" s="358"/>
      <c r="M3116" s="358">
        <f>(F3116*5547/3456)</f>
        <v>0</v>
      </c>
      <c r="N3116" s="461"/>
      <c r="O3116" s="461"/>
      <c r="P3116" s="461"/>
      <c r="Q3116" s="358" t="s">
        <v>18</v>
      </c>
      <c r="R3116" s="358"/>
      <c r="S3116" s="358" t="s">
        <v>19</v>
      </c>
      <c r="T3116" s="528">
        <v>1</v>
      </c>
      <c r="U3116" s="324"/>
      <c r="V3116" s="676"/>
      <c r="W3116" s="528"/>
      <c r="X3116" s="529"/>
      <c r="Y3116" s="323"/>
      <c r="AA3116" s="316">
        <f t="shared" si="1106"/>
        <v>0</v>
      </c>
    </row>
    <row r="3117" spans="1:27" ht="51.75" thickBot="1" x14ac:dyDescent="0.45">
      <c r="A3117" s="319" t="s">
        <v>262</v>
      </c>
      <c r="B3117" s="320" t="s">
        <v>915</v>
      </c>
      <c r="C3117" s="528">
        <f>C903+C1092+C258+C488+C718</f>
        <v>0</v>
      </c>
      <c r="D3117" s="528"/>
      <c r="E3117" s="456">
        <f>C3117*1</f>
        <v>0</v>
      </c>
      <c r="F3117" s="358">
        <f>E3117*1.02*0.99/147</f>
        <v>0</v>
      </c>
      <c r="G3117" s="548">
        <f t="shared" ref="G3117:G3122" si="1110">INT(M3117)</f>
        <v>0</v>
      </c>
      <c r="H3117" s="358" t="s">
        <v>18</v>
      </c>
      <c r="I3117" s="548">
        <f t="shared" ref="I3117:I3122" si="1111">(M3117-G3117)*64</f>
        <v>0</v>
      </c>
      <c r="J3117" s="358" t="s">
        <v>19</v>
      </c>
      <c r="K3117" s="358"/>
      <c r="L3117" s="358"/>
      <c r="M3117" s="358">
        <f>F3117*4983/2880</f>
        <v>0</v>
      </c>
      <c r="N3117" s="358"/>
      <c r="O3117" s="358"/>
      <c r="P3117" s="358"/>
      <c r="Q3117" s="358" t="s">
        <v>18</v>
      </c>
      <c r="R3117" s="358"/>
      <c r="S3117" s="358" t="s">
        <v>19</v>
      </c>
      <c r="T3117" s="548">
        <v>1</v>
      </c>
      <c r="U3117" s="324">
        <f>E3117/420*60</f>
        <v>0</v>
      </c>
      <c r="V3117" s="676"/>
      <c r="W3117" s="528"/>
      <c r="X3117" s="529"/>
      <c r="Y3117" s="323"/>
      <c r="AA3117" s="316">
        <f>C3117/150</f>
        <v>0</v>
      </c>
    </row>
    <row r="3118" spans="1:27" ht="51.75" thickBot="1" x14ac:dyDescent="0.45">
      <c r="A3118" s="319" t="s">
        <v>262</v>
      </c>
      <c r="B3118" s="799" t="s">
        <v>1205</v>
      </c>
      <c r="C3118" s="528">
        <f>C259+C489+C719+C904+C1093</f>
        <v>0</v>
      </c>
      <c r="D3118" s="528"/>
      <c r="E3118" s="456">
        <f>C3118*1</f>
        <v>0</v>
      </c>
      <c r="F3118" s="358">
        <f>E3118*1.02*0.99/147</f>
        <v>0</v>
      </c>
      <c r="G3118" s="548">
        <f t="shared" si="1110"/>
        <v>0</v>
      </c>
      <c r="H3118" s="358" t="s">
        <v>18</v>
      </c>
      <c r="I3118" s="548">
        <f t="shared" si="1111"/>
        <v>0</v>
      </c>
      <c r="J3118" s="358" t="s">
        <v>19</v>
      </c>
      <c r="K3118" s="358"/>
      <c r="L3118" s="358"/>
      <c r="M3118" s="358">
        <f>F3118*4983/2880</f>
        <v>0</v>
      </c>
      <c r="N3118" s="358"/>
      <c r="O3118" s="358"/>
      <c r="P3118" s="358"/>
      <c r="Q3118" s="358" t="s">
        <v>18</v>
      </c>
      <c r="R3118" s="358"/>
      <c r="S3118" s="358" t="s">
        <v>19</v>
      </c>
      <c r="T3118" s="548">
        <v>1</v>
      </c>
      <c r="U3118" s="324">
        <f>E3118/420*60</f>
        <v>0</v>
      </c>
      <c r="V3118" s="676"/>
      <c r="W3118" s="528"/>
      <c r="X3118" s="529"/>
      <c r="Y3118" s="323"/>
      <c r="AA3118" s="316">
        <f>C3118*6/150</f>
        <v>0</v>
      </c>
    </row>
    <row r="3119" spans="1:27" ht="102.75" thickBot="1" x14ac:dyDescent="0.45">
      <c r="A3119" s="319" t="s">
        <v>262</v>
      </c>
      <c r="B3119" s="343" t="s">
        <v>857</v>
      </c>
      <c r="C3119" s="528">
        <f>C839+C1020</f>
        <v>0</v>
      </c>
      <c r="D3119" s="551">
        <f>C3119*12</f>
        <v>0</v>
      </c>
      <c r="E3119" s="456">
        <f>D3119*0.6</f>
        <v>0</v>
      </c>
      <c r="F3119" s="358">
        <f>E3119*1.01*0.72/147</f>
        <v>0</v>
      </c>
      <c r="G3119" s="548">
        <f t="shared" si="1110"/>
        <v>0</v>
      </c>
      <c r="H3119" s="358" t="s">
        <v>18</v>
      </c>
      <c r="I3119" s="548">
        <f t="shared" si="1111"/>
        <v>0</v>
      </c>
      <c r="J3119" s="358" t="s">
        <v>19</v>
      </c>
      <c r="K3119" s="358"/>
      <c r="L3119" s="358"/>
      <c r="M3119" s="358">
        <f>(F3119*6100/3456)</f>
        <v>0</v>
      </c>
      <c r="N3119" s="358"/>
      <c r="O3119" s="358"/>
      <c r="P3119" s="358"/>
      <c r="Q3119" s="358" t="s">
        <v>18</v>
      </c>
      <c r="R3119" s="358"/>
      <c r="S3119" s="358" t="s">
        <v>19</v>
      </c>
      <c r="T3119" s="528">
        <v>1</v>
      </c>
      <c r="U3119" s="324">
        <f>E3119/324*60</f>
        <v>0</v>
      </c>
      <c r="V3119" s="676"/>
      <c r="W3119" s="528"/>
      <c r="X3119" s="529"/>
      <c r="Y3119" s="323"/>
      <c r="AA3119" s="316">
        <f t="shared" si="1106"/>
        <v>0</v>
      </c>
    </row>
    <row r="3120" spans="1:27" ht="102.75" thickBot="1" x14ac:dyDescent="0.45">
      <c r="A3120" s="319" t="s">
        <v>262</v>
      </c>
      <c r="B3120" s="343" t="s">
        <v>908</v>
      </c>
      <c r="C3120" s="528">
        <f>C840+C1021</f>
        <v>0</v>
      </c>
      <c r="D3120" s="551">
        <f>C3120*12</f>
        <v>0</v>
      </c>
      <c r="E3120" s="456">
        <f>D3120*0.6</f>
        <v>0</v>
      </c>
      <c r="F3120" s="358">
        <f>E3120*1.01*0.72/147</f>
        <v>0</v>
      </c>
      <c r="G3120" s="548">
        <f t="shared" si="1110"/>
        <v>0</v>
      </c>
      <c r="H3120" s="358" t="s">
        <v>18</v>
      </c>
      <c r="I3120" s="548">
        <f t="shared" si="1111"/>
        <v>0</v>
      </c>
      <c r="J3120" s="358" t="s">
        <v>19</v>
      </c>
      <c r="K3120" s="358"/>
      <c r="L3120" s="358"/>
      <c r="M3120" s="358">
        <f>(F3120*6100/3456)</f>
        <v>0</v>
      </c>
      <c r="N3120" s="358"/>
      <c r="O3120" s="358"/>
      <c r="P3120" s="358"/>
      <c r="Q3120" s="358" t="s">
        <v>18</v>
      </c>
      <c r="R3120" s="358"/>
      <c r="S3120" s="358" t="s">
        <v>19</v>
      </c>
      <c r="T3120" s="528">
        <v>1</v>
      </c>
      <c r="U3120" s="324">
        <f>E3120/324*60</f>
        <v>0</v>
      </c>
      <c r="V3120" s="676"/>
      <c r="W3120" s="528"/>
      <c r="X3120" s="529"/>
      <c r="Y3120" s="323"/>
      <c r="AA3120" s="316">
        <f t="shared" si="1106"/>
        <v>0</v>
      </c>
    </row>
    <row r="3121" spans="1:27" ht="102.75" thickBot="1" x14ac:dyDescent="0.45">
      <c r="A3121" s="319" t="s">
        <v>262</v>
      </c>
      <c r="B3121" s="343" t="s">
        <v>906</v>
      </c>
      <c r="C3121" s="528">
        <f>C216+C446+C676</f>
        <v>0</v>
      </c>
      <c r="D3121" s="548">
        <f>C3121*12</f>
        <v>0</v>
      </c>
      <c r="E3121" s="456">
        <f>D3121*0.5</f>
        <v>0</v>
      </c>
      <c r="F3121" s="358">
        <f>E3121*1.037*0.756/147</f>
        <v>0</v>
      </c>
      <c r="G3121" s="548">
        <f t="shared" si="1110"/>
        <v>0</v>
      </c>
      <c r="H3121" s="358" t="s">
        <v>18</v>
      </c>
      <c r="I3121" s="548">
        <f t="shared" si="1111"/>
        <v>0</v>
      </c>
      <c r="J3121" s="358" t="s">
        <v>19</v>
      </c>
      <c r="K3121" s="358"/>
      <c r="L3121" s="358"/>
      <c r="M3121" s="358">
        <f>(F3121*6760/3456)</f>
        <v>0</v>
      </c>
      <c r="N3121" s="324"/>
      <c r="O3121" s="324"/>
      <c r="P3121" s="324"/>
      <c r="Q3121" s="324" t="s">
        <v>18</v>
      </c>
      <c r="R3121" s="324"/>
      <c r="S3121" s="324" t="s">
        <v>19</v>
      </c>
      <c r="T3121" s="528">
        <v>1</v>
      </c>
      <c r="U3121" s="324">
        <f>E3121/324*60</f>
        <v>0</v>
      </c>
      <c r="V3121" s="676"/>
      <c r="W3121" s="528"/>
      <c r="X3121" s="529"/>
      <c r="Y3121" s="323"/>
      <c r="AA3121" s="316">
        <f t="shared" si="1106"/>
        <v>0</v>
      </c>
    </row>
    <row r="3122" spans="1:27" ht="77.25" thickBot="1" x14ac:dyDescent="0.45">
      <c r="A3122" s="319" t="s">
        <v>262</v>
      </c>
      <c r="B3122" s="320" t="s">
        <v>633</v>
      </c>
      <c r="C3122" s="586">
        <f>C243+C473+C703+C888+C1070</f>
        <v>0</v>
      </c>
      <c r="D3122" s="528"/>
      <c r="E3122" s="456">
        <f t="shared" ref="E3122:E3128" si="1112">C3122*3.2</f>
        <v>0</v>
      </c>
      <c r="F3122" s="358">
        <f t="shared" ref="F3122:F3128" si="1113">E3122*1.02*0.99/147</f>
        <v>0</v>
      </c>
      <c r="G3122" s="548">
        <f t="shared" si="1110"/>
        <v>0</v>
      </c>
      <c r="H3122" s="358" t="s">
        <v>18</v>
      </c>
      <c r="I3122" s="548">
        <f t="shared" si="1111"/>
        <v>0</v>
      </c>
      <c r="J3122" s="358" t="s">
        <v>19</v>
      </c>
      <c r="K3122" s="358"/>
      <c r="L3122" s="358"/>
      <c r="M3122" s="358">
        <f t="shared" ref="M3122:M3128" si="1114">F3122*4983/2880</f>
        <v>0</v>
      </c>
      <c r="N3122" s="358"/>
      <c r="O3122" s="358"/>
      <c r="P3122" s="358"/>
      <c r="Q3122" s="358" t="s">
        <v>18</v>
      </c>
      <c r="R3122" s="358"/>
      <c r="S3122" s="358" t="s">
        <v>19</v>
      </c>
      <c r="T3122" s="528">
        <v>1</v>
      </c>
      <c r="U3122" s="324">
        <f t="shared" ref="U3122:U3134" si="1115">E3122/324*60</f>
        <v>0</v>
      </c>
      <c r="V3122" s="676"/>
      <c r="W3122" s="528"/>
      <c r="X3122" s="529"/>
      <c r="Y3122" s="323"/>
      <c r="AA3122" s="316">
        <f t="shared" ref="AA3122:AA3128" si="1116">C3122/150</f>
        <v>0</v>
      </c>
    </row>
    <row r="3123" spans="1:27" ht="51.75" thickBot="1" x14ac:dyDescent="0.45">
      <c r="A3123" s="319" t="s">
        <v>262</v>
      </c>
      <c r="B3123" s="320" t="s">
        <v>632</v>
      </c>
      <c r="C3123" s="586">
        <f>C242+C472+C702+C887+C1068</f>
        <v>0</v>
      </c>
      <c r="D3123" s="528"/>
      <c r="E3123" s="456">
        <f t="shared" si="1112"/>
        <v>0</v>
      </c>
      <c r="F3123" s="358">
        <f t="shared" si="1113"/>
        <v>0</v>
      </c>
      <c r="G3123" s="548">
        <f t="shared" ref="G3123:G3153" si="1117">INT(M3123)</f>
        <v>0</v>
      </c>
      <c r="H3123" s="358" t="s">
        <v>18</v>
      </c>
      <c r="I3123" s="548">
        <f t="shared" ref="I3123:I3153" si="1118">(M3123-G3123)*64</f>
        <v>0</v>
      </c>
      <c r="J3123" s="358" t="s">
        <v>19</v>
      </c>
      <c r="K3123" s="358"/>
      <c r="L3123" s="358"/>
      <c r="M3123" s="358">
        <f t="shared" si="1114"/>
        <v>0</v>
      </c>
      <c r="N3123" s="324"/>
      <c r="O3123" s="324"/>
      <c r="P3123" s="324"/>
      <c r="Q3123" s="324" t="s">
        <v>18</v>
      </c>
      <c r="R3123" s="324"/>
      <c r="S3123" s="324" t="s">
        <v>19</v>
      </c>
      <c r="T3123" s="528">
        <v>1</v>
      </c>
      <c r="U3123" s="324">
        <f t="shared" si="1115"/>
        <v>0</v>
      </c>
      <c r="V3123" s="676"/>
      <c r="W3123" s="528"/>
      <c r="X3123" s="529"/>
      <c r="Y3123" s="323"/>
      <c r="AA3123" s="316">
        <f t="shared" si="1116"/>
        <v>0</v>
      </c>
    </row>
    <row r="3124" spans="1:27" ht="51.75" thickBot="1" x14ac:dyDescent="0.45">
      <c r="A3124" s="319" t="s">
        <v>262</v>
      </c>
      <c r="B3124" s="320" t="s">
        <v>1033</v>
      </c>
      <c r="C3124" s="586">
        <f>C246+C477+C706+C912+C1078</f>
        <v>600</v>
      </c>
      <c r="D3124" s="528"/>
      <c r="E3124" s="460">
        <f>C3124*3.2</f>
        <v>1920</v>
      </c>
      <c r="F3124" s="324">
        <f>E3124*1.02*0.99/147</f>
        <v>13.189224489795919</v>
      </c>
      <c r="G3124" s="528">
        <f>INT(M3124)</f>
        <v>22</v>
      </c>
      <c r="H3124" s="324" t="s">
        <v>18</v>
      </c>
      <c r="I3124" s="528">
        <f>(M3124-G3124)*64</f>
        <v>52.486791836734938</v>
      </c>
      <c r="J3124" s="324" t="s">
        <v>19</v>
      </c>
      <c r="K3124" s="324"/>
      <c r="L3124" s="324"/>
      <c r="M3124" s="324">
        <f>F3124*4983/2880</f>
        <v>22.820106122448983</v>
      </c>
      <c r="N3124" s="324"/>
      <c r="O3124" s="324"/>
      <c r="P3124" s="324"/>
      <c r="Q3124" s="324" t="s">
        <v>18</v>
      </c>
      <c r="R3124" s="324"/>
      <c r="S3124" s="324" t="s">
        <v>19</v>
      </c>
      <c r="T3124" s="528">
        <v>1</v>
      </c>
      <c r="U3124" s="324">
        <f>E3124/324*60</f>
        <v>355.55555555555554</v>
      </c>
      <c r="V3124" s="676"/>
      <c r="W3124" s="528"/>
      <c r="X3124" s="529"/>
      <c r="Y3124" s="323"/>
      <c r="AA3124" s="316">
        <f>C3124/150</f>
        <v>4</v>
      </c>
    </row>
    <row r="3125" spans="1:27" ht="51.75" thickBot="1" x14ac:dyDescent="0.45">
      <c r="A3125" s="319" t="s">
        <v>262</v>
      </c>
      <c r="B3125" s="320" t="s">
        <v>1067</v>
      </c>
      <c r="C3125" s="586">
        <f>C245+C475+C705+C890+C1072</f>
        <v>0</v>
      </c>
      <c r="D3125" s="528"/>
      <c r="E3125" s="460">
        <f t="shared" si="1112"/>
        <v>0</v>
      </c>
      <c r="F3125" s="324">
        <f t="shared" si="1113"/>
        <v>0</v>
      </c>
      <c r="G3125" s="528">
        <f>INT(M3125)</f>
        <v>0</v>
      </c>
      <c r="H3125" s="324" t="s">
        <v>18</v>
      </c>
      <c r="I3125" s="528">
        <f>(M3125-G3125)*64</f>
        <v>0</v>
      </c>
      <c r="J3125" s="324" t="s">
        <v>19</v>
      </c>
      <c r="K3125" s="324"/>
      <c r="L3125" s="324"/>
      <c r="M3125" s="324">
        <f t="shared" si="1114"/>
        <v>0</v>
      </c>
      <c r="N3125" s="324"/>
      <c r="O3125" s="324"/>
      <c r="P3125" s="324"/>
      <c r="Q3125" s="324" t="s">
        <v>18</v>
      </c>
      <c r="R3125" s="324"/>
      <c r="S3125" s="324" t="s">
        <v>19</v>
      </c>
      <c r="T3125" s="528">
        <v>1</v>
      </c>
      <c r="U3125" s="324">
        <f>E3125/324*60</f>
        <v>0</v>
      </c>
      <c r="V3125" s="676"/>
      <c r="W3125" s="528"/>
      <c r="X3125" s="529"/>
      <c r="Y3125" s="323"/>
      <c r="AA3125" s="316">
        <f t="shared" si="1116"/>
        <v>0</v>
      </c>
    </row>
    <row r="3126" spans="1:27" ht="51.75" thickBot="1" x14ac:dyDescent="0.45">
      <c r="A3126" s="319" t="s">
        <v>262</v>
      </c>
      <c r="B3126" s="320" t="s">
        <v>1066</v>
      </c>
      <c r="C3126" s="586">
        <f>C1071+C889+C704+C474+C244</f>
        <v>0</v>
      </c>
      <c r="D3126" s="528"/>
      <c r="E3126" s="460">
        <f t="shared" si="1112"/>
        <v>0</v>
      </c>
      <c r="F3126" s="324">
        <f t="shared" si="1113"/>
        <v>0</v>
      </c>
      <c r="G3126" s="528">
        <f>INT(M3126)</f>
        <v>0</v>
      </c>
      <c r="H3126" s="324" t="s">
        <v>18</v>
      </c>
      <c r="I3126" s="528">
        <f>(M3126-G3126)*64</f>
        <v>0</v>
      </c>
      <c r="J3126" s="324" t="s">
        <v>19</v>
      </c>
      <c r="K3126" s="324"/>
      <c r="L3126" s="324"/>
      <c r="M3126" s="324">
        <f t="shared" si="1114"/>
        <v>0</v>
      </c>
      <c r="N3126" s="324"/>
      <c r="O3126" s="324"/>
      <c r="P3126" s="324"/>
      <c r="Q3126" s="324" t="s">
        <v>18</v>
      </c>
      <c r="R3126" s="324"/>
      <c r="S3126" s="324" t="s">
        <v>19</v>
      </c>
      <c r="T3126" s="528">
        <v>1</v>
      </c>
      <c r="U3126" s="324">
        <f>E3126/324*60</f>
        <v>0</v>
      </c>
      <c r="V3126" s="676"/>
      <c r="W3126" s="528"/>
      <c r="X3126" s="529"/>
      <c r="Y3126" s="323"/>
      <c r="AA3126" s="316">
        <f t="shared" si="1116"/>
        <v>0</v>
      </c>
    </row>
    <row r="3127" spans="1:27" ht="51.75" thickBot="1" x14ac:dyDescent="0.45">
      <c r="A3127" s="319" t="s">
        <v>262</v>
      </c>
      <c r="B3127" s="320" t="s">
        <v>1081</v>
      </c>
      <c r="C3127" s="586">
        <f>C247+C478+C707+C891+C1073</f>
        <v>0</v>
      </c>
      <c r="D3127" s="528"/>
      <c r="E3127" s="460">
        <f t="shared" si="1112"/>
        <v>0</v>
      </c>
      <c r="F3127" s="324">
        <f t="shared" si="1113"/>
        <v>0</v>
      </c>
      <c r="G3127" s="528">
        <f>INT(M3127)</f>
        <v>0</v>
      </c>
      <c r="H3127" s="324" t="s">
        <v>18</v>
      </c>
      <c r="I3127" s="528">
        <f>(M3127-G3127)*64</f>
        <v>0</v>
      </c>
      <c r="J3127" s="324" t="s">
        <v>19</v>
      </c>
      <c r="K3127" s="324"/>
      <c r="L3127" s="324"/>
      <c r="M3127" s="324">
        <f t="shared" si="1114"/>
        <v>0</v>
      </c>
      <c r="N3127" s="324"/>
      <c r="O3127" s="324"/>
      <c r="P3127" s="324"/>
      <c r="Q3127" s="324" t="s">
        <v>18</v>
      </c>
      <c r="R3127" s="324"/>
      <c r="S3127" s="324" t="s">
        <v>19</v>
      </c>
      <c r="T3127" s="528">
        <v>1</v>
      </c>
      <c r="U3127" s="324">
        <f>E3127/324*60</f>
        <v>0</v>
      </c>
      <c r="V3127" s="676"/>
      <c r="W3127" s="528"/>
      <c r="X3127" s="529"/>
      <c r="Y3127" s="323"/>
      <c r="AA3127" s="316">
        <f t="shared" si="1116"/>
        <v>0</v>
      </c>
    </row>
    <row r="3128" spans="1:27" ht="77.25" thickBot="1" x14ac:dyDescent="0.45">
      <c r="A3128" s="319" t="s">
        <v>262</v>
      </c>
      <c r="B3128" s="320" t="s">
        <v>628</v>
      </c>
      <c r="C3128" s="586">
        <f>C225+C226+C455+C456+C685+C686+C873+C1054</f>
        <v>0</v>
      </c>
      <c r="D3128" s="528"/>
      <c r="E3128" s="456">
        <f t="shared" si="1112"/>
        <v>0</v>
      </c>
      <c r="F3128" s="358">
        <f t="shared" si="1113"/>
        <v>0</v>
      </c>
      <c r="G3128" s="548">
        <f t="shared" si="1117"/>
        <v>0</v>
      </c>
      <c r="H3128" s="358" t="s">
        <v>18</v>
      </c>
      <c r="I3128" s="548">
        <f t="shared" si="1118"/>
        <v>0</v>
      </c>
      <c r="J3128" s="358" t="s">
        <v>19</v>
      </c>
      <c r="K3128" s="358"/>
      <c r="L3128" s="358"/>
      <c r="M3128" s="358">
        <f t="shared" si="1114"/>
        <v>0</v>
      </c>
      <c r="N3128" s="324"/>
      <c r="O3128" s="324"/>
      <c r="P3128" s="324"/>
      <c r="Q3128" s="324" t="s">
        <v>18</v>
      </c>
      <c r="R3128" s="324"/>
      <c r="S3128" s="324" t="s">
        <v>19</v>
      </c>
      <c r="T3128" s="528">
        <v>1</v>
      </c>
      <c r="U3128" s="324">
        <f t="shared" si="1115"/>
        <v>0</v>
      </c>
      <c r="V3128" s="676"/>
      <c r="W3128" s="528"/>
      <c r="X3128" s="529"/>
      <c r="Y3128" s="323"/>
      <c r="AA3128" s="316">
        <f t="shared" si="1116"/>
        <v>0</v>
      </c>
    </row>
    <row r="3129" spans="1:27" s="327" customFormat="1" ht="53.25" thickBot="1" x14ac:dyDescent="0.45">
      <c r="A3129" s="319" t="s">
        <v>262</v>
      </c>
      <c r="B3129" s="365" t="s">
        <v>839</v>
      </c>
      <c r="C3129" s="553">
        <f>C248+C476+C708+C1077+C911</f>
        <v>0</v>
      </c>
      <c r="D3129" s="554"/>
      <c r="E3129" s="637">
        <f>C3129*4.5</f>
        <v>0</v>
      </c>
      <c r="F3129" s="358">
        <f t="shared" ref="F3129:F3135" si="1119">E3129*0.9*1.01/147</f>
        <v>0</v>
      </c>
      <c r="G3129" s="548">
        <f t="shared" si="1117"/>
        <v>0</v>
      </c>
      <c r="H3129" s="358" t="s">
        <v>18</v>
      </c>
      <c r="I3129" s="548">
        <f t="shared" si="1118"/>
        <v>0</v>
      </c>
      <c r="J3129" s="358" t="s">
        <v>19</v>
      </c>
      <c r="K3129" s="358"/>
      <c r="L3129" s="358"/>
      <c r="M3129" s="358">
        <f t="shared" ref="M3129:M3135" si="1120">(F3129*6533/3456)</f>
        <v>0</v>
      </c>
      <c r="N3129" s="555"/>
      <c r="O3129" s="555"/>
      <c r="P3129" s="555"/>
      <c r="Q3129" s="555" t="s">
        <v>18</v>
      </c>
      <c r="R3129" s="555"/>
      <c r="S3129" s="555" t="s">
        <v>19</v>
      </c>
      <c r="T3129" s="528">
        <v>1</v>
      </c>
      <c r="U3129" s="555">
        <f t="shared" si="1115"/>
        <v>0</v>
      </c>
      <c r="V3129" s="686"/>
      <c r="W3129" s="553"/>
      <c r="X3129" s="555"/>
      <c r="Y3129" s="367"/>
      <c r="Z3129" s="312"/>
      <c r="AA3129" s="316">
        <f>C3129/187.5</f>
        <v>0</v>
      </c>
    </row>
    <row r="3130" spans="1:27" s="327" customFormat="1" ht="53.25" thickBot="1" x14ac:dyDescent="0.45">
      <c r="A3130" s="319" t="s">
        <v>262</v>
      </c>
      <c r="B3130" s="365" t="s">
        <v>841</v>
      </c>
      <c r="C3130" s="553">
        <f>C263+C493+C723+C1082+C914</f>
        <v>0</v>
      </c>
      <c r="D3130" s="554"/>
      <c r="E3130" s="458">
        <f>C3130*4.5</f>
        <v>0</v>
      </c>
      <c r="F3130" s="358">
        <f t="shared" si="1119"/>
        <v>0</v>
      </c>
      <c r="G3130" s="548">
        <f t="shared" si="1117"/>
        <v>0</v>
      </c>
      <c r="H3130" s="358" t="s">
        <v>18</v>
      </c>
      <c r="I3130" s="548">
        <f t="shared" si="1118"/>
        <v>0</v>
      </c>
      <c r="J3130" s="358" t="s">
        <v>19</v>
      </c>
      <c r="K3130" s="358"/>
      <c r="L3130" s="358"/>
      <c r="M3130" s="358">
        <f t="shared" si="1120"/>
        <v>0</v>
      </c>
      <c r="N3130" s="555"/>
      <c r="O3130" s="555"/>
      <c r="P3130" s="555"/>
      <c r="Q3130" s="555" t="s">
        <v>18</v>
      </c>
      <c r="R3130" s="555"/>
      <c r="S3130" s="555" t="s">
        <v>19</v>
      </c>
      <c r="T3130" s="528">
        <v>1</v>
      </c>
      <c r="U3130" s="555">
        <f t="shared" si="1115"/>
        <v>0</v>
      </c>
      <c r="V3130" s="686"/>
      <c r="W3130" s="553"/>
      <c r="X3130" s="555"/>
      <c r="Y3130" s="367"/>
      <c r="Z3130" s="312"/>
      <c r="AA3130" s="316">
        <f>C3130/150</f>
        <v>0</v>
      </c>
    </row>
    <row r="3131" spans="1:27" s="327" customFormat="1" ht="53.25" thickBot="1" x14ac:dyDescent="0.45">
      <c r="A3131" s="319" t="s">
        <v>262</v>
      </c>
      <c r="B3131" s="365" t="s">
        <v>903</v>
      </c>
      <c r="C3131" s="553">
        <f>C264+C494+C724+C1083</f>
        <v>0</v>
      </c>
      <c r="D3131" s="554"/>
      <c r="E3131" s="458">
        <f>C3131*4.5</f>
        <v>0</v>
      </c>
      <c r="F3131" s="358">
        <f t="shared" si="1119"/>
        <v>0</v>
      </c>
      <c r="G3131" s="548">
        <f t="shared" si="1117"/>
        <v>0</v>
      </c>
      <c r="H3131" s="358" t="s">
        <v>18</v>
      </c>
      <c r="I3131" s="548">
        <f t="shared" si="1118"/>
        <v>0</v>
      </c>
      <c r="J3131" s="358" t="s">
        <v>19</v>
      </c>
      <c r="K3131" s="358"/>
      <c r="L3131" s="358"/>
      <c r="M3131" s="358">
        <f t="shared" si="1120"/>
        <v>0</v>
      </c>
      <c r="N3131" s="555"/>
      <c r="O3131" s="555"/>
      <c r="P3131" s="555"/>
      <c r="Q3131" s="555" t="s">
        <v>18</v>
      </c>
      <c r="R3131" s="555"/>
      <c r="S3131" s="555" t="s">
        <v>19</v>
      </c>
      <c r="T3131" s="528">
        <v>1</v>
      </c>
      <c r="U3131" s="555">
        <f>E3131/324*60</f>
        <v>0</v>
      </c>
      <c r="V3131" s="686"/>
      <c r="W3131" s="553"/>
      <c r="X3131" s="555"/>
      <c r="Y3131" s="367"/>
      <c r="Z3131" s="312"/>
      <c r="AA3131" s="316">
        <f>C3131/187.5</f>
        <v>0</v>
      </c>
    </row>
    <row r="3132" spans="1:27" s="327" customFormat="1" ht="53.25" thickBot="1" x14ac:dyDescent="0.45">
      <c r="A3132" s="319" t="s">
        <v>262</v>
      </c>
      <c r="B3132" s="365" t="s">
        <v>914</v>
      </c>
      <c r="C3132" s="553">
        <f>C265+C495+C725+C1084+C916</f>
        <v>0</v>
      </c>
      <c r="D3132" s="554"/>
      <c r="E3132" s="458">
        <f>C3132*4.5</f>
        <v>0</v>
      </c>
      <c r="F3132" s="358">
        <f t="shared" si="1119"/>
        <v>0</v>
      </c>
      <c r="G3132" s="548">
        <f t="shared" si="1117"/>
        <v>0</v>
      </c>
      <c r="H3132" s="358" t="s">
        <v>18</v>
      </c>
      <c r="I3132" s="548">
        <f t="shared" si="1118"/>
        <v>0</v>
      </c>
      <c r="J3132" s="358" t="s">
        <v>19</v>
      </c>
      <c r="K3132" s="358"/>
      <c r="L3132" s="358"/>
      <c r="M3132" s="358">
        <f t="shared" si="1120"/>
        <v>0</v>
      </c>
      <c r="N3132" s="555"/>
      <c r="O3132" s="555"/>
      <c r="P3132" s="555"/>
      <c r="Q3132" s="555" t="s">
        <v>18</v>
      </c>
      <c r="R3132" s="555"/>
      <c r="S3132" s="555" t="s">
        <v>19</v>
      </c>
      <c r="T3132" s="528">
        <v>1</v>
      </c>
      <c r="U3132" s="555">
        <f>E3132/324*60</f>
        <v>0</v>
      </c>
      <c r="V3132" s="686"/>
      <c r="W3132" s="553"/>
      <c r="X3132" s="555"/>
      <c r="Y3132" s="367"/>
      <c r="Z3132" s="312"/>
      <c r="AA3132" s="316">
        <f>C3132/187.5</f>
        <v>0</v>
      </c>
    </row>
    <row r="3133" spans="1:27" s="327" customFormat="1" ht="53.25" thickBot="1" x14ac:dyDescent="0.45">
      <c r="A3133" s="319" t="s">
        <v>262</v>
      </c>
      <c r="B3133" s="365" t="s">
        <v>864</v>
      </c>
      <c r="C3133" s="553">
        <f>C250+C480+C710+C1080+C909</f>
        <v>0</v>
      </c>
      <c r="D3133" s="554"/>
      <c r="E3133" s="458">
        <f>C3133*2.5</f>
        <v>0</v>
      </c>
      <c r="F3133" s="358">
        <f t="shared" si="1119"/>
        <v>0</v>
      </c>
      <c r="G3133" s="556">
        <f t="shared" si="1117"/>
        <v>0</v>
      </c>
      <c r="H3133" s="366" t="s">
        <v>18</v>
      </c>
      <c r="I3133" s="556">
        <f t="shared" si="1118"/>
        <v>0</v>
      </c>
      <c r="J3133" s="366" t="s">
        <v>19</v>
      </c>
      <c r="K3133" s="366"/>
      <c r="L3133" s="366"/>
      <c r="M3133" s="358">
        <f t="shared" si="1120"/>
        <v>0</v>
      </c>
      <c r="N3133" s="555"/>
      <c r="O3133" s="555"/>
      <c r="P3133" s="555"/>
      <c r="Q3133" s="555" t="s">
        <v>18</v>
      </c>
      <c r="R3133" s="555"/>
      <c r="S3133" s="555" t="s">
        <v>19</v>
      </c>
      <c r="T3133" s="528">
        <v>1</v>
      </c>
      <c r="U3133" s="555">
        <f t="shared" si="1115"/>
        <v>0</v>
      </c>
      <c r="V3133" s="686"/>
      <c r="W3133" s="553"/>
      <c r="X3133" s="555"/>
      <c r="Y3133" s="367"/>
      <c r="Z3133" s="312"/>
      <c r="AA3133" s="316">
        <f>C3133/187.5</f>
        <v>0</v>
      </c>
    </row>
    <row r="3134" spans="1:27" s="327" customFormat="1" ht="53.25" thickBot="1" x14ac:dyDescent="0.45">
      <c r="A3134" s="319" t="s">
        <v>262</v>
      </c>
      <c r="B3134" s="365" t="s">
        <v>867</v>
      </c>
      <c r="C3134" s="553">
        <f>C249+C479+C709+C1079+C910</f>
        <v>0</v>
      </c>
      <c r="D3134" s="554"/>
      <c r="E3134" s="458">
        <f>C3134*3.5</f>
        <v>0</v>
      </c>
      <c r="F3134" s="358">
        <f t="shared" si="1119"/>
        <v>0</v>
      </c>
      <c r="G3134" s="556">
        <f t="shared" si="1117"/>
        <v>0</v>
      </c>
      <c r="H3134" s="366" t="s">
        <v>18</v>
      </c>
      <c r="I3134" s="556">
        <f t="shared" si="1118"/>
        <v>0</v>
      </c>
      <c r="J3134" s="366" t="s">
        <v>19</v>
      </c>
      <c r="K3134" s="366"/>
      <c r="L3134" s="366"/>
      <c r="M3134" s="358">
        <f t="shared" si="1120"/>
        <v>0</v>
      </c>
      <c r="N3134" s="555"/>
      <c r="O3134" s="555"/>
      <c r="P3134" s="555"/>
      <c r="Q3134" s="555" t="s">
        <v>18</v>
      </c>
      <c r="R3134" s="555"/>
      <c r="S3134" s="555" t="s">
        <v>19</v>
      </c>
      <c r="T3134" s="528">
        <v>1</v>
      </c>
      <c r="U3134" s="555">
        <f t="shared" si="1115"/>
        <v>0</v>
      </c>
      <c r="V3134" s="686"/>
      <c r="W3134" s="553"/>
      <c r="X3134" s="555"/>
      <c r="Y3134" s="367"/>
      <c r="Z3134" s="312"/>
      <c r="AA3134" s="316">
        <f>C3134/150</f>
        <v>0</v>
      </c>
    </row>
    <row r="3135" spans="1:27" s="327" customFormat="1" ht="53.25" thickBot="1" x14ac:dyDescent="0.45">
      <c r="A3135" s="319" t="s">
        <v>262</v>
      </c>
      <c r="B3135" s="365" t="s">
        <v>853</v>
      </c>
      <c r="C3135" s="553">
        <f>C267+C497+C727+C1085+C913</f>
        <v>0</v>
      </c>
      <c r="D3135" s="554"/>
      <c r="E3135" s="458">
        <f>C3135*3.5</f>
        <v>0</v>
      </c>
      <c r="F3135" s="358">
        <f t="shared" si="1119"/>
        <v>0</v>
      </c>
      <c r="G3135" s="548">
        <f t="shared" si="1117"/>
        <v>0</v>
      </c>
      <c r="H3135" s="358" t="s">
        <v>18</v>
      </c>
      <c r="I3135" s="548">
        <f t="shared" si="1118"/>
        <v>0</v>
      </c>
      <c r="J3135" s="358" t="s">
        <v>19</v>
      </c>
      <c r="K3135" s="358"/>
      <c r="L3135" s="358"/>
      <c r="M3135" s="358">
        <f t="shared" si="1120"/>
        <v>0</v>
      </c>
      <c r="N3135" s="366"/>
      <c r="O3135" s="366"/>
      <c r="P3135" s="366"/>
      <c r="Q3135" s="366" t="s">
        <v>18</v>
      </c>
      <c r="R3135" s="366"/>
      <c r="S3135" s="366" t="s">
        <v>19</v>
      </c>
      <c r="T3135" s="528">
        <v>1</v>
      </c>
      <c r="U3135" s="555">
        <f>E3135/324*60</f>
        <v>0</v>
      </c>
      <c r="V3135" s="686"/>
      <c r="W3135" s="553"/>
      <c r="X3135" s="555"/>
      <c r="Y3135" s="367"/>
      <c r="Z3135" s="312"/>
      <c r="AA3135" s="316">
        <f>C3135/150</f>
        <v>0</v>
      </c>
    </row>
    <row r="3136" spans="1:27" thickBot="1" x14ac:dyDescent="0.45">
      <c r="A3136" s="319" t="s">
        <v>262</v>
      </c>
      <c r="B3136" s="320" t="s">
        <v>817</v>
      </c>
      <c r="C3136" s="586">
        <f>C236+C466+C696+C882+C1062</f>
        <v>0</v>
      </c>
      <c r="D3136" s="528"/>
      <c r="E3136" s="456">
        <f>C3136*4</f>
        <v>0</v>
      </c>
      <c r="F3136" s="358">
        <f>E3136*1.02*0.99/147</f>
        <v>0</v>
      </c>
      <c r="G3136" s="548">
        <f>INT(M3136)</f>
        <v>0</v>
      </c>
      <c r="H3136" s="358" t="s">
        <v>18</v>
      </c>
      <c r="I3136" s="548">
        <f>(M3136-G3136)*64</f>
        <v>0</v>
      </c>
      <c r="J3136" s="358" t="s">
        <v>19</v>
      </c>
      <c r="K3136" s="358"/>
      <c r="L3136" s="358"/>
      <c r="M3136" s="358">
        <f>F3136*4983/2880</f>
        <v>0</v>
      </c>
      <c r="N3136" s="324"/>
      <c r="O3136" s="324"/>
      <c r="P3136" s="324"/>
      <c r="Q3136" s="324" t="s">
        <v>18</v>
      </c>
      <c r="R3136" s="324"/>
      <c r="S3136" s="324" t="s">
        <v>19</v>
      </c>
      <c r="T3136" s="583">
        <v>1</v>
      </c>
      <c r="U3136" s="585">
        <f>E3136/259*60</f>
        <v>0</v>
      </c>
      <c r="V3136" s="676"/>
      <c r="W3136" s="528"/>
      <c r="X3136" s="529"/>
      <c r="Y3136" s="323"/>
      <c r="AA3136" s="316">
        <f>C3136/187.5</f>
        <v>0</v>
      </c>
    </row>
    <row r="3137" spans="1:27" ht="51.75" thickBot="1" x14ac:dyDescent="0.45">
      <c r="A3137" s="319" t="s">
        <v>262</v>
      </c>
      <c r="B3137" s="320" t="s">
        <v>868</v>
      </c>
      <c r="C3137" s="528">
        <f>C872+C1053+C223+C224+C453+C454+C683+C684</f>
        <v>7000</v>
      </c>
      <c r="D3137" s="528"/>
      <c r="E3137" s="456">
        <f>C3137*2.4</f>
        <v>16800</v>
      </c>
      <c r="F3137" s="358">
        <f t="shared" ref="F3137:F3143" si="1121">E3137*1.02*0.99/147</f>
        <v>115.40571428571428</v>
      </c>
      <c r="G3137" s="548">
        <f t="shared" si="1117"/>
        <v>199</v>
      </c>
      <c r="H3137" s="358" t="s">
        <v>18</v>
      </c>
      <c r="I3137" s="548">
        <f t="shared" si="1118"/>
        <v>43.259428571427634</v>
      </c>
      <c r="J3137" s="358" t="s">
        <v>19</v>
      </c>
      <c r="K3137" s="358"/>
      <c r="L3137" s="358"/>
      <c r="M3137" s="358">
        <f t="shared" ref="M3137:M3143" si="1122">F3137*4983/2880</f>
        <v>199.67592857142856</v>
      </c>
      <c r="N3137" s="324"/>
      <c r="O3137" s="324"/>
      <c r="P3137" s="324"/>
      <c r="Q3137" s="324" t="s">
        <v>18</v>
      </c>
      <c r="R3137" s="324"/>
      <c r="S3137" s="324" t="s">
        <v>19</v>
      </c>
      <c r="T3137" s="528">
        <v>1</v>
      </c>
      <c r="U3137" s="324">
        <f>E3137/420*60</f>
        <v>2400</v>
      </c>
      <c r="V3137" s="676"/>
      <c r="W3137" s="528"/>
      <c r="X3137" s="529"/>
      <c r="Y3137" s="323"/>
      <c r="AA3137" s="316">
        <f t="shared" ref="AA3137:AA3143" si="1123">C3137/187.5</f>
        <v>37.333333333333336</v>
      </c>
    </row>
    <row r="3138" spans="1:27" ht="51.75" thickBot="1" x14ac:dyDescent="0.45">
      <c r="A3138" s="319" t="s">
        <v>262</v>
      </c>
      <c r="B3138" s="320" t="s">
        <v>629</v>
      </c>
      <c r="C3138" s="586">
        <f>C227+C228+C457+C458+C687+C688+C874+C1055</f>
        <v>0</v>
      </c>
      <c r="D3138" s="528"/>
      <c r="E3138" s="456">
        <f>C3138*4</f>
        <v>0</v>
      </c>
      <c r="F3138" s="358">
        <f t="shared" si="1121"/>
        <v>0</v>
      </c>
      <c r="G3138" s="548">
        <f t="shared" si="1117"/>
        <v>0</v>
      </c>
      <c r="H3138" s="358" t="s">
        <v>18</v>
      </c>
      <c r="I3138" s="548">
        <f t="shared" si="1118"/>
        <v>0</v>
      </c>
      <c r="J3138" s="358" t="s">
        <v>19</v>
      </c>
      <c r="K3138" s="358"/>
      <c r="L3138" s="358"/>
      <c r="M3138" s="358">
        <f t="shared" si="1122"/>
        <v>0</v>
      </c>
      <c r="N3138" s="324"/>
      <c r="O3138" s="324"/>
      <c r="P3138" s="324"/>
      <c r="Q3138" s="324" t="s">
        <v>18</v>
      </c>
      <c r="R3138" s="324"/>
      <c r="S3138" s="324" t="s">
        <v>19</v>
      </c>
      <c r="T3138" s="528">
        <v>1</v>
      </c>
      <c r="U3138" s="324">
        <f>E3138/259*60</f>
        <v>0</v>
      </c>
      <c r="V3138" s="676"/>
      <c r="W3138" s="528"/>
      <c r="X3138" s="529"/>
      <c r="Y3138" s="323"/>
      <c r="AA3138" s="316">
        <f t="shared" si="1123"/>
        <v>0</v>
      </c>
    </row>
    <row r="3139" spans="1:27" ht="51.75" thickBot="1" x14ac:dyDescent="0.45">
      <c r="A3139" s="319" t="s">
        <v>262</v>
      </c>
      <c r="B3139" s="320" t="s">
        <v>871</v>
      </c>
      <c r="C3139" s="586">
        <f>C231+C461+C691+C877+C1058</f>
        <v>0</v>
      </c>
      <c r="D3139" s="528"/>
      <c r="E3139" s="456">
        <f>C3139*2.4</f>
        <v>0</v>
      </c>
      <c r="F3139" s="358">
        <f t="shared" si="1121"/>
        <v>0</v>
      </c>
      <c r="G3139" s="548">
        <f t="shared" si="1117"/>
        <v>0</v>
      </c>
      <c r="H3139" s="358" t="s">
        <v>18</v>
      </c>
      <c r="I3139" s="548">
        <f t="shared" si="1118"/>
        <v>0</v>
      </c>
      <c r="J3139" s="358" t="s">
        <v>19</v>
      </c>
      <c r="K3139" s="358"/>
      <c r="L3139" s="358"/>
      <c r="M3139" s="358">
        <f t="shared" si="1122"/>
        <v>0</v>
      </c>
      <c r="N3139" s="324"/>
      <c r="O3139" s="324"/>
      <c r="P3139" s="324"/>
      <c r="Q3139" s="324" t="s">
        <v>18</v>
      </c>
      <c r="R3139" s="324"/>
      <c r="S3139" s="324" t="s">
        <v>19</v>
      </c>
      <c r="T3139" s="528">
        <v>1</v>
      </c>
      <c r="U3139" s="324">
        <f>E3139/420*60</f>
        <v>0</v>
      </c>
      <c r="V3139" s="676"/>
      <c r="W3139" s="528"/>
      <c r="X3139" s="529"/>
      <c r="Y3139" s="323"/>
      <c r="AA3139" s="316">
        <f t="shared" si="1123"/>
        <v>0</v>
      </c>
    </row>
    <row r="3140" spans="1:27" ht="51.75" thickBot="1" x14ac:dyDescent="0.45">
      <c r="A3140" s="319" t="s">
        <v>262</v>
      </c>
      <c r="B3140" s="320" t="s">
        <v>630</v>
      </c>
      <c r="C3140" s="586">
        <f>C233+C463+C693+C879+C1060</f>
        <v>0</v>
      </c>
      <c r="D3140" s="528"/>
      <c r="E3140" s="456">
        <f>C3140*4</f>
        <v>0</v>
      </c>
      <c r="F3140" s="358">
        <f t="shared" si="1121"/>
        <v>0</v>
      </c>
      <c r="G3140" s="548">
        <f t="shared" si="1117"/>
        <v>0</v>
      </c>
      <c r="H3140" s="358" t="s">
        <v>18</v>
      </c>
      <c r="I3140" s="548">
        <f t="shared" si="1118"/>
        <v>0</v>
      </c>
      <c r="J3140" s="358" t="s">
        <v>19</v>
      </c>
      <c r="K3140" s="358"/>
      <c r="L3140" s="358"/>
      <c r="M3140" s="358">
        <f t="shared" si="1122"/>
        <v>0</v>
      </c>
      <c r="N3140" s="324"/>
      <c r="O3140" s="324"/>
      <c r="P3140" s="324"/>
      <c r="Q3140" s="324" t="s">
        <v>18</v>
      </c>
      <c r="R3140" s="324"/>
      <c r="S3140" s="324" t="s">
        <v>19</v>
      </c>
      <c r="T3140" s="528">
        <v>1</v>
      </c>
      <c r="U3140" s="324">
        <f>E3140/259*60</f>
        <v>0</v>
      </c>
      <c r="V3140" s="676"/>
      <c r="W3140" s="528"/>
      <c r="X3140" s="529"/>
      <c r="Y3140" s="323"/>
      <c r="AA3140" s="316">
        <f t="shared" si="1123"/>
        <v>0</v>
      </c>
    </row>
    <row r="3141" spans="1:27" thickBot="1" x14ac:dyDescent="0.45">
      <c r="A3141" s="319" t="s">
        <v>262</v>
      </c>
      <c r="B3141" s="320" t="s">
        <v>1065</v>
      </c>
      <c r="C3141" s="586">
        <f>C234+C464+C694+C880+C1061</f>
        <v>0</v>
      </c>
      <c r="D3141" s="528"/>
      <c r="E3141" s="460">
        <f>C3141*4</f>
        <v>0</v>
      </c>
      <c r="F3141" s="324">
        <f t="shared" si="1121"/>
        <v>0</v>
      </c>
      <c r="G3141" s="528">
        <f>INT(M3141)</f>
        <v>0</v>
      </c>
      <c r="H3141" s="324" t="s">
        <v>18</v>
      </c>
      <c r="I3141" s="528">
        <f>(M3141-G3141)*64</f>
        <v>0</v>
      </c>
      <c r="J3141" s="324" t="s">
        <v>19</v>
      </c>
      <c r="K3141" s="324"/>
      <c r="L3141" s="324"/>
      <c r="M3141" s="324">
        <f t="shared" si="1122"/>
        <v>0</v>
      </c>
      <c r="N3141" s="324"/>
      <c r="O3141" s="324"/>
      <c r="P3141" s="324"/>
      <c r="Q3141" s="324" t="s">
        <v>18</v>
      </c>
      <c r="R3141" s="324"/>
      <c r="S3141" s="324" t="s">
        <v>19</v>
      </c>
      <c r="T3141" s="528">
        <v>1</v>
      </c>
      <c r="U3141" s="324">
        <f>E3141/259*60</f>
        <v>0</v>
      </c>
      <c r="V3141" s="676"/>
      <c r="W3141" s="528"/>
      <c r="X3141" s="529"/>
      <c r="Y3141" s="323"/>
      <c r="AA3141" s="316">
        <f t="shared" si="1123"/>
        <v>0</v>
      </c>
    </row>
    <row r="3142" spans="1:27" ht="52.5" thickBot="1" x14ac:dyDescent="0.45">
      <c r="A3142" s="319" t="s">
        <v>262</v>
      </c>
      <c r="B3142" s="320" t="s">
        <v>1034</v>
      </c>
      <c r="C3142" s="528">
        <f>C881+C1096</f>
        <v>0</v>
      </c>
      <c r="D3142" s="528"/>
      <c r="E3142" s="456">
        <f>C3142*4</f>
        <v>0</v>
      </c>
      <c r="F3142" s="358">
        <f t="shared" si="1121"/>
        <v>0</v>
      </c>
      <c r="G3142" s="548">
        <f>INT(M3142)</f>
        <v>0</v>
      </c>
      <c r="H3142" s="358" t="s">
        <v>18</v>
      </c>
      <c r="I3142" s="548">
        <f>(M3142-G3142)*64</f>
        <v>0</v>
      </c>
      <c r="J3142" s="358" t="s">
        <v>19</v>
      </c>
      <c r="K3142" s="358"/>
      <c r="L3142" s="358"/>
      <c r="M3142" s="358">
        <f t="shared" si="1122"/>
        <v>0</v>
      </c>
      <c r="N3142" s="324"/>
      <c r="O3142" s="324"/>
      <c r="P3142" s="324"/>
      <c r="Q3142" s="324" t="s">
        <v>18</v>
      </c>
      <c r="R3142" s="324"/>
      <c r="S3142" s="324" t="s">
        <v>19</v>
      </c>
      <c r="T3142" s="528">
        <v>1</v>
      </c>
      <c r="U3142" s="324">
        <f>E3142/259*60</f>
        <v>0</v>
      </c>
      <c r="V3142" s="676"/>
      <c r="W3142" s="528"/>
      <c r="X3142" s="529"/>
      <c r="Y3142" s="323"/>
      <c r="AA3142" s="316">
        <f>C3142/187.5</f>
        <v>0</v>
      </c>
    </row>
    <row r="3143" spans="1:27" ht="51.75" thickBot="1" x14ac:dyDescent="0.45">
      <c r="A3143" s="319" t="s">
        <v>262</v>
      </c>
      <c r="B3143" s="320" t="s">
        <v>631</v>
      </c>
      <c r="C3143" s="586">
        <f>C237+C467+C697+C886+C1063</f>
        <v>0</v>
      </c>
      <c r="D3143" s="528"/>
      <c r="E3143" s="456">
        <f>C3143*4</f>
        <v>0</v>
      </c>
      <c r="F3143" s="358">
        <f t="shared" si="1121"/>
        <v>0</v>
      </c>
      <c r="G3143" s="548">
        <f t="shared" si="1117"/>
        <v>0</v>
      </c>
      <c r="H3143" s="358" t="s">
        <v>18</v>
      </c>
      <c r="I3143" s="548">
        <f t="shared" si="1118"/>
        <v>0</v>
      </c>
      <c r="J3143" s="358" t="s">
        <v>19</v>
      </c>
      <c r="K3143" s="358"/>
      <c r="L3143" s="358"/>
      <c r="M3143" s="358">
        <f t="shared" si="1122"/>
        <v>0</v>
      </c>
      <c r="N3143" s="324"/>
      <c r="O3143" s="324"/>
      <c r="P3143" s="324"/>
      <c r="Q3143" s="324" t="s">
        <v>18</v>
      </c>
      <c r="R3143" s="324"/>
      <c r="S3143" s="324" t="s">
        <v>19</v>
      </c>
      <c r="T3143" s="528">
        <v>1</v>
      </c>
      <c r="U3143" s="324">
        <f>E3143/259*60</f>
        <v>0</v>
      </c>
      <c r="V3143" s="676"/>
      <c r="W3143" s="528"/>
      <c r="X3143" s="529"/>
      <c r="Y3143" s="323"/>
      <c r="AA3143" s="316">
        <f t="shared" si="1123"/>
        <v>0</v>
      </c>
    </row>
    <row r="3144" spans="1:27" ht="77.25" thickBot="1" x14ac:dyDescent="0.45">
      <c r="A3144" s="319" t="s">
        <v>262</v>
      </c>
      <c r="B3144" s="343" t="s">
        <v>752</v>
      </c>
      <c r="C3144" s="528">
        <f>C170+C398+C626+C823+C1004</f>
        <v>0</v>
      </c>
      <c r="D3144" s="528"/>
      <c r="E3144" s="457">
        <f>C3144*3</f>
        <v>0</v>
      </c>
      <c r="F3144" s="358">
        <f>E3144*1.03*0.82/147</f>
        <v>0</v>
      </c>
      <c r="G3144" s="549">
        <f t="shared" si="1117"/>
        <v>0</v>
      </c>
      <c r="H3144" s="359" t="s">
        <v>18</v>
      </c>
      <c r="I3144" s="549">
        <f t="shared" si="1118"/>
        <v>0</v>
      </c>
      <c r="J3144" s="359" t="s">
        <v>19</v>
      </c>
      <c r="K3144" s="358"/>
      <c r="L3144" s="358"/>
      <c r="M3144" s="358">
        <f>(F3144*5547/3456)</f>
        <v>0</v>
      </c>
      <c r="N3144" s="324"/>
      <c r="O3144" s="324"/>
      <c r="P3144" s="324"/>
      <c r="Q3144" s="324" t="s">
        <v>18</v>
      </c>
      <c r="R3144" s="324"/>
      <c r="S3144" s="324" t="s">
        <v>19</v>
      </c>
      <c r="T3144" s="528">
        <v>1</v>
      </c>
      <c r="U3144" s="324">
        <f>E3144/324*60</f>
        <v>0</v>
      </c>
      <c r="V3144" s="676"/>
      <c r="W3144" s="528"/>
      <c r="X3144" s="529"/>
      <c r="Y3144" s="323"/>
      <c r="AA3144" s="316">
        <f>SUM(C3144/150)</f>
        <v>0</v>
      </c>
    </row>
    <row r="3145" spans="1:27" ht="51.75" thickBot="1" x14ac:dyDescent="0.45">
      <c r="A3145" s="319" t="s">
        <v>262</v>
      </c>
      <c r="B3145" s="320" t="s">
        <v>770</v>
      </c>
      <c r="C3145" s="587">
        <f>C172+C400+C628</f>
        <v>0</v>
      </c>
      <c r="D3145" s="528"/>
      <c r="E3145" s="456">
        <f>C3145*2.5</f>
        <v>0</v>
      </c>
      <c r="F3145" s="358">
        <f>E3145*1.03*0.84/147</f>
        <v>0</v>
      </c>
      <c r="G3145" s="548">
        <f t="shared" si="1117"/>
        <v>0</v>
      </c>
      <c r="H3145" s="358" t="s">
        <v>18</v>
      </c>
      <c r="I3145" s="548">
        <f t="shared" si="1118"/>
        <v>0</v>
      </c>
      <c r="J3145" s="358" t="s">
        <v>19</v>
      </c>
      <c r="K3145" s="358"/>
      <c r="L3145" s="358"/>
      <c r="M3145" s="358">
        <f>(F3145*5547/3456)</f>
        <v>0</v>
      </c>
      <c r="N3145" s="324"/>
      <c r="O3145" s="324"/>
      <c r="P3145" s="324"/>
      <c r="Q3145" s="324" t="s">
        <v>18</v>
      </c>
      <c r="R3145" s="324"/>
      <c r="S3145" s="324" t="s">
        <v>19</v>
      </c>
      <c r="T3145" s="528">
        <v>1</v>
      </c>
      <c r="U3145" s="324">
        <f>E3145/259*60</f>
        <v>0</v>
      </c>
      <c r="V3145" s="676"/>
      <c r="W3145" s="528"/>
      <c r="X3145" s="529"/>
      <c r="Y3145" s="323"/>
      <c r="AA3145" s="316">
        <f>SUM(C3145/187.5)</f>
        <v>0</v>
      </c>
    </row>
    <row r="3146" spans="1:27" ht="77.25" thickBot="1" x14ac:dyDescent="0.45">
      <c r="A3146" s="319" t="s">
        <v>262</v>
      </c>
      <c r="B3146" s="320" t="s">
        <v>771</v>
      </c>
      <c r="C3146" s="587">
        <f>C175+C403+C631</f>
        <v>0</v>
      </c>
      <c r="D3146" s="528"/>
      <c r="E3146" s="456">
        <f>C3146*2.5</f>
        <v>0</v>
      </c>
      <c r="F3146" s="358">
        <f>E3146*1.01*0.756/147</f>
        <v>0</v>
      </c>
      <c r="G3146" s="548">
        <f t="shared" si="1117"/>
        <v>0</v>
      </c>
      <c r="H3146" s="358" t="s">
        <v>18</v>
      </c>
      <c r="I3146" s="548">
        <f t="shared" si="1118"/>
        <v>0</v>
      </c>
      <c r="J3146" s="358" t="s">
        <v>19</v>
      </c>
      <c r="K3146" s="358"/>
      <c r="L3146" s="358"/>
      <c r="M3146" s="358">
        <f>(F3146*6035/3456)</f>
        <v>0</v>
      </c>
      <c r="N3146" s="324"/>
      <c r="O3146" s="324"/>
      <c r="P3146" s="324"/>
      <c r="Q3146" s="324" t="s">
        <v>18</v>
      </c>
      <c r="R3146" s="324"/>
      <c r="S3146" s="324" t="s">
        <v>19</v>
      </c>
      <c r="T3146" s="528">
        <v>1</v>
      </c>
      <c r="U3146" s="324">
        <f>E3146/259*60</f>
        <v>0</v>
      </c>
      <c r="V3146" s="676"/>
      <c r="W3146" s="528"/>
      <c r="X3146" s="529"/>
      <c r="Y3146" s="323"/>
      <c r="AA3146" s="316">
        <f>SUM(C3146/187.5)</f>
        <v>0</v>
      </c>
    </row>
    <row r="3147" spans="1:27" ht="77.25" thickBot="1" x14ac:dyDescent="0.45">
      <c r="A3147" s="319" t="s">
        <v>262</v>
      </c>
      <c r="B3147" s="320" t="s">
        <v>762</v>
      </c>
      <c r="C3147" s="587">
        <f>C176+C404+C632</f>
        <v>0</v>
      </c>
      <c r="D3147" s="528"/>
      <c r="E3147" s="456">
        <f>C3147*2.5</f>
        <v>0</v>
      </c>
      <c r="F3147" s="358">
        <f>E3147*1.01*0.756/147</f>
        <v>0</v>
      </c>
      <c r="G3147" s="548">
        <f t="shared" si="1117"/>
        <v>0</v>
      </c>
      <c r="H3147" s="358" t="s">
        <v>18</v>
      </c>
      <c r="I3147" s="548">
        <f t="shared" si="1118"/>
        <v>0</v>
      </c>
      <c r="J3147" s="358" t="s">
        <v>19</v>
      </c>
      <c r="K3147" s="358"/>
      <c r="L3147" s="358"/>
      <c r="M3147" s="358">
        <f>(F3147*6035/3456)</f>
        <v>0</v>
      </c>
      <c r="N3147" s="324"/>
      <c r="O3147" s="324"/>
      <c r="P3147" s="324"/>
      <c r="Q3147" s="324" t="s">
        <v>18</v>
      </c>
      <c r="R3147" s="324"/>
      <c r="S3147" s="324" t="s">
        <v>19</v>
      </c>
      <c r="T3147" s="528">
        <v>1</v>
      </c>
      <c r="U3147" s="324">
        <f>E3147/259*60</f>
        <v>0</v>
      </c>
      <c r="V3147" s="676"/>
      <c r="W3147" s="528"/>
      <c r="X3147" s="529"/>
      <c r="Y3147" s="323"/>
      <c r="AA3147" s="316">
        <f>SUM(C3147/187.5)</f>
        <v>0</v>
      </c>
    </row>
    <row r="3148" spans="1:27" ht="51.75" thickBot="1" x14ac:dyDescent="0.45">
      <c r="A3148" s="319" t="s">
        <v>262</v>
      </c>
      <c r="B3148" s="320" t="s">
        <v>869</v>
      </c>
      <c r="C3148" s="528">
        <f>C229+C459+C689+C875+C1056</f>
        <v>0</v>
      </c>
      <c r="D3148" s="528"/>
      <c r="E3148" s="456">
        <f>C3148*2.4</f>
        <v>0</v>
      </c>
      <c r="F3148" s="358">
        <f t="shared" ref="F3148:F3153" si="1124">E3148*1.02*0.99/147</f>
        <v>0</v>
      </c>
      <c r="G3148" s="548">
        <f t="shared" si="1117"/>
        <v>0</v>
      </c>
      <c r="H3148" s="358" t="s">
        <v>18</v>
      </c>
      <c r="I3148" s="548">
        <f t="shared" si="1118"/>
        <v>0</v>
      </c>
      <c r="J3148" s="358" t="s">
        <v>19</v>
      </c>
      <c r="K3148" s="358"/>
      <c r="L3148" s="358"/>
      <c r="M3148" s="358">
        <f t="shared" ref="M3148:M3153" si="1125">F3148*4983/2880</f>
        <v>0</v>
      </c>
      <c r="N3148" s="324"/>
      <c r="O3148" s="324"/>
      <c r="P3148" s="324"/>
      <c r="Q3148" s="324" t="s">
        <v>18</v>
      </c>
      <c r="R3148" s="324"/>
      <c r="S3148" s="324" t="s">
        <v>19</v>
      </c>
      <c r="T3148" s="528">
        <v>1</v>
      </c>
      <c r="U3148" s="324">
        <f>E3148/420*60</f>
        <v>0</v>
      </c>
      <c r="V3148" s="676"/>
      <c r="W3148" s="528"/>
      <c r="X3148" s="529"/>
      <c r="Y3148" s="323"/>
      <c r="AA3148" s="316">
        <f t="shared" ref="AA3148:AA3153" si="1126">C3148/187.5</f>
        <v>0</v>
      </c>
    </row>
    <row r="3149" spans="1:27" ht="51.75" thickBot="1" x14ac:dyDescent="0.45">
      <c r="A3149" s="319" t="s">
        <v>262</v>
      </c>
      <c r="B3149" s="320" t="s">
        <v>870</v>
      </c>
      <c r="C3149" s="528">
        <f>C230+C460+C690+C876+C1057</f>
        <v>0</v>
      </c>
      <c r="D3149" s="528"/>
      <c r="E3149" s="456">
        <f>C3149*2.4</f>
        <v>0</v>
      </c>
      <c r="F3149" s="358">
        <f t="shared" si="1124"/>
        <v>0</v>
      </c>
      <c r="G3149" s="548">
        <f t="shared" si="1117"/>
        <v>0</v>
      </c>
      <c r="H3149" s="358" t="s">
        <v>18</v>
      </c>
      <c r="I3149" s="548">
        <f t="shared" si="1118"/>
        <v>0</v>
      </c>
      <c r="J3149" s="358" t="s">
        <v>19</v>
      </c>
      <c r="K3149" s="358"/>
      <c r="L3149" s="358"/>
      <c r="M3149" s="358">
        <f t="shared" si="1125"/>
        <v>0</v>
      </c>
      <c r="N3149" s="324"/>
      <c r="O3149" s="324"/>
      <c r="P3149" s="324"/>
      <c r="Q3149" s="324" t="s">
        <v>18</v>
      </c>
      <c r="R3149" s="324"/>
      <c r="S3149" s="324" t="s">
        <v>19</v>
      </c>
      <c r="T3149" s="528">
        <v>1</v>
      </c>
      <c r="U3149" s="324">
        <f>E3149/420*60</f>
        <v>0</v>
      </c>
      <c r="V3149" s="676"/>
      <c r="W3149" s="528"/>
      <c r="X3149" s="529"/>
      <c r="Y3149" s="323"/>
      <c r="AA3149" s="316">
        <f t="shared" si="1126"/>
        <v>0</v>
      </c>
    </row>
    <row r="3150" spans="1:27" ht="51.75" thickBot="1" x14ac:dyDescent="0.45">
      <c r="A3150" s="319" t="s">
        <v>262</v>
      </c>
      <c r="B3150" s="320" t="s">
        <v>786</v>
      </c>
      <c r="C3150" s="528">
        <f>C232+C462+C692+C878+C1059</f>
        <v>0</v>
      </c>
      <c r="D3150" s="528"/>
      <c r="E3150" s="456">
        <f>C3150*4</f>
        <v>0</v>
      </c>
      <c r="F3150" s="358">
        <f t="shared" si="1124"/>
        <v>0</v>
      </c>
      <c r="G3150" s="548">
        <f t="shared" si="1117"/>
        <v>0</v>
      </c>
      <c r="H3150" s="358" t="s">
        <v>18</v>
      </c>
      <c r="I3150" s="548">
        <f t="shared" si="1118"/>
        <v>0</v>
      </c>
      <c r="J3150" s="358" t="s">
        <v>19</v>
      </c>
      <c r="K3150" s="358"/>
      <c r="L3150" s="358"/>
      <c r="M3150" s="358">
        <f t="shared" si="1125"/>
        <v>0</v>
      </c>
      <c r="N3150" s="324"/>
      <c r="O3150" s="324"/>
      <c r="P3150" s="324"/>
      <c r="Q3150" s="324" t="s">
        <v>18</v>
      </c>
      <c r="R3150" s="324"/>
      <c r="S3150" s="324" t="s">
        <v>19</v>
      </c>
      <c r="T3150" s="528">
        <v>1</v>
      </c>
      <c r="U3150" s="324">
        <f>E3150/259*60</f>
        <v>0</v>
      </c>
      <c r="V3150" s="676"/>
      <c r="W3150" s="528"/>
      <c r="X3150" s="529"/>
      <c r="Y3150" s="323"/>
      <c r="AA3150" s="316">
        <f t="shared" si="1126"/>
        <v>0</v>
      </c>
    </row>
    <row r="3151" spans="1:27" ht="51.75" thickBot="1" x14ac:dyDescent="0.45">
      <c r="A3151" s="319" t="s">
        <v>262</v>
      </c>
      <c r="B3151" s="320" t="s">
        <v>872</v>
      </c>
      <c r="C3151" s="586">
        <f>C251+C481+C711+C896+C1081</f>
        <v>0</v>
      </c>
      <c r="D3151" s="528"/>
      <c r="E3151" s="456">
        <f>C3151*2.4</f>
        <v>0</v>
      </c>
      <c r="F3151" s="358">
        <f>E3151*1.02*0.99/147</f>
        <v>0</v>
      </c>
      <c r="G3151" s="548">
        <f t="shared" si="1117"/>
        <v>0</v>
      </c>
      <c r="H3151" s="358" t="s">
        <v>18</v>
      </c>
      <c r="I3151" s="548">
        <f t="shared" si="1118"/>
        <v>0</v>
      </c>
      <c r="J3151" s="358" t="s">
        <v>19</v>
      </c>
      <c r="K3151" s="358"/>
      <c r="L3151" s="358"/>
      <c r="M3151" s="358">
        <f>F3151*4983/2880</f>
        <v>0</v>
      </c>
      <c r="N3151" s="324"/>
      <c r="O3151" s="324"/>
      <c r="P3151" s="324"/>
      <c r="Q3151" s="324" t="s">
        <v>18</v>
      </c>
      <c r="R3151" s="324"/>
      <c r="S3151" s="324" t="s">
        <v>19</v>
      </c>
      <c r="T3151" s="528">
        <v>1</v>
      </c>
      <c r="U3151" s="324">
        <f>E3151/420*60</f>
        <v>0</v>
      </c>
      <c r="V3151" s="676"/>
      <c r="W3151" s="528"/>
      <c r="X3151" s="529"/>
      <c r="Y3151" s="323"/>
      <c r="AA3151" s="316">
        <f t="shared" si="1126"/>
        <v>0</v>
      </c>
    </row>
    <row r="3152" spans="1:27" ht="51.75" thickBot="1" x14ac:dyDescent="0.45">
      <c r="A3152" s="319" t="s">
        <v>262</v>
      </c>
      <c r="B3152" s="320" t="s">
        <v>873</v>
      </c>
      <c r="C3152" s="586">
        <f>C262+C492+C722</f>
        <v>0</v>
      </c>
      <c r="D3152" s="528"/>
      <c r="E3152" s="456">
        <f>C3152*2.4</f>
        <v>0</v>
      </c>
      <c r="F3152" s="358">
        <f t="shared" si="1124"/>
        <v>0</v>
      </c>
      <c r="G3152" s="548">
        <f t="shared" si="1117"/>
        <v>0</v>
      </c>
      <c r="H3152" s="358" t="s">
        <v>18</v>
      </c>
      <c r="I3152" s="548">
        <f t="shared" si="1118"/>
        <v>0</v>
      </c>
      <c r="J3152" s="358" t="s">
        <v>19</v>
      </c>
      <c r="K3152" s="358"/>
      <c r="L3152" s="358"/>
      <c r="M3152" s="358">
        <f t="shared" si="1125"/>
        <v>0</v>
      </c>
      <c r="N3152" s="324"/>
      <c r="O3152" s="324"/>
      <c r="P3152" s="324"/>
      <c r="Q3152" s="324" t="s">
        <v>18</v>
      </c>
      <c r="R3152" s="324"/>
      <c r="S3152" s="324" t="s">
        <v>19</v>
      </c>
      <c r="T3152" s="528">
        <v>1</v>
      </c>
      <c r="U3152" s="324">
        <f>E3152/420*60</f>
        <v>0</v>
      </c>
      <c r="V3152" s="676"/>
      <c r="W3152" s="528"/>
      <c r="X3152" s="529"/>
      <c r="Y3152" s="323"/>
      <c r="AA3152" s="316">
        <f t="shared" si="1126"/>
        <v>0</v>
      </c>
    </row>
    <row r="3153" spans="1:27" ht="51.75" thickBot="1" x14ac:dyDescent="0.45">
      <c r="A3153" s="319" t="s">
        <v>262</v>
      </c>
      <c r="B3153" s="320" t="s">
        <v>818</v>
      </c>
      <c r="C3153" s="586">
        <f>C235+C465+C695</f>
        <v>0</v>
      </c>
      <c r="D3153" s="528"/>
      <c r="E3153" s="456">
        <f>C3153*4</f>
        <v>0</v>
      </c>
      <c r="F3153" s="358">
        <f t="shared" si="1124"/>
        <v>0</v>
      </c>
      <c r="G3153" s="548">
        <f t="shared" si="1117"/>
        <v>0</v>
      </c>
      <c r="H3153" s="358" t="s">
        <v>18</v>
      </c>
      <c r="I3153" s="548">
        <f t="shared" si="1118"/>
        <v>0</v>
      </c>
      <c r="J3153" s="358" t="s">
        <v>19</v>
      </c>
      <c r="K3153" s="358"/>
      <c r="L3153" s="358"/>
      <c r="M3153" s="358">
        <f t="shared" si="1125"/>
        <v>0</v>
      </c>
      <c r="N3153" s="324"/>
      <c r="O3153" s="324"/>
      <c r="P3153" s="324"/>
      <c r="Q3153" s="324" t="s">
        <v>18</v>
      </c>
      <c r="R3153" s="324"/>
      <c r="S3153" s="324" t="s">
        <v>19</v>
      </c>
      <c r="T3153" s="528">
        <v>1</v>
      </c>
      <c r="U3153" s="324">
        <f>E3153/420*60</f>
        <v>0</v>
      </c>
      <c r="V3153" s="676"/>
      <c r="W3153" s="528"/>
      <c r="X3153" s="529"/>
      <c r="Y3153" s="323"/>
      <c r="AA3153" s="316">
        <f t="shared" si="1126"/>
        <v>0</v>
      </c>
    </row>
    <row r="3154" spans="1:27" ht="102.75" thickBot="1" x14ac:dyDescent="0.45">
      <c r="A3154" s="319" t="s">
        <v>262</v>
      </c>
      <c r="B3154" s="320" t="s">
        <v>843</v>
      </c>
      <c r="C3154" s="586">
        <f>C145+C369+C597</f>
        <v>0</v>
      </c>
      <c r="D3154" s="528"/>
      <c r="E3154" s="546">
        <f>C3154*2</f>
        <v>0</v>
      </c>
      <c r="F3154" s="546">
        <f>E3154*1.03*0.87/19.3</f>
        <v>0</v>
      </c>
      <c r="G3154" s="639">
        <f>INT(M3154)</f>
        <v>0</v>
      </c>
      <c r="H3154" s="546" t="s">
        <v>18</v>
      </c>
      <c r="I3154" s="639">
        <f>(M3154-G3154)*64</f>
        <v>0</v>
      </c>
      <c r="J3154" s="546" t="s">
        <v>19</v>
      </c>
      <c r="K3154" s="546"/>
      <c r="L3154" s="546"/>
      <c r="M3154" s="546">
        <f>(F3154*877/2880)</f>
        <v>0</v>
      </c>
      <c r="N3154" s="546"/>
      <c r="O3154" s="324"/>
      <c r="P3154" s="324"/>
      <c r="Q3154" s="324" t="s">
        <v>18</v>
      </c>
      <c r="R3154" s="324"/>
      <c r="S3154" s="324" t="s">
        <v>19</v>
      </c>
      <c r="T3154" s="528">
        <v>1</v>
      </c>
      <c r="U3154" s="324">
        <f>E3154/420*60</f>
        <v>0</v>
      </c>
      <c r="V3154" s="676"/>
      <c r="W3154" s="528"/>
      <c r="X3154" s="529"/>
      <c r="Y3154" s="323"/>
      <c r="AA3154" s="316">
        <f>C3154/150</f>
        <v>0</v>
      </c>
    </row>
    <row r="3155" spans="1:27" ht="51.75" thickBot="1" x14ac:dyDescent="0.45">
      <c r="A3155" s="319" t="s">
        <v>262</v>
      </c>
      <c r="B3155" s="320" t="s">
        <v>849</v>
      </c>
      <c r="C3155" s="528">
        <f>C266+C496+C726</f>
        <v>0</v>
      </c>
      <c r="D3155" s="528"/>
      <c r="E3155" s="456">
        <f>C3155*3.2</f>
        <v>0</v>
      </c>
      <c r="F3155" s="358">
        <f>E3155*1.03*0.9/147</f>
        <v>0</v>
      </c>
      <c r="G3155" s="548">
        <f>INT(M3155)</f>
        <v>0</v>
      </c>
      <c r="H3155" s="358" t="s">
        <v>18</v>
      </c>
      <c r="I3155" s="548">
        <f>(M3155-G3155)*64</f>
        <v>0</v>
      </c>
      <c r="J3155" s="358" t="s">
        <v>19</v>
      </c>
      <c r="K3155" s="358"/>
      <c r="L3155" s="358"/>
      <c r="M3155" s="358">
        <f>F3155*4983/2880</f>
        <v>0</v>
      </c>
      <c r="N3155" s="358"/>
      <c r="O3155" s="358"/>
      <c r="P3155" s="358"/>
      <c r="Q3155" s="358" t="s">
        <v>18</v>
      </c>
      <c r="R3155" s="358"/>
      <c r="S3155" s="358" t="s">
        <v>19</v>
      </c>
      <c r="T3155" s="528">
        <v>1</v>
      </c>
      <c r="U3155" s="324">
        <f>E3155/259*60</f>
        <v>0</v>
      </c>
      <c r="V3155" s="676"/>
      <c r="W3155" s="528"/>
      <c r="X3155" s="529"/>
      <c r="Y3155" s="323"/>
      <c r="AA3155" s="316">
        <f>C3155/150</f>
        <v>0</v>
      </c>
    </row>
    <row r="3156" spans="1:27" ht="77.25" thickBot="1" x14ac:dyDescent="0.45">
      <c r="A3156" s="319" t="s">
        <v>262</v>
      </c>
      <c r="B3156" s="633" t="s">
        <v>1086</v>
      </c>
      <c r="C3156" s="528">
        <f>C2649+C2742+C2832</f>
        <v>0</v>
      </c>
      <c r="D3156" s="528"/>
      <c r="E3156" s="456">
        <f>C3156*3.2</f>
        <v>0</v>
      </c>
      <c r="F3156" s="358">
        <f>E3156*1.03*0.9/147</f>
        <v>0</v>
      </c>
      <c r="G3156" s="548">
        <f>INT(M3156)</f>
        <v>0</v>
      </c>
      <c r="H3156" s="358" t="s">
        <v>18</v>
      </c>
      <c r="I3156" s="548">
        <f>(M3156-G3156)*64</f>
        <v>0</v>
      </c>
      <c r="J3156" s="358" t="s">
        <v>19</v>
      </c>
      <c r="K3156" s="358"/>
      <c r="L3156" s="358"/>
      <c r="M3156" s="358">
        <f>F3156*4983/2880</f>
        <v>0</v>
      </c>
      <c r="N3156" s="358"/>
      <c r="O3156" s="358"/>
      <c r="P3156" s="358"/>
      <c r="Q3156" s="358" t="s">
        <v>18</v>
      </c>
      <c r="R3156" s="358"/>
      <c r="S3156" s="358" t="s">
        <v>19</v>
      </c>
      <c r="T3156" s="528">
        <v>1</v>
      </c>
      <c r="U3156" s="324">
        <f>E3156/259*60</f>
        <v>0</v>
      </c>
      <c r="V3156" s="676"/>
      <c r="W3156" s="528"/>
      <c r="X3156" s="529"/>
      <c r="Y3156" s="323"/>
      <c r="AA3156" s="316">
        <f>C3156*3/250</f>
        <v>0</v>
      </c>
    </row>
    <row r="3157" spans="1:27" ht="51.75" thickBot="1" x14ac:dyDescent="0.45">
      <c r="A3157" s="319" t="s">
        <v>262</v>
      </c>
      <c r="B3157" s="320" t="s">
        <v>874</v>
      </c>
      <c r="C3157" s="528">
        <f>C269+C499+C729</f>
        <v>0</v>
      </c>
      <c r="D3157" s="528"/>
      <c r="E3157" s="456">
        <f>C3157*2.5</f>
        <v>0</v>
      </c>
      <c r="F3157" s="358">
        <f>E3157*1.03*0.9/147</f>
        <v>0</v>
      </c>
      <c r="G3157" s="548">
        <f>INT(M3157)</f>
        <v>0</v>
      </c>
      <c r="H3157" s="358" t="s">
        <v>18</v>
      </c>
      <c r="I3157" s="548">
        <f>(M3157-G3157)*64</f>
        <v>0</v>
      </c>
      <c r="J3157" s="358" t="s">
        <v>19</v>
      </c>
      <c r="K3157" s="358"/>
      <c r="L3157" s="358"/>
      <c r="M3157" s="358">
        <f>F3157*4983/2880</f>
        <v>0</v>
      </c>
      <c r="N3157" s="358"/>
      <c r="O3157" s="358"/>
      <c r="P3157" s="358"/>
      <c r="Q3157" s="358" t="s">
        <v>18</v>
      </c>
      <c r="R3157" s="358"/>
      <c r="S3157" s="358" t="s">
        <v>19</v>
      </c>
      <c r="T3157" s="528">
        <v>1</v>
      </c>
      <c r="U3157" s="324">
        <f>E3157/259*60</f>
        <v>0</v>
      </c>
      <c r="V3157" s="676"/>
      <c r="W3157" s="528"/>
      <c r="X3157" s="529"/>
      <c r="Y3157" s="323"/>
      <c r="AA3157" s="316">
        <f>C3157/187.5</f>
        <v>0</v>
      </c>
    </row>
    <row r="3158" spans="1:27" ht="51.75" thickBot="1" x14ac:dyDescent="0.45">
      <c r="A3158" s="319" t="s">
        <v>262</v>
      </c>
      <c r="B3158" s="320" t="s">
        <v>855</v>
      </c>
      <c r="C3158" s="528">
        <f>C268+C498+C728</f>
        <v>0</v>
      </c>
      <c r="D3158" s="528"/>
      <c r="E3158" s="456">
        <f>C3158*4</f>
        <v>0</v>
      </c>
      <c r="F3158" s="358">
        <f>E3158*1.03*0.9/147</f>
        <v>0</v>
      </c>
      <c r="G3158" s="548">
        <f t="shared" ref="G3158:G3176" si="1127">INT(M3158)</f>
        <v>0</v>
      </c>
      <c r="H3158" s="358" t="s">
        <v>18</v>
      </c>
      <c r="I3158" s="548">
        <f t="shared" ref="I3158:I3176" si="1128">(M3158-G3158)*64</f>
        <v>0</v>
      </c>
      <c r="J3158" s="358" t="s">
        <v>19</v>
      </c>
      <c r="K3158" s="358"/>
      <c r="L3158" s="358"/>
      <c r="M3158" s="358">
        <f>F3158*4983/2880</f>
        <v>0</v>
      </c>
      <c r="N3158" s="358"/>
      <c r="O3158" s="358"/>
      <c r="P3158" s="358"/>
      <c r="Q3158" s="358" t="s">
        <v>18</v>
      </c>
      <c r="R3158" s="358"/>
      <c r="S3158" s="358" t="s">
        <v>19</v>
      </c>
      <c r="T3158" s="528">
        <v>1</v>
      </c>
      <c r="U3158" s="324">
        <f>E3158/259*60</f>
        <v>0</v>
      </c>
      <c r="V3158" s="676"/>
      <c r="W3158" s="528"/>
      <c r="X3158" s="529"/>
      <c r="Y3158" s="323"/>
      <c r="AA3158" s="316">
        <f>C3158/187.5</f>
        <v>0</v>
      </c>
    </row>
    <row r="3159" spans="1:27" ht="77.25" thickBot="1" x14ac:dyDescent="0.45">
      <c r="A3159" s="319" t="s">
        <v>262</v>
      </c>
      <c r="B3159" s="320" t="s">
        <v>896</v>
      </c>
      <c r="C3159" s="528">
        <f>C182+C409+C637+C828+C1009</f>
        <v>0</v>
      </c>
      <c r="D3159" s="528"/>
      <c r="E3159" s="456">
        <f>C3159*1.2</f>
        <v>0</v>
      </c>
      <c r="F3159" s="358">
        <f>E3159*1.01*0.72/147</f>
        <v>0</v>
      </c>
      <c r="G3159" s="548">
        <f t="shared" si="1127"/>
        <v>0</v>
      </c>
      <c r="H3159" s="358" t="s">
        <v>18</v>
      </c>
      <c r="I3159" s="548">
        <f t="shared" si="1128"/>
        <v>0</v>
      </c>
      <c r="J3159" s="358" t="s">
        <v>19</v>
      </c>
      <c r="K3159" s="358"/>
      <c r="L3159" s="358"/>
      <c r="M3159" s="358">
        <f>(F3159*6035/3456)</f>
        <v>0</v>
      </c>
      <c r="N3159" s="358"/>
      <c r="O3159" s="358"/>
      <c r="P3159" s="358"/>
      <c r="Q3159" s="358" t="s">
        <v>18</v>
      </c>
      <c r="R3159" s="358"/>
      <c r="S3159" s="358" t="s">
        <v>19</v>
      </c>
      <c r="T3159" s="528">
        <v>1</v>
      </c>
      <c r="U3159" s="324">
        <f t="shared" ref="U3159:U3176" si="1129">E3159/324*60</f>
        <v>0</v>
      </c>
      <c r="V3159" s="685"/>
      <c r="W3159" s="528"/>
      <c r="X3159" s="529"/>
      <c r="Y3159" s="323"/>
      <c r="AA3159" s="316">
        <f t="shared" ref="AA3159:AA3177" si="1130">SUM(C3159/150)</f>
        <v>0</v>
      </c>
    </row>
    <row r="3160" spans="1:27" ht="77.25" thickBot="1" x14ac:dyDescent="0.45">
      <c r="A3160" s="319" t="s">
        <v>262</v>
      </c>
      <c r="B3160" s="320" t="s">
        <v>1082</v>
      </c>
      <c r="C3160" s="528">
        <f>C183+C410+C638+C829+C1010</f>
        <v>0</v>
      </c>
      <c r="D3160" s="528"/>
      <c r="E3160" s="460">
        <f>C3160*1.2</f>
        <v>0</v>
      </c>
      <c r="F3160" s="324">
        <f>E3160*1.01*0.72/147</f>
        <v>0</v>
      </c>
      <c r="G3160" s="528">
        <f>INT(M3160)</f>
        <v>0</v>
      </c>
      <c r="H3160" s="324" t="s">
        <v>18</v>
      </c>
      <c r="I3160" s="528">
        <f>(M3160-G3160)*64</f>
        <v>0</v>
      </c>
      <c r="J3160" s="324" t="s">
        <v>19</v>
      </c>
      <c r="K3160" s="324"/>
      <c r="L3160" s="324"/>
      <c r="M3160" s="324">
        <f>(F3160*6035/3456)</f>
        <v>0</v>
      </c>
      <c r="N3160" s="324"/>
      <c r="O3160" s="324"/>
      <c r="P3160" s="324"/>
      <c r="Q3160" s="324" t="s">
        <v>18</v>
      </c>
      <c r="R3160" s="324"/>
      <c r="S3160" s="324" t="s">
        <v>19</v>
      </c>
      <c r="T3160" s="528">
        <v>1</v>
      </c>
      <c r="U3160" s="324">
        <f>E3160/324*60</f>
        <v>0</v>
      </c>
      <c r="V3160" s="685"/>
      <c r="W3160" s="528"/>
      <c r="X3160" s="529"/>
      <c r="Y3160" s="323"/>
      <c r="AA3160" s="316">
        <f>SUM(C3160/150)</f>
        <v>0</v>
      </c>
    </row>
    <row r="3161" spans="1:27" ht="51.75" thickBot="1" x14ac:dyDescent="0.45">
      <c r="A3161" s="319" t="s">
        <v>262</v>
      </c>
      <c r="B3161" s="320" t="s">
        <v>897</v>
      </c>
      <c r="C3161" s="528">
        <f>C184+C411+C639+C834+C1015</f>
        <v>0</v>
      </c>
      <c r="D3161" s="528"/>
      <c r="E3161" s="456">
        <f>C3161*1.2</f>
        <v>0</v>
      </c>
      <c r="F3161" s="358">
        <f>E3161*1.03*0.82/147</f>
        <v>0</v>
      </c>
      <c r="G3161" s="549">
        <f t="shared" si="1127"/>
        <v>0</v>
      </c>
      <c r="H3161" s="359" t="s">
        <v>18</v>
      </c>
      <c r="I3161" s="549">
        <f t="shared" si="1128"/>
        <v>0</v>
      </c>
      <c r="J3161" s="359" t="s">
        <v>19</v>
      </c>
      <c r="K3161" s="358"/>
      <c r="L3161" s="358"/>
      <c r="M3161" s="358">
        <f>(F3161*5547/3456)</f>
        <v>0</v>
      </c>
      <c r="N3161" s="358"/>
      <c r="O3161" s="358"/>
      <c r="P3161" s="358"/>
      <c r="Q3161" s="358" t="s">
        <v>18</v>
      </c>
      <c r="R3161" s="358"/>
      <c r="S3161" s="358" t="s">
        <v>19</v>
      </c>
      <c r="T3161" s="528">
        <v>1</v>
      </c>
      <c r="U3161" s="324">
        <f t="shared" si="1129"/>
        <v>0</v>
      </c>
      <c r="V3161" s="685"/>
      <c r="W3161" s="528"/>
      <c r="X3161" s="529"/>
      <c r="Y3161" s="323"/>
      <c r="AA3161" s="316">
        <f t="shared" si="1130"/>
        <v>0</v>
      </c>
    </row>
    <row r="3162" spans="1:27" ht="77.25" thickBot="1" x14ac:dyDescent="0.45">
      <c r="A3162" s="319" t="s">
        <v>262</v>
      </c>
      <c r="B3162" s="799" t="s">
        <v>1203</v>
      </c>
      <c r="C3162" s="528">
        <f>C185+C412+C640+C835+C1016</f>
        <v>0</v>
      </c>
      <c r="D3162" s="528"/>
      <c r="E3162" s="456">
        <f>C3162*1.2</f>
        <v>0</v>
      </c>
      <c r="F3162" s="358">
        <f>E3162*1.03*0.82/147</f>
        <v>0</v>
      </c>
      <c r="G3162" s="549">
        <f>INT(M3162)</f>
        <v>0</v>
      </c>
      <c r="H3162" s="359" t="s">
        <v>18</v>
      </c>
      <c r="I3162" s="549">
        <f>(M3162-G3162)*64</f>
        <v>0</v>
      </c>
      <c r="J3162" s="359" t="s">
        <v>19</v>
      </c>
      <c r="K3162" s="358"/>
      <c r="L3162" s="358"/>
      <c r="M3162" s="358">
        <f>(F3162*5547/3456)</f>
        <v>0</v>
      </c>
      <c r="N3162" s="358"/>
      <c r="O3162" s="358"/>
      <c r="P3162" s="358"/>
      <c r="Q3162" s="358" t="s">
        <v>18</v>
      </c>
      <c r="R3162" s="358"/>
      <c r="S3162" s="358" t="s">
        <v>19</v>
      </c>
      <c r="T3162" s="528">
        <v>1</v>
      </c>
      <c r="U3162" s="324">
        <f>E3162/324*60</f>
        <v>0</v>
      </c>
      <c r="V3162" s="685"/>
      <c r="W3162" s="528"/>
      <c r="X3162" s="529"/>
      <c r="Y3162" s="323"/>
      <c r="AA3162" s="316">
        <f>SUM(C3162*6/150)</f>
        <v>0</v>
      </c>
    </row>
    <row r="3163" spans="1:27" ht="51.75" thickBot="1" x14ac:dyDescent="0.45">
      <c r="A3163" s="319" t="s">
        <v>262</v>
      </c>
      <c r="B3163" s="320" t="s">
        <v>898</v>
      </c>
      <c r="C3163" s="528">
        <f>C179+C417+C645</f>
        <v>0</v>
      </c>
      <c r="D3163" s="525"/>
      <c r="E3163" s="456">
        <f>C3163*1</f>
        <v>0</v>
      </c>
      <c r="F3163" s="358">
        <f>E3163*1.03*0.84/147</f>
        <v>0</v>
      </c>
      <c r="G3163" s="549">
        <f>INT(M3163)</f>
        <v>0</v>
      </c>
      <c r="H3163" s="359" t="s">
        <v>18</v>
      </c>
      <c r="I3163" s="549">
        <f>(M3163-G3163)*64</f>
        <v>0</v>
      </c>
      <c r="J3163" s="359" t="s">
        <v>19</v>
      </c>
      <c r="K3163" s="358"/>
      <c r="L3163" s="358"/>
      <c r="M3163" s="358">
        <f>(F3163*6391/2880)</f>
        <v>0</v>
      </c>
      <c r="N3163" s="461"/>
      <c r="O3163" s="461"/>
      <c r="P3163" s="324"/>
      <c r="Q3163" s="324" t="s">
        <v>18</v>
      </c>
      <c r="R3163" s="324"/>
      <c r="S3163" s="324" t="s">
        <v>19</v>
      </c>
      <c r="T3163" s="528">
        <v>1</v>
      </c>
      <c r="U3163" s="324">
        <f t="shared" si="1129"/>
        <v>0</v>
      </c>
      <c r="V3163" s="685"/>
      <c r="W3163" s="528"/>
      <c r="X3163" s="529"/>
      <c r="Y3163" s="323"/>
      <c r="AA3163" s="316">
        <f t="shared" si="1130"/>
        <v>0</v>
      </c>
    </row>
    <row r="3164" spans="1:27" ht="77.25" thickBot="1" x14ac:dyDescent="0.45">
      <c r="A3164" s="319" t="s">
        <v>262</v>
      </c>
      <c r="B3164" s="320" t="s">
        <v>1008</v>
      </c>
      <c r="C3164" s="528">
        <f>C190+C418+C646</f>
        <v>0</v>
      </c>
      <c r="D3164" s="528"/>
      <c r="E3164" s="460">
        <f>C3164*2</f>
        <v>0</v>
      </c>
      <c r="F3164" s="324">
        <f>E3164*1.03*0.84/147</f>
        <v>0</v>
      </c>
      <c r="G3164" s="537">
        <f t="shared" si="1127"/>
        <v>0</v>
      </c>
      <c r="H3164" s="354" t="s">
        <v>18</v>
      </c>
      <c r="I3164" s="537">
        <f t="shared" si="1128"/>
        <v>0</v>
      </c>
      <c r="J3164" s="354" t="s">
        <v>19</v>
      </c>
      <c r="K3164" s="324"/>
      <c r="L3164" s="324"/>
      <c r="M3164" s="324">
        <f>(F3164*5068/3456)</f>
        <v>0</v>
      </c>
      <c r="N3164" s="324"/>
      <c r="O3164" s="324"/>
      <c r="P3164" s="324"/>
      <c r="Q3164" s="324" t="s">
        <v>18</v>
      </c>
      <c r="R3164" s="324"/>
      <c r="S3164" s="324" t="s">
        <v>19</v>
      </c>
      <c r="T3164" s="528">
        <v>1</v>
      </c>
      <c r="U3164" s="324">
        <f t="shared" si="1129"/>
        <v>0</v>
      </c>
      <c r="V3164" s="676"/>
      <c r="W3164" s="528"/>
      <c r="X3164" s="529"/>
      <c r="Y3164" s="323"/>
      <c r="AA3164" s="316">
        <f>SUM(C3164/150)</f>
        <v>0</v>
      </c>
    </row>
    <row r="3165" spans="1:27" ht="77.25" thickBot="1" x14ac:dyDescent="0.45">
      <c r="A3165" s="319" t="s">
        <v>262</v>
      </c>
      <c r="B3165" s="320" t="s">
        <v>1009</v>
      </c>
      <c r="C3165" s="528">
        <f>C832+C1013+C188+C415+C643</f>
        <v>0</v>
      </c>
      <c r="D3165" s="528"/>
      <c r="E3165" s="460">
        <f>C3165*2</f>
        <v>0</v>
      </c>
      <c r="F3165" s="324">
        <f>E3165*1.03*0.82/147</f>
        <v>0</v>
      </c>
      <c r="G3165" s="537">
        <f t="shared" si="1127"/>
        <v>0</v>
      </c>
      <c r="H3165" s="354" t="s">
        <v>18</v>
      </c>
      <c r="I3165" s="537">
        <f t="shared" si="1128"/>
        <v>0</v>
      </c>
      <c r="J3165" s="354" t="s">
        <v>19</v>
      </c>
      <c r="K3165" s="324"/>
      <c r="L3165" s="324"/>
      <c r="M3165" s="324">
        <f>(F3165*5547/3456)</f>
        <v>0</v>
      </c>
      <c r="N3165" s="324"/>
      <c r="O3165" s="324"/>
      <c r="P3165" s="324"/>
      <c r="Q3165" s="324" t="s">
        <v>18</v>
      </c>
      <c r="R3165" s="324"/>
      <c r="S3165" s="324" t="s">
        <v>19</v>
      </c>
      <c r="T3165" s="528">
        <v>1</v>
      </c>
      <c r="U3165" s="324">
        <f>E3165/324*60</f>
        <v>0</v>
      </c>
      <c r="V3165" s="685"/>
      <c r="W3165" s="528"/>
      <c r="X3165" s="529"/>
      <c r="Y3165" s="323"/>
      <c r="AA3165" s="316">
        <f>SUM(C3165/150)</f>
        <v>0</v>
      </c>
    </row>
    <row r="3166" spans="1:27" ht="77.25" thickBot="1" x14ac:dyDescent="0.45">
      <c r="A3166" s="319" t="s">
        <v>262</v>
      </c>
      <c r="B3166" s="320" t="s">
        <v>1010</v>
      </c>
      <c r="C3166" s="528">
        <f>C830+C1011+C186+C413+C641</f>
        <v>0</v>
      </c>
      <c r="D3166" s="528"/>
      <c r="E3166" s="460">
        <f>C3166*2</f>
        <v>0</v>
      </c>
      <c r="F3166" s="324">
        <f>E3166*1.01*0.72/147</f>
        <v>0</v>
      </c>
      <c r="G3166" s="528">
        <f t="shared" si="1127"/>
        <v>0</v>
      </c>
      <c r="H3166" s="324" t="s">
        <v>18</v>
      </c>
      <c r="I3166" s="528">
        <f t="shared" si="1128"/>
        <v>0</v>
      </c>
      <c r="J3166" s="324" t="s">
        <v>19</v>
      </c>
      <c r="K3166" s="324"/>
      <c r="L3166" s="324"/>
      <c r="M3166" s="324">
        <f>(F3166*6035/3456)</f>
        <v>0</v>
      </c>
      <c r="N3166" s="324"/>
      <c r="O3166" s="324"/>
      <c r="P3166" s="324"/>
      <c r="Q3166" s="324" t="s">
        <v>18</v>
      </c>
      <c r="R3166" s="324"/>
      <c r="S3166" s="324" t="s">
        <v>19</v>
      </c>
      <c r="T3166" s="528">
        <v>1</v>
      </c>
      <c r="U3166" s="324">
        <f>E3166/324*60</f>
        <v>0</v>
      </c>
      <c r="V3166" s="685"/>
      <c r="W3166" s="528"/>
      <c r="X3166" s="529"/>
      <c r="Y3166" s="323"/>
      <c r="AA3166" s="316">
        <f>SUM(C3166/150)</f>
        <v>0</v>
      </c>
    </row>
    <row r="3167" spans="1:27" ht="77.25" thickBot="1" x14ac:dyDescent="0.45">
      <c r="A3167" s="319" t="s">
        <v>262</v>
      </c>
      <c r="B3167" s="320" t="s">
        <v>1011</v>
      </c>
      <c r="C3167" s="528">
        <f>C831+C1012+C187+C414+C642</f>
        <v>0</v>
      </c>
      <c r="D3167" s="528"/>
      <c r="E3167" s="460">
        <f>C3167*2</f>
        <v>0</v>
      </c>
      <c r="F3167" s="324">
        <f>E3167*1.01*0.72/147</f>
        <v>0</v>
      </c>
      <c r="G3167" s="528">
        <f t="shared" si="1127"/>
        <v>0</v>
      </c>
      <c r="H3167" s="324" t="s">
        <v>18</v>
      </c>
      <c r="I3167" s="528">
        <f t="shared" si="1128"/>
        <v>0</v>
      </c>
      <c r="J3167" s="324" t="s">
        <v>19</v>
      </c>
      <c r="K3167" s="324"/>
      <c r="L3167" s="324"/>
      <c r="M3167" s="324">
        <f>(F3167*6035/3456)</f>
        <v>0</v>
      </c>
      <c r="N3167" s="324"/>
      <c r="O3167" s="324"/>
      <c r="P3167" s="324"/>
      <c r="Q3167" s="324" t="s">
        <v>18</v>
      </c>
      <c r="R3167" s="324"/>
      <c r="S3167" s="324" t="s">
        <v>19</v>
      </c>
      <c r="T3167" s="528">
        <v>1</v>
      </c>
      <c r="U3167" s="324">
        <f>E3167/324*60</f>
        <v>0</v>
      </c>
      <c r="V3167" s="685"/>
      <c r="W3167" s="528"/>
      <c r="X3167" s="529"/>
      <c r="Y3167" s="323"/>
      <c r="AA3167" s="316">
        <f>SUM(C3167/150)</f>
        <v>0</v>
      </c>
    </row>
    <row r="3168" spans="1:27" ht="77.25" thickBot="1" x14ac:dyDescent="0.45">
      <c r="A3168" s="319" t="s">
        <v>262</v>
      </c>
      <c r="B3168" s="320" t="s">
        <v>899</v>
      </c>
      <c r="C3168" s="528">
        <f>C191+C419+C647</f>
        <v>0</v>
      </c>
      <c r="D3168" s="528"/>
      <c r="E3168" s="456">
        <f t="shared" ref="E3168:E3176" si="1131">C3168*1</f>
        <v>0</v>
      </c>
      <c r="F3168" s="358">
        <f>E3168*1.01*0.756/147</f>
        <v>0</v>
      </c>
      <c r="G3168" s="548">
        <f t="shared" si="1127"/>
        <v>0</v>
      </c>
      <c r="H3168" s="358" t="s">
        <v>18</v>
      </c>
      <c r="I3168" s="548">
        <f t="shared" si="1128"/>
        <v>0</v>
      </c>
      <c r="J3168" s="358" t="s">
        <v>19</v>
      </c>
      <c r="K3168" s="358"/>
      <c r="L3168" s="358"/>
      <c r="M3168" s="358">
        <f>(F3168*6035/3456)</f>
        <v>0</v>
      </c>
      <c r="N3168" s="324"/>
      <c r="O3168" s="324"/>
      <c r="P3168" s="324"/>
      <c r="Q3168" s="324" t="s">
        <v>18</v>
      </c>
      <c r="R3168" s="324"/>
      <c r="S3168" s="324" t="s">
        <v>19</v>
      </c>
      <c r="T3168" s="528">
        <v>1</v>
      </c>
      <c r="U3168" s="324">
        <f t="shared" si="1129"/>
        <v>0</v>
      </c>
      <c r="V3168" s="685"/>
      <c r="W3168" s="528"/>
      <c r="X3168" s="529"/>
      <c r="Y3168" s="323"/>
      <c r="AA3168" s="316">
        <f t="shared" si="1130"/>
        <v>0</v>
      </c>
    </row>
    <row r="3169" spans="1:256" ht="51.75" thickBot="1" x14ac:dyDescent="0.45">
      <c r="A3169" s="319" t="s">
        <v>262</v>
      </c>
      <c r="B3169" s="320" t="s">
        <v>854</v>
      </c>
      <c r="C3169" s="528">
        <f>C897+C1086+C252+C482+C712</f>
        <v>0</v>
      </c>
      <c r="D3169" s="528"/>
      <c r="E3169" s="456">
        <f t="shared" si="1131"/>
        <v>0</v>
      </c>
      <c r="F3169" s="358">
        <f t="shared" ref="F3169:F3174" si="1132">E3169*1.02*0.99/147</f>
        <v>0</v>
      </c>
      <c r="G3169" s="548">
        <f t="shared" si="1127"/>
        <v>0</v>
      </c>
      <c r="H3169" s="358" t="s">
        <v>18</v>
      </c>
      <c r="I3169" s="548">
        <f t="shared" si="1128"/>
        <v>0</v>
      </c>
      <c r="J3169" s="358" t="s">
        <v>19</v>
      </c>
      <c r="K3169" s="358"/>
      <c r="L3169" s="358"/>
      <c r="M3169" s="358">
        <f>F3169*4983/2880</f>
        <v>0</v>
      </c>
      <c r="N3169" s="358"/>
      <c r="O3169" s="358"/>
      <c r="P3169" s="358"/>
      <c r="Q3169" s="358" t="s">
        <v>18</v>
      </c>
      <c r="R3169" s="358"/>
      <c r="S3169" s="358" t="s">
        <v>19</v>
      </c>
      <c r="T3169" s="528">
        <v>1</v>
      </c>
      <c r="U3169" s="324">
        <f t="shared" si="1129"/>
        <v>0</v>
      </c>
      <c r="V3169" s="685"/>
      <c r="W3169" s="528"/>
      <c r="X3169" s="529"/>
      <c r="Y3169" s="323"/>
      <c r="AA3169" s="316">
        <f t="shared" si="1130"/>
        <v>0</v>
      </c>
    </row>
    <row r="3170" spans="1:256" ht="51.75" thickBot="1" x14ac:dyDescent="0.45">
      <c r="A3170" s="319" t="s">
        <v>262</v>
      </c>
      <c r="B3170" s="799" t="s">
        <v>1204</v>
      </c>
      <c r="C3170" s="528">
        <f>C253+C483+C713+C898+C1087</f>
        <v>0</v>
      </c>
      <c r="D3170" s="528"/>
      <c r="E3170" s="456">
        <f>C3170*1</f>
        <v>0</v>
      </c>
      <c r="F3170" s="358">
        <f t="shared" si="1132"/>
        <v>0</v>
      </c>
      <c r="G3170" s="548">
        <f>INT(M3170)</f>
        <v>0</v>
      </c>
      <c r="H3170" s="358" t="s">
        <v>18</v>
      </c>
      <c r="I3170" s="548">
        <f>(M3170-G3170)*64</f>
        <v>0</v>
      </c>
      <c r="J3170" s="358" t="s">
        <v>19</v>
      </c>
      <c r="K3170" s="358"/>
      <c r="L3170" s="358"/>
      <c r="M3170" s="358">
        <f>F3170*4983/2880</f>
        <v>0</v>
      </c>
      <c r="N3170" s="358"/>
      <c r="O3170" s="358"/>
      <c r="P3170" s="358"/>
      <c r="Q3170" s="358" t="s">
        <v>18</v>
      </c>
      <c r="R3170" s="358"/>
      <c r="S3170" s="358" t="s">
        <v>19</v>
      </c>
      <c r="T3170" s="528">
        <v>1</v>
      </c>
      <c r="U3170" s="324">
        <f>E3170/324*60</f>
        <v>0</v>
      </c>
      <c r="V3170" s="685"/>
      <c r="W3170" s="528"/>
      <c r="X3170" s="529"/>
      <c r="Y3170" s="323"/>
      <c r="AA3170" s="316">
        <f>SUM(C3170*6/150)</f>
        <v>0</v>
      </c>
    </row>
    <row r="3171" spans="1:256" ht="51.75" thickBot="1" x14ac:dyDescent="0.45">
      <c r="A3171" s="319" t="s">
        <v>262</v>
      </c>
      <c r="B3171" s="320" t="s">
        <v>902</v>
      </c>
      <c r="C3171" s="528">
        <f>C899+C1088+C254+C484+C714</f>
        <v>0</v>
      </c>
      <c r="D3171" s="528"/>
      <c r="E3171" s="456">
        <f t="shared" si="1131"/>
        <v>0</v>
      </c>
      <c r="F3171" s="358">
        <f t="shared" si="1132"/>
        <v>0</v>
      </c>
      <c r="G3171" s="548">
        <f t="shared" si="1127"/>
        <v>0</v>
      </c>
      <c r="H3171" s="358" t="s">
        <v>18</v>
      </c>
      <c r="I3171" s="548">
        <f t="shared" si="1128"/>
        <v>0</v>
      </c>
      <c r="J3171" s="358" t="s">
        <v>19</v>
      </c>
      <c r="K3171" s="358"/>
      <c r="L3171" s="358"/>
      <c r="M3171" s="358">
        <f>F3171*4983/2880</f>
        <v>0</v>
      </c>
      <c r="N3171" s="358"/>
      <c r="O3171" s="358"/>
      <c r="P3171" s="358"/>
      <c r="Q3171" s="358" t="s">
        <v>18</v>
      </c>
      <c r="R3171" s="358"/>
      <c r="S3171" s="358" t="s">
        <v>19</v>
      </c>
      <c r="T3171" s="528">
        <v>1</v>
      </c>
      <c r="U3171" s="324">
        <f t="shared" si="1129"/>
        <v>0</v>
      </c>
      <c r="V3171" s="685"/>
      <c r="W3171" s="528"/>
      <c r="X3171" s="529"/>
      <c r="Y3171" s="323"/>
      <c r="AA3171" s="316">
        <f t="shared" si="1130"/>
        <v>0</v>
      </c>
    </row>
    <row r="3172" spans="1:256" ht="51.75" thickBot="1" x14ac:dyDescent="0.45">
      <c r="A3172" s="319" t="s">
        <v>262</v>
      </c>
      <c r="B3172" s="799" t="s">
        <v>1206</v>
      </c>
      <c r="C3172" s="528">
        <f>C255+C485+C715+C900+C1089</f>
        <v>0</v>
      </c>
      <c r="D3172" s="528"/>
      <c r="E3172" s="456">
        <f>C3172*1</f>
        <v>0</v>
      </c>
      <c r="F3172" s="358">
        <f t="shared" si="1132"/>
        <v>0</v>
      </c>
      <c r="G3172" s="548">
        <f>INT(M3172)</f>
        <v>0</v>
      </c>
      <c r="H3172" s="358" t="s">
        <v>18</v>
      </c>
      <c r="I3172" s="548">
        <f>(M3172-G3172)*64</f>
        <v>0</v>
      </c>
      <c r="J3172" s="358" t="s">
        <v>19</v>
      </c>
      <c r="K3172" s="358"/>
      <c r="L3172" s="358"/>
      <c r="M3172" s="358">
        <f>F3172*4983/2880</f>
        <v>0</v>
      </c>
      <c r="N3172" s="358"/>
      <c r="O3172" s="358"/>
      <c r="P3172" s="358"/>
      <c r="Q3172" s="358" t="s">
        <v>18</v>
      </c>
      <c r="R3172" s="358"/>
      <c r="S3172" s="358" t="s">
        <v>19</v>
      </c>
      <c r="T3172" s="528">
        <v>1</v>
      </c>
      <c r="U3172" s="324">
        <f>E3172/324*60</f>
        <v>0</v>
      </c>
      <c r="V3172" s="685"/>
      <c r="W3172" s="528"/>
      <c r="X3172" s="529"/>
      <c r="Y3172" s="323"/>
      <c r="AA3172" s="316">
        <f>SUM(C3172*6/150)</f>
        <v>0</v>
      </c>
    </row>
    <row r="3173" spans="1:256" ht="51.75" thickBot="1" x14ac:dyDescent="0.45">
      <c r="A3173" s="319" t="s">
        <v>262</v>
      </c>
      <c r="B3173" s="320" t="s">
        <v>916</v>
      </c>
      <c r="C3173" s="528">
        <f>C905+C1094+C260+C490+C720</f>
        <v>0</v>
      </c>
      <c r="D3173" s="525"/>
      <c r="E3173" s="456">
        <f>C3173*1</f>
        <v>0</v>
      </c>
      <c r="F3173" s="358">
        <f t="shared" si="1132"/>
        <v>0</v>
      </c>
      <c r="G3173" s="548">
        <f>INT(M3173)</f>
        <v>0</v>
      </c>
      <c r="H3173" s="358" t="s">
        <v>18</v>
      </c>
      <c r="I3173" s="548">
        <f>(M3173-G3173)*64</f>
        <v>0</v>
      </c>
      <c r="J3173" s="358" t="s">
        <v>19</v>
      </c>
      <c r="K3173" s="358"/>
      <c r="L3173" s="358"/>
      <c r="M3173" s="358">
        <f>F3173*6391/2880</f>
        <v>0</v>
      </c>
      <c r="N3173" s="358"/>
      <c r="O3173" s="358"/>
      <c r="P3173" s="358"/>
      <c r="Q3173" s="358" t="s">
        <v>18</v>
      </c>
      <c r="R3173" s="358"/>
      <c r="S3173" s="358" t="s">
        <v>19</v>
      </c>
      <c r="T3173" s="528">
        <v>1</v>
      </c>
      <c r="U3173" s="324">
        <f>E3173/324*60</f>
        <v>0</v>
      </c>
      <c r="V3173" s="685"/>
      <c r="W3173" s="528"/>
      <c r="X3173" s="529"/>
      <c r="Y3173" s="323"/>
      <c r="AA3173" s="316">
        <f t="shared" si="1130"/>
        <v>0</v>
      </c>
    </row>
    <row r="3174" spans="1:256" ht="51.75" thickBot="1" x14ac:dyDescent="0.45">
      <c r="A3174" s="319" t="s">
        <v>262</v>
      </c>
      <c r="B3174" s="320" t="s">
        <v>1064</v>
      </c>
      <c r="C3174" s="528">
        <f>C906+C1095+C261+C491+C721</f>
        <v>0</v>
      </c>
      <c r="D3174" s="525"/>
      <c r="E3174" s="545">
        <f>C3174*1</f>
        <v>0</v>
      </c>
      <c r="F3174" s="461">
        <f t="shared" si="1132"/>
        <v>0</v>
      </c>
      <c r="G3174" s="525">
        <f>INT(M3174)</f>
        <v>0</v>
      </c>
      <c r="H3174" s="461" t="s">
        <v>18</v>
      </c>
      <c r="I3174" s="525">
        <f>(M3174-G3174)*64</f>
        <v>0</v>
      </c>
      <c r="J3174" s="461" t="s">
        <v>19</v>
      </c>
      <c r="K3174" s="461"/>
      <c r="L3174" s="461"/>
      <c r="M3174" s="461">
        <f>F3174*6391/2880</f>
        <v>0</v>
      </c>
      <c r="N3174" s="461"/>
      <c r="O3174" s="461"/>
      <c r="P3174" s="324"/>
      <c r="Q3174" s="324" t="s">
        <v>18</v>
      </c>
      <c r="R3174" s="324"/>
      <c r="S3174" s="324" t="s">
        <v>19</v>
      </c>
      <c r="T3174" s="528">
        <v>1</v>
      </c>
      <c r="U3174" s="324">
        <f>E3174/324*60</f>
        <v>0</v>
      </c>
      <c r="V3174" s="685"/>
      <c r="W3174" s="528"/>
      <c r="X3174" s="529"/>
      <c r="Y3174" s="323"/>
      <c r="AA3174" s="316">
        <f>SUM(C3174/150)</f>
        <v>0</v>
      </c>
    </row>
    <row r="3175" spans="1:256" ht="77.25" thickBot="1" x14ac:dyDescent="0.45">
      <c r="A3175" s="319" t="s">
        <v>262</v>
      </c>
      <c r="B3175" s="320" t="s">
        <v>900</v>
      </c>
      <c r="C3175" s="528">
        <f>C901+C1090+C256+C486+C716</f>
        <v>0</v>
      </c>
      <c r="D3175" s="528"/>
      <c r="E3175" s="458">
        <f t="shared" si="1131"/>
        <v>0</v>
      </c>
      <c r="F3175" s="358">
        <f>E3175*0.9*1.01/147</f>
        <v>0</v>
      </c>
      <c r="G3175" s="556">
        <f>INT(M3175)</f>
        <v>0</v>
      </c>
      <c r="H3175" s="366" t="s">
        <v>18</v>
      </c>
      <c r="I3175" s="556">
        <f>(M3175-G3175)*64</f>
        <v>0</v>
      </c>
      <c r="J3175" s="366" t="s">
        <v>19</v>
      </c>
      <c r="K3175" s="366"/>
      <c r="L3175" s="366"/>
      <c r="M3175" s="358">
        <f>(F3175*6533/3456)</f>
        <v>0</v>
      </c>
      <c r="N3175" s="366"/>
      <c r="O3175" s="366"/>
      <c r="P3175" s="366"/>
      <c r="Q3175" s="366" t="s">
        <v>18</v>
      </c>
      <c r="R3175" s="366"/>
      <c r="S3175" s="366" t="s">
        <v>19</v>
      </c>
      <c r="T3175" s="528">
        <v>1</v>
      </c>
      <c r="U3175" s="324">
        <f t="shared" si="1129"/>
        <v>0</v>
      </c>
      <c r="V3175" s="685"/>
      <c r="W3175" s="528"/>
      <c r="X3175" s="529"/>
      <c r="Y3175" s="323"/>
      <c r="AA3175" s="316">
        <f t="shared" si="1130"/>
        <v>0</v>
      </c>
    </row>
    <row r="3176" spans="1:256" ht="77.25" thickBot="1" x14ac:dyDescent="0.45">
      <c r="A3176" s="319" t="s">
        <v>262</v>
      </c>
      <c r="B3176" s="320" t="s">
        <v>901</v>
      </c>
      <c r="C3176" s="528">
        <f>C902+C1091+C257+C487+C717</f>
        <v>0</v>
      </c>
      <c r="D3176" s="528"/>
      <c r="E3176" s="458">
        <f t="shared" si="1131"/>
        <v>0</v>
      </c>
      <c r="F3176" s="358">
        <f>E3176*0.9*1.01/147</f>
        <v>0</v>
      </c>
      <c r="G3176" s="556">
        <f t="shared" si="1127"/>
        <v>0</v>
      </c>
      <c r="H3176" s="366" t="s">
        <v>18</v>
      </c>
      <c r="I3176" s="556">
        <f t="shared" si="1128"/>
        <v>0</v>
      </c>
      <c r="J3176" s="366" t="s">
        <v>19</v>
      </c>
      <c r="K3176" s="366"/>
      <c r="L3176" s="366"/>
      <c r="M3176" s="358">
        <f>(F3176*6533/3456)</f>
        <v>0</v>
      </c>
      <c r="N3176" s="366"/>
      <c r="O3176" s="366"/>
      <c r="P3176" s="366"/>
      <c r="Q3176" s="366" t="s">
        <v>18</v>
      </c>
      <c r="R3176" s="366"/>
      <c r="S3176" s="366" t="s">
        <v>19</v>
      </c>
      <c r="T3176" s="528">
        <v>1</v>
      </c>
      <c r="U3176" s="324">
        <f t="shared" si="1129"/>
        <v>0</v>
      </c>
      <c r="V3176" s="685"/>
      <c r="W3176" s="528"/>
      <c r="X3176" s="529"/>
      <c r="Y3176" s="323"/>
      <c r="AA3176" s="316">
        <f t="shared" si="1130"/>
        <v>0</v>
      </c>
    </row>
    <row r="3177" spans="1:256" ht="77.25" thickBot="1" x14ac:dyDescent="0.45">
      <c r="A3177" s="319" t="s">
        <v>262</v>
      </c>
      <c r="B3177" s="320" t="s">
        <v>1043</v>
      </c>
      <c r="C3177" s="528">
        <f>C189+C416+C644+C833+C1014</f>
        <v>0</v>
      </c>
      <c r="D3177" s="528"/>
      <c r="E3177" s="460">
        <f>C3177*2</f>
        <v>0</v>
      </c>
      <c r="F3177" s="324">
        <f>E3177*1.03*0.82/147</f>
        <v>0</v>
      </c>
      <c r="G3177" s="537">
        <f>INT(M3177)</f>
        <v>0</v>
      </c>
      <c r="H3177" s="354" t="s">
        <v>18</v>
      </c>
      <c r="I3177" s="537">
        <f>(M3177-G3177)*64</f>
        <v>0</v>
      </c>
      <c r="J3177" s="354" t="s">
        <v>19</v>
      </c>
      <c r="K3177" s="324"/>
      <c r="L3177" s="324"/>
      <c r="M3177" s="324">
        <f>(F3177*5547/3456)</f>
        <v>0</v>
      </c>
      <c r="N3177" s="324"/>
      <c r="O3177" s="324"/>
      <c r="P3177" s="324"/>
      <c r="Q3177" s="324" t="s">
        <v>18</v>
      </c>
      <c r="R3177" s="324"/>
      <c r="S3177" s="324" t="s">
        <v>19</v>
      </c>
      <c r="T3177" s="528">
        <v>1</v>
      </c>
      <c r="U3177" s="324">
        <f>E3177/324*60</f>
        <v>0</v>
      </c>
      <c r="V3177" s="685"/>
      <c r="W3177" s="528"/>
      <c r="X3177" s="529"/>
      <c r="Y3177" s="323"/>
      <c r="AA3177" s="316">
        <f t="shared" si="1130"/>
        <v>0</v>
      </c>
    </row>
    <row r="3178" spans="1:256" ht="77.25" thickBot="1" x14ac:dyDescent="0.45">
      <c r="A3178" s="319" t="s">
        <v>262</v>
      </c>
      <c r="B3178" s="873" t="s">
        <v>1207</v>
      </c>
      <c r="C3178" s="528">
        <f>C2582</f>
        <v>0</v>
      </c>
      <c r="D3178" s="550">
        <f>C3178*12</f>
        <v>0</v>
      </c>
      <c r="E3178" s="456">
        <f>D3178*0.27</f>
        <v>0</v>
      </c>
      <c r="F3178" s="358">
        <f>E3178*0.87*1.01/151</f>
        <v>0</v>
      </c>
      <c r="G3178" s="358">
        <f>INT(M3178)</f>
        <v>0</v>
      </c>
      <c r="H3178" s="358" t="s">
        <v>18</v>
      </c>
      <c r="I3178" s="548">
        <f>(M3178-G3178)*64</f>
        <v>0</v>
      </c>
      <c r="J3178" s="358" t="s">
        <v>19</v>
      </c>
      <c r="K3178" s="358"/>
      <c r="L3178" s="358"/>
      <c r="M3178" s="358">
        <f>F3178*7889/3456</f>
        <v>0</v>
      </c>
      <c r="N3178" s="461"/>
      <c r="O3178" s="461"/>
      <c r="P3178" s="366"/>
      <c r="Q3178" s="358" t="s">
        <v>18</v>
      </c>
      <c r="R3178" s="358"/>
      <c r="S3178" s="358" t="s">
        <v>19</v>
      </c>
      <c r="T3178" s="528">
        <v>1</v>
      </c>
      <c r="U3178" s="324">
        <f>E3178/390*60</f>
        <v>0</v>
      </c>
      <c r="V3178" s="676"/>
      <c r="W3178" s="528"/>
      <c r="X3178" s="529"/>
      <c r="Y3178" s="367"/>
      <c r="AA3178" s="316">
        <f>SUM(D3178/240)</f>
        <v>0</v>
      </c>
    </row>
    <row r="3179" spans="1:256" ht="77.25" thickBot="1" x14ac:dyDescent="0.45">
      <c r="A3179" s="319" t="s">
        <v>262</v>
      </c>
      <c r="B3179" s="873" t="s">
        <v>1221</v>
      </c>
      <c r="C3179" s="528">
        <f>C2583</f>
        <v>0</v>
      </c>
      <c r="D3179" s="550">
        <f>C3179*7</f>
        <v>0</v>
      </c>
      <c r="E3179" s="456">
        <f>D3179*0.27</f>
        <v>0</v>
      </c>
      <c r="F3179" s="358">
        <f>E3179*0.87*1.01/151</f>
        <v>0</v>
      </c>
      <c r="G3179" s="358">
        <f>INT(M3179)</f>
        <v>0</v>
      </c>
      <c r="H3179" s="358" t="s">
        <v>18</v>
      </c>
      <c r="I3179" s="548">
        <f>(M3179-G3179)*64</f>
        <v>0</v>
      </c>
      <c r="J3179" s="358" t="s">
        <v>19</v>
      </c>
      <c r="K3179" s="358"/>
      <c r="L3179" s="358"/>
      <c r="M3179" s="358">
        <f>F3179*7889/3456</f>
        <v>0</v>
      </c>
      <c r="N3179" s="461"/>
      <c r="O3179" s="461"/>
      <c r="P3179" s="366"/>
      <c r="Q3179" s="358" t="s">
        <v>18</v>
      </c>
      <c r="R3179" s="358"/>
      <c r="S3179" s="358" t="s">
        <v>19</v>
      </c>
      <c r="T3179" s="528">
        <v>1</v>
      </c>
      <c r="U3179" s="324">
        <f>E3179/390*60</f>
        <v>0</v>
      </c>
      <c r="V3179" s="676"/>
      <c r="W3179" s="528"/>
      <c r="X3179" s="529"/>
      <c r="Y3179" s="367"/>
      <c r="AA3179" s="316">
        <f>SUM(D3179/240)</f>
        <v>0</v>
      </c>
    </row>
    <row r="3180" spans="1:256" ht="51.75" thickBot="1" x14ac:dyDescent="0.45">
      <c r="A3180" s="329" t="s">
        <v>262</v>
      </c>
      <c r="B3180" s="878" t="s">
        <v>1208</v>
      </c>
      <c r="C3180" s="872"/>
      <c r="D3180" s="548">
        <f>C3180*12</f>
        <v>0</v>
      </c>
      <c r="E3180" s="456">
        <f>D3180*0.3</f>
        <v>0</v>
      </c>
      <c r="F3180" s="358">
        <f>E3180*1.01*0.79/152</f>
        <v>0</v>
      </c>
      <c r="G3180" s="549">
        <f>INT(M3180)</f>
        <v>0</v>
      </c>
      <c r="H3180" s="359" t="s">
        <v>18</v>
      </c>
      <c r="I3180" s="549">
        <f>(M3180-G3180)*64</f>
        <v>0</v>
      </c>
      <c r="J3180" s="359" t="s">
        <v>19</v>
      </c>
      <c r="K3180" s="358"/>
      <c r="L3180" s="358"/>
      <c r="M3180" s="358">
        <f>F3180*7696/3456</f>
        <v>0</v>
      </c>
      <c r="N3180" s="461"/>
      <c r="O3180" s="461"/>
      <c r="P3180" s="358"/>
      <c r="Q3180" s="358" t="s">
        <v>18</v>
      </c>
      <c r="R3180" s="358"/>
      <c r="S3180" s="358" t="s">
        <v>19</v>
      </c>
      <c r="T3180" s="528">
        <v>1</v>
      </c>
      <c r="U3180" s="324">
        <f>E3180/220*60</f>
        <v>0</v>
      </c>
      <c r="V3180" s="676"/>
      <c r="W3180" s="528"/>
      <c r="X3180" s="529"/>
      <c r="Y3180" s="323"/>
      <c r="AA3180" s="316">
        <f>SUM(D3180/240)</f>
        <v>0</v>
      </c>
    </row>
    <row r="3181" spans="1:256" thickBot="1" x14ac:dyDescent="0.45">
      <c r="A3181" s="444"/>
      <c r="B3181" s="443"/>
      <c r="C3181" s="536"/>
      <c r="D3181" s="528"/>
      <c r="E3181" s="460"/>
      <c r="F3181" s="324"/>
      <c r="G3181" s="528"/>
      <c r="H3181" s="324"/>
      <c r="I3181" s="528"/>
      <c r="J3181" s="324"/>
      <c r="K3181" s="324"/>
      <c r="L3181" s="324"/>
      <c r="M3181" s="324"/>
      <c r="N3181" s="324"/>
      <c r="O3181" s="324"/>
      <c r="P3181" s="324"/>
      <c r="Q3181" s="324"/>
      <c r="R3181" s="324"/>
      <c r="S3181" s="324"/>
      <c r="T3181" s="528"/>
      <c r="U3181" s="324"/>
      <c r="V3181" s="676"/>
      <c r="W3181" s="528"/>
      <c r="X3181" s="529"/>
      <c r="Y3181" s="445"/>
    </row>
    <row r="3182" spans="1:256" thickBot="1" x14ac:dyDescent="0.45">
      <c r="A3182" s="444"/>
      <c r="B3182" s="384"/>
      <c r="C3182" s="579"/>
      <c r="D3182" s="579"/>
      <c r="E3182" s="623"/>
      <c r="F3182" s="581"/>
      <c r="G3182" s="579"/>
      <c r="H3182" s="582"/>
      <c r="I3182" s="579"/>
      <c r="J3182" s="582"/>
      <c r="K3182" s="582"/>
      <c r="L3182" s="582"/>
      <c r="M3182" s="582"/>
      <c r="N3182" s="582"/>
      <c r="O3182" s="582"/>
      <c r="P3182" s="582"/>
      <c r="Q3182" s="582"/>
      <c r="R3182" s="582"/>
      <c r="S3182" s="582"/>
      <c r="T3182" s="579"/>
      <c r="U3182" s="582"/>
      <c r="V3182" s="677"/>
      <c r="W3182" s="579"/>
      <c r="X3182" s="582"/>
      <c r="Y3182" s="446"/>
      <c r="Z3182" s="387"/>
      <c r="AA3182" s="313"/>
      <c r="AB3182" s="314"/>
      <c r="AC3182" s="314"/>
      <c r="AD3182" s="314"/>
      <c r="AE3182" s="314"/>
      <c r="AF3182" s="314"/>
      <c r="AG3182" s="314"/>
      <c r="AH3182" s="314"/>
      <c r="AI3182" s="314"/>
      <c r="AJ3182" s="314"/>
      <c r="AK3182" s="314"/>
      <c r="AL3182" s="314"/>
      <c r="AM3182" s="314"/>
      <c r="AN3182" s="314"/>
      <c r="AO3182" s="314"/>
      <c r="AP3182" s="314"/>
      <c r="AQ3182" s="314"/>
      <c r="AR3182" s="314"/>
      <c r="AS3182" s="314"/>
      <c r="AT3182" s="314"/>
      <c r="AU3182" s="314"/>
      <c r="AV3182" s="314"/>
      <c r="AW3182" s="314"/>
      <c r="AX3182" s="314"/>
      <c r="AY3182" s="314"/>
      <c r="AZ3182" s="314"/>
      <c r="BA3182" s="314"/>
      <c r="BB3182" s="314"/>
      <c r="BC3182" s="314"/>
      <c r="BD3182" s="314"/>
      <c r="BE3182" s="314"/>
      <c r="BF3182" s="314"/>
      <c r="BG3182" s="314"/>
      <c r="BH3182" s="314"/>
      <c r="BI3182" s="314"/>
      <c r="BJ3182" s="314"/>
      <c r="BK3182" s="314"/>
      <c r="BL3182" s="314"/>
      <c r="BM3182" s="314"/>
      <c r="BN3182" s="314"/>
      <c r="BO3182" s="314"/>
      <c r="BP3182" s="314"/>
      <c r="BQ3182" s="314"/>
      <c r="BR3182" s="314"/>
      <c r="BS3182" s="314"/>
      <c r="BT3182" s="314"/>
      <c r="BU3182" s="314"/>
      <c r="BV3182" s="314"/>
      <c r="BW3182" s="314"/>
      <c r="BX3182" s="314"/>
      <c r="BY3182" s="314"/>
      <c r="BZ3182" s="314"/>
      <c r="CA3182" s="314"/>
      <c r="CB3182" s="314"/>
      <c r="CC3182" s="314"/>
      <c r="CD3182" s="314"/>
      <c r="CE3182" s="314"/>
      <c r="CF3182" s="314"/>
      <c r="CG3182" s="314"/>
      <c r="CH3182" s="314"/>
      <c r="CI3182" s="314"/>
      <c r="CJ3182" s="314"/>
      <c r="CK3182" s="314"/>
      <c r="CL3182" s="314"/>
      <c r="CM3182" s="314"/>
      <c r="CN3182" s="314"/>
      <c r="CO3182" s="314"/>
      <c r="CP3182" s="314"/>
      <c r="CQ3182" s="314"/>
      <c r="CR3182" s="314"/>
      <c r="CS3182" s="314"/>
      <c r="CT3182" s="314"/>
      <c r="CU3182" s="314"/>
      <c r="CV3182" s="314"/>
      <c r="CW3182" s="314"/>
      <c r="CX3182" s="314"/>
      <c r="CY3182" s="314"/>
      <c r="CZ3182" s="314"/>
      <c r="DA3182" s="314"/>
      <c r="DB3182" s="314"/>
      <c r="DC3182" s="314"/>
      <c r="DD3182" s="314"/>
      <c r="DE3182" s="314"/>
      <c r="DF3182" s="314"/>
      <c r="DG3182" s="314"/>
      <c r="DH3182" s="314"/>
      <c r="DI3182" s="314"/>
      <c r="DJ3182" s="314"/>
      <c r="DK3182" s="314"/>
      <c r="DL3182" s="314"/>
      <c r="DM3182" s="314"/>
      <c r="DN3182" s="314"/>
      <c r="DO3182" s="314"/>
      <c r="DP3182" s="314"/>
      <c r="DQ3182" s="314"/>
      <c r="DR3182" s="314"/>
      <c r="DS3182" s="314"/>
      <c r="DT3182" s="314"/>
      <c r="DU3182" s="314"/>
      <c r="DV3182" s="314"/>
      <c r="DW3182" s="314"/>
      <c r="DX3182" s="314"/>
      <c r="DY3182" s="314"/>
      <c r="DZ3182" s="314"/>
      <c r="EA3182" s="314"/>
      <c r="EB3182" s="314"/>
      <c r="EC3182" s="314"/>
      <c r="ED3182" s="314"/>
      <c r="EE3182" s="314"/>
      <c r="EF3182" s="314"/>
      <c r="EG3182" s="314"/>
      <c r="EH3182" s="314"/>
      <c r="EI3182" s="314"/>
      <c r="EJ3182" s="314"/>
      <c r="EK3182" s="314"/>
      <c r="EL3182" s="314"/>
      <c r="EM3182" s="314"/>
      <c r="EN3182" s="314"/>
      <c r="EO3182" s="314"/>
      <c r="EP3182" s="314"/>
      <c r="EQ3182" s="314"/>
      <c r="ER3182" s="314"/>
      <c r="ES3182" s="314"/>
      <c r="ET3182" s="314"/>
      <c r="EU3182" s="314"/>
      <c r="EV3182" s="314"/>
      <c r="EW3182" s="314"/>
      <c r="EX3182" s="314"/>
      <c r="EY3182" s="314"/>
      <c r="EZ3182" s="314"/>
      <c r="FA3182" s="314"/>
      <c r="FB3182" s="314"/>
      <c r="FC3182" s="314"/>
      <c r="FD3182" s="314"/>
      <c r="FE3182" s="314"/>
      <c r="FF3182" s="314"/>
      <c r="FG3182" s="314"/>
      <c r="FH3182" s="314"/>
      <c r="FI3182" s="314"/>
      <c r="FJ3182" s="314"/>
      <c r="FK3182" s="314"/>
      <c r="FL3182" s="314"/>
      <c r="FM3182" s="314"/>
      <c r="FN3182" s="314"/>
      <c r="FO3182" s="314"/>
      <c r="FP3182" s="314"/>
      <c r="FQ3182" s="314"/>
      <c r="FR3182" s="314"/>
      <c r="FS3182" s="314"/>
      <c r="FT3182" s="314"/>
      <c r="FU3182" s="314"/>
      <c r="FV3182" s="314"/>
      <c r="FW3182" s="314"/>
      <c r="FX3182" s="314"/>
      <c r="FY3182" s="314"/>
      <c r="FZ3182" s="314"/>
      <c r="GA3182" s="314"/>
      <c r="GB3182" s="314"/>
      <c r="GC3182" s="314"/>
      <c r="GD3182" s="314"/>
      <c r="GE3182" s="314"/>
      <c r="GF3182" s="314"/>
      <c r="GG3182" s="314"/>
      <c r="GH3182" s="314"/>
      <c r="GI3182" s="314"/>
      <c r="GJ3182" s="314"/>
      <c r="GK3182" s="314"/>
      <c r="GL3182" s="314"/>
      <c r="GM3182" s="314"/>
      <c r="GN3182" s="314"/>
      <c r="GO3182" s="314"/>
      <c r="GP3182" s="314"/>
      <c r="GQ3182" s="314"/>
      <c r="GR3182" s="314"/>
      <c r="GS3182" s="314"/>
      <c r="GT3182" s="314"/>
      <c r="GU3182" s="314"/>
      <c r="GV3182" s="314"/>
      <c r="GW3182" s="314"/>
      <c r="GX3182" s="314"/>
      <c r="GY3182" s="314"/>
      <c r="GZ3182" s="314"/>
      <c r="HA3182" s="314"/>
      <c r="HB3182" s="314"/>
      <c r="HC3182" s="314"/>
      <c r="HD3182" s="314"/>
      <c r="HE3182" s="314"/>
      <c r="HF3182" s="314"/>
      <c r="HG3182" s="314"/>
      <c r="HH3182" s="314"/>
      <c r="HI3182" s="314"/>
      <c r="HJ3182" s="314"/>
      <c r="HK3182" s="314"/>
      <c r="HL3182" s="314"/>
      <c r="HM3182" s="314"/>
      <c r="HN3182" s="314"/>
      <c r="HO3182" s="314"/>
      <c r="HP3182" s="314"/>
      <c r="HQ3182" s="314"/>
      <c r="HR3182" s="314"/>
      <c r="HS3182" s="314"/>
      <c r="HT3182" s="314"/>
      <c r="HU3182" s="314"/>
      <c r="HV3182" s="314"/>
      <c r="HW3182" s="314"/>
      <c r="HX3182" s="314"/>
      <c r="HY3182" s="314"/>
      <c r="HZ3182" s="314"/>
      <c r="IA3182" s="314"/>
      <c r="IB3182" s="314"/>
      <c r="IC3182" s="314"/>
      <c r="ID3182" s="314"/>
      <c r="IE3182" s="314"/>
      <c r="IF3182" s="314"/>
      <c r="IG3182" s="314"/>
      <c r="IH3182" s="314"/>
      <c r="II3182" s="314"/>
      <c r="IJ3182" s="314"/>
      <c r="IK3182" s="314"/>
      <c r="IL3182" s="314"/>
      <c r="IM3182" s="314"/>
      <c r="IN3182" s="314"/>
      <c r="IO3182" s="314"/>
      <c r="IP3182" s="314"/>
      <c r="IQ3182" s="314"/>
      <c r="IR3182" s="314"/>
      <c r="IS3182" s="314"/>
      <c r="IT3182" s="314"/>
      <c r="IU3182" s="314"/>
      <c r="IV3182" s="314"/>
    </row>
    <row r="3183" spans="1:256" ht="26.25" x14ac:dyDescent="0.4">
      <c r="A3183" s="832"/>
      <c r="B3183" s="447"/>
      <c r="C3183" s="579"/>
      <c r="D3183" s="579"/>
      <c r="E3183" s="623"/>
      <c r="F3183" s="581"/>
      <c r="G3183" s="579"/>
      <c r="H3183" s="582"/>
      <c r="I3183" s="579"/>
      <c r="J3183" s="582"/>
      <c r="K3183" s="582"/>
      <c r="L3183" s="582"/>
      <c r="M3183" s="582"/>
      <c r="N3183" s="582"/>
      <c r="O3183" s="582"/>
      <c r="P3183" s="582"/>
      <c r="Q3183" s="582"/>
      <c r="R3183" s="582"/>
      <c r="S3183" s="582"/>
      <c r="T3183" s="579"/>
      <c r="U3183" s="582"/>
      <c r="V3183" s="677"/>
      <c r="W3183" s="579"/>
      <c r="X3183" s="582"/>
      <c r="Y3183" s="446"/>
      <c r="Z3183" s="387"/>
      <c r="AA3183" s="313"/>
      <c r="AB3183" s="314"/>
      <c r="AC3183" s="314"/>
      <c r="AD3183" s="314"/>
      <c r="AE3183" s="314"/>
      <c r="AF3183" s="314"/>
      <c r="AG3183" s="314"/>
      <c r="AH3183" s="314"/>
      <c r="AI3183" s="314"/>
      <c r="AJ3183" s="314"/>
      <c r="AK3183" s="314"/>
      <c r="AL3183" s="314"/>
      <c r="AM3183" s="314"/>
      <c r="AN3183" s="314"/>
      <c r="AO3183" s="314"/>
      <c r="AP3183" s="314"/>
      <c r="AQ3183" s="314"/>
      <c r="AR3183" s="314"/>
      <c r="AS3183" s="314"/>
      <c r="AT3183" s="314"/>
      <c r="AU3183" s="314"/>
      <c r="AV3183" s="314"/>
      <c r="AW3183" s="314"/>
      <c r="AX3183" s="314"/>
      <c r="AY3183" s="314"/>
      <c r="AZ3183" s="314"/>
      <c r="BA3183" s="314"/>
      <c r="BB3183" s="314"/>
      <c r="BC3183" s="314"/>
      <c r="BD3183" s="314"/>
      <c r="BE3183" s="314"/>
      <c r="BF3183" s="314"/>
      <c r="BG3183" s="314"/>
      <c r="BH3183" s="314"/>
      <c r="BI3183" s="314"/>
      <c r="BJ3183" s="314"/>
      <c r="BK3183" s="314"/>
      <c r="BL3183" s="314"/>
      <c r="BM3183" s="314"/>
      <c r="BN3183" s="314"/>
      <c r="BO3183" s="314"/>
      <c r="BP3183" s="314"/>
      <c r="BQ3183" s="314"/>
      <c r="BR3183" s="314"/>
      <c r="BS3183" s="314"/>
      <c r="BT3183" s="314"/>
      <c r="BU3183" s="314"/>
      <c r="BV3183" s="314"/>
      <c r="BW3183" s="314"/>
      <c r="BX3183" s="314"/>
      <c r="BY3183" s="314"/>
      <c r="BZ3183" s="314"/>
      <c r="CA3183" s="314"/>
      <c r="CB3183" s="314"/>
      <c r="CC3183" s="314"/>
      <c r="CD3183" s="314"/>
      <c r="CE3183" s="314"/>
      <c r="CF3183" s="314"/>
      <c r="CG3183" s="314"/>
      <c r="CH3183" s="314"/>
      <c r="CI3183" s="314"/>
      <c r="CJ3183" s="314"/>
      <c r="CK3183" s="314"/>
      <c r="CL3183" s="314"/>
      <c r="CM3183" s="314"/>
      <c r="CN3183" s="314"/>
      <c r="CO3183" s="314"/>
      <c r="CP3183" s="314"/>
      <c r="CQ3183" s="314"/>
      <c r="CR3183" s="314"/>
      <c r="CS3183" s="314"/>
      <c r="CT3183" s="314"/>
      <c r="CU3183" s="314"/>
      <c r="CV3183" s="314"/>
      <c r="CW3183" s="314"/>
      <c r="CX3183" s="314"/>
      <c r="CY3183" s="314"/>
      <c r="CZ3183" s="314"/>
      <c r="DA3183" s="314"/>
      <c r="DB3183" s="314"/>
      <c r="DC3183" s="314"/>
      <c r="DD3183" s="314"/>
      <c r="DE3183" s="314"/>
      <c r="DF3183" s="314"/>
      <c r="DG3183" s="314"/>
      <c r="DH3183" s="314"/>
      <c r="DI3183" s="314"/>
      <c r="DJ3183" s="314"/>
      <c r="DK3183" s="314"/>
      <c r="DL3183" s="314"/>
      <c r="DM3183" s="314"/>
      <c r="DN3183" s="314"/>
      <c r="DO3183" s="314"/>
      <c r="DP3183" s="314"/>
      <c r="DQ3183" s="314"/>
      <c r="DR3183" s="314"/>
      <c r="DS3183" s="314"/>
      <c r="DT3183" s="314"/>
      <c r="DU3183" s="314"/>
      <c r="DV3183" s="314"/>
      <c r="DW3183" s="314"/>
      <c r="DX3183" s="314"/>
      <c r="DY3183" s="314"/>
      <c r="DZ3183" s="314"/>
      <c r="EA3183" s="314"/>
      <c r="EB3183" s="314"/>
      <c r="EC3183" s="314"/>
      <c r="ED3183" s="314"/>
      <c r="EE3183" s="314"/>
      <c r="EF3183" s="314"/>
      <c r="EG3183" s="314"/>
      <c r="EH3183" s="314"/>
      <c r="EI3183" s="314"/>
      <c r="EJ3183" s="314"/>
      <c r="EK3183" s="314"/>
      <c r="EL3183" s="314"/>
      <c r="EM3183" s="314"/>
      <c r="EN3183" s="314"/>
      <c r="EO3183" s="314"/>
      <c r="EP3183" s="314"/>
      <c r="EQ3183" s="314"/>
      <c r="ER3183" s="314"/>
      <c r="ES3183" s="314"/>
      <c r="ET3183" s="314"/>
      <c r="EU3183" s="314"/>
      <c r="EV3183" s="314"/>
      <c r="EW3183" s="314"/>
      <c r="EX3183" s="314"/>
      <c r="EY3183" s="314"/>
      <c r="EZ3183" s="314"/>
      <c r="FA3183" s="314"/>
      <c r="FB3183" s="314"/>
      <c r="FC3183" s="314"/>
      <c r="FD3183" s="314"/>
      <c r="FE3183" s="314"/>
      <c r="FF3183" s="314"/>
      <c r="FG3183" s="314"/>
      <c r="FH3183" s="314"/>
      <c r="FI3183" s="314"/>
      <c r="FJ3183" s="314"/>
      <c r="FK3183" s="314"/>
      <c r="FL3183" s="314"/>
      <c r="FM3183" s="314"/>
      <c r="FN3183" s="314"/>
      <c r="FO3183" s="314"/>
      <c r="FP3183" s="314"/>
      <c r="FQ3183" s="314"/>
      <c r="FR3183" s="314"/>
      <c r="FS3183" s="314"/>
      <c r="FT3183" s="314"/>
      <c r="FU3183" s="314"/>
      <c r="FV3183" s="314"/>
      <c r="FW3183" s="314"/>
      <c r="FX3183" s="314"/>
      <c r="FY3183" s="314"/>
      <c r="FZ3183" s="314"/>
      <c r="GA3183" s="314"/>
      <c r="GB3183" s="314"/>
      <c r="GC3183" s="314"/>
      <c r="GD3183" s="314"/>
      <c r="GE3183" s="314"/>
      <c r="GF3183" s="314"/>
      <c r="GG3183" s="314"/>
      <c r="GH3183" s="314"/>
      <c r="GI3183" s="314"/>
      <c r="GJ3183" s="314"/>
      <c r="GK3183" s="314"/>
      <c r="GL3183" s="314"/>
      <c r="GM3183" s="314"/>
      <c r="GN3183" s="314"/>
      <c r="GO3183" s="314"/>
      <c r="GP3183" s="314"/>
      <c r="GQ3183" s="314"/>
      <c r="GR3183" s="314"/>
      <c r="GS3183" s="314"/>
      <c r="GT3183" s="314"/>
      <c r="GU3183" s="314"/>
      <c r="GV3183" s="314"/>
      <c r="GW3183" s="314"/>
      <c r="GX3183" s="314"/>
      <c r="GY3183" s="314"/>
      <c r="GZ3183" s="314"/>
      <c r="HA3183" s="314"/>
      <c r="HB3183" s="314"/>
      <c r="HC3183" s="314"/>
      <c r="HD3183" s="314"/>
      <c r="HE3183" s="314"/>
      <c r="HF3183" s="314"/>
      <c r="HG3183" s="314"/>
      <c r="HH3183" s="314"/>
      <c r="HI3183" s="314"/>
      <c r="HJ3183" s="314"/>
      <c r="HK3183" s="314"/>
      <c r="HL3183" s="314"/>
      <c r="HM3183" s="314"/>
      <c r="HN3183" s="314"/>
      <c r="HO3183" s="314"/>
      <c r="HP3183" s="314"/>
      <c r="HQ3183" s="314"/>
      <c r="HR3183" s="314"/>
      <c r="HS3183" s="314"/>
      <c r="HT3183" s="314"/>
      <c r="HU3183" s="314"/>
      <c r="HV3183" s="314"/>
      <c r="HW3183" s="314"/>
      <c r="HX3183" s="314"/>
      <c r="HY3183" s="314"/>
      <c r="HZ3183" s="314"/>
      <c r="IA3183" s="314"/>
      <c r="IB3183" s="314"/>
      <c r="IC3183" s="314"/>
      <c r="ID3183" s="314"/>
      <c r="IE3183" s="314"/>
      <c r="IF3183" s="314"/>
      <c r="IG3183" s="314"/>
      <c r="IH3183" s="314"/>
      <c r="II3183" s="314"/>
      <c r="IJ3183" s="314"/>
      <c r="IK3183" s="314"/>
      <c r="IL3183" s="314"/>
      <c r="IM3183" s="314"/>
      <c r="IN3183" s="314"/>
      <c r="IO3183" s="314"/>
      <c r="IP3183" s="314"/>
      <c r="IQ3183" s="314"/>
      <c r="IR3183" s="314"/>
      <c r="IS3183" s="314"/>
      <c r="IT3183" s="314"/>
      <c r="IU3183" s="314"/>
      <c r="IV3183" s="314"/>
    </row>
    <row r="3184" spans="1:256" ht="26.25" x14ac:dyDescent="0.4">
      <c r="A3184" s="832"/>
      <c r="B3184" s="447"/>
      <c r="C3184" s="579"/>
      <c r="D3184" s="579"/>
      <c r="E3184" s="623"/>
      <c r="F3184" s="581"/>
      <c r="G3184" s="579"/>
      <c r="H3184" s="582"/>
      <c r="I3184" s="579"/>
      <c r="J3184" s="582"/>
      <c r="K3184" s="582"/>
      <c r="L3184" s="582"/>
      <c r="M3184" s="582"/>
      <c r="N3184" s="582"/>
      <c r="O3184" s="582"/>
      <c r="P3184" s="582"/>
      <c r="Q3184" s="582"/>
      <c r="R3184" s="582"/>
      <c r="S3184" s="582"/>
      <c r="T3184" s="579"/>
      <c r="U3184" s="582"/>
      <c r="V3184" s="677"/>
      <c r="W3184" s="579"/>
      <c r="X3184" s="582"/>
      <c r="Y3184" s="446"/>
      <c r="Z3184" s="387"/>
      <c r="AA3184" s="313"/>
      <c r="AB3184" s="314"/>
      <c r="AC3184" s="314"/>
      <c r="AD3184" s="314"/>
      <c r="AE3184" s="314"/>
      <c r="AF3184" s="314"/>
      <c r="AG3184" s="314"/>
      <c r="AH3184" s="314"/>
      <c r="AI3184" s="314"/>
      <c r="AJ3184" s="314"/>
      <c r="AK3184" s="314"/>
      <c r="AL3184" s="314"/>
      <c r="AM3184" s="314"/>
      <c r="AN3184" s="314"/>
      <c r="AO3184" s="314"/>
      <c r="AP3184" s="314"/>
      <c r="AQ3184" s="314"/>
      <c r="AR3184" s="314"/>
      <c r="AS3184" s="314"/>
      <c r="AT3184" s="314"/>
      <c r="AU3184" s="314"/>
      <c r="AV3184" s="314"/>
      <c r="AW3184" s="314"/>
      <c r="AX3184" s="314"/>
      <c r="AY3184" s="314"/>
      <c r="AZ3184" s="314"/>
      <c r="BA3184" s="314"/>
      <c r="BB3184" s="314"/>
      <c r="BC3184" s="314"/>
      <c r="BD3184" s="314"/>
      <c r="BE3184" s="314"/>
      <c r="BF3184" s="314"/>
      <c r="BG3184" s="314"/>
      <c r="BH3184" s="314"/>
      <c r="BI3184" s="314"/>
      <c r="BJ3184" s="314"/>
      <c r="BK3184" s="314"/>
      <c r="BL3184" s="314"/>
      <c r="BM3184" s="314"/>
      <c r="BN3184" s="314"/>
      <c r="BO3184" s="314"/>
      <c r="BP3184" s="314"/>
      <c r="BQ3184" s="314"/>
      <c r="BR3184" s="314"/>
      <c r="BS3184" s="314"/>
      <c r="BT3184" s="314"/>
      <c r="BU3184" s="314"/>
      <c r="BV3184" s="314"/>
      <c r="BW3184" s="314"/>
      <c r="BX3184" s="314"/>
      <c r="BY3184" s="314"/>
      <c r="BZ3184" s="314"/>
      <c r="CA3184" s="314"/>
      <c r="CB3184" s="314"/>
      <c r="CC3184" s="314"/>
      <c r="CD3184" s="314"/>
      <c r="CE3184" s="314"/>
      <c r="CF3184" s="314"/>
      <c r="CG3184" s="314"/>
      <c r="CH3184" s="314"/>
      <c r="CI3184" s="314"/>
      <c r="CJ3184" s="314"/>
      <c r="CK3184" s="314"/>
      <c r="CL3184" s="314"/>
      <c r="CM3184" s="314"/>
      <c r="CN3184" s="314"/>
      <c r="CO3184" s="314"/>
      <c r="CP3184" s="314"/>
      <c r="CQ3184" s="314"/>
      <c r="CR3184" s="314"/>
      <c r="CS3184" s="314"/>
      <c r="CT3184" s="314"/>
      <c r="CU3184" s="314"/>
      <c r="CV3184" s="314"/>
      <c r="CW3184" s="314"/>
      <c r="CX3184" s="314"/>
      <c r="CY3184" s="314"/>
      <c r="CZ3184" s="314"/>
      <c r="DA3184" s="314"/>
      <c r="DB3184" s="314"/>
      <c r="DC3184" s="314"/>
      <c r="DD3184" s="314"/>
      <c r="DE3184" s="314"/>
      <c r="DF3184" s="314"/>
      <c r="DG3184" s="314"/>
      <c r="DH3184" s="314"/>
      <c r="DI3184" s="314"/>
      <c r="DJ3184" s="314"/>
      <c r="DK3184" s="314"/>
      <c r="DL3184" s="314"/>
      <c r="DM3184" s="314"/>
      <c r="DN3184" s="314"/>
      <c r="DO3184" s="314"/>
      <c r="DP3184" s="314"/>
      <c r="DQ3184" s="314"/>
      <c r="DR3184" s="314"/>
      <c r="DS3184" s="314"/>
      <c r="DT3184" s="314"/>
      <c r="DU3184" s="314"/>
      <c r="DV3184" s="314"/>
      <c r="DW3184" s="314"/>
      <c r="DX3184" s="314"/>
      <c r="DY3184" s="314"/>
      <c r="DZ3184" s="314"/>
      <c r="EA3184" s="314"/>
      <c r="EB3184" s="314"/>
      <c r="EC3184" s="314"/>
      <c r="ED3184" s="314"/>
      <c r="EE3184" s="314"/>
      <c r="EF3184" s="314"/>
      <c r="EG3184" s="314"/>
      <c r="EH3184" s="314"/>
      <c r="EI3184" s="314"/>
      <c r="EJ3184" s="314"/>
      <c r="EK3184" s="314"/>
      <c r="EL3184" s="314"/>
      <c r="EM3184" s="314"/>
      <c r="EN3184" s="314"/>
      <c r="EO3184" s="314"/>
      <c r="EP3184" s="314"/>
      <c r="EQ3184" s="314"/>
      <c r="ER3184" s="314"/>
      <c r="ES3184" s="314"/>
      <c r="ET3184" s="314"/>
      <c r="EU3184" s="314"/>
      <c r="EV3184" s="314"/>
      <c r="EW3184" s="314"/>
      <c r="EX3184" s="314"/>
      <c r="EY3184" s="314"/>
      <c r="EZ3184" s="314"/>
      <c r="FA3184" s="314"/>
      <c r="FB3184" s="314"/>
      <c r="FC3184" s="314"/>
      <c r="FD3184" s="314"/>
      <c r="FE3184" s="314"/>
      <c r="FF3184" s="314"/>
      <c r="FG3184" s="314"/>
      <c r="FH3184" s="314"/>
      <c r="FI3184" s="314"/>
      <c r="FJ3184" s="314"/>
      <c r="FK3184" s="314"/>
      <c r="FL3184" s="314"/>
      <c r="FM3184" s="314"/>
      <c r="FN3184" s="314"/>
      <c r="FO3184" s="314"/>
      <c r="FP3184" s="314"/>
      <c r="FQ3184" s="314"/>
      <c r="FR3184" s="314"/>
      <c r="FS3184" s="314"/>
      <c r="FT3184" s="314"/>
      <c r="FU3184" s="314"/>
      <c r="FV3184" s="314"/>
      <c r="FW3184" s="314"/>
      <c r="FX3184" s="314"/>
      <c r="FY3184" s="314"/>
      <c r="FZ3184" s="314"/>
      <c r="GA3184" s="314"/>
      <c r="GB3184" s="314"/>
      <c r="GC3184" s="314"/>
      <c r="GD3184" s="314"/>
      <c r="GE3184" s="314"/>
      <c r="GF3184" s="314"/>
      <c r="GG3184" s="314"/>
      <c r="GH3184" s="314"/>
      <c r="GI3184" s="314"/>
      <c r="GJ3184" s="314"/>
      <c r="GK3184" s="314"/>
      <c r="GL3184" s="314"/>
      <c r="GM3184" s="314"/>
      <c r="GN3184" s="314"/>
      <c r="GO3184" s="314"/>
      <c r="GP3184" s="314"/>
      <c r="GQ3184" s="314"/>
      <c r="GR3184" s="314"/>
      <c r="GS3184" s="314"/>
      <c r="GT3184" s="314"/>
      <c r="GU3184" s="314"/>
      <c r="GV3184" s="314"/>
      <c r="GW3184" s="314"/>
      <c r="GX3184" s="314"/>
      <c r="GY3184" s="314"/>
      <c r="GZ3184" s="314"/>
      <c r="HA3184" s="314"/>
      <c r="HB3184" s="314"/>
      <c r="HC3184" s="314"/>
      <c r="HD3184" s="314"/>
      <c r="HE3184" s="314"/>
      <c r="HF3184" s="314"/>
      <c r="HG3184" s="314"/>
      <c r="HH3184" s="314"/>
      <c r="HI3184" s="314"/>
      <c r="HJ3184" s="314"/>
      <c r="HK3184" s="314"/>
      <c r="HL3184" s="314"/>
      <c r="HM3184" s="314"/>
      <c r="HN3184" s="314"/>
      <c r="HO3184" s="314"/>
      <c r="HP3184" s="314"/>
      <c r="HQ3184" s="314"/>
      <c r="HR3184" s="314"/>
      <c r="HS3184" s="314"/>
      <c r="HT3184" s="314"/>
      <c r="HU3184" s="314"/>
      <c r="HV3184" s="314"/>
      <c r="HW3184" s="314"/>
      <c r="HX3184" s="314"/>
      <c r="HY3184" s="314"/>
      <c r="HZ3184" s="314"/>
      <c r="IA3184" s="314"/>
      <c r="IB3184" s="314"/>
      <c r="IC3184" s="314"/>
      <c r="ID3184" s="314"/>
      <c r="IE3184" s="314"/>
      <c r="IF3184" s="314"/>
      <c r="IG3184" s="314"/>
      <c r="IH3184" s="314"/>
      <c r="II3184" s="314"/>
      <c r="IJ3184" s="314"/>
      <c r="IK3184" s="314"/>
      <c r="IL3184" s="314"/>
      <c r="IM3184" s="314"/>
      <c r="IN3184" s="314"/>
      <c r="IO3184" s="314"/>
      <c r="IP3184" s="314"/>
      <c r="IQ3184" s="314"/>
      <c r="IR3184" s="314"/>
      <c r="IS3184" s="314"/>
      <c r="IT3184" s="314"/>
      <c r="IU3184" s="314"/>
      <c r="IV3184" s="314"/>
    </row>
    <row r="3185" spans="1:256" ht="26.25" x14ac:dyDescent="0.4">
      <c r="A3185" s="832"/>
      <c r="B3185" s="447"/>
      <c r="C3185" s="579"/>
      <c r="D3185" s="579"/>
      <c r="E3185" s="623"/>
      <c r="F3185" s="581"/>
      <c r="G3185" s="579"/>
      <c r="H3185" s="582"/>
      <c r="I3185" s="579"/>
      <c r="J3185" s="582"/>
      <c r="K3185" s="582"/>
      <c r="L3185" s="582"/>
      <c r="M3185" s="582"/>
      <c r="N3185" s="582"/>
      <c r="O3185" s="582"/>
      <c r="P3185" s="582"/>
      <c r="Q3185" s="582"/>
      <c r="R3185" s="582"/>
      <c r="S3185" s="582"/>
      <c r="T3185" s="579"/>
      <c r="U3185" s="582"/>
      <c r="V3185" s="677"/>
      <c r="W3185" s="579"/>
      <c r="X3185" s="582"/>
      <c r="Y3185" s="446"/>
      <c r="Z3185" s="387"/>
      <c r="AA3185" s="313"/>
      <c r="AB3185" s="314"/>
      <c r="AC3185" s="314"/>
      <c r="AD3185" s="314"/>
      <c r="AE3185" s="314"/>
      <c r="AF3185" s="314"/>
      <c r="AG3185" s="314"/>
      <c r="AH3185" s="314"/>
      <c r="AI3185" s="314"/>
      <c r="AJ3185" s="314"/>
      <c r="AK3185" s="314"/>
      <c r="AL3185" s="314"/>
      <c r="AM3185" s="314"/>
      <c r="AN3185" s="314"/>
      <c r="AO3185" s="314"/>
      <c r="AP3185" s="314"/>
      <c r="AQ3185" s="314"/>
      <c r="AR3185" s="314"/>
      <c r="AS3185" s="314"/>
      <c r="AT3185" s="314"/>
      <c r="AU3185" s="314"/>
      <c r="AV3185" s="314"/>
      <c r="AW3185" s="314"/>
      <c r="AX3185" s="314"/>
      <c r="AY3185" s="314"/>
      <c r="AZ3185" s="314"/>
      <c r="BA3185" s="314"/>
      <c r="BB3185" s="314"/>
      <c r="BC3185" s="314"/>
      <c r="BD3185" s="314"/>
      <c r="BE3185" s="314"/>
      <c r="BF3185" s="314"/>
      <c r="BG3185" s="314"/>
      <c r="BH3185" s="314"/>
      <c r="BI3185" s="314"/>
      <c r="BJ3185" s="314"/>
      <c r="BK3185" s="314"/>
      <c r="BL3185" s="314"/>
      <c r="BM3185" s="314"/>
      <c r="BN3185" s="314"/>
      <c r="BO3185" s="314"/>
      <c r="BP3185" s="314"/>
      <c r="BQ3185" s="314"/>
      <c r="BR3185" s="314"/>
      <c r="BS3185" s="314"/>
      <c r="BT3185" s="314"/>
      <c r="BU3185" s="314"/>
      <c r="BV3185" s="314"/>
      <c r="BW3185" s="314"/>
      <c r="BX3185" s="314"/>
      <c r="BY3185" s="314"/>
      <c r="BZ3185" s="314"/>
      <c r="CA3185" s="314"/>
      <c r="CB3185" s="314"/>
      <c r="CC3185" s="314"/>
      <c r="CD3185" s="314"/>
      <c r="CE3185" s="314"/>
      <c r="CF3185" s="314"/>
      <c r="CG3185" s="314"/>
      <c r="CH3185" s="314"/>
      <c r="CI3185" s="314"/>
      <c r="CJ3185" s="314"/>
      <c r="CK3185" s="314"/>
      <c r="CL3185" s="314"/>
      <c r="CM3185" s="314"/>
      <c r="CN3185" s="314"/>
      <c r="CO3185" s="314"/>
      <c r="CP3185" s="314"/>
      <c r="CQ3185" s="314"/>
      <c r="CR3185" s="314"/>
      <c r="CS3185" s="314"/>
      <c r="CT3185" s="314"/>
      <c r="CU3185" s="314"/>
      <c r="CV3185" s="314"/>
      <c r="CW3185" s="314"/>
      <c r="CX3185" s="314"/>
      <c r="CY3185" s="314"/>
      <c r="CZ3185" s="314"/>
      <c r="DA3185" s="314"/>
      <c r="DB3185" s="314"/>
      <c r="DC3185" s="314"/>
      <c r="DD3185" s="314"/>
      <c r="DE3185" s="314"/>
      <c r="DF3185" s="314"/>
      <c r="DG3185" s="314"/>
      <c r="DH3185" s="314"/>
      <c r="DI3185" s="314"/>
      <c r="DJ3185" s="314"/>
      <c r="DK3185" s="314"/>
      <c r="DL3185" s="314"/>
      <c r="DM3185" s="314"/>
      <c r="DN3185" s="314"/>
      <c r="DO3185" s="314"/>
      <c r="DP3185" s="314"/>
      <c r="DQ3185" s="314"/>
      <c r="DR3185" s="314"/>
      <c r="DS3185" s="314"/>
      <c r="DT3185" s="314"/>
      <c r="DU3185" s="314"/>
      <c r="DV3185" s="314"/>
      <c r="DW3185" s="314"/>
      <c r="DX3185" s="314"/>
      <c r="DY3185" s="314"/>
      <c r="DZ3185" s="314"/>
      <c r="EA3185" s="314"/>
      <c r="EB3185" s="314"/>
      <c r="EC3185" s="314"/>
      <c r="ED3185" s="314"/>
      <c r="EE3185" s="314"/>
      <c r="EF3185" s="314"/>
      <c r="EG3185" s="314"/>
      <c r="EH3185" s="314"/>
      <c r="EI3185" s="314"/>
      <c r="EJ3185" s="314"/>
      <c r="EK3185" s="314"/>
      <c r="EL3185" s="314"/>
      <c r="EM3185" s="314"/>
      <c r="EN3185" s="314"/>
      <c r="EO3185" s="314"/>
      <c r="EP3185" s="314"/>
      <c r="EQ3185" s="314"/>
      <c r="ER3185" s="314"/>
      <c r="ES3185" s="314"/>
      <c r="ET3185" s="314"/>
      <c r="EU3185" s="314"/>
      <c r="EV3185" s="314"/>
      <c r="EW3185" s="314"/>
      <c r="EX3185" s="314"/>
      <c r="EY3185" s="314"/>
      <c r="EZ3185" s="314"/>
      <c r="FA3185" s="314"/>
      <c r="FB3185" s="314"/>
      <c r="FC3185" s="314"/>
      <c r="FD3185" s="314"/>
      <c r="FE3185" s="314"/>
      <c r="FF3185" s="314"/>
      <c r="FG3185" s="314"/>
      <c r="FH3185" s="314"/>
      <c r="FI3185" s="314"/>
      <c r="FJ3185" s="314"/>
      <c r="FK3185" s="314"/>
      <c r="FL3185" s="314"/>
      <c r="FM3185" s="314"/>
      <c r="FN3185" s="314"/>
      <c r="FO3185" s="314"/>
      <c r="FP3185" s="314"/>
      <c r="FQ3185" s="314"/>
      <c r="FR3185" s="314"/>
      <c r="FS3185" s="314"/>
      <c r="FT3185" s="314"/>
      <c r="FU3185" s="314"/>
      <c r="FV3185" s="314"/>
      <c r="FW3185" s="314"/>
      <c r="FX3185" s="314"/>
      <c r="FY3185" s="314"/>
      <c r="FZ3185" s="314"/>
      <c r="GA3185" s="314"/>
      <c r="GB3185" s="314"/>
      <c r="GC3185" s="314"/>
      <c r="GD3185" s="314"/>
      <c r="GE3185" s="314"/>
      <c r="GF3185" s="314"/>
      <c r="GG3185" s="314"/>
      <c r="GH3185" s="314"/>
      <c r="GI3185" s="314"/>
      <c r="GJ3185" s="314"/>
      <c r="GK3185" s="314"/>
      <c r="GL3185" s="314"/>
      <c r="GM3185" s="314"/>
      <c r="GN3185" s="314"/>
      <c r="GO3185" s="314"/>
      <c r="GP3185" s="314"/>
      <c r="GQ3185" s="314"/>
      <c r="GR3185" s="314"/>
      <c r="GS3185" s="314"/>
      <c r="GT3185" s="314"/>
      <c r="GU3185" s="314"/>
      <c r="GV3185" s="314"/>
      <c r="GW3185" s="314"/>
      <c r="GX3185" s="314"/>
      <c r="GY3185" s="314"/>
      <c r="GZ3185" s="314"/>
      <c r="HA3185" s="314"/>
      <c r="HB3185" s="314"/>
      <c r="HC3185" s="314"/>
      <c r="HD3185" s="314"/>
      <c r="HE3185" s="314"/>
      <c r="HF3185" s="314"/>
      <c r="HG3185" s="314"/>
      <c r="HH3185" s="314"/>
      <c r="HI3185" s="314"/>
      <c r="HJ3185" s="314"/>
      <c r="HK3185" s="314"/>
      <c r="HL3185" s="314"/>
      <c r="HM3185" s="314"/>
      <c r="HN3185" s="314"/>
      <c r="HO3185" s="314"/>
      <c r="HP3185" s="314"/>
      <c r="HQ3185" s="314"/>
      <c r="HR3185" s="314"/>
      <c r="HS3185" s="314"/>
      <c r="HT3185" s="314"/>
      <c r="HU3185" s="314"/>
      <c r="HV3185" s="314"/>
      <c r="HW3185" s="314"/>
      <c r="HX3185" s="314"/>
      <c r="HY3185" s="314"/>
      <c r="HZ3185" s="314"/>
      <c r="IA3185" s="314"/>
      <c r="IB3185" s="314"/>
      <c r="IC3185" s="314"/>
      <c r="ID3185" s="314"/>
      <c r="IE3185" s="314"/>
      <c r="IF3185" s="314"/>
      <c r="IG3185" s="314"/>
      <c r="IH3185" s="314"/>
      <c r="II3185" s="314"/>
      <c r="IJ3185" s="314"/>
      <c r="IK3185" s="314"/>
      <c r="IL3185" s="314"/>
      <c r="IM3185" s="314"/>
      <c r="IN3185" s="314"/>
      <c r="IO3185" s="314"/>
      <c r="IP3185" s="314"/>
      <c r="IQ3185" s="314"/>
      <c r="IR3185" s="314"/>
      <c r="IS3185" s="314"/>
      <c r="IT3185" s="314"/>
      <c r="IU3185" s="314"/>
      <c r="IV3185" s="314"/>
    </row>
    <row r="3186" spans="1:256" ht="26.25" x14ac:dyDescent="0.4">
      <c r="A3186" s="832"/>
      <c r="B3186" s="448"/>
      <c r="C3186" s="579"/>
      <c r="D3186" s="579"/>
      <c r="E3186" s="623"/>
      <c r="F3186" s="581"/>
      <c r="G3186" s="579"/>
      <c r="H3186" s="582"/>
      <c r="I3186" s="579"/>
      <c r="J3186" s="582"/>
      <c r="K3186" s="582"/>
      <c r="L3186" s="582"/>
      <c r="M3186" s="582"/>
      <c r="N3186" s="582"/>
      <c r="O3186" s="582"/>
      <c r="P3186" s="582"/>
      <c r="Q3186" s="582"/>
      <c r="R3186" s="624"/>
      <c r="S3186" s="624"/>
      <c r="T3186" s="625"/>
      <c r="U3186" s="624"/>
      <c r="V3186" s="678"/>
      <c r="W3186" s="625"/>
      <c r="X3186" s="624"/>
      <c r="Y3186" s="446"/>
      <c r="Z3186" s="387"/>
      <c r="AA3186" s="313"/>
      <c r="AB3186" s="314"/>
      <c r="AC3186" s="314"/>
      <c r="AD3186" s="314"/>
      <c r="AE3186" s="314"/>
      <c r="AF3186" s="314"/>
      <c r="AG3186" s="314"/>
      <c r="AH3186" s="314"/>
      <c r="AI3186" s="314"/>
      <c r="AJ3186" s="314"/>
      <c r="AK3186" s="314"/>
      <c r="AL3186" s="314"/>
      <c r="AM3186" s="314"/>
      <c r="AN3186" s="314"/>
      <c r="AO3186" s="314"/>
      <c r="AP3186" s="314"/>
      <c r="AQ3186" s="314"/>
      <c r="AR3186" s="314"/>
      <c r="AS3186" s="314"/>
      <c r="AT3186" s="314"/>
      <c r="AU3186" s="314"/>
      <c r="AV3186" s="314"/>
      <c r="AW3186" s="314"/>
      <c r="AX3186" s="314"/>
      <c r="AY3186" s="314"/>
      <c r="AZ3186" s="314"/>
      <c r="BA3186" s="314"/>
      <c r="BB3186" s="314"/>
      <c r="BC3186" s="314"/>
      <c r="BD3186" s="314"/>
      <c r="BE3186" s="314"/>
      <c r="BF3186" s="314"/>
      <c r="BG3186" s="314"/>
      <c r="BH3186" s="314"/>
      <c r="BI3186" s="314"/>
      <c r="BJ3186" s="314"/>
      <c r="BK3186" s="314"/>
      <c r="BL3186" s="314"/>
      <c r="BM3186" s="314"/>
      <c r="BN3186" s="314"/>
      <c r="BO3186" s="314"/>
      <c r="BP3186" s="314"/>
      <c r="BQ3186" s="314"/>
      <c r="BR3186" s="314"/>
      <c r="BS3186" s="314"/>
      <c r="BT3186" s="314"/>
      <c r="BU3186" s="314"/>
      <c r="BV3186" s="314"/>
      <c r="BW3186" s="314"/>
      <c r="BX3186" s="314"/>
      <c r="BY3186" s="314"/>
      <c r="BZ3186" s="314"/>
      <c r="CA3186" s="314"/>
      <c r="CB3186" s="314"/>
      <c r="CC3186" s="314"/>
      <c r="CD3186" s="314"/>
      <c r="CE3186" s="314"/>
      <c r="CF3186" s="314"/>
      <c r="CG3186" s="314"/>
      <c r="CH3186" s="314"/>
      <c r="CI3186" s="314"/>
      <c r="CJ3186" s="314"/>
      <c r="CK3186" s="314"/>
      <c r="CL3186" s="314"/>
      <c r="CM3186" s="314"/>
      <c r="CN3186" s="314"/>
      <c r="CO3186" s="314"/>
      <c r="CP3186" s="314"/>
      <c r="CQ3186" s="314"/>
      <c r="CR3186" s="314"/>
      <c r="CS3186" s="314"/>
      <c r="CT3186" s="314"/>
      <c r="CU3186" s="314"/>
      <c r="CV3186" s="314"/>
      <c r="CW3186" s="314"/>
      <c r="CX3186" s="314"/>
      <c r="CY3186" s="314"/>
      <c r="CZ3186" s="314"/>
      <c r="DA3186" s="314"/>
      <c r="DB3186" s="314"/>
      <c r="DC3186" s="314"/>
      <c r="DD3186" s="314"/>
      <c r="DE3186" s="314"/>
      <c r="DF3186" s="314"/>
      <c r="DG3186" s="314"/>
      <c r="DH3186" s="314"/>
      <c r="DI3186" s="314"/>
      <c r="DJ3186" s="314"/>
      <c r="DK3186" s="314"/>
      <c r="DL3186" s="314"/>
      <c r="DM3186" s="314"/>
      <c r="DN3186" s="314"/>
      <c r="DO3186" s="314"/>
      <c r="DP3186" s="314"/>
      <c r="DQ3186" s="314"/>
      <c r="DR3186" s="314"/>
      <c r="DS3186" s="314"/>
      <c r="DT3186" s="314"/>
      <c r="DU3186" s="314"/>
      <c r="DV3186" s="314"/>
      <c r="DW3186" s="314"/>
      <c r="DX3186" s="314"/>
      <c r="DY3186" s="314"/>
      <c r="DZ3186" s="314"/>
      <c r="EA3186" s="314"/>
      <c r="EB3186" s="314"/>
      <c r="EC3186" s="314"/>
      <c r="ED3186" s="314"/>
      <c r="EE3186" s="314"/>
      <c r="EF3186" s="314"/>
      <c r="EG3186" s="314"/>
      <c r="EH3186" s="314"/>
      <c r="EI3186" s="314"/>
      <c r="EJ3186" s="314"/>
      <c r="EK3186" s="314"/>
      <c r="EL3186" s="314"/>
      <c r="EM3186" s="314"/>
      <c r="EN3186" s="314"/>
      <c r="EO3186" s="314"/>
      <c r="EP3186" s="314"/>
      <c r="EQ3186" s="314"/>
      <c r="ER3186" s="314"/>
      <c r="ES3186" s="314"/>
      <c r="ET3186" s="314"/>
      <c r="EU3186" s="314"/>
      <c r="EV3186" s="314"/>
      <c r="EW3186" s="314"/>
      <c r="EX3186" s="314"/>
      <c r="EY3186" s="314"/>
      <c r="EZ3186" s="314"/>
      <c r="FA3186" s="314"/>
      <c r="FB3186" s="314"/>
      <c r="FC3186" s="314"/>
      <c r="FD3186" s="314"/>
      <c r="FE3186" s="314"/>
      <c r="FF3186" s="314"/>
      <c r="FG3186" s="314"/>
      <c r="FH3186" s="314"/>
      <c r="FI3186" s="314"/>
      <c r="FJ3186" s="314"/>
      <c r="FK3186" s="314"/>
      <c r="FL3186" s="314"/>
      <c r="FM3186" s="314"/>
      <c r="FN3186" s="314"/>
      <c r="FO3186" s="314"/>
      <c r="FP3186" s="314"/>
      <c r="FQ3186" s="314"/>
      <c r="FR3186" s="314"/>
      <c r="FS3186" s="314"/>
      <c r="FT3186" s="314"/>
      <c r="FU3186" s="314"/>
      <c r="FV3186" s="314"/>
      <c r="FW3186" s="314"/>
      <c r="FX3186" s="314"/>
      <c r="FY3186" s="314"/>
      <c r="FZ3186" s="314"/>
      <c r="GA3186" s="314"/>
      <c r="GB3186" s="314"/>
      <c r="GC3186" s="314"/>
      <c r="GD3186" s="314"/>
      <c r="GE3186" s="314"/>
      <c r="GF3186" s="314"/>
      <c r="GG3186" s="314"/>
      <c r="GH3186" s="314"/>
      <c r="GI3186" s="314"/>
      <c r="GJ3186" s="314"/>
      <c r="GK3186" s="314"/>
      <c r="GL3186" s="314"/>
      <c r="GM3186" s="314"/>
      <c r="GN3186" s="314"/>
      <c r="GO3186" s="314"/>
      <c r="GP3186" s="314"/>
      <c r="GQ3186" s="314"/>
      <c r="GR3186" s="314"/>
      <c r="GS3186" s="314"/>
      <c r="GT3186" s="314"/>
      <c r="GU3186" s="314"/>
      <c r="GV3186" s="314"/>
      <c r="GW3186" s="314"/>
      <c r="GX3186" s="314"/>
      <c r="GY3186" s="314"/>
      <c r="GZ3186" s="314"/>
      <c r="HA3186" s="314"/>
      <c r="HB3186" s="314"/>
      <c r="HC3186" s="314"/>
      <c r="HD3186" s="314"/>
      <c r="HE3186" s="314"/>
      <c r="HF3186" s="314"/>
      <c r="HG3186" s="314"/>
      <c r="HH3186" s="314"/>
      <c r="HI3186" s="314"/>
      <c r="HJ3186" s="314"/>
      <c r="HK3186" s="314"/>
      <c r="HL3186" s="314"/>
      <c r="HM3186" s="314"/>
      <c r="HN3186" s="314"/>
      <c r="HO3186" s="314"/>
      <c r="HP3186" s="314"/>
      <c r="HQ3186" s="314"/>
      <c r="HR3186" s="314"/>
      <c r="HS3186" s="314"/>
      <c r="HT3186" s="314"/>
      <c r="HU3186" s="314"/>
      <c r="HV3186" s="314"/>
      <c r="HW3186" s="314"/>
      <c r="HX3186" s="314"/>
      <c r="HY3186" s="314"/>
      <c r="HZ3186" s="314"/>
      <c r="IA3186" s="314"/>
      <c r="IB3186" s="314"/>
      <c r="IC3186" s="314"/>
      <c r="ID3186" s="314"/>
      <c r="IE3186" s="314"/>
      <c r="IF3186" s="314"/>
      <c r="IG3186" s="314"/>
      <c r="IH3186" s="314"/>
      <c r="II3186" s="314"/>
      <c r="IJ3186" s="314"/>
      <c r="IK3186" s="314"/>
      <c r="IL3186" s="314"/>
      <c r="IM3186" s="314"/>
      <c r="IN3186" s="314"/>
      <c r="IO3186" s="314"/>
      <c r="IP3186" s="314"/>
      <c r="IQ3186" s="314"/>
      <c r="IR3186" s="314"/>
      <c r="IS3186" s="314"/>
      <c r="IT3186" s="314"/>
      <c r="IU3186" s="314"/>
      <c r="IV3186" s="314"/>
    </row>
    <row r="3187" spans="1:256" ht="24.75" customHeight="1" x14ac:dyDescent="0.4">
      <c r="A3187" s="896" t="s">
        <v>223</v>
      </c>
      <c r="B3187" s="896"/>
      <c r="C3187" s="896"/>
      <c r="D3187" s="896"/>
      <c r="E3187" s="896"/>
      <c r="F3187" s="896"/>
      <c r="G3187" s="896"/>
      <c r="H3187" s="896"/>
      <c r="I3187" s="896"/>
      <c r="J3187" s="896"/>
      <c r="K3187" s="896"/>
      <c r="L3187" s="896"/>
      <c r="M3187" s="896"/>
      <c r="N3187" s="896"/>
      <c r="O3187" s="896"/>
      <c r="P3187" s="896"/>
      <c r="Q3187" s="896"/>
      <c r="R3187" s="896"/>
      <c r="S3187" s="896"/>
      <c r="T3187" s="896"/>
      <c r="U3187" s="896"/>
      <c r="V3187" s="896"/>
      <c r="W3187" s="896"/>
      <c r="X3187" s="896"/>
      <c r="Y3187" s="896"/>
      <c r="Z3187" s="387"/>
      <c r="AA3187" s="313"/>
      <c r="AB3187" s="314"/>
      <c r="AC3187" s="314"/>
      <c r="AD3187" s="314"/>
      <c r="AE3187" s="314"/>
      <c r="AF3187" s="314"/>
      <c r="AG3187" s="314"/>
      <c r="AH3187" s="314"/>
      <c r="AI3187" s="314"/>
      <c r="AJ3187" s="314"/>
      <c r="AK3187" s="314"/>
      <c r="AL3187" s="314"/>
      <c r="AM3187" s="314"/>
      <c r="AN3187" s="314"/>
      <c r="AO3187" s="314"/>
      <c r="AP3187" s="314"/>
      <c r="AQ3187" s="314"/>
      <c r="AR3187" s="314"/>
      <c r="AS3187" s="314"/>
      <c r="AT3187" s="314"/>
      <c r="AU3187" s="314"/>
      <c r="AV3187" s="314"/>
      <c r="AW3187" s="314"/>
      <c r="AX3187" s="314"/>
      <c r="AY3187" s="314"/>
      <c r="AZ3187" s="314"/>
      <c r="BA3187" s="314"/>
      <c r="BB3187" s="314"/>
      <c r="BC3187" s="314"/>
      <c r="BD3187" s="314"/>
      <c r="BE3187" s="314"/>
      <c r="BF3187" s="314"/>
      <c r="BG3187" s="314"/>
      <c r="BH3187" s="314"/>
      <c r="BI3187" s="314"/>
      <c r="BJ3187" s="314"/>
      <c r="BK3187" s="314"/>
      <c r="BL3187" s="314"/>
      <c r="BM3187" s="314"/>
      <c r="BN3187" s="314"/>
      <c r="BO3187" s="314"/>
      <c r="BP3187" s="314"/>
      <c r="BQ3187" s="314"/>
      <c r="BR3187" s="314"/>
      <c r="BS3187" s="314"/>
      <c r="BT3187" s="314"/>
      <c r="BU3187" s="314"/>
      <c r="BV3187" s="314"/>
      <c r="BW3187" s="314"/>
      <c r="BX3187" s="314"/>
      <c r="BY3187" s="314"/>
      <c r="BZ3187" s="314"/>
      <c r="CA3187" s="314"/>
      <c r="CB3187" s="314"/>
      <c r="CC3187" s="314"/>
      <c r="CD3187" s="314"/>
      <c r="CE3187" s="314"/>
      <c r="CF3187" s="314"/>
      <c r="CG3187" s="314"/>
      <c r="CH3187" s="314"/>
      <c r="CI3187" s="314"/>
      <c r="CJ3187" s="314"/>
      <c r="CK3187" s="314"/>
      <c r="CL3187" s="314"/>
      <c r="CM3187" s="314"/>
      <c r="CN3187" s="314"/>
      <c r="CO3187" s="314"/>
      <c r="CP3187" s="314"/>
      <c r="CQ3187" s="314"/>
      <c r="CR3187" s="314"/>
      <c r="CS3187" s="314"/>
      <c r="CT3187" s="314"/>
      <c r="CU3187" s="314"/>
      <c r="CV3187" s="314"/>
      <c r="CW3187" s="314"/>
      <c r="CX3187" s="314"/>
      <c r="CY3187" s="314"/>
      <c r="CZ3187" s="314"/>
      <c r="DA3187" s="314"/>
      <c r="DB3187" s="314"/>
      <c r="DC3187" s="314"/>
      <c r="DD3187" s="314"/>
      <c r="DE3187" s="314"/>
      <c r="DF3187" s="314"/>
      <c r="DG3187" s="314"/>
      <c r="DH3187" s="314"/>
      <c r="DI3187" s="314"/>
      <c r="DJ3187" s="314"/>
      <c r="DK3187" s="314"/>
      <c r="DL3187" s="314"/>
      <c r="DM3187" s="314"/>
      <c r="DN3187" s="314"/>
      <c r="DO3187" s="314"/>
      <c r="DP3187" s="314"/>
      <c r="DQ3187" s="314"/>
      <c r="DR3187" s="314"/>
      <c r="DS3187" s="314"/>
      <c r="DT3187" s="314"/>
      <c r="DU3187" s="314"/>
      <c r="DV3187" s="314"/>
      <c r="DW3187" s="314"/>
      <c r="DX3187" s="314"/>
      <c r="DY3187" s="314"/>
      <c r="DZ3187" s="314"/>
      <c r="EA3187" s="314"/>
      <c r="EB3187" s="314"/>
      <c r="EC3187" s="314"/>
      <c r="ED3187" s="314"/>
      <c r="EE3187" s="314"/>
      <c r="EF3187" s="314"/>
      <c r="EG3187" s="314"/>
      <c r="EH3187" s="314"/>
      <c r="EI3187" s="314"/>
      <c r="EJ3187" s="314"/>
      <c r="EK3187" s="314"/>
      <c r="EL3187" s="314"/>
      <c r="EM3187" s="314"/>
      <c r="EN3187" s="314"/>
      <c r="EO3187" s="314"/>
      <c r="EP3187" s="314"/>
      <c r="EQ3187" s="314"/>
      <c r="ER3187" s="314"/>
      <c r="ES3187" s="314"/>
      <c r="ET3187" s="314"/>
      <c r="EU3187" s="314"/>
      <c r="EV3187" s="314"/>
      <c r="EW3187" s="314"/>
      <c r="EX3187" s="314"/>
      <c r="EY3187" s="314"/>
      <c r="EZ3187" s="314"/>
      <c r="FA3187" s="314"/>
      <c r="FB3187" s="314"/>
      <c r="FC3187" s="314"/>
      <c r="FD3187" s="314"/>
      <c r="FE3187" s="314"/>
      <c r="FF3187" s="314"/>
      <c r="FG3187" s="314"/>
      <c r="FH3187" s="314"/>
      <c r="FI3187" s="314"/>
      <c r="FJ3187" s="314"/>
      <c r="FK3187" s="314"/>
      <c r="FL3187" s="314"/>
      <c r="FM3187" s="314"/>
      <c r="FN3187" s="314"/>
      <c r="FO3187" s="314"/>
      <c r="FP3187" s="314"/>
      <c r="FQ3187" s="314"/>
      <c r="FR3187" s="314"/>
      <c r="FS3187" s="314"/>
      <c r="FT3187" s="314"/>
      <c r="FU3187" s="314"/>
      <c r="FV3187" s="314"/>
      <c r="FW3187" s="314"/>
      <c r="FX3187" s="314"/>
      <c r="FY3187" s="314"/>
      <c r="FZ3187" s="314"/>
      <c r="GA3187" s="314"/>
      <c r="GB3187" s="314"/>
      <c r="GC3187" s="314"/>
      <c r="GD3187" s="314"/>
      <c r="GE3187" s="314"/>
      <c r="GF3187" s="314"/>
      <c r="GG3187" s="314"/>
      <c r="GH3187" s="314"/>
      <c r="GI3187" s="314"/>
      <c r="GJ3187" s="314"/>
      <c r="GK3187" s="314"/>
      <c r="GL3187" s="314"/>
      <c r="GM3187" s="314"/>
      <c r="GN3187" s="314"/>
      <c r="GO3187" s="314"/>
      <c r="GP3187" s="314"/>
      <c r="GQ3187" s="314"/>
      <c r="GR3187" s="314"/>
      <c r="GS3187" s="314"/>
      <c r="GT3187" s="314"/>
      <c r="GU3187" s="314"/>
      <c r="GV3187" s="314"/>
      <c r="GW3187" s="314"/>
      <c r="GX3187" s="314"/>
      <c r="GY3187" s="314"/>
      <c r="GZ3187" s="314"/>
      <c r="HA3187" s="314"/>
      <c r="HB3187" s="314"/>
      <c r="HC3187" s="314"/>
      <c r="HD3187" s="314"/>
      <c r="HE3187" s="314"/>
      <c r="HF3187" s="314"/>
      <c r="HG3187" s="314"/>
      <c r="HH3187" s="314"/>
      <c r="HI3187" s="314"/>
      <c r="HJ3187" s="314"/>
      <c r="HK3187" s="314"/>
      <c r="HL3187" s="314"/>
      <c r="HM3187" s="314"/>
      <c r="HN3187" s="314"/>
      <c r="HO3187" s="314"/>
      <c r="HP3187" s="314"/>
      <c r="HQ3187" s="314"/>
      <c r="HR3187" s="314"/>
      <c r="HS3187" s="314"/>
      <c r="HT3187" s="314"/>
      <c r="HU3187" s="314"/>
      <c r="HV3187" s="314"/>
      <c r="HW3187" s="314"/>
      <c r="HX3187" s="314"/>
      <c r="HY3187" s="314"/>
      <c r="HZ3187" s="314"/>
      <c r="IA3187" s="314"/>
      <c r="IB3187" s="314"/>
      <c r="IC3187" s="314"/>
      <c r="ID3187" s="314"/>
      <c r="IE3187" s="314"/>
      <c r="IF3187" s="314"/>
      <c r="IG3187" s="314"/>
      <c r="IH3187" s="314"/>
      <c r="II3187" s="314"/>
      <c r="IJ3187" s="314"/>
      <c r="IK3187" s="314"/>
      <c r="IL3187" s="314"/>
      <c r="IM3187" s="314"/>
      <c r="IN3187" s="314"/>
      <c r="IO3187" s="314"/>
      <c r="IP3187" s="314"/>
      <c r="IQ3187" s="314"/>
      <c r="IR3187" s="314"/>
      <c r="IS3187" s="314"/>
      <c r="IT3187" s="314"/>
      <c r="IU3187" s="314"/>
      <c r="IV3187" s="314"/>
    </row>
    <row r="3188" spans="1:256" ht="24.75" customHeight="1" x14ac:dyDescent="0.4">
      <c r="A3188" s="446"/>
      <c r="B3188" s="448"/>
      <c r="C3188" s="579"/>
      <c r="D3188" s="579"/>
      <c r="E3188" s="623"/>
      <c r="F3188" s="581"/>
      <c r="G3188" s="579"/>
      <c r="H3188" s="582"/>
      <c r="I3188" s="579"/>
      <c r="J3188" s="582"/>
      <c r="K3188" s="582"/>
      <c r="L3188" s="624"/>
      <c r="M3188" s="624"/>
      <c r="N3188" s="624"/>
      <c r="O3188" s="624"/>
      <c r="P3188" s="624"/>
      <c r="Q3188" s="624"/>
      <c r="R3188" s="624"/>
      <c r="S3188" s="624"/>
      <c r="T3188" s="625"/>
      <c r="U3188" s="624"/>
      <c r="V3188" s="678"/>
      <c r="W3188" s="625"/>
      <c r="X3188" s="624"/>
      <c r="Y3188" s="446"/>
      <c r="Z3188" s="387"/>
      <c r="AA3188" s="313"/>
      <c r="AB3188" s="314"/>
      <c r="AC3188" s="314"/>
      <c r="AD3188" s="314"/>
      <c r="AE3188" s="314"/>
      <c r="AF3188" s="314"/>
      <c r="AG3188" s="314"/>
      <c r="AH3188" s="314"/>
      <c r="AI3188" s="314"/>
      <c r="AJ3188" s="314"/>
      <c r="AK3188" s="314"/>
      <c r="AL3188" s="314"/>
      <c r="AM3188" s="314"/>
      <c r="AN3188" s="314"/>
      <c r="AO3188" s="314"/>
      <c r="AP3188" s="314"/>
      <c r="AQ3188" s="314"/>
      <c r="AR3188" s="314"/>
      <c r="AS3188" s="314"/>
      <c r="AT3188" s="314"/>
      <c r="AU3188" s="314"/>
      <c r="AV3188" s="314"/>
      <c r="AW3188" s="314"/>
      <c r="AX3188" s="314"/>
      <c r="AY3188" s="314"/>
      <c r="AZ3188" s="314"/>
      <c r="BA3188" s="314"/>
      <c r="BB3188" s="314"/>
      <c r="BC3188" s="314"/>
      <c r="BD3188" s="314"/>
      <c r="BE3188" s="314"/>
      <c r="BF3188" s="314"/>
      <c r="BG3188" s="314"/>
      <c r="BH3188" s="314"/>
      <c r="BI3188" s="314"/>
      <c r="BJ3188" s="314"/>
      <c r="BK3188" s="314"/>
      <c r="BL3188" s="314"/>
      <c r="BM3188" s="314"/>
      <c r="BN3188" s="314"/>
      <c r="BO3188" s="314"/>
      <c r="BP3188" s="314"/>
      <c r="BQ3188" s="314"/>
      <c r="BR3188" s="314"/>
      <c r="BS3188" s="314"/>
      <c r="BT3188" s="314"/>
      <c r="BU3188" s="314"/>
      <c r="BV3188" s="314"/>
      <c r="BW3188" s="314"/>
      <c r="BX3188" s="314"/>
      <c r="BY3188" s="314"/>
      <c r="BZ3188" s="314"/>
      <c r="CA3188" s="314"/>
      <c r="CB3188" s="314"/>
      <c r="CC3188" s="314"/>
      <c r="CD3188" s="314"/>
      <c r="CE3188" s="314"/>
      <c r="CF3188" s="314"/>
      <c r="CG3188" s="314"/>
      <c r="CH3188" s="314"/>
      <c r="CI3188" s="314"/>
      <c r="CJ3188" s="314"/>
      <c r="CK3188" s="314"/>
      <c r="CL3188" s="314"/>
      <c r="CM3188" s="314"/>
      <c r="CN3188" s="314"/>
      <c r="CO3188" s="314"/>
      <c r="CP3188" s="314"/>
      <c r="CQ3188" s="314"/>
      <c r="CR3188" s="314"/>
      <c r="CS3188" s="314"/>
      <c r="CT3188" s="314"/>
      <c r="CU3188" s="314"/>
      <c r="CV3188" s="314"/>
      <c r="CW3188" s="314"/>
      <c r="CX3188" s="314"/>
      <c r="CY3188" s="314"/>
      <c r="CZ3188" s="314"/>
      <c r="DA3188" s="314"/>
      <c r="DB3188" s="314"/>
      <c r="DC3188" s="314"/>
      <c r="DD3188" s="314"/>
      <c r="DE3188" s="314"/>
      <c r="DF3188" s="314"/>
      <c r="DG3188" s="314"/>
      <c r="DH3188" s="314"/>
      <c r="DI3188" s="314"/>
      <c r="DJ3188" s="314"/>
      <c r="DK3188" s="314"/>
      <c r="DL3188" s="314"/>
      <c r="DM3188" s="314"/>
      <c r="DN3188" s="314"/>
      <c r="DO3188" s="314"/>
      <c r="DP3188" s="314"/>
      <c r="DQ3188" s="314"/>
      <c r="DR3188" s="314"/>
      <c r="DS3188" s="314"/>
      <c r="DT3188" s="314"/>
      <c r="DU3188" s="314"/>
      <c r="DV3188" s="314"/>
      <c r="DW3188" s="314"/>
      <c r="DX3188" s="314"/>
      <c r="DY3188" s="314"/>
      <c r="DZ3188" s="314"/>
      <c r="EA3188" s="314"/>
      <c r="EB3188" s="314"/>
      <c r="EC3188" s="314"/>
      <c r="ED3188" s="314"/>
      <c r="EE3188" s="314"/>
      <c r="EF3188" s="314"/>
      <c r="EG3188" s="314"/>
      <c r="EH3188" s="314"/>
      <c r="EI3188" s="314"/>
      <c r="EJ3188" s="314"/>
      <c r="EK3188" s="314"/>
      <c r="EL3188" s="314"/>
      <c r="EM3188" s="314"/>
      <c r="EN3188" s="314"/>
      <c r="EO3188" s="314"/>
      <c r="EP3188" s="314"/>
      <c r="EQ3188" s="314"/>
      <c r="ER3188" s="314"/>
      <c r="ES3188" s="314"/>
      <c r="ET3188" s="314"/>
      <c r="EU3188" s="314"/>
      <c r="EV3188" s="314"/>
      <c r="EW3188" s="314"/>
      <c r="EX3188" s="314"/>
      <c r="EY3188" s="314"/>
      <c r="EZ3188" s="314"/>
      <c r="FA3188" s="314"/>
      <c r="FB3188" s="314"/>
      <c r="FC3188" s="314"/>
      <c r="FD3188" s="314"/>
      <c r="FE3188" s="314"/>
      <c r="FF3188" s="314"/>
      <c r="FG3188" s="314"/>
      <c r="FH3188" s="314"/>
      <c r="FI3188" s="314"/>
      <c r="FJ3188" s="314"/>
      <c r="FK3188" s="314"/>
      <c r="FL3188" s="314"/>
      <c r="FM3188" s="314"/>
      <c r="FN3188" s="314"/>
      <c r="FO3188" s="314"/>
      <c r="FP3188" s="314"/>
      <c r="FQ3188" s="314"/>
      <c r="FR3188" s="314"/>
      <c r="FS3188" s="314"/>
      <c r="FT3188" s="314"/>
      <c r="FU3188" s="314"/>
      <c r="FV3188" s="314"/>
      <c r="FW3188" s="314"/>
      <c r="FX3188" s="314"/>
      <c r="FY3188" s="314"/>
      <c r="FZ3188" s="314"/>
      <c r="GA3188" s="314"/>
      <c r="GB3188" s="314"/>
      <c r="GC3188" s="314"/>
      <c r="GD3188" s="314"/>
      <c r="GE3188" s="314"/>
      <c r="GF3188" s="314"/>
      <c r="GG3188" s="314"/>
      <c r="GH3188" s="314"/>
      <c r="GI3188" s="314"/>
      <c r="GJ3188" s="314"/>
      <c r="GK3188" s="314"/>
      <c r="GL3188" s="314"/>
      <c r="GM3188" s="314"/>
      <c r="GN3188" s="314"/>
      <c r="GO3188" s="314"/>
      <c r="GP3188" s="314"/>
      <c r="GQ3188" s="314"/>
      <c r="GR3188" s="314"/>
      <c r="GS3188" s="314"/>
      <c r="GT3188" s="314"/>
      <c r="GU3188" s="314"/>
      <c r="GV3188" s="314"/>
      <c r="GW3188" s="314"/>
      <c r="GX3188" s="314"/>
      <c r="GY3188" s="314"/>
      <c r="GZ3188" s="314"/>
      <c r="HA3188" s="314"/>
      <c r="HB3188" s="314"/>
      <c r="HC3188" s="314"/>
      <c r="HD3188" s="314"/>
      <c r="HE3188" s="314"/>
      <c r="HF3188" s="314"/>
      <c r="HG3188" s="314"/>
      <c r="HH3188" s="314"/>
      <c r="HI3188" s="314"/>
      <c r="HJ3188" s="314"/>
      <c r="HK3188" s="314"/>
      <c r="HL3188" s="314"/>
      <c r="HM3188" s="314"/>
      <c r="HN3188" s="314"/>
      <c r="HO3188" s="314"/>
      <c r="HP3188" s="314"/>
      <c r="HQ3188" s="314"/>
      <c r="HR3188" s="314"/>
      <c r="HS3188" s="314"/>
      <c r="HT3188" s="314"/>
      <c r="HU3188" s="314"/>
      <c r="HV3188" s="314"/>
      <c r="HW3188" s="314"/>
      <c r="HX3188" s="314"/>
      <c r="HY3188" s="314"/>
      <c r="HZ3188" s="314"/>
      <c r="IA3188" s="314"/>
      <c r="IB3188" s="314"/>
      <c r="IC3188" s="314"/>
      <c r="ID3188" s="314"/>
      <c r="IE3188" s="314"/>
      <c r="IF3188" s="314"/>
      <c r="IG3188" s="314"/>
      <c r="IH3188" s="314"/>
      <c r="II3188" s="314"/>
      <c r="IJ3188" s="314"/>
      <c r="IK3188" s="314"/>
      <c r="IL3188" s="314"/>
      <c r="IM3188" s="314"/>
      <c r="IN3188" s="314"/>
      <c r="IO3188" s="314"/>
      <c r="IP3188" s="314"/>
      <c r="IQ3188" s="314"/>
      <c r="IR3188" s="314"/>
      <c r="IS3188" s="314"/>
      <c r="IT3188" s="314"/>
      <c r="IU3188" s="314"/>
      <c r="IV3188" s="314"/>
    </row>
    <row r="3189" spans="1:256" s="447" customFormat="1" ht="24.75" customHeight="1" x14ac:dyDescent="0.4">
      <c r="A3189" s="896" t="s">
        <v>218</v>
      </c>
      <c r="B3189" s="896"/>
      <c r="C3189" s="896"/>
      <c r="D3189" s="896"/>
      <c r="E3189" s="896"/>
      <c r="F3189" s="896"/>
      <c r="G3189" s="896"/>
      <c r="H3189" s="896"/>
      <c r="I3189" s="896"/>
      <c r="J3189" s="896"/>
      <c r="K3189" s="896"/>
      <c r="L3189" s="896"/>
      <c r="M3189" s="896"/>
      <c r="N3189" s="896"/>
      <c r="O3189" s="896"/>
      <c r="P3189" s="896"/>
      <c r="Q3189" s="896"/>
      <c r="R3189" s="896"/>
      <c r="S3189" s="896"/>
      <c r="T3189" s="896"/>
      <c r="U3189" s="896"/>
      <c r="V3189" s="896"/>
      <c r="W3189" s="896"/>
      <c r="X3189" s="896"/>
      <c r="Y3189" s="896"/>
      <c r="Z3189" s="449"/>
      <c r="AA3189" s="383"/>
    </row>
    <row r="3190" spans="1:256" s="447" customFormat="1" ht="24.75" customHeight="1" x14ac:dyDescent="0.4">
      <c r="A3190" s="315"/>
      <c r="C3190" s="572"/>
      <c r="D3190" s="572"/>
      <c r="E3190" s="573"/>
      <c r="F3190" s="399"/>
      <c r="G3190" s="572"/>
      <c r="H3190" s="524"/>
      <c r="I3190" s="572"/>
      <c r="J3190" s="524"/>
      <c r="K3190" s="524"/>
      <c r="L3190" s="524"/>
      <c r="M3190" s="524"/>
      <c r="N3190" s="524"/>
      <c r="O3190" s="524"/>
      <c r="P3190" s="524"/>
      <c r="Q3190" s="524"/>
      <c r="R3190" s="524"/>
      <c r="S3190" s="524"/>
      <c r="T3190" s="572"/>
      <c r="U3190" s="524"/>
      <c r="V3190" s="679"/>
      <c r="W3190" s="572"/>
      <c r="X3190" s="524"/>
      <c r="Y3190" s="315"/>
      <c r="Z3190" s="449"/>
      <c r="AA3190" s="383"/>
    </row>
    <row r="3191" spans="1:256" s="447" customFormat="1" ht="26.25" x14ac:dyDescent="0.4">
      <c r="A3191" s="315"/>
      <c r="C3191" s="572"/>
      <c r="D3191" s="572"/>
      <c r="E3191" s="573"/>
      <c r="F3191" s="399"/>
      <c r="G3191" s="572"/>
      <c r="H3191" s="524"/>
      <c r="I3191" s="572"/>
      <c r="J3191" s="524"/>
      <c r="K3191" s="524"/>
      <c r="L3191" s="524"/>
      <c r="M3191" s="524"/>
      <c r="N3191" s="524"/>
      <c r="O3191" s="524"/>
      <c r="P3191" s="524"/>
      <c r="Q3191" s="524"/>
      <c r="R3191" s="524"/>
      <c r="S3191" s="524"/>
      <c r="T3191" s="572"/>
      <c r="U3191" s="524"/>
      <c r="V3191" s="679"/>
      <c r="W3191" s="572"/>
      <c r="X3191" s="524"/>
      <c r="Y3191" s="315"/>
      <c r="Z3191" s="449"/>
      <c r="AA3191" s="383"/>
    </row>
    <row r="3192" spans="1:256" s="447" customFormat="1" ht="26.25" x14ac:dyDescent="0.4">
      <c r="A3192" s="315"/>
      <c r="C3192" s="572"/>
      <c r="D3192" s="572"/>
      <c r="E3192" s="573"/>
      <c r="F3192" s="399"/>
      <c r="G3192" s="572"/>
      <c r="H3192" s="524"/>
      <c r="I3192" s="572"/>
      <c r="J3192" s="524"/>
      <c r="K3192" s="524"/>
      <c r="L3192" s="524"/>
      <c r="M3192" s="524"/>
      <c r="N3192" s="524"/>
      <c r="O3192" s="524"/>
      <c r="P3192" s="524"/>
      <c r="Q3192" s="524"/>
      <c r="R3192" s="524"/>
      <c r="S3192" s="524"/>
      <c r="T3192" s="572"/>
      <c r="U3192" s="524"/>
      <c r="V3192" s="679"/>
      <c r="W3192" s="572"/>
      <c r="X3192" s="524"/>
      <c r="Y3192" s="315"/>
      <c r="Z3192" s="449"/>
      <c r="AA3192" s="383"/>
    </row>
    <row r="3193" spans="1:256" s="447" customFormat="1" ht="26.25" x14ac:dyDescent="0.4">
      <c r="A3193" s="315"/>
      <c r="C3193" s="572"/>
      <c r="D3193" s="572"/>
      <c r="E3193" s="573"/>
      <c r="F3193" s="399"/>
      <c r="G3193" s="572"/>
      <c r="H3193" s="524"/>
      <c r="I3193" s="572"/>
      <c r="J3193" s="524"/>
      <c r="K3193" s="524"/>
      <c r="L3193" s="524"/>
      <c r="M3193" s="524"/>
      <c r="N3193" s="524"/>
      <c r="O3193" s="524"/>
      <c r="P3193" s="524"/>
      <c r="Q3193" s="524"/>
      <c r="R3193" s="524"/>
      <c r="S3193" s="524"/>
      <c r="T3193" s="572"/>
      <c r="U3193" s="524"/>
      <c r="V3193" s="679"/>
      <c r="W3193" s="572"/>
      <c r="X3193" s="524"/>
      <c r="Y3193" s="315"/>
      <c r="Z3193" s="449"/>
      <c r="AA3193" s="383"/>
    </row>
    <row r="3194" spans="1:256" s="447" customFormat="1" ht="26.25" x14ac:dyDescent="0.4">
      <c r="A3194" s="315"/>
      <c r="C3194" s="572"/>
      <c r="D3194" s="572"/>
      <c r="E3194" s="573"/>
      <c r="F3194" s="399"/>
      <c r="G3194" s="572"/>
      <c r="H3194" s="524"/>
      <c r="I3194" s="572"/>
      <c r="J3194" s="524"/>
      <c r="K3194" s="524"/>
      <c r="L3194" s="524"/>
      <c r="M3194" s="524"/>
      <c r="N3194" s="524"/>
      <c r="O3194" s="524"/>
      <c r="P3194" s="524"/>
      <c r="Q3194" s="524"/>
      <c r="R3194" s="524"/>
      <c r="S3194" s="524"/>
      <c r="T3194" s="572"/>
      <c r="U3194" s="524"/>
      <c r="V3194" s="679"/>
      <c r="W3194" s="572"/>
      <c r="X3194" s="524"/>
      <c r="Y3194" s="315"/>
      <c r="Z3194" s="449"/>
      <c r="AA3194" s="383"/>
    </row>
    <row r="3195" spans="1:256" s="447" customFormat="1" ht="26.25" x14ac:dyDescent="0.4">
      <c r="A3195" s="315"/>
      <c r="C3195" s="572"/>
      <c r="D3195" s="572"/>
      <c r="E3195" s="573"/>
      <c r="F3195" s="399"/>
      <c r="G3195" s="572"/>
      <c r="H3195" s="524"/>
      <c r="I3195" s="572"/>
      <c r="J3195" s="524"/>
      <c r="K3195" s="524"/>
      <c r="L3195" s="524"/>
      <c r="M3195" s="524"/>
      <c r="N3195" s="524"/>
      <c r="O3195" s="524"/>
      <c r="P3195" s="524"/>
      <c r="Q3195" s="524"/>
      <c r="R3195" s="524"/>
      <c r="S3195" s="524"/>
      <c r="T3195" s="572"/>
      <c r="U3195" s="524"/>
      <c r="V3195" s="679"/>
      <c r="W3195" s="572"/>
      <c r="X3195" s="524"/>
      <c r="Y3195" s="315"/>
      <c r="Z3195" s="449"/>
      <c r="AA3195" s="383"/>
    </row>
    <row r="3196" spans="1:256" s="447" customFormat="1" ht="26.25" x14ac:dyDescent="0.4">
      <c r="A3196" s="315"/>
      <c r="C3196" s="572"/>
      <c r="D3196" s="572"/>
      <c r="E3196" s="573"/>
      <c r="F3196" s="399"/>
      <c r="G3196" s="572"/>
      <c r="H3196" s="524"/>
      <c r="I3196" s="572"/>
      <c r="J3196" s="524"/>
      <c r="K3196" s="524"/>
      <c r="L3196" s="524"/>
      <c r="M3196" s="524"/>
      <c r="N3196" s="524"/>
      <c r="O3196" s="524"/>
      <c r="P3196" s="524"/>
      <c r="Q3196" s="524"/>
      <c r="R3196" s="524"/>
      <c r="S3196" s="524"/>
      <c r="T3196" s="572"/>
      <c r="U3196" s="524"/>
      <c r="V3196" s="679"/>
      <c r="W3196" s="572"/>
      <c r="X3196" s="524"/>
      <c r="Y3196" s="315"/>
      <c r="Z3196" s="449"/>
      <c r="AA3196" s="383"/>
    </row>
    <row r="3197" spans="1:256" s="447" customFormat="1" ht="26.25" x14ac:dyDescent="0.4">
      <c r="A3197" s="315"/>
      <c r="C3197" s="572"/>
      <c r="D3197" s="572"/>
      <c r="E3197" s="573"/>
      <c r="F3197" s="399"/>
      <c r="G3197" s="572"/>
      <c r="H3197" s="524"/>
      <c r="I3197" s="572"/>
      <c r="J3197" s="524"/>
      <c r="K3197" s="524"/>
      <c r="L3197" s="524"/>
      <c r="M3197" s="524"/>
      <c r="N3197" s="524"/>
      <c r="O3197" s="524"/>
      <c r="P3197" s="524"/>
      <c r="Q3197" s="524"/>
      <c r="R3197" s="524"/>
      <c r="S3197" s="524"/>
      <c r="T3197" s="572"/>
      <c r="U3197" s="524"/>
      <c r="V3197" s="679"/>
      <c r="W3197" s="572"/>
      <c r="X3197" s="524"/>
      <c r="Y3197" s="315"/>
      <c r="Z3197" s="449"/>
      <c r="AA3197" s="383"/>
    </row>
    <row r="3198" spans="1:256" s="447" customFormat="1" ht="26.25" x14ac:dyDescent="0.4">
      <c r="A3198" s="315"/>
      <c r="C3198" s="572"/>
      <c r="D3198" s="572"/>
      <c r="E3198" s="573"/>
      <c r="F3198" s="399"/>
      <c r="G3198" s="572"/>
      <c r="H3198" s="524"/>
      <c r="I3198" s="572"/>
      <c r="J3198" s="524"/>
      <c r="K3198" s="524"/>
      <c r="L3198" s="524"/>
      <c r="M3198" s="524"/>
      <c r="N3198" s="524"/>
      <c r="O3198" s="524"/>
      <c r="P3198" s="524"/>
      <c r="Q3198" s="524"/>
      <c r="R3198" s="524"/>
      <c r="S3198" s="524"/>
      <c r="T3198" s="572"/>
      <c r="U3198" s="524"/>
      <c r="V3198" s="679"/>
      <c r="W3198" s="572"/>
      <c r="X3198" s="524"/>
      <c r="Y3198" s="315"/>
      <c r="Z3198" s="449"/>
      <c r="AA3198" s="383"/>
    </row>
    <row r="3199" spans="1:256" s="447" customFormat="1" ht="26.25" x14ac:dyDescent="0.4">
      <c r="A3199" s="315"/>
      <c r="C3199" s="572"/>
      <c r="D3199" s="572"/>
      <c r="E3199" s="573"/>
      <c r="F3199" s="399"/>
      <c r="G3199" s="572"/>
      <c r="H3199" s="524"/>
      <c r="I3199" s="572"/>
      <c r="J3199" s="524"/>
      <c r="K3199" s="524"/>
      <c r="L3199" s="524"/>
      <c r="M3199" s="524"/>
      <c r="N3199" s="524"/>
      <c r="O3199" s="524"/>
      <c r="P3199" s="524"/>
      <c r="Q3199" s="524"/>
      <c r="R3199" s="524"/>
      <c r="S3199" s="524"/>
      <c r="T3199" s="572"/>
      <c r="U3199" s="524"/>
      <c r="V3199" s="679"/>
      <c r="W3199" s="572"/>
      <c r="X3199" s="524"/>
      <c r="Y3199" s="315"/>
      <c r="Z3199" s="449"/>
      <c r="AA3199" s="383"/>
    </row>
    <row r="3200" spans="1:256" s="447" customFormat="1" ht="26.25" x14ac:dyDescent="0.4">
      <c r="A3200" s="315"/>
      <c r="C3200" s="572"/>
      <c r="D3200" s="572"/>
      <c r="E3200" s="573"/>
      <c r="F3200" s="399"/>
      <c r="G3200" s="572"/>
      <c r="H3200" s="524"/>
      <c r="I3200" s="572"/>
      <c r="J3200" s="524"/>
      <c r="K3200" s="524"/>
      <c r="L3200" s="524"/>
      <c r="M3200" s="524"/>
      <c r="N3200" s="524"/>
      <c r="O3200" s="524"/>
      <c r="P3200" s="524"/>
      <c r="Q3200" s="524"/>
      <c r="R3200" s="524"/>
      <c r="S3200" s="524"/>
      <c r="T3200" s="572"/>
      <c r="U3200" s="524"/>
      <c r="V3200" s="679"/>
      <c r="W3200" s="572"/>
      <c r="X3200" s="524"/>
      <c r="Y3200" s="315"/>
      <c r="Z3200" s="449"/>
      <c r="AA3200" s="383"/>
    </row>
    <row r="3201" spans="1:27" s="447" customFormat="1" ht="26.25" x14ac:dyDescent="0.4">
      <c r="A3201" s="315"/>
      <c r="C3201" s="572"/>
      <c r="D3201" s="572"/>
      <c r="E3201" s="573"/>
      <c r="F3201" s="399"/>
      <c r="G3201" s="572"/>
      <c r="H3201" s="524"/>
      <c r="I3201" s="572"/>
      <c r="J3201" s="524"/>
      <c r="K3201" s="524"/>
      <c r="L3201" s="524"/>
      <c r="M3201" s="524"/>
      <c r="N3201" s="524"/>
      <c r="O3201" s="524"/>
      <c r="P3201" s="524"/>
      <c r="Q3201" s="524"/>
      <c r="R3201" s="524"/>
      <c r="S3201" s="524"/>
      <c r="T3201" s="572"/>
      <c r="U3201" s="524"/>
      <c r="V3201" s="679"/>
      <c r="W3201" s="572"/>
      <c r="X3201" s="524"/>
      <c r="Y3201" s="315"/>
      <c r="Z3201" s="449"/>
      <c r="AA3201" s="383"/>
    </row>
    <row r="3202" spans="1:27" s="447" customFormat="1" ht="26.25" x14ac:dyDescent="0.4">
      <c r="A3202" s="315"/>
      <c r="C3202" s="572"/>
      <c r="D3202" s="572"/>
      <c r="E3202" s="573"/>
      <c r="F3202" s="399"/>
      <c r="G3202" s="572"/>
      <c r="H3202" s="524"/>
      <c r="I3202" s="572"/>
      <c r="J3202" s="524"/>
      <c r="K3202" s="524"/>
      <c r="L3202" s="524"/>
      <c r="M3202" s="524"/>
      <c r="N3202" s="524"/>
      <c r="O3202" s="524"/>
      <c r="P3202" s="524"/>
      <c r="Q3202" s="524"/>
      <c r="R3202" s="524"/>
      <c r="S3202" s="524"/>
      <c r="T3202" s="572"/>
      <c r="U3202" s="524"/>
      <c r="V3202" s="679"/>
      <c r="W3202" s="572"/>
      <c r="X3202" s="524"/>
      <c r="Y3202" s="315"/>
      <c r="Z3202" s="449"/>
      <c r="AA3202" s="383"/>
    </row>
    <row r="3203" spans="1:27" s="447" customFormat="1" ht="26.25" x14ac:dyDescent="0.4">
      <c r="A3203" s="315"/>
      <c r="C3203" s="572"/>
      <c r="D3203" s="572"/>
      <c r="E3203" s="573"/>
      <c r="F3203" s="399"/>
      <c r="G3203" s="572"/>
      <c r="H3203" s="524"/>
      <c r="I3203" s="572"/>
      <c r="J3203" s="524"/>
      <c r="K3203" s="524"/>
      <c r="L3203" s="524"/>
      <c r="M3203" s="524"/>
      <c r="N3203" s="524"/>
      <c r="O3203" s="524"/>
      <c r="P3203" s="524"/>
      <c r="Q3203" s="524"/>
      <c r="R3203" s="524"/>
      <c r="S3203" s="524"/>
      <c r="T3203" s="572"/>
      <c r="U3203" s="524"/>
      <c r="V3203" s="679"/>
      <c r="W3203" s="572"/>
      <c r="X3203" s="524"/>
      <c r="Y3203" s="315"/>
      <c r="Z3203" s="449"/>
      <c r="AA3203" s="383"/>
    </row>
    <row r="3204" spans="1:27" s="447" customFormat="1" ht="26.25" x14ac:dyDescent="0.4">
      <c r="A3204" s="315"/>
      <c r="C3204" s="572"/>
      <c r="D3204" s="572"/>
      <c r="E3204" s="573"/>
      <c r="F3204" s="399"/>
      <c r="G3204" s="572"/>
      <c r="H3204" s="524"/>
      <c r="I3204" s="572"/>
      <c r="J3204" s="524"/>
      <c r="K3204" s="524"/>
      <c r="L3204" s="524"/>
      <c r="M3204" s="524"/>
      <c r="N3204" s="524"/>
      <c r="O3204" s="524"/>
      <c r="P3204" s="524"/>
      <c r="Q3204" s="524"/>
      <c r="R3204" s="524"/>
      <c r="S3204" s="524"/>
      <c r="T3204" s="572"/>
      <c r="U3204" s="524"/>
      <c r="V3204" s="679"/>
      <c r="W3204" s="572"/>
      <c r="X3204" s="524"/>
      <c r="Y3204" s="315"/>
      <c r="Z3204" s="449"/>
      <c r="AA3204" s="383"/>
    </row>
    <row r="3205" spans="1:27" s="447" customFormat="1" ht="26.25" x14ac:dyDescent="0.4">
      <c r="A3205" s="315"/>
      <c r="C3205" s="572"/>
      <c r="D3205" s="572"/>
      <c r="E3205" s="573"/>
      <c r="F3205" s="399"/>
      <c r="G3205" s="572"/>
      <c r="H3205" s="524"/>
      <c r="I3205" s="572"/>
      <c r="J3205" s="524"/>
      <c r="K3205" s="524"/>
      <c r="L3205" s="524"/>
      <c r="M3205" s="524"/>
      <c r="N3205" s="524"/>
      <c r="O3205" s="524"/>
      <c r="P3205" s="524"/>
      <c r="Q3205" s="524"/>
      <c r="R3205" s="524"/>
      <c r="S3205" s="524"/>
      <c r="T3205" s="572"/>
      <c r="U3205" s="524"/>
      <c r="V3205" s="679"/>
      <c r="W3205" s="572"/>
      <c r="X3205" s="524"/>
      <c r="Y3205" s="315"/>
      <c r="Z3205" s="449"/>
      <c r="AA3205" s="383"/>
    </row>
    <row r="3206" spans="1:27" s="447" customFormat="1" ht="26.25" x14ac:dyDescent="0.4">
      <c r="A3206" s="315"/>
      <c r="C3206" s="572"/>
      <c r="D3206" s="572"/>
      <c r="E3206" s="573"/>
      <c r="F3206" s="399"/>
      <c r="G3206" s="572"/>
      <c r="H3206" s="524"/>
      <c r="I3206" s="572"/>
      <c r="J3206" s="524"/>
      <c r="K3206" s="524"/>
      <c r="L3206" s="524"/>
      <c r="M3206" s="524"/>
      <c r="N3206" s="524"/>
      <c r="O3206" s="524"/>
      <c r="P3206" s="524"/>
      <c r="Q3206" s="524"/>
      <c r="R3206" s="524"/>
      <c r="S3206" s="524"/>
      <c r="T3206" s="572"/>
      <c r="U3206" s="524"/>
      <c r="V3206" s="679"/>
      <c r="W3206" s="572"/>
      <c r="X3206" s="524"/>
      <c r="Y3206" s="315"/>
      <c r="Z3206" s="449"/>
      <c r="AA3206" s="383"/>
    </row>
    <row r="3207" spans="1:27" s="447" customFormat="1" ht="26.25" x14ac:dyDescent="0.4">
      <c r="A3207" s="315"/>
      <c r="C3207" s="572"/>
      <c r="D3207" s="572"/>
      <c r="E3207" s="573"/>
      <c r="F3207" s="399"/>
      <c r="G3207" s="572"/>
      <c r="H3207" s="524"/>
      <c r="I3207" s="572"/>
      <c r="J3207" s="524"/>
      <c r="K3207" s="524"/>
      <c r="L3207" s="524"/>
      <c r="M3207" s="524"/>
      <c r="N3207" s="524"/>
      <c r="O3207" s="524"/>
      <c r="P3207" s="524"/>
      <c r="Q3207" s="524"/>
      <c r="R3207" s="524"/>
      <c r="S3207" s="524"/>
      <c r="T3207" s="572"/>
      <c r="U3207" s="524"/>
      <c r="V3207" s="679"/>
      <c r="W3207" s="572"/>
      <c r="X3207" s="524"/>
      <c r="Y3207" s="315"/>
      <c r="Z3207" s="449"/>
      <c r="AA3207" s="383"/>
    </row>
    <row r="3208" spans="1:27" s="447" customFormat="1" ht="26.25" x14ac:dyDescent="0.4">
      <c r="A3208" s="315"/>
      <c r="C3208" s="572"/>
      <c r="D3208" s="572"/>
      <c r="E3208" s="573"/>
      <c r="F3208" s="399"/>
      <c r="G3208" s="572"/>
      <c r="H3208" s="524"/>
      <c r="I3208" s="572"/>
      <c r="J3208" s="524"/>
      <c r="K3208" s="524"/>
      <c r="L3208" s="524"/>
      <c r="M3208" s="524"/>
      <c r="N3208" s="524"/>
      <c r="O3208" s="524"/>
      <c r="P3208" s="524"/>
      <c r="Q3208" s="524"/>
      <c r="R3208" s="524"/>
      <c r="S3208" s="524"/>
      <c r="T3208" s="572"/>
      <c r="U3208" s="524"/>
      <c r="V3208" s="679"/>
      <c r="W3208" s="572"/>
      <c r="X3208" s="524"/>
      <c r="Y3208" s="315"/>
      <c r="Z3208" s="449"/>
      <c r="AA3208" s="383"/>
    </row>
    <row r="3209" spans="1:27" s="447" customFormat="1" ht="26.25" x14ac:dyDescent="0.4">
      <c r="A3209" s="315"/>
      <c r="C3209" s="572"/>
      <c r="D3209" s="572"/>
      <c r="E3209" s="573"/>
      <c r="F3209" s="399"/>
      <c r="G3209" s="572"/>
      <c r="H3209" s="524"/>
      <c r="I3209" s="572"/>
      <c r="J3209" s="524"/>
      <c r="K3209" s="524"/>
      <c r="L3209" s="524"/>
      <c r="M3209" s="524"/>
      <c r="N3209" s="524"/>
      <c r="O3209" s="524"/>
      <c r="P3209" s="524"/>
      <c r="Q3209" s="524"/>
      <c r="R3209" s="524"/>
      <c r="S3209" s="524"/>
      <c r="T3209" s="572"/>
      <c r="U3209" s="524"/>
      <c r="V3209" s="679"/>
      <c r="W3209" s="572"/>
      <c r="X3209" s="524"/>
      <c r="Y3209" s="315"/>
      <c r="Z3209" s="449"/>
      <c r="AA3209" s="383"/>
    </row>
    <row r="3210" spans="1:27" s="447" customFormat="1" ht="26.25" x14ac:dyDescent="0.4">
      <c r="A3210" s="315"/>
      <c r="C3210" s="572"/>
      <c r="D3210" s="572"/>
      <c r="E3210" s="573"/>
      <c r="F3210" s="399"/>
      <c r="G3210" s="572"/>
      <c r="H3210" s="524"/>
      <c r="I3210" s="572"/>
      <c r="J3210" s="524"/>
      <c r="K3210" s="524"/>
      <c r="L3210" s="524"/>
      <c r="M3210" s="524"/>
      <c r="N3210" s="524"/>
      <c r="O3210" s="524"/>
      <c r="P3210" s="524"/>
      <c r="Q3210" s="524"/>
      <c r="R3210" s="524"/>
      <c r="S3210" s="524"/>
      <c r="T3210" s="572"/>
      <c r="U3210" s="524"/>
      <c r="V3210" s="679"/>
      <c r="W3210" s="572"/>
      <c r="X3210" s="524"/>
      <c r="Y3210" s="315"/>
      <c r="Z3210" s="449"/>
      <c r="AA3210" s="383"/>
    </row>
    <row r="3211" spans="1:27" s="447" customFormat="1" ht="26.25" x14ac:dyDescent="0.4">
      <c r="A3211" s="315"/>
      <c r="C3211" s="572"/>
      <c r="D3211" s="572"/>
      <c r="E3211" s="573"/>
      <c r="F3211" s="399"/>
      <c r="G3211" s="572"/>
      <c r="H3211" s="524"/>
      <c r="I3211" s="572"/>
      <c r="J3211" s="524"/>
      <c r="K3211" s="524"/>
      <c r="L3211" s="524"/>
      <c r="M3211" s="524"/>
      <c r="N3211" s="524"/>
      <c r="O3211" s="524"/>
      <c r="P3211" s="524"/>
      <c r="Q3211" s="524"/>
      <c r="R3211" s="524"/>
      <c r="S3211" s="524"/>
      <c r="T3211" s="572"/>
      <c r="U3211" s="524"/>
      <c r="V3211" s="679"/>
      <c r="W3211" s="572"/>
      <c r="X3211" s="524"/>
      <c r="Y3211" s="315"/>
      <c r="Z3211" s="449"/>
      <c r="AA3211" s="383"/>
    </row>
    <row r="3212" spans="1:27" s="447" customFormat="1" ht="26.25" x14ac:dyDescent="0.4">
      <c r="A3212" s="315"/>
      <c r="C3212" s="572"/>
      <c r="D3212" s="572"/>
      <c r="E3212" s="573"/>
      <c r="F3212" s="399"/>
      <c r="G3212" s="572"/>
      <c r="H3212" s="524"/>
      <c r="I3212" s="572"/>
      <c r="J3212" s="524"/>
      <c r="K3212" s="524"/>
      <c r="L3212" s="524"/>
      <c r="M3212" s="524"/>
      <c r="N3212" s="524"/>
      <c r="O3212" s="524"/>
      <c r="P3212" s="524"/>
      <c r="Q3212" s="524"/>
      <c r="R3212" s="524"/>
      <c r="S3212" s="524"/>
      <c r="T3212" s="572"/>
      <c r="U3212" s="524"/>
      <c r="V3212" s="679"/>
      <c r="W3212" s="572"/>
      <c r="X3212" s="524"/>
      <c r="Y3212" s="315"/>
      <c r="Z3212" s="449"/>
      <c r="AA3212" s="383"/>
    </row>
    <row r="3213" spans="1:27" s="447" customFormat="1" ht="26.25" x14ac:dyDescent="0.4">
      <c r="A3213" s="315"/>
      <c r="C3213" s="572"/>
      <c r="D3213" s="572"/>
      <c r="E3213" s="573"/>
      <c r="F3213" s="399"/>
      <c r="G3213" s="572"/>
      <c r="H3213" s="524"/>
      <c r="I3213" s="572"/>
      <c r="J3213" s="524"/>
      <c r="K3213" s="524"/>
      <c r="L3213" s="524"/>
      <c r="M3213" s="524"/>
      <c r="N3213" s="524"/>
      <c r="O3213" s="524"/>
      <c r="P3213" s="524"/>
      <c r="Q3213" s="524"/>
      <c r="R3213" s="524"/>
      <c r="S3213" s="524"/>
      <c r="T3213" s="572"/>
      <c r="U3213" s="524"/>
      <c r="V3213" s="679"/>
      <c r="W3213" s="572"/>
      <c r="X3213" s="524"/>
      <c r="Y3213" s="315"/>
      <c r="Z3213" s="449"/>
      <c r="AA3213" s="383"/>
    </row>
    <row r="3214" spans="1:27" s="447" customFormat="1" ht="26.25" x14ac:dyDescent="0.4">
      <c r="A3214" s="315"/>
      <c r="C3214" s="572"/>
      <c r="D3214" s="572"/>
      <c r="E3214" s="573"/>
      <c r="F3214" s="399"/>
      <c r="G3214" s="572"/>
      <c r="H3214" s="524"/>
      <c r="I3214" s="572"/>
      <c r="J3214" s="524"/>
      <c r="K3214" s="524"/>
      <c r="L3214" s="524"/>
      <c r="M3214" s="524"/>
      <c r="N3214" s="524"/>
      <c r="O3214" s="524"/>
      <c r="P3214" s="524"/>
      <c r="Q3214" s="524"/>
      <c r="R3214" s="524"/>
      <c r="S3214" s="524"/>
      <c r="T3214" s="572"/>
      <c r="U3214" s="524"/>
      <c r="V3214" s="679"/>
      <c r="W3214" s="572"/>
      <c r="X3214" s="524"/>
      <c r="Y3214" s="315"/>
      <c r="Z3214" s="449"/>
      <c r="AA3214" s="383"/>
    </row>
    <row r="3215" spans="1:27" s="447" customFormat="1" ht="26.25" x14ac:dyDescent="0.4">
      <c r="A3215" s="315"/>
      <c r="C3215" s="572"/>
      <c r="D3215" s="572"/>
      <c r="E3215" s="573"/>
      <c r="F3215" s="399"/>
      <c r="G3215" s="572"/>
      <c r="H3215" s="524"/>
      <c r="I3215" s="572"/>
      <c r="J3215" s="524"/>
      <c r="K3215" s="524"/>
      <c r="L3215" s="524"/>
      <c r="M3215" s="524"/>
      <c r="N3215" s="524"/>
      <c r="O3215" s="524"/>
      <c r="P3215" s="524"/>
      <c r="Q3215" s="524"/>
      <c r="R3215" s="524"/>
      <c r="S3215" s="524"/>
      <c r="T3215" s="572"/>
      <c r="U3215" s="524"/>
      <c r="V3215" s="679"/>
      <c r="W3215" s="572"/>
      <c r="X3215" s="524"/>
      <c r="Y3215" s="315"/>
      <c r="Z3215" s="449"/>
      <c r="AA3215" s="383"/>
    </row>
    <row r="3216" spans="1:27" s="447" customFormat="1" ht="26.25" x14ac:dyDescent="0.4">
      <c r="A3216" s="315"/>
      <c r="C3216" s="572"/>
      <c r="D3216" s="572"/>
      <c r="E3216" s="573"/>
      <c r="F3216" s="399"/>
      <c r="G3216" s="572"/>
      <c r="H3216" s="524"/>
      <c r="I3216" s="572"/>
      <c r="J3216" s="524"/>
      <c r="K3216" s="524"/>
      <c r="L3216" s="524"/>
      <c r="M3216" s="524"/>
      <c r="N3216" s="524"/>
      <c r="O3216" s="524"/>
      <c r="P3216" s="524"/>
      <c r="Q3216" s="524"/>
      <c r="R3216" s="524"/>
      <c r="S3216" s="524"/>
      <c r="T3216" s="572"/>
      <c r="U3216" s="524"/>
      <c r="V3216" s="679"/>
      <c r="W3216" s="572"/>
      <c r="X3216" s="524"/>
      <c r="Y3216" s="315"/>
      <c r="Z3216" s="449"/>
      <c r="AA3216" s="383"/>
    </row>
    <row r="3217" spans="1:27" s="447" customFormat="1" ht="26.25" x14ac:dyDescent="0.4">
      <c r="A3217" s="315"/>
      <c r="C3217" s="572"/>
      <c r="D3217" s="572"/>
      <c r="E3217" s="573"/>
      <c r="F3217" s="399"/>
      <c r="G3217" s="572"/>
      <c r="H3217" s="524"/>
      <c r="I3217" s="572"/>
      <c r="J3217" s="524"/>
      <c r="K3217" s="524"/>
      <c r="L3217" s="524"/>
      <c r="M3217" s="524"/>
      <c r="N3217" s="524"/>
      <c r="O3217" s="524"/>
      <c r="P3217" s="524"/>
      <c r="Q3217" s="524"/>
      <c r="R3217" s="524"/>
      <c r="S3217" s="524"/>
      <c r="T3217" s="572"/>
      <c r="U3217" s="524"/>
      <c r="V3217" s="679"/>
      <c r="W3217" s="572"/>
      <c r="X3217" s="524"/>
      <c r="Y3217" s="315"/>
      <c r="Z3217" s="449"/>
      <c r="AA3217" s="383"/>
    </row>
    <row r="3218" spans="1:27" s="447" customFormat="1" ht="26.25" x14ac:dyDescent="0.4">
      <c r="A3218" s="315"/>
      <c r="C3218" s="572"/>
      <c r="D3218" s="572"/>
      <c r="E3218" s="573"/>
      <c r="F3218" s="399"/>
      <c r="G3218" s="572"/>
      <c r="H3218" s="524"/>
      <c r="I3218" s="572"/>
      <c r="J3218" s="524"/>
      <c r="K3218" s="524"/>
      <c r="L3218" s="524"/>
      <c r="M3218" s="524"/>
      <c r="N3218" s="524"/>
      <c r="O3218" s="524"/>
      <c r="P3218" s="524"/>
      <c r="Q3218" s="524"/>
      <c r="R3218" s="524"/>
      <c r="S3218" s="524"/>
      <c r="T3218" s="572"/>
      <c r="U3218" s="524"/>
      <c r="V3218" s="679"/>
      <c r="W3218" s="572"/>
      <c r="X3218" s="524"/>
      <c r="Y3218" s="315"/>
      <c r="Z3218" s="449"/>
      <c r="AA3218" s="383"/>
    </row>
    <row r="3219" spans="1:27" s="447" customFormat="1" ht="26.25" x14ac:dyDescent="0.4">
      <c r="A3219" s="315"/>
      <c r="C3219" s="572"/>
      <c r="D3219" s="572"/>
      <c r="E3219" s="573"/>
      <c r="F3219" s="399"/>
      <c r="G3219" s="572"/>
      <c r="H3219" s="524"/>
      <c r="I3219" s="572"/>
      <c r="J3219" s="524"/>
      <c r="K3219" s="524"/>
      <c r="L3219" s="524"/>
      <c r="M3219" s="524"/>
      <c r="N3219" s="524"/>
      <c r="O3219" s="524"/>
      <c r="P3219" s="524"/>
      <c r="Q3219" s="524"/>
      <c r="R3219" s="524"/>
      <c r="S3219" s="524"/>
      <c r="T3219" s="572"/>
      <c r="U3219" s="524"/>
      <c r="V3219" s="679"/>
      <c r="W3219" s="572"/>
      <c r="X3219" s="524"/>
      <c r="Y3219" s="315"/>
      <c r="Z3219" s="449"/>
      <c r="AA3219" s="383"/>
    </row>
    <row r="3220" spans="1:27" s="447" customFormat="1" ht="26.25" x14ac:dyDescent="0.4">
      <c r="A3220" s="315"/>
      <c r="C3220" s="572"/>
      <c r="D3220" s="572"/>
      <c r="E3220" s="573"/>
      <c r="F3220" s="399"/>
      <c r="G3220" s="572"/>
      <c r="H3220" s="524"/>
      <c r="I3220" s="572"/>
      <c r="J3220" s="524"/>
      <c r="K3220" s="524"/>
      <c r="L3220" s="524"/>
      <c r="M3220" s="524"/>
      <c r="N3220" s="524"/>
      <c r="O3220" s="524"/>
      <c r="P3220" s="524"/>
      <c r="Q3220" s="524"/>
      <c r="R3220" s="524"/>
      <c r="S3220" s="524"/>
      <c r="T3220" s="572"/>
      <c r="U3220" s="524"/>
      <c r="V3220" s="679"/>
      <c r="W3220" s="572"/>
      <c r="X3220" s="524"/>
      <c r="Y3220" s="315"/>
      <c r="Z3220" s="449"/>
      <c r="AA3220" s="383"/>
    </row>
    <row r="3221" spans="1:27" s="447" customFormat="1" ht="26.25" x14ac:dyDescent="0.4">
      <c r="A3221" s="315"/>
      <c r="C3221" s="572"/>
      <c r="D3221" s="572"/>
      <c r="E3221" s="573"/>
      <c r="F3221" s="399"/>
      <c r="G3221" s="572"/>
      <c r="H3221" s="524"/>
      <c r="I3221" s="572"/>
      <c r="J3221" s="524"/>
      <c r="K3221" s="524"/>
      <c r="L3221" s="524"/>
      <c r="M3221" s="524"/>
      <c r="N3221" s="524"/>
      <c r="O3221" s="524"/>
      <c r="P3221" s="524"/>
      <c r="Q3221" s="524"/>
      <c r="R3221" s="524"/>
      <c r="S3221" s="524"/>
      <c r="T3221" s="572"/>
      <c r="U3221" s="524"/>
      <c r="V3221" s="679"/>
      <c r="W3221" s="572"/>
      <c r="X3221" s="524"/>
      <c r="Y3221" s="315"/>
      <c r="Z3221" s="449"/>
      <c r="AA3221" s="383"/>
    </row>
    <row r="3222" spans="1:27" s="447" customFormat="1" ht="26.25" x14ac:dyDescent="0.4">
      <c r="A3222" s="315"/>
      <c r="C3222" s="572"/>
      <c r="D3222" s="572"/>
      <c r="E3222" s="573"/>
      <c r="F3222" s="399"/>
      <c r="G3222" s="572"/>
      <c r="H3222" s="524"/>
      <c r="I3222" s="572"/>
      <c r="J3222" s="524"/>
      <c r="K3222" s="524"/>
      <c r="L3222" s="524"/>
      <c r="M3222" s="524"/>
      <c r="N3222" s="524"/>
      <c r="O3222" s="524"/>
      <c r="P3222" s="524"/>
      <c r="Q3222" s="524"/>
      <c r="R3222" s="524"/>
      <c r="S3222" s="524"/>
      <c r="T3222" s="572"/>
      <c r="U3222" s="524"/>
      <c r="V3222" s="679"/>
      <c r="W3222" s="572"/>
      <c r="X3222" s="524"/>
      <c r="Y3222" s="315"/>
      <c r="Z3222" s="449"/>
      <c r="AA3222" s="383"/>
    </row>
    <row r="3223" spans="1:27" s="447" customFormat="1" ht="26.25" x14ac:dyDescent="0.4">
      <c r="A3223" s="315"/>
      <c r="C3223" s="572"/>
      <c r="D3223" s="572"/>
      <c r="E3223" s="573"/>
      <c r="F3223" s="399"/>
      <c r="G3223" s="572"/>
      <c r="H3223" s="524"/>
      <c r="I3223" s="572"/>
      <c r="J3223" s="524"/>
      <c r="K3223" s="524"/>
      <c r="L3223" s="524"/>
      <c r="M3223" s="524"/>
      <c r="N3223" s="524"/>
      <c r="O3223" s="524"/>
      <c r="P3223" s="524"/>
      <c r="Q3223" s="524"/>
      <c r="R3223" s="524"/>
      <c r="S3223" s="524"/>
      <c r="T3223" s="572"/>
      <c r="U3223" s="524"/>
      <c r="V3223" s="679"/>
      <c r="W3223" s="572"/>
      <c r="X3223" s="524"/>
      <c r="Y3223" s="315"/>
      <c r="Z3223" s="449"/>
      <c r="AA3223" s="383"/>
    </row>
    <row r="3224" spans="1:27" s="447" customFormat="1" ht="26.25" x14ac:dyDescent="0.4">
      <c r="A3224" s="315"/>
      <c r="C3224" s="572"/>
      <c r="D3224" s="572"/>
      <c r="E3224" s="573"/>
      <c r="F3224" s="399"/>
      <c r="G3224" s="572"/>
      <c r="H3224" s="524"/>
      <c r="I3224" s="572"/>
      <c r="J3224" s="524"/>
      <c r="K3224" s="524"/>
      <c r="L3224" s="524"/>
      <c r="M3224" s="524"/>
      <c r="N3224" s="524"/>
      <c r="O3224" s="524"/>
      <c r="P3224" s="524"/>
      <c r="Q3224" s="524"/>
      <c r="R3224" s="524"/>
      <c r="S3224" s="524"/>
      <c r="T3224" s="572"/>
      <c r="U3224" s="524"/>
      <c r="V3224" s="679"/>
      <c r="W3224" s="572"/>
      <c r="X3224" s="524"/>
      <c r="Y3224" s="315"/>
      <c r="Z3224" s="449"/>
      <c r="AA3224" s="383"/>
    </row>
    <row r="3225" spans="1:27" s="447" customFormat="1" ht="26.25" x14ac:dyDescent="0.4">
      <c r="A3225" s="315"/>
      <c r="C3225" s="572"/>
      <c r="D3225" s="572"/>
      <c r="E3225" s="573"/>
      <c r="F3225" s="399"/>
      <c r="G3225" s="572"/>
      <c r="H3225" s="524"/>
      <c r="I3225" s="572"/>
      <c r="J3225" s="524"/>
      <c r="K3225" s="524"/>
      <c r="L3225" s="524"/>
      <c r="M3225" s="524"/>
      <c r="N3225" s="524"/>
      <c r="O3225" s="524"/>
      <c r="P3225" s="524"/>
      <c r="Q3225" s="524"/>
      <c r="R3225" s="524"/>
      <c r="S3225" s="524"/>
      <c r="T3225" s="572"/>
      <c r="U3225" s="524"/>
      <c r="V3225" s="679"/>
      <c r="W3225" s="572"/>
      <c r="X3225" s="524"/>
      <c r="Y3225" s="315"/>
      <c r="Z3225" s="449"/>
      <c r="AA3225" s="383"/>
    </row>
    <row r="3226" spans="1:27" s="447" customFormat="1" ht="26.25" x14ac:dyDescent="0.4">
      <c r="A3226" s="315"/>
      <c r="C3226" s="572"/>
      <c r="D3226" s="572"/>
      <c r="E3226" s="573"/>
      <c r="F3226" s="399"/>
      <c r="G3226" s="572"/>
      <c r="H3226" s="524"/>
      <c r="I3226" s="572"/>
      <c r="J3226" s="524"/>
      <c r="K3226" s="524"/>
      <c r="L3226" s="524"/>
      <c r="M3226" s="524"/>
      <c r="N3226" s="524"/>
      <c r="O3226" s="524"/>
      <c r="P3226" s="524"/>
      <c r="Q3226" s="524"/>
      <c r="R3226" s="524"/>
      <c r="S3226" s="524"/>
      <c r="T3226" s="572"/>
      <c r="U3226" s="524"/>
      <c r="V3226" s="679"/>
      <c r="W3226" s="572"/>
      <c r="X3226" s="524"/>
      <c r="Y3226" s="315"/>
      <c r="Z3226" s="449"/>
      <c r="AA3226" s="383"/>
    </row>
    <row r="3227" spans="1:27" s="447" customFormat="1" ht="26.25" x14ac:dyDescent="0.4">
      <c r="A3227" s="315"/>
      <c r="C3227" s="572"/>
      <c r="D3227" s="572"/>
      <c r="E3227" s="573"/>
      <c r="F3227" s="399"/>
      <c r="G3227" s="572"/>
      <c r="H3227" s="524"/>
      <c r="I3227" s="572"/>
      <c r="J3227" s="524"/>
      <c r="K3227" s="524"/>
      <c r="L3227" s="524"/>
      <c r="M3227" s="524"/>
      <c r="N3227" s="524"/>
      <c r="O3227" s="524"/>
      <c r="P3227" s="524"/>
      <c r="Q3227" s="524"/>
      <c r="R3227" s="524"/>
      <c r="S3227" s="524"/>
      <c r="T3227" s="572"/>
      <c r="U3227" s="524"/>
      <c r="V3227" s="679"/>
      <c r="W3227" s="572"/>
      <c r="X3227" s="524"/>
      <c r="Y3227" s="315"/>
      <c r="Z3227" s="449"/>
      <c r="AA3227" s="383"/>
    </row>
    <row r="3228" spans="1:27" s="447" customFormat="1" ht="26.25" x14ac:dyDescent="0.4">
      <c r="A3228" s="315"/>
      <c r="C3228" s="572"/>
      <c r="D3228" s="572"/>
      <c r="E3228" s="573"/>
      <c r="F3228" s="399"/>
      <c r="G3228" s="572"/>
      <c r="H3228" s="524"/>
      <c r="I3228" s="572"/>
      <c r="J3228" s="524"/>
      <c r="K3228" s="524"/>
      <c r="L3228" s="524"/>
      <c r="M3228" s="524"/>
      <c r="N3228" s="524"/>
      <c r="O3228" s="524"/>
      <c r="P3228" s="524"/>
      <c r="Q3228" s="524"/>
      <c r="R3228" s="524"/>
      <c r="S3228" s="524"/>
      <c r="T3228" s="572"/>
      <c r="U3228" s="524"/>
      <c r="V3228" s="679"/>
      <c r="W3228" s="572"/>
      <c r="X3228" s="524"/>
      <c r="Y3228" s="315"/>
      <c r="Z3228" s="449"/>
      <c r="AA3228" s="383"/>
    </row>
    <row r="3229" spans="1:27" s="447" customFormat="1" ht="26.25" x14ac:dyDescent="0.4">
      <c r="A3229" s="315"/>
      <c r="C3229" s="572"/>
      <c r="D3229" s="572"/>
      <c r="E3229" s="573"/>
      <c r="F3229" s="399"/>
      <c r="G3229" s="572"/>
      <c r="H3229" s="524"/>
      <c r="I3229" s="572"/>
      <c r="J3229" s="524"/>
      <c r="K3229" s="524"/>
      <c r="L3229" s="524"/>
      <c r="M3229" s="524"/>
      <c r="N3229" s="524"/>
      <c r="O3229" s="524"/>
      <c r="P3229" s="524"/>
      <c r="Q3229" s="524"/>
      <c r="R3229" s="524"/>
      <c r="S3229" s="524"/>
      <c r="T3229" s="572"/>
      <c r="U3229" s="524"/>
      <c r="V3229" s="679"/>
      <c r="W3229" s="572"/>
      <c r="X3229" s="524"/>
      <c r="Y3229" s="315"/>
      <c r="Z3229" s="449"/>
      <c r="AA3229" s="383"/>
    </row>
    <row r="3230" spans="1:27" s="447" customFormat="1" ht="26.25" x14ac:dyDescent="0.4">
      <c r="A3230" s="315"/>
      <c r="C3230" s="572"/>
      <c r="D3230" s="572"/>
      <c r="E3230" s="573"/>
      <c r="F3230" s="399"/>
      <c r="G3230" s="572"/>
      <c r="H3230" s="524"/>
      <c r="I3230" s="572"/>
      <c r="J3230" s="524"/>
      <c r="K3230" s="524"/>
      <c r="L3230" s="524"/>
      <c r="M3230" s="524"/>
      <c r="N3230" s="524"/>
      <c r="O3230" s="524"/>
      <c r="P3230" s="524"/>
      <c r="Q3230" s="524"/>
      <c r="R3230" s="524"/>
      <c r="S3230" s="524"/>
      <c r="T3230" s="572"/>
      <c r="U3230" s="524"/>
      <c r="V3230" s="679"/>
      <c r="W3230" s="572"/>
      <c r="X3230" s="524"/>
      <c r="Y3230" s="315"/>
      <c r="Z3230" s="449"/>
      <c r="AA3230" s="383"/>
    </row>
    <row r="3231" spans="1:27" s="447" customFormat="1" ht="26.25" x14ac:dyDescent="0.4">
      <c r="A3231" s="315"/>
      <c r="C3231" s="572"/>
      <c r="D3231" s="572"/>
      <c r="E3231" s="573"/>
      <c r="F3231" s="399"/>
      <c r="G3231" s="572"/>
      <c r="H3231" s="524"/>
      <c r="I3231" s="572"/>
      <c r="J3231" s="524"/>
      <c r="K3231" s="524"/>
      <c r="L3231" s="524"/>
      <c r="M3231" s="524"/>
      <c r="N3231" s="524"/>
      <c r="O3231" s="524"/>
      <c r="P3231" s="524"/>
      <c r="Q3231" s="524"/>
      <c r="R3231" s="524"/>
      <c r="S3231" s="524"/>
      <c r="T3231" s="572"/>
      <c r="U3231" s="524"/>
      <c r="V3231" s="679"/>
      <c r="W3231" s="572"/>
      <c r="X3231" s="524"/>
      <c r="Y3231" s="315"/>
      <c r="Z3231" s="449"/>
      <c r="AA3231" s="383"/>
    </row>
    <row r="3232" spans="1:27" s="447" customFormat="1" ht="26.25" x14ac:dyDescent="0.4">
      <c r="A3232" s="315"/>
      <c r="C3232" s="572"/>
      <c r="D3232" s="572"/>
      <c r="E3232" s="573"/>
      <c r="F3232" s="399"/>
      <c r="G3232" s="572"/>
      <c r="H3232" s="524"/>
      <c r="I3232" s="572"/>
      <c r="J3232" s="524"/>
      <c r="K3232" s="524"/>
      <c r="L3232" s="524"/>
      <c r="M3232" s="524"/>
      <c r="N3232" s="524"/>
      <c r="O3232" s="524"/>
      <c r="P3232" s="524"/>
      <c r="Q3232" s="524"/>
      <c r="R3232" s="524"/>
      <c r="S3232" s="524"/>
      <c r="T3232" s="572"/>
      <c r="U3232" s="524"/>
      <c r="V3232" s="679"/>
      <c r="W3232" s="572"/>
      <c r="X3232" s="524"/>
      <c r="Y3232" s="315"/>
      <c r="Z3232" s="449"/>
      <c r="AA3232" s="383"/>
    </row>
    <row r="3233" spans="1:27" s="447" customFormat="1" ht="26.25" x14ac:dyDescent="0.4">
      <c r="A3233" s="315"/>
      <c r="C3233" s="572"/>
      <c r="D3233" s="572"/>
      <c r="E3233" s="573"/>
      <c r="F3233" s="399"/>
      <c r="G3233" s="572"/>
      <c r="H3233" s="524"/>
      <c r="I3233" s="572"/>
      <c r="J3233" s="524"/>
      <c r="K3233" s="524"/>
      <c r="L3233" s="524"/>
      <c r="M3233" s="524"/>
      <c r="N3233" s="524"/>
      <c r="O3233" s="524"/>
      <c r="P3233" s="524"/>
      <c r="Q3233" s="524"/>
      <c r="R3233" s="524"/>
      <c r="S3233" s="524"/>
      <c r="T3233" s="572"/>
      <c r="U3233" s="524"/>
      <c r="V3233" s="679"/>
      <c r="W3233" s="572"/>
      <c r="X3233" s="524"/>
      <c r="Y3233" s="315"/>
      <c r="Z3233" s="449"/>
      <c r="AA3233" s="383"/>
    </row>
    <row r="3234" spans="1:27" s="447" customFormat="1" ht="26.25" x14ac:dyDescent="0.4">
      <c r="A3234" s="315"/>
      <c r="C3234" s="572"/>
      <c r="D3234" s="572"/>
      <c r="E3234" s="573"/>
      <c r="F3234" s="399"/>
      <c r="G3234" s="572"/>
      <c r="H3234" s="524"/>
      <c r="I3234" s="572"/>
      <c r="J3234" s="524"/>
      <c r="K3234" s="524"/>
      <c r="L3234" s="524"/>
      <c r="M3234" s="524"/>
      <c r="N3234" s="524"/>
      <c r="O3234" s="524"/>
      <c r="P3234" s="524"/>
      <c r="Q3234" s="524"/>
      <c r="R3234" s="524"/>
      <c r="S3234" s="524"/>
      <c r="T3234" s="572"/>
      <c r="U3234" s="524"/>
      <c r="V3234" s="679"/>
      <c r="W3234" s="572"/>
      <c r="X3234" s="524"/>
      <c r="Y3234" s="315"/>
      <c r="Z3234" s="449"/>
      <c r="AA3234" s="383"/>
    </row>
    <row r="3235" spans="1:27" ht="26.25" x14ac:dyDescent="0.4">
      <c r="A3235" s="315"/>
    </row>
    <row r="3236" spans="1:27" ht="26.25" x14ac:dyDescent="0.4">
      <c r="A3236" s="311"/>
    </row>
    <row r="3237" spans="1:27" ht="26.25" x14ac:dyDescent="0.4">
      <c r="A3237" s="311"/>
    </row>
    <row r="3238" spans="1:27" ht="26.25" x14ac:dyDescent="0.4">
      <c r="A3238" s="311"/>
    </row>
    <row r="3239" spans="1:27" ht="26.25" x14ac:dyDescent="0.4">
      <c r="A3239" s="311"/>
    </row>
    <row r="3240" spans="1:27" ht="26.25" x14ac:dyDescent="0.4">
      <c r="A3240" s="311"/>
    </row>
    <row r="3241" spans="1:27" ht="26.25" x14ac:dyDescent="0.4">
      <c r="A3241" s="311"/>
    </row>
    <row r="3242" spans="1:27" ht="26.25" x14ac:dyDescent="0.4">
      <c r="A3242" s="311"/>
    </row>
    <row r="3243" spans="1:27" ht="26.25" x14ac:dyDescent="0.4">
      <c r="A3243" s="311"/>
    </row>
    <row r="3244" spans="1:27" ht="26.25" x14ac:dyDescent="0.4">
      <c r="A3244" s="311"/>
    </row>
    <row r="3245" spans="1:27" ht="26.25" x14ac:dyDescent="0.4">
      <c r="A3245" s="311"/>
    </row>
    <row r="3246" spans="1:27" ht="26.25" x14ac:dyDescent="0.4">
      <c r="A3246" s="311"/>
    </row>
    <row r="3247" spans="1:27" ht="26.25" x14ac:dyDescent="0.4">
      <c r="A3247" s="311"/>
    </row>
    <row r="3248" spans="1:27" ht="26.25" x14ac:dyDescent="0.4">
      <c r="A3248" s="311"/>
      <c r="C3248" s="515"/>
      <c r="D3248" s="515"/>
      <c r="F3248" s="515"/>
      <c r="G3248" s="515"/>
      <c r="I3248" s="515"/>
      <c r="T3248" s="515"/>
      <c r="W3248" s="515"/>
      <c r="Z3248" s="437"/>
      <c r="AA3248" s="310"/>
    </row>
    <row r="3249" spans="1:27" ht="26.25" x14ac:dyDescent="0.4">
      <c r="A3249" s="311"/>
      <c r="C3249" s="515"/>
      <c r="D3249" s="515"/>
      <c r="F3249" s="515"/>
      <c r="G3249" s="515"/>
      <c r="I3249" s="515"/>
      <c r="T3249" s="515"/>
      <c r="W3249" s="515"/>
      <c r="Z3249" s="437"/>
      <c r="AA3249" s="310"/>
    </row>
    <row r="3250" spans="1:27" ht="26.25" x14ac:dyDescent="0.4">
      <c r="A3250" s="311"/>
      <c r="C3250" s="515"/>
      <c r="D3250" s="515"/>
      <c r="F3250" s="515"/>
      <c r="G3250" s="515"/>
      <c r="I3250" s="515"/>
      <c r="T3250" s="515"/>
      <c r="W3250" s="515"/>
      <c r="Z3250" s="437"/>
      <c r="AA3250" s="310"/>
    </row>
    <row r="3251" spans="1:27" ht="26.25" x14ac:dyDescent="0.4">
      <c r="A3251" s="311"/>
      <c r="C3251" s="515"/>
      <c r="D3251" s="515"/>
      <c r="F3251" s="515"/>
      <c r="G3251" s="515"/>
      <c r="I3251" s="515"/>
      <c r="T3251" s="515"/>
      <c r="W3251" s="515"/>
      <c r="Z3251" s="437"/>
      <c r="AA3251" s="310"/>
    </row>
    <row r="3252" spans="1:27" ht="26.25" x14ac:dyDescent="0.4">
      <c r="A3252" s="311"/>
      <c r="C3252" s="515"/>
      <c r="D3252" s="515"/>
      <c r="F3252" s="515"/>
      <c r="G3252" s="515"/>
      <c r="I3252" s="515"/>
      <c r="T3252" s="515"/>
      <c r="W3252" s="515"/>
      <c r="Z3252" s="437"/>
      <c r="AA3252" s="310"/>
    </row>
    <row r="3253" spans="1:27" ht="26.25" x14ac:dyDescent="0.4">
      <c r="A3253" s="311"/>
      <c r="C3253" s="515"/>
      <c r="D3253" s="515"/>
      <c r="F3253" s="515"/>
      <c r="G3253" s="515"/>
      <c r="I3253" s="515"/>
      <c r="T3253" s="515"/>
      <c r="W3253" s="515"/>
      <c r="Z3253" s="437"/>
      <c r="AA3253" s="310"/>
    </row>
    <row r="3254" spans="1:27" ht="26.25" x14ac:dyDescent="0.4">
      <c r="A3254" s="311"/>
      <c r="C3254" s="515"/>
      <c r="D3254" s="515"/>
      <c r="F3254" s="515"/>
      <c r="G3254" s="515"/>
      <c r="I3254" s="515"/>
      <c r="T3254" s="515"/>
      <c r="W3254" s="515"/>
      <c r="Z3254" s="437"/>
      <c r="AA3254" s="310"/>
    </row>
    <row r="3255" spans="1:27" ht="26.25" x14ac:dyDescent="0.4">
      <c r="A3255" s="311"/>
      <c r="C3255" s="515"/>
      <c r="D3255" s="515"/>
      <c r="F3255" s="515"/>
      <c r="G3255" s="515"/>
      <c r="I3255" s="515"/>
      <c r="T3255" s="515"/>
      <c r="W3255" s="515"/>
      <c r="Z3255" s="437"/>
      <c r="AA3255" s="310"/>
    </row>
    <row r="3256" spans="1:27" ht="26.25" x14ac:dyDescent="0.4">
      <c r="A3256" s="311"/>
      <c r="C3256" s="515"/>
      <c r="D3256" s="515"/>
      <c r="F3256" s="515"/>
      <c r="G3256" s="515"/>
      <c r="I3256" s="515"/>
      <c r="T3256" s="515"/>
      <c r="W3256" s="515"/>
      <c r="Z3256" s="437"/>
      <c r="AA3256" s="310"/>
    </row>
    <row r="3257" spans="1:27" ht="26.25" x14ac:dyDescent="0.4">
      <c r="A3257" s="311"/>
      <c r="C3257" s="515"/>
      <c r="D3257" s="515"/>
      <c r="F3257" s="515"/>
      <c r="G3257" s="515"/>
      <c r="I3257" s="515"/>
      <c r="T3257" s="515"/>
      <c r="W3257" s="515"/>
      <c r="Z3257" s="437"/>
      <c r="AA3257" s="310"/>
    </row>
    <row r="3258" spans="1:27" ht="26.25" x14ac:dyDescent="0.4">
      <c r="A3258" s="311"/>
      <c r="C3258" s="515"/>
      <c r="D3258" s="515"/>
      <c r="F3258" s="515"/>
      <c r="G3258" s="515"/>
      <c r="I3258" s="515"/>
      <c r="T3258" s="515"/>
      <c r="W3258" s="515"/>
      <c r="Z3258" s="437"/>
      <c r="AA3258" s="310"/>
    </row>
    <row r="3259" spans="1:27" ht="26.25" x14ac:dyDescent="0.4">
      <c r="A3259" s="311"/>
      <c r="C3259" s="515"/>
      <c r="D3259" s="515"/>
      <c r="F3259" s="515"/>
      <c r="G3259" s="515"/>
      <c r="I3259" s="515"/>
      <c r="T3259" s="515"/>
      <c r="W3259" s="515"/>
      <c r="Z3259" s="437"/>
      <c r="AA3259" s="310"/>
    </row>
    <row r="3260" spans="1:27" ht="26.25" x14ac:dyDescent="0.4">
      <c r="A3260" s="311"/>
      <c r="C3260" s="515"/>
      <c r="D3260" s="515"/>
      <c r="F3260" s="515"/>
      <c r="G3260" s="515"/>
      <c r="I3260" s="515"/>
      <c r="T3260" s="515"/>
      <c r="W3260" s="515"/>
      <c r="Z3260" s="437"/>
      <c r="AA3260" s="310"/>
    </row>
    <row r="3261" spans="1:27" ht="26.25" x14ac:dyDescent="0.4">
      <c r="A3261" s="311"/>
      <c r="C3261" s="515"/>
      <c r="D3261" s="515"/>
      <c r="F3261" s="515"/>
      <c r="G3261" s="515"/>
      <c r="I3261" s="515"/>
      <c r="T3261" s="515"/>
      <c r="W3261" s="515"/>
      <c r="Z3261" s="437"/>
      <c r="AA3261" s="310"/>
    </row>
    <row r="3262" spans="1:27" ht="26.25" x14ac:dyDescent="0.4">
      <c r="A3262" s="311"/>
      <c r="C3262" s="515"/>
      <c r="D3262" s="515"/>
      <c r="F3262" s="515"/>
      <c r="G3262" s="515"/>
      <c r="I3262" s="515"/>
      <c r="T3262" s="515"/>
      <c r="W3262" s="515"/>
      <c r="Z3262" s="437"/>
      <c r="AA3262" s="310"/>
    </row>
    <row r="3263" spans="1:27" ht="26.25" x14ac:dyDescent="0.4">
      <c r="A3263" s="311"/>
      <c r="C3263" s="515"/>
      <c r="D3263" s="515"/>
      <c r="F3263" s="515"/>
      <c r="G3263" s="515"/>
      <c r="I3263" s="515"/>
      <c r="T3263" s="515"/>
      <c r="W3263" s="515"/>
      <c r="Z3263" s="437"/>
      <c r="AA3263" s="310"/>
    </row>
    <row r="3264" spans="1:27" ht="26.25" x14ac:dyDescent="0.4">
      <c r="A3264" s="311"/>
      <c r="C3264" s="515"/>
      <c r="D3264" s="515"/>
      <c r="F3264" s="515"/>
      <c r="G3264" s="515"/>
      <c r="I3264" s="515"/>
      <c r="T3264" s="515"/>
      <c r="W3264" s="515"/>
      <c r="Z3264" s="437"/>
      <c r="AA3264" s="310"/>
    </row>
    <row r="3265" spans="1:27" ht="26.25" x14ac:dyDescent="0.4">
      <c r="A3265" s="311"/>
      <c r="C3265" s="515"/>
      <c r="D3265" s="515"/>
      <c r="F3265" s="515"/>
      <c r="G3265" s="515"/>
      <c r="I3265" s="515"/>
      <c r="T3265" s="515"/>
      <c r="W3265" s="515"/>
      <c r="Z3265" s="437"/>
      <c r="AA3265" s="310"/>
    </row>
    <row r="3266" spans="1:27" ht="26.25" x14ac:dyDescent="0.4">
      <c r="A3266" s="311"/>
      <c r="C3266" s="515"/>
      <c r="D3266" s="515"/>
      <c r="F3266" s="515"/>
      <c r="G3266" s="515"/>
      <c r="I3266" s="515"/>
      <c r="T3266" s="515"/>
      <c r="W3266" s="515"/>
      <c r="Z3266" s="437"/>
      <c r="AA3266" s="310"/>
    </row>
    <row r="3267" spans="1:27" ht="26.25" x14ac:dyDescent="0.4">
      <c r="A3267" s="311"/>
      <c r="C3267" s="515"/>
      <c r="D3267" s="515"/>
      <c r="F3267" s="515"/>
      <c r="G3267" s="515"/>
      <c r="I3267" s="515"/>
      <c r="T3267" s="515"/>
      <c r="W3267" s="515"/>
      <c r="Z3267" s="437"/>
      <c r="AA3267" s="310"/>
    </row>
    <row r="3268" spans="1:27" ht="26.25" x14ac:dyDescent="0.4">
      <c r="A3268" s="311"/>
      <c r="C3268" s="515"/>
      <c r="D3268" s="515"/>
      <c r="F3268" s="515"/>
      <c r="G3268" s="515"/>
      <c r="I3268" s="515"/>
      <c r="T3268" s="515"/>
      <c r="W3268" s="515"/>
      <c r="Z3268" s="437"/>
      <c r="AA3268" s="310"/>
    </row>
    <row r="3269" spans="1:27" ht="26.25" x14ac:dyDescent="0.4">
      <c r="A3269" s="311"/>
      <c r="C3269" s="515"/>
      <c r="D3269" s="515"/>
      <c r="F3269" s="515"/>
      <c r="G3269" s="515"/>
      <c r="I3269" s="515"/>
      <c r="T3269" s="515"/>
      <c r="W3269" s="515"/>
      <c r="Z3269" s="437"/>
      <c r="AA3269" s="310"/>
    </row>
    <row r="3270" spans="1:27" ht="26.25" x14ac:dyDescent="0.4">
      <c r="A3270" s="311"/>
      <c r="C3270" s="515"/>
      <c r="D3270" s="515"/>
      <c r="F3270" s="515"/>
      <c r="G3270" s="515"/>
      <c r="I3270" s="515"/>
      <c r="T3270" s="515"/>
      <c r="W3270" s="515"/>
      <c r="Z3270" s="437"/>
      <c r="AA3270" s="310"/>
    </row>
    <row r="3271" spans="1:27" ht="26.25" x14ac:dyDescent="0.4">
      <c r="A3271" s="311"/>
      <c r="C3271" s="515"/>
      <c r="D3271" s="515"/>
      <c r="F3271" s="515"/>
      <c r="G3271" s="515"/>
      <c r="I3271" s="515"/>
      <c r="T3271" s="515"/>
      <c r="W3271" s="515"/>
      <c r="Z3271" s="437"/>
      <c r="AA3271" s="310"/>
    </row>
    <row r="3272" spans="1:27" ht="26.25" x14ac:dyDescent="0.4">
      <c r="A3272" s="311"/>
      <c r="C3272" s="515"/>
      <c r="D3272" s="515"/>
      <c r="F3272" s="515"/>
      <c r="G3272" s="515"/>
      <c r="I3272" s="515"/>
      <c r="T3272" s="515"/>
      <c r="W3272" s="515"/>
      <c r="Z3272" s="437"/>
      <c r="AA3272" s="310"/>
    </row>
    <row r="3273" spans="1:27" ht="26.25" x14ac:dyDescent="0.4">
      <c r="A3273" s="311"/>
      <c r="C3273" s="515"/>
      <c r="D3273" s="515"/>
      <c r="F3273" s="515"/>
      <c r="G3273" s="515"/>
      <c r="I3273" s="515"/>
      <c r="T3273" s="515"/>
      <c r="W3273" s="515"/>
      <c r="Z3273" s="437"/>
      <c r="AA3273" s="310"/>
    </row>
    <row r="3274" spans="1:27" ht="26.25" x14ac:dyDescent="0.4">
      <c r="A3274" s="311"/>
      <c r="C3274" s="515"/>
      <c r="D3274" s="515"/>
      <c r="F3274" s="515"/>
      <c r="G3274" s="515"/>
      <c r="I3274" s="515"/>
      <c r="T3274" s="515"/>
      <c r="W3274" s="515"/>
      <c r="Z3274" s="437"/>
      <c r="AA3274" s="310"/>
    </row>
    <row r="3275" spans="1:27" ht="26.25" x14ac:dyDescent="0.4">
      <c r="A3275" s="311"/>
      <c r="C3275" s="515"/>
      <c r="D3275" s="515"/>
      <c r="F3275" s="515"/>
      <c r="G3275" s="515"/>
      <c r="I3275" s="515"/>
      <c r="T3275" s="515"/>
      <c r="W3275" s="515"/>
      <c r="Z3275" s="437"/>
      <c r="AA3275" s="310"/>
    </row>
    <row r="3276" spans="1:27" ht="26.25" x14ac:dyDescent="0.4">
      <c r="A3276" s="311"/>
      <c r="C3276" s="515"/>
      <c r="D3276" s="515"/>
      <c r="F3276" s="515"/>
      <c r="G3276" s="515"/>
      <c r="I3276" s="515"/>
      <c r="T3276" s="515"/>
      <c r="W3276" s="515"/>
      <c r="Z3276" s="437"/>
      <c r="AA3276" s="310"/>
    </row>
    <row r="3277" spans="1:27" ht="26.25" x14ac:dyDescent="0.4">
      <c r="A3277" s="311"/>
      <c r="C3277" s="515"/>
      <c r="D3277" s="515"/>
      <c r="F3277" s="515"/>
      <c r="G3277" s="515"/>
      <c r="I3277" s="515"/>
      <c r="T3277" s="515"/>
      <c r="W3277" s="515"/>
      <c r="Z3277" s="437"/>
      <c r="AA3277" s="310"/>
    </row>
    <row r="3278" spans="1:27" ht="26.25" x14ac:dyDescent="0.4">
      <c r="A3278" s="311"/>
      <c r="C3278" s="515"/>
      <c r="D3278" s="515"/>
      <c r="F3278" s="515"/>
      <c r="G3278" s="515"/>
      <c r="I3278" s="515"/>
      <c r="T3278" s="515"/>
      <c r="W3278" s="515"/>
      <c r="Z3278" s="437"/>
      <c r="AA3278" s="310"/>
    </row>
    <row r="3279" spans="1:27" ht="26.25" x14ac:dyDescent="0.4">
      <c r="A3279" s="311"/>
      <c r="C3279" s="515"/>
      <c r="D3279" s="515"/>
      <c r="F3279" s="515"/>
      <c r="G3279" s="515"/>
      <c r="I3279" s="515"/>
      <c r="T3279" s="515"/>
      <c r="W3279" s="515"/>
      <c r="Z3279" s="437"/>
      <c r="AA3279" s="310"/>
    </row>
    <row r="3280" spans="1:27" ht="26.25" x14ac:dyDescent="0.4">
      <c r="A3280" s="311"/>
      <c r="C3280" s="515"/>
      <c r="D3280" s="515"/>
      <c r="F3280" s="515"/>
      <c r="G3280" s="515"/>
      <c r="I3280" s="515"/>
      <c r="T3280" s="515"/>
      <c r="W3280" s="515"/>
      <c r="Z3280" s="437"/>
      <c r="AA3280" s="310"/>
    </row>
    <row r="3281" spans="1:27" ht="26.25" x14ac:dyDescent="0.4">
      <c r="A3281" s="311"/>
      <c r="C3281" s="515"/>
      <c r="D3281" s="515"/>
      <c r="F3281" s="515"/>
      <c r="G3281" s="515"/>
      <c r="I3281" s="515"/>
      <c r="T3281" s="515"/>
      <c r="W3281" s="515"/>
      <c r="Z3281" s="437"/>
      <c r="AA3281" s="310"/>
    </row>
    <row r="3282" spans="1:27" ht="26.25" x14ac:dyDescent="0.4">
      <c r="A3282" s="311"/>
      <c r="C3282" s="515"/>
      <c r="D3282" s="515"/>
      <c r="F3282" s="515"/>
      <c r="G3282" s="515"/>
      <c r="I3282" s="515"/>
      <c r="T3282" s="515"/>
      <c r="W3282" s="515"/>
      <c r="Z3282" s="437"/>
      <c r="AA3282" s="310"/>
    </row>
    <row r="3283" spans="1:27" ht="26.25" x14ac:dyDescent="0.4">
      <c r="A3283" s="311"/>
      <c r="C3283" s="515"/>
      <c r="D3283" s="515"/>
      <c r="F3283" s="515"/>
      <c r="G3283" s="515"/>
      <c r="I3283" s="515"/>
      <c r="T3283" s="515"/>
      <c r="W3283" s="515"/>
      <c r="Z3283" s="437"/>
      <c r="AA3283" s="310"/>
    </row>
    <row r="3284" spans="1:27" ht="26.25" x14ac:dyDescent="0.4">
      <c r="A3284" s="311"/>
      <c r="C3284" s="515"/>
      <c r="D3284" s="515"/>
      <c r="F3284" s="515"/>
      <c r="G3284" s="515"/>
      <c r="I3284" s="515"/>
      <c r="T3284" s="515"/>
      <c r="W3284" s="515"/>
      <c r="Z3284" s="437"/>
      <c r="AA3284" s="310"/>
    </row>
    <row r="3285" spans="1:27" ht="26.25" x14ac:dyDescent="0.4">
      <c r="A3285" s="311"/>
      <c r="C3285" s="515"/>
      <c r="D3285" s="515"/>
      <c r="F3285" s="515"/>
      <c r="G3285" s="515"/>
      <c r="I3285" s="515"/>
      <c r="T3285" s="515"/>
      <c r="W3285" s="515"/>
      <c r="Z3285" s="437"/>
      <c r="AA3285" s="310"/>
    </row>
    <row r="3286" spans="1:27" ht="26.25" x14ac:dyDescent="0.4">
      <c r="A3286" s="311"/>
      <c r="C3286" s="515"/>
      <c r="D3286" s="515"/>
      <c r="F3286" s="515"/>
      <c r="G3286" s="515"/>
      <c r="I3286" s="515"/>
      <c r="T3286" s="515"/>
      <c r="W3286" s="515"/>
      <c r="Z3286" s="437"/>
      <c r="AA3286" s="310"/>
    </row>
    <row r="3287" spans="1:27" ht="26.25" x14ac:dyDescent="0.4">
      <c r="A3287" s="311"/>
      <c r="C3287" s="515"/>
      <c r="D3287" s="515"/>
      <c r="F3287" s="515"/>
      <c r="G3287" s="515"/>
      <c r="I3287" s="515"/>
      <c r="T3287" s="515"/>
      <c r="W3287" s="515"/>
      <c r="Z3287" s="437"/>
      <c r="AA3287" s="310"/>
    </row>
    <row r="3288" spans="1:27" ht="26.25" x14ac:dyDescent="0.4">
      <c r="A3288" s="311"/>
      <c r="C3288" s="515"/>
      <c r="D3288" s="515"/>
      <c r="F3288" s="515"/>
      <c r="G3288" s="515"/>
      <c r="I3288" s="515"/>
      <c r="T3288" s="515"/>
      <c r="W3288" s="515"/>
      <c r="Z3288" s="437"/>
      <c r="AA3288" s="310"/>
    </row>
    <row r="3289" spans="1:27" ht="26.25" x14ac:dyDescent="0.4">
      <c r="A3289" s="311"/>
      <c r="C3289" s="515"/>
      <c r="D3289" s="515"/>
      <c r="F3289" s="515"/>
      <c r="G3289" s="515"/>
      <c r="I3289" s="515"/>
      <c r="T3289" s="515"/>
      <c r="W3289" s="515"/>
      <c r="Z3289" s="437"/>
      <c r="AA3289" s="310"/>
    </row>
    <row r="3290" spans="1:27" ht="26.25" x14ac:dyDescent="0.4">
      <c r="A3290" s="311"/>
      <c r="C3290" s="515"/>
      <c r="D3290" s="515"/>
      <c r="F3290" s="515"/>
      <c r="G3290" s="515"/>
      <c r="I3290" s="515"/>
      <c r="T3290" s="515"/>
      <c r="W3290" s="515"/>
      <c r="Z3290" s="437"/>
      <c r="AA3290" s="310"/>
    </row>
    <row r="3291" spans="1:27" ht="26.25" x14ac:dyDescent="0.4">
      <c r="A3291" s="311"/>
      <c r="C3291" s="515"/>
      <c r="D3291" s="515"/>
      <c r="F3291" s="515"/>
      <c r="G3291" s="515"/>
      <c r="I3291" s="515"/>
      <c r="T3291" s="515"/>
      <c r="W3291" s="515"/>
      <c r="Z3291" s="437"/>
      <c r="AA3291" s="310"/>
    </row>
    <row r="3292" spans="1:27" ht="26.25" x14ac:dyDescent="0.4">
      <c r="A3292" s="311"/>
      <c r="C3292" s="515"/>
      <c r="D3292" s="515"/>
      <c r="F3292" s="515"/>
      <c r="G3292" s="515"/>
      <c r="I3292" s="515"/>
      <c r="T3292" s="515"/>
      <c r="W3292" s="515"/>
      <c r="Z3292" s="437"/>
      <c r="AA3292" s="310"/>
    </row>
    <row r="3293" spans="1:27" ht="26.25" x14ac:dyDescent="0.4">
      <c r="A3293" s="311"/>
      <c r="C3293" s="515"/>
      <c r="D3293" s="515"/>
      <c r="F3293" s="515"/>
      <c r="G3293" s="515"/>
      <c r="I3293" s="515"/>
      <c r="T3293" s="515"/>
      <c r="W3293" s="515"/>
      <c r="Z3293" s="437"/>
      <c r="AA3293" s="310"/>
    </row>
    <row r="3294" spans="1:27" ht="26.25" x14ac:dyDescent="0.4">
      <c r="A3294" s="311"/>
      <c r="C3294" s="515"/>
      <c r="D3294" s="515"/>
      <c r="F3294" s="515"/>
      <c r="G3294" s="515"/>
      <c r="I3294" s="515"/>
      <c r="T3294" s="515"/>
      <c r="W3294" s="515"/>
      <c r="Z3294" s="437"/>
      <c r="AA3294" s="310"/>
    </row>
    <row r="3295" spans="1:27" ht="26.25" x14ac:dyDescent="0.4">
      <c r="A3295" s="311"/>
      <c r="C3295" s="515"/>
      <c r="D3295" s="515"/>
      <c r="F3295" s="515"/>
      <c r="G3295" s="515"/>
      <c r="I3295" s="515"/>
      <c r="T3295" s="515"/>
      <c r="W3295" s="515"/>
      <c r="Z3295" s="437"/>
      <c r="AA3295" s="310"/>
    </row>
    <row r="3296" spans="1:27" ht="26.25" x14ac:dyDescent="0.4">
      <c r="A3296" s="311"/>
      <c r="C3296" s="515"/>
      <c r="D3296" s="515"/>
      <c r="F3296" s="515"/>
      <c r="G3296" s="515"/>
      <c r="I3296" s="515"/>
      <c r="T3296" s="515"/>
      <c r="W3296" s="515"/>
      <c r="Z3296" s="437"/>
      <c r="AA3296" s="310"/>
    </row>
    <row r="3297" spans="1:27" ht="26.25" x14ac:dyDescent="0.4">
      <c r="A3297" s="311"/>
      <c r="C3297" s="515"/>
      <c r="D3297" s="515"/>
      <c r="F3297" s="515"/>
      <c r="G3297" s="515"/>
      <c r="I3297" s="515"/>
      <c r="T3297" s="515"/>
      <c r="W3297" s="515"/>
      <c r="Z3297" s="437"/>
      <c r="AA3297" s="310"/>
    </row>
    <row r="3298" spans="1:27" ht="26.25" x14ac:dyDescent="0.4">
      <c r="A3298" s="311"/>
      <c r="C3298" s="515"/>
      <c r="D3298" s="515"/>
      <c r="F3298" s="515"/>
      <c r="G3298" s="515"/>
      <c r="I3298" s="515"/>
      <c r="T3298" s="515"/>
      <c r="W3298" s="515"/>
      <c r="Z3298" s="437"/>
      <c r="AA3298" s="310"/>
    </row>
    <row r="3299" spans="1:27" ht="26.25" x14ac:dyDescent="0.4">
      <c r="A3299" s="311"/>
      <c r="C3299" s="515"/>
      <c r="D3299" s="515"/>
      <c r="F3299" s="515"/>
      <c r="G3299" s="515"/>
      <c r="I3299" s="515"/>
      <c r="T3299" s="515"/>
      <c r="W3299" s="515"/>
      <c r="Z3299" s="437"/>
      <c r="AA3299" s="310"/>
    </row>
    <row r="3300" spans="1:27" ht="26.25" x14ac:dyDescent="0.4">
      <c r="A3300" s="311"/>
      <c r="C3300" s="515"/>
      <c r="D3300" s="515"/>
      <c r="F3300" s="515"/>
      <c r="G3300" s="515"/>
      <c r="I3300" s="515"/>
      <c r="T3300" s="515"/>
      <c r="W3300" s="515"/>
      <c r="Z3300" s="437"/>
      <c r="AA3300" s="310"/>
    </row>
    <row r="3301" spans="1:27" ht="26.25" x14ac:dyDescent="0.4">
      <c r="A3301" s="311"/>
      <c r="C3301" s="515"/>
      <c r="D3301" s="515"/>
      <c r="F3301" s="515"/>
      <c r="G3301" s="515"/>
      <c r="I3301" s="515"/>
      <c r="T3301" s="515"/>
      <c r="W3301" s="515"/>
      <c r="Z3301" s="437"/>
      <c r="AA3301" s="310"/>
    </row>
    <row r="3302" spans="1:27" ht="26.25" x14ac:dyDescent="0.4">
      <c r="A3302" s="311"/>
      <c r="C3302" s="515"/>
      <c r="D3302" s="515"/>
      <c r="F3302" s="515"/>
      <c r="G3302" s="515"/>
      <c r="I3302" s="515"/>
      <c r="T3302" s="515"/>
      <c r="W3302" s="515"/>
      <c r="Z3302" s="437"/>
      <c r="AA3302" s="310"/>
    </row>
    <row r="3303" spans="1:27" ht="26.25" x14ac:dyDescent="0.4">
      <c r="A3303" s="311"/>
      <c r="C3303" s="515"/>
      <c r="D3303" s="515"/>
      <c r="F3303" s="515"/>
      <c r="G3303" s="515"/>
      <c r="I3303" s="515"/>
      <c r="T3303" s="515"/>
      <c r="W3303" s="515"/>
      <c r="Z3303" s="437"/>
      <c r="AA3303" s="310"/>
    </row>
    <row r="3304" spans="1:27" ht="26.25" x14ac:dyDescent="0.4">
      <c r="A3304" s="311"/>
      <c r="C3304" s="515"/>
      <c r="D3304" s="515"/>
      <c r="F3304" s="515"/>
      <c r="G3304" s="515"/>
      <c r="I3304" s="515"/>
      <c r="T3304" s="515"/>
      <c r="W3304" s="515"/>
      <c r="Z3304" s="437"/>
      <c r="AA3304" s="310"/>
    </row>
    <row r="3305" spans="1:27" ht="26.25" x14ac:dyDescent="0.4">
      <c r="A3305" s="311"/>
      <c r="C3305" s="515"/>
      <c r="D3305" s="515"/>
      <c r="F3305" s="515"/>
      <c r="G3305" s="515"/>
      <c r="I3305" s="515"/>
      <c r="T3305" s="515"/>
      <c r="W3305" s="515"/>
      <c r="Z3305" s="437"/>
      <c r="AA3305" s="310"/>
    </row>
    <row r="3306" spans="1:27" ht="26.25" x14ac:dyDescent="0.4">
      <c r="A3306" s="311"/>
      <c r="C3306" s="515"/>
      <c r="D3306" s="515"/>
      <c r="F3306" s="515"/>
      <c r="G3306" s="515"/>
      <c r="I3306" s="515"/>
      <c r="T3306" s="515"/>
      <c r="W3306" s="515"/>
      <c r="Z3306" s="437"/>
      <c r="AA3306" s="310"/>
    </row>
    <row r="3307" spans="1:27" ht="26.25" x14ac:dyDescent="0.4">
      <c r="A3307" s="311"/>
      <c r="C3307" s="515"/>
      <c r="D3307" s="515"/>
      <c r="F3307" s="515"/>
      <c r="G3307" s="515"/>
      <c r="I3307" s="515"/>
      <c r="T3307" s="515"/>
      <c r="W3307" s="515"/>
      <c r="Z3307" s="437"/>
      <c r="AA3307" s="310"/>
    </row>
    <row r="3308" spans="1:27" ht="26.25" x14ac:dyDescent="0.4">
      <c r="A3308" s="311"/>
      <c r="C3308" s="515"/>
      <c r="D3308" s="515"/>
      <c r="F3308" s="515"/>
      <c r="G3308" s="515"/>
      <c r="I3308" s="515"/>
      <c r="T3308" s="515"/>
      <c r="W3308" s="515"/>
      <c r="Z3308" s="437"/>
      <c r="AA3308" s="310"/>
    </row>
    <row r="3309" spans="1:27" ht="26.25" x14ac:dyDescent="0.4">
      <c r="A3309" s="311"/>
      <c r="C3309" s="515"/>
      <c r="D3309" s="515"/>
      <c r="F3309" s="515"/>
      <c r="G3309" s="515"/>
      <c r="I3309" s="515"/>
      <c r="T3309" s="515"/>
      <c r="W3309" s="515"/>
      <c r="Z3309" s="437"/>
      <c r="AA3309" s="310"/>
    </row>
    <row r="3310" spans="1:27" ht="26.25" x14ac:dyDescent="0.4">
      <c r="A3310" s="311"/>
      <c r="C3310" s="515"/>
      <c r="D3310" s="515"/>
      <c r="F3310" s="515"/>
      <c r="G3310" s="515"/>
      <c r="I3310" s="515"/>
      <c r="T3310" s="515"/>
      <c r="W3310" s="515"/>
      <c r="Z3310" s="437"/>
      <c r="AA3310" s="310"/>
    </row>
    <row r="3311" spans="1:27" ht="26.25" x14ac:dyDescent="0.4">
      <c r="A3311" s="311"/>
      <c r="C3311" s="515"/>
      <c r="D3311" s="515"/>
      <c r="F3311" s="515"/>
      <c r="G3311" s="515"/>
      <c r="I3311" s="515"/>
      <c r="T3311" s="515"/>
      <c r="W3311" s="515"/>
      <c r="Z3311" s="437"/>
      <c r="AA3311" s="310"/>
    </row>
    <row r="3312" spans="1:27" ht="26.25" x14ac:dyDescent="0.4">
      <c r="A3312" s="311"/>
      <c r="C3312" s="515"/>
      <c r="D3312" s="515"/>
      <c r="F3312" s="515"/>
      <c r="G3312" s="515"/>
      <c r="I3312" s="515"/>
      <c r="T3312" s="515"/>
      <c r="W3312" s="515"/>
      <c r="Z3312" s="437"/>
      <c r="AA3312" s="310"/>
    </row>
    <row r="3313" spans="1:27" ht="26.25" x14ac:dyDescent="0.4">
      <c r="A3313" s="311"/>
      <c r="C3313" s="515"/>
      <c r="D3313" s="515"/>
      <c r="F3313" s="515"/>
      <c r="G3313" s="515"/>
      <c r="I3313" s="515"/>
      <c r="T3313" s="515"/>
      <c r="W3313" s="515"/>
      <c r="Z3313" s="437"/>
      <c r="AA3313" s="310"/>
    </row>
    <row r="3314" spans="1:27" ht="26.25" x14ac:dyDescent="0.4">
      <c r="A3314" s="311"/>
      <c r="C3314" s="515"/>
      <c r="D3314" s="515"/>
      <c r="F3314" s="515"/>
      <c r="G3314" s="515"/>
      <c r="I3314" s="515"/>
      <c r="T3314" s="515"/>
      <c r="W3314" s="515"/>
      <c r="Z3314" s="437"/>
      <c r="AA3314" s="310"/>
    </row>
    <row r="3315" spans="1:27" ht="26.25" x14ac:dyDescent="0.4">
      <c r="A3315" s="311"/>
      <c r="C3315" s="515"/>
      <c r="D3315" s="515"/>
      <c r="F3315" s="515"/>
      <c r="G3315" s="515"/>
      <c r="I3315" s="515"/>
      <c r="T3315" s="515"/>
      <c r="W3315" s="515"/>
      <c r="Z3315" s="437"/>
      <c r="AA3315" s="310"/>
    </row>
    <row r="3316" spans="1:27" ht="26.25" x14ac:dyDescent="0.4">
      <c r="A3316" s="311"/>
      <c r="C3316" s="515"/>
      <c r="D3316" s="515"/>
      <c r="F3316" s="515"/>
      <c r="G3316" s="515"/>
      <c r="I3316" s="515"/>
      <c r="T3316" s="515"/>
      <c r="W3316" s="515"/>
      <c r="Z3316" s="437"/>
      <c r="AA3316" s="310"/>
    </row>
    <row r="3317" spans="1:27" ht="26.25" x14ac:dyDescent="0.4">
      <c r="A3317" s="311"/>
      <c r="C3317" s="515"/>
      <c r="D3317" s="515"/>
      <c r="F3317" s="515"/>
      <c r="G3317" s="515"/>
      <c r="I3317" s="515"/>
      <c r="T3317" s="515"/>
      <c r="W3317" s="515"/>
      <c r="Z3317" s="437"/>
      <c r="AA3317" s="310"/>
    </row>
    <row r="3318" spans="1:27" ht="26.25" x14ac:dyDescent="0.4">
      <c r="A3318" s="311"/>
      <c r="C3318" s="515"/>
      <c r="D3318" s="515"/>
      <c r="F3318" s="515"/>
      <c r="G3318" s="515"/>
      <c r="I3318" s="515"/>
      <c r="T3318" s="515"/>
      <c r="W3318" s="515"/>
      <c r="Z3318" s="437"/>
      <c r="AA3318" s="310"/>
    </row>
    <row r="3319" spans="1:27" ht="26.25" x14ac:dyDescent="0.4">
      <c r="A3319" s="311"/>
      <c r="C3319" s="515"/>
      <c r="D3319" s="515"/>
      <c r="F3319" s="515"/>
      <c r="G3319" s="515"/>
      <c r="I3319" s="515"/>
      <c r="T3319" s="515"/>
      <c r="W3319" s="515"/>
      <c r="Z3319" s="437"/>
      <c r="AA3319" s="310"/>
    </row>
    <row r="3320" spans="1:27" ht="26.25" x14ac:dyDescent="0.4">
      <c r="A3320" s="311"/>
      <c r="C3320" s="515"/>
      <c r="D3320" s="515"/>
      <c r="F3320" s="515"/>
      <c r="G3320" s="515"/>
      <c r="I3320" s="515"/>
      <c r="T3320" s="515"/>
      <c r="W3320" s="515"/>
      <c r="Z3320" s="437"/>
      <c r="AA3320" s="310"/>
    </row>
    <row r="3321" spans="1:27" ht="26.25" x14ac:dyDescent="0.4">
      <c r="A3321" s="311"/>
      <c r="C3321" s="515"/>
      <c r="D3321" s="515"/>
      <c r="F3321" s="515"/>
      <c r="G3321" s="515"/>
      <c r="I3321" s="515"/>
      <c r="T3321" s="515"/>
      <c r="W3321" s="515"/>
      <c r="Z3321" s="437"/>
      <c r="AA3321" s="310"/>
    </row>
    <row r="3322" spans="1:27" ht="26.25" x14ac:dyDescent="0.4">
      <c r="A3322" s="311"/>
      <c r="C3322" s="515"/>
      <c r="D3322" s="515"/>
      <c r="F3322" s="515"/>
      <c r="G3322" s="515"/>
      <c r="I3322" s="515"/>
      <c r="T3322" s="515"/>
      <c r="W3322" s="515"/>
      <c r="Z3322" s="437"/>
      <c r="AA3322" s="310"/>
    </row>
    <row r="3323" spans="1:27" ht="26.25" x14ac:dyDescent="0.4">
      <c r="A3323" s="311"/>
      <c r="C3323" s="515"/>
      <c r="D3323" s="515"/>
      <c r="F3323" s="515"/>
      <c r="G3323" s="515"/>
      <c r="I3323" s="515"/>
      <c r="T3323" s="515"/>
      <c r="W3323" s="515"/>
      <c r="Z3323" s="437"/>
      <c r="AA3323" s="310"/>
    </row>
    <row r="3324" spans="1:27" ht="26.25" x14ac:dyDescent="0.4">
      <c r="A3324" s="311"/>
      <c r="C3324" s="515"/>
      <c r="D3324" s="515"/>
      <c r="F3324" s="515"/>
      <c r="G3324" s="515"/>
      <c r="I3324" s="515"/>
      <c r="T3324" s="515"/>
      <c r="W3324" s="515"/>
      <c r="Z3324" s="437"/>
      <c r="AA3324" s="310"/>
    </row>
    <row r="3325" spans="1:27" ht="26.25" x14ac:dyDescent="0.4">
      <c r="A3325" s="311"/>
      <c r="C3325" s="515"/>
      <c r="D3325" s="515"/>
      <c r="F3325" s="515"/>
      <c r="G3325" s="515"/>
      <c r="I3325" s="515"/>
      <c r="T3325" s="515"/>
      <c r="W3325" s="515"/>
      <c r="Z3325" s="437"/>
      <c r="AA3325" s="310"/>
    </row>
    <row r="3326" spans="1:27" ht="26.25" x14ac:dyDescent="0.4">
      <c r="A3326" s="311"/>
      <c r="C3326" s="515"/>
      <c r="D3326" s="515"/>
      <c r="F3326" s="515"/>
      <c r="G3326" s="515"/>
      <c r="I3326" s="515"/>
      <c r="T3326" s="515"/>
      <c r="W3326" s="515"/>
      <c r="Z3326" s="437"/>
      <c r="AA3326" s="310"/>
    </row>
    <row r="3327" spans="1:27" ht="26.25" x14ac:dyDescent="0.4">
      <c r="A3327" s="311"/>
      <c r="C3327" s="515"/>
      <c r="D3327" s="515"/>
      <c r="F3327" s="515"/>
      <c r="G3327" s="515"/>
      <c r="I3327" s="515"/>
      <c r="T3327" s="515"/>
      <c r="W3327" s="515"/>
      <c r="Z3327" s="437"/>
      <c r="AA3327" s="310"/>
    </row>
    <row r="3328" spans="1:27" ht="26.25" x14ac:dyDescent="0.4">
      <c r="A3328" s="311"/>
      <c r="C3328" s="515"/>
      <c r="D3328" s="515"/>
      <c r="F3328" s="515"/>
      <c r="G3328" s="515"/>
      <c r="I3328" s="515"/>
      <c r="T3328" s="515"/>
      <c r="W3328" s="515"/>
      <c r="Z3328" s="437"/>
      <c r="AA3328" s="310"/>
    </row>
    <row r="3329" spans="1:27" ht="26.25" x14ac:dyDescent="0.4">
      <c r="A3329" s="311"/>
      <c r="C3329" s="515"/>
      <c r="D3329" s="515"/>
      <c r="F3329" s="515"/>
      <c r="G3329" s="515"/>
      <c r="I3329" s="515"/>
      <c r="T3329" s="515"/>
      <c r="W3329" s="515"/>
      <c r="Z3329" s="437"/>
      <c r="AA3329" s="310"/>
    </row>
    <row r="3330" spans="1:27" ht="26.25" x14ac:dyDescent="0.4">
      <c r="A3330" s="311"/>
      <c r="C3330" s="515"/>
      <c r="D3330" s="515"/>
      <c r="F3330" s="515"/>
      <c r="G3330" s="515"/>
      <c r="I3330" s="515"/>
      <c r="T3330" s="515"/>
      <c r="W3330" s="515"/>
      <c r="Z3330" s="437"/>
      <c r="AA3330" s="310"/>
    </row>
    <row r="3331" spans="1:27" ht="26.25" x14ac:dyDescent="0.4">
      <c r="A3331" s="311"/>
      <c r="C3331" s="515"/>
      <c r="D3331" s="515"/>
      <c r="F3331" s="515"/>
      <c r="G3331" s="515"/>
      <c r="I3331" s="515"/>
      <c r="T3331" s="515"/>
      <c r="W3331" s="515"/>
      <c r="Z3331" s="437"/>
      <c r="AA3331" s="310"/>
    </row>
    <row r="3332" spans="1:27" ht="26.25" x14ac:dyDescent="0.4">
      <c r="A3332" s="311"/>
      <c r="C3332" s="515"/>
      <c r="D3332" s="515"/>
      <c r="F3332" s="515"/>
      <c r="G3332" s="515"/>
      <c r="I3332" s="515"/>
      <c r="T3332" s="515"/>
      <c r="W3332" s="515"/>
      <c r="Z3332" s="437"/>
      <c r="AA3332" s="310"/>
    </row>
    <row r="3333" spans="1:27" ht="26.25" x14ac:dyDescent="0.4">
      <c r="A3333" s="311"/>
      <c r="C3333" s="515"/>
      <c r="D3333" s="515"/>
      <c r="F3333" s="515"/>
      <c r="G3333" s="515"/>
      <c r="I3333" s="515"/>
      <c r="T3333" s="515"/>
      <c r="W3333" s="515"/>
      <c r="Z3333" s="437"/>
      <c r="AA3333" s="310"/>
    </row>
    <row r="3334" spans="1:27" ht="26.25" x14ac:dyDescent="0.4">
      <c r="A3334" s="311"/>
      <c r="C3334" s="515"/>
      <c r="D3334" s="515"/>
      <c r="F3334" s="515"/>
      <c r="G3334" s="515"/>
      <c r="I3334" s="515"/>
      <c r="T3334" s="515"/>
      <c r="W3334" s="515"/>
      <c r="Z3334" s="437"/>
      <c r="AA3334" s="310"/>
    </row>
    <row r="3335" spans="1:27" ht="26.25" x14ac:dyDescent="0.4">
      <c r="A3335" s="311"/>
      <c r="C3335" s="515"/>
      <c r="D3335" s="515"/>
      <c r="F3335" s="515"/>
      <c r="G3335" s="515"/>
      <c r="I3335" s="515"/>
      <c r="T3335" s="515"/>
      <c r="W3335" s="515"/>
      <c r="Z3335" s="437"/>
      <c r="AA3335" s="310"/>
    </row>
    <row r="3336" spans="1:27" ht="26.25" x14ac:dyDescent="0.4">
      <c r="A3336" s="311"/>
      <c r="C3336" s="515"/>
      <c r="D3336" s="515"/>
      <c r="F3336" s="515"/>
      <c r="G3336" s="515"/>
      <c r="I3336" s="515"/>
      <c r="T3336" s="515"/>
      <c r="W3336" s="515"/>
      <c r="Z3336" s="437"/>
      <c r="AA3336" s="310"/>
    </row>
    <row r="3337" spans="1:27" ht="26.25" x14ac:dyDescent="0.4">
      <c r="A3337" s="311"/>
      <c r="C3337" s="515"/>
      <c r="D3337" s="515"/>
      <c r="F3337" s="515"/>
      <c r="G3337" s="515"/>
      <c r="I3337" s="515"/>
      <c r="T3337" s="515"/>
      <c r="W3337" s="515"/>
      <c r="Z3337" s="437"/>
      <c r="AA3337" s="310"/>
    </row>
    <row r="3338" spans="1:27" ht="26.25" x14ac:dyDescent="0.4">
      <c r="A3338" s="311"/>
      <c r="C3338" s="515"/>
      <c r="D3338" s="515"/>
      <c r="F3338" s="515"/>
      <c r="G3338" s="515"/>
      <c r="I3338" s="515"/>
      <c r="T3338" s="515"/>
      <c r="W3338" s="515"/>
      <c r="Z3338" s="437"/>
      <c r="AA3338" s="310"/>
    </row>
    <row r="3339" spans="1:27" ht="26.25" x14ac:dyDescent="0.4">
      <c r="A3339" s="311"/>
      <c r="C3339" s="515"/>
      <c r="D3339" s="515"/>
      <c r="F3339" s="515"/>
      <c r="G3339" s="515"/>
      <c r="I3339" s="515"/>
      <c r="T3339" s="515"/>
      <c r="W3339" s="515"/>
      <c r="Z3339" s="437"/>
      <c r="AA3339" s="310"/>
    </row>
    <row r="3340" spans="1:27" ht="26.25" x14ac:dyDescent="0.4">
      <c r="A3340" s="311"/>
      <c r="C3340" s="515"/>
      <c r="D3340" s="515"/>
      <c r="F3340" s="515"/>
      <c r="G3340" s="515"/>
      <c r="I3340" s="515"/>
      <c r="T3340" s="515"/>
      <c r="W3340" s="515"/>
      <c r="Z3340" s="437"/>
      <c r="AA3340" s="310"/>
    </row>
    <row r="3341" spans="1:27" ht="26.25" x14ac:dyDescent="0.4">
      <c r="A3341" s="311"/>
      <c r="C3341" s="515"/>
      <c r="D3341" s="515"/>
      <c r="F3341" s="515"/>
      <c r="G3341" s="515"/>
      <c r="I3341" s="515"/>
      <c r="T3341" s="515"/>
      <c r="W3341" s="515"/>
      <c r="Z3341" s="437"/>
      <c r="AA3341" s="310"/>
    </row>
    <row r="3342" spans="1:27" ht="26.25" x14ac:dyDescent="0.4">
      <c r="A3342" s="311"/>
      <c r="C3342" s="515"/>
      <c r="D3342" s="515"/>
      <c r="F3342" s="515"/>
      <c r="G3342" s="515"/>
      <c r="I3342" s="515"/>
      <c r="T3342" s="515"/>
      <c r="W3342" s="515"/>
      <c r="Z3342" s="437"/>
      <c r="AA3342" s="310"/>
    </row>
    <row r="3343" spans="1:27" ht="26.25" x14ac:dyDescent="0.4">
      <c r="A3343" s="311"/>
      <c r="C3343" s="515"/>
      <c r="D3343" s="515"/>
      <c r="F3343" s="515"/>
      <c r="G3343" s="515"/>
      <c r="I3343" s="515"/>
      <c r="T3343" s="515"/>
      <c r="W3343" s="515"/>
      <c r="Z3343" s="437"/>
      <c r="AA3343" s="310"/>
    </row>
    <row r="3344" spans="1:27" ht="26.25" x14ac:dyDescent="0.4">
      <c r="A3344" s="311"/>
      <c r="C3344" s="515"/>
      <c r="D3344" s="515"/>
      <c r="F3344" s="515"/>
      <c r="G3344" s="515"/>
      <c r="I3344" s="515"/>
      <c r="T3344" s="515"/>
      <c r="W3344" s="515"/>
      <c r="Z3344" s="437"/>
      <c r="AA3344" s="310"/>
    </row>
    <row r="3345" spans="1:27" ht="26.25" x14ac:dyDescent="0.4">
      <c r="A3345" s="311"/>
      <c r="C3345" s="515"/>
      <c r="D3345" s="515"/>
      <c r="F3345" s="515"/>
      <c r="G3345" s="515"/>
      <c r="I3345" s="515"/>
      <c r="T3345" s="515"/>
      <c r="W3345" s="515"/>
      <c r="Z3345" s="437"/>
      <c r="AA3345" s="310"/>
    </row>
    <row r="3346" spans="1:27" ht="26.25" x14ac:dyDescent="0.4">
      <c r="A3346" s="311"/>
      <c r="C3346" s="515"/>
      <c r="D3346" s="515"/>
      <c r="F3346" s="515"/>
      <c r="G3346" s="515"/>
      <c r="I3346" s="515"/>
      <c r="T3346" s="515"/>
      <c r="W3346" s="515"/>
      <c r="Z3346" s="437"/>
      <c r="AA3346" s="310"/>
    </row>
    <row r="3347" spans="1:27" ht="26.25" x14ac:dyDescent="0.4">
      <c r="A3347" s="311"/>
      <c r="C3347" s="515"/>
      <c r="D3347" s="515"/>
      <c r="F3347" s="515"/>
      <c r="G3347" s="515"/>
      <c r="I3347" s="515"/>
      <c r="T3347" s="515"/>
      <c r="W3347" s="515"/>
      <c r="Z3347" s="437"/>
      <c r="AA3347" s="310"/>
    </row>
    <row r="3348" spans="1:27" ht="26.25" x14ac:dyDescent="0.4">
      <c r="A3348" s="311"/>
      <c r="C3348" s="515"/>
      <c r="D3348" s="515"/>
      <c r="F3348" s="515"/>
      <c r="G3348" s="515"/>
      <c r="I3348" s="515"/>
      <c r="T3348" s="515"/>
      <c r="W3348" s="515"/>
      <c r="Z3348" s="437"/>
      <c r="AA3348" s="310"/>
    </row>
    <row r="3349" spans="1:27" ht="26.25" x14ac:dyDescent="0.4">
      <c r="A3349" s="311"/>
      <c r="C3349" s="515"/>
      <c r="D3349" s="515"/>
      <c r="F3349" s="515"/>
      <c r="G3349" s="515"/>
      <c r="I3349" s="515"/>
      <c r="T3349" s="515"/>
      <c r="W3349" s="515"/>
      <c r="Z3349" s="437"/>
      <c r="AA3349" s="310"/>
    </row>
    <row r="3350" spans="1:27" ht="26.25" x14ac:dyDescent="0.4">
      <c r="A3350" s="311"/>
      <c r="C3350" s="515"/>
      <c r="D3350" s="515"/>
      <c r="F3350" s="515"/>
      <c r="G3350" s="515"/>
      <c r="I3350" s="515"/>
      <c r="T3350" s="515"/>
      <c r="W3350" s="515"/>
      <c r="Z3350" s="437"/>
      <c r="AA3350" s="310"/>
    </row>
    <row r="3351" spans="1:27" ht="26.25" x14ac:dyDescent="0.4">
      <c r="A3351" s="311"/>
      <c r="C3351" s="515"/>
      <c r="D3351" s="515"/>
      <c r="F3351" s="515"/>
      <c r="G3351" s="515"/>
      <c r="I3351" s="515"/>
      <c r="T3351" s="515"/>
      <c r="W3351" s="515"/>
      <c r="Z3351" s="437"/>
      <c r="AA3351" s="310"/>
    </row>
    <row r="3352" spans="1:27" ht="26.25" x14ac:dyDescent="0.4">
      <c r="A3352" s="311"/>
      <c r="C3352" s="515"/>
      <c r="D3352" s="515"/>
      <c r="F3352" s="515"/>
      <c r="G3352" s="515"/>
      <c r="I3352" s="515"/>
      <c r="T3352" s="515"/>
      <c r="W3352" s="515"/>
      <c r="Z3352" s="437"/>
      <c r="AA3352" s="310"/>
    </row>
    <row r="3353" spans="1:27" ht="26.25" x14ac:dyDescent="0.4">
      <c r="A3353" s="311"/>
      <c r="C3353" s="515"/>
      <c r="D3353" s="515"/>
      <c r="F3353" s="515"/>
      <c r="G3353" s="515"/>
      <c r="I3353" s="515"/>
      <c r="T3353" s="515"/>
      <c r="W3353" s="515"/>
      <c r="Z3353" s="437"/>
      <c r="AA3353" s="310"/>
    </row>
    <row r="3354" spans="1:27" ht="26.25" x14ac:dyDescent="0.4">
      <c r="A3354" s="311"/>
      <c r="C3354" s="515"/>
      <c r="D3354" s="515"/>
      <c r="F3354" s="515"/>
      <c r="G3354" s="515"/>
      <c r="I3354" s="515"/>
      <c r="T3354" s="515"/>
      <c r="W3354" s="515"/>
      <c r="Z3354" s="437"/>
      <c r="AA3354" s="310"/>
    </row>
    <row r="3355" spans="1:27" ht="26.25" x14ac:dyDescent="0.4">
      <c r="A3355" s="311"/>
      <c r="C3355" s="515"/>
      <c r="D3355" s="515"/>
      <c r="F3355" s="515"/>
      <c r="G3355" s="515"/>
      <c r="I3355" s="515"/>
      <c r="T3355" s="515"/>
      <c r="W3355" s="515"/>
      <c r="Z3355" s="437"/>
      <c r="AA3355" s="310"/>
    </row>
    <row r="3356" spans="1:27" ht="26.25" x14ac:dyDescent="0.4">
      <c r="A3356" s="311"/>
      <c r="C3356" s="515"/>
      <c r="D3356" s="515"/>
      <c r="F3356" s="515"/>
      <c r="G3356" s="515"/>
      <c r="I3356" s="515"/>
      <c r="T3356" s="515"/>
      <c r="W3356" s="515"/>
      <c r="Z3356" s="437"/>
      <c r="AA3356" s="310"/>
    </row>
    <row r="3357" spans="1:27" ht="26.25" x14ac:dyDescent="0.4">
      <c r="A3357" s="311"/>
      <c r="C3357" s="515"/>
      <c r="D3357" s="515"/>
      <c r="F3357" s="515"/>
      <c r="G3357" s="515"/>
      <c r="I3357" s="515"/>
      <c r="T3357" s="515"/>
      <c r="W3357" s="515"/>
      <c r="Z3357" s="437"/>
      <c r="AA3357" s="310"/>
    </row>
    <row r="3358" spans="1:27" ht="26.25" x14ac:dyDescent="0.4">
      <c r="A3358" s="311"/>
      <c r="C3358" s="515"/>
      <c r="D3358" s="515"/>
      <c r="F3358" s="515"/>
      <c r="G3358" s="515"/>
      <c r="I3358" s="515"/>
      <c r="T3358" s="515"/>
      <c r="W3358" s="515"/>
      <c r="Z3358" s="437"/>
      <c r="AA3358" s="310"/>
    </row>
    <row r="3359" spans="1:27" ht="26.25" x14ac:dyDescent="0.4">
      <c r="A3359" s="311"/>
      <c r="C3359" s="515"/>
      <c r="D3359" s="515"/>
      <c r="F3359" s="515"/>
      <c r="G3359" s="515"/>
      <c r="I3359" s="515"/>
      <c r="T3359" s="515"/>
      <c r="W3359" s="515"/>
      <c r="Z3359" s="437"/>
      <c r="AA3359" s="310"/>
    </row>
    <row r="3360" spans="1:27" ht="26.25" x14ac:dyDescent="0.4">
      <c r="A3360" s="311"/>
      <c r="C3360" s="515"/>
      <c r="D3360" s="515"/>
      <c r="F3360" s="515"/>
      <c r="G3360" s="515"/>
      <c r="I3360" s="515"/>
      <c r="T3360" s="515"/>
      <c r="W3360" s="515"/>
      <c r="Z3360" s="437"/>
      <c r="AA3360" s="310"/>
    </row>
    <row r="3361" spans="1:27" ht="26.25" x14ac:dyDescent="0.4">
      <c r="A3361" s="311"/>
      <c r="C3361" s="515"/>
      <c r="D3361" s="515"/>
      <c r="F3361" s="515"/>
      <c r="G3361" s="515"/>
      <c r="I3361" s="515"/>
      <c r="T3361" s="515"/>
      <c r="W3361" s="515"/>
      <c r="Z3361" s="437"/>
      <c r="AA3361" s="310"/>
    </row>
    <row r="3362" spans="1:27" ht="26.25" x14ac:dyDescent="0.4">
      <c r="A3362" s="311"/>
      <c r="C3362" s="515"/>
      <c r="D3362" s="515"/>
      <c r="F3362" s="515"/>
      <c r="G3362" s="515"/>
      <c r="I3362" s="515"/>
      <c r="T3362" s="515"/>
      <c r="W3362" s="515"/>
      <c r="Z3362" s="437"/>
      <c r="AA3362" s="310"/>
    </row>
    <row r="3363" spans="1:27" ht="26.25" x14ac:dyDescent="0.4">
      <c r="A3363" s="311"/>
      <c r="C3363" s="515"/>
      <c r="D3363" s="515"/>
      <c r="F3363" s="515"/>
      <c r="G3363" s="515"/>
      <c r="I3363" s="515"/>
      <c r="T3363" s="515"/>
      <c r="W3363" s="515"/>
      <c r="Z3363" s="437"/>
      <c r="AA3363" s="310"/>
    </row>
    <row r="3364" spans="1:27" ht="26.25" x14ac:dyDescent="0.4">
      <c r="A3364" s="311"/>
      <c r="C3364" s="515"/>
      <c r="D3364" s="515"/>
      <c r="F3364" s="515"/>
      <c r="G3364" s="515"/>
      <c r="I3364" s="515"/>
      <c r="T3364" s="515"/>
      <c r="W3364" s="515"/>
      <c r="Z3364" s="437"/>
      <c r="AA3364" s="310"/>
    </row>
    <row r="3365" spans="1:27" ht="26.25" x14ac:dyDescent="0.4">
      <c r="A3365" s="311"/>
      <c r="C3365" s="515"/>
      <c r="D3365" s="515"/>
      <c r="F3365" s="515"/>
      <c r="G3365" s="515"/>
      <c r="I3365" s="515"/>
      <c r="T3365" s="515"/>
      <c r="W3365" s="515"/>
      <c r="Z3365" s="437"/>
      <c r="AA3365" s="310"/>
    </row>
    <row r="3366" spans="1:27" ht="26.25" x14ac:dyDescent="0.4">
      <c r="A3366" s="311"/>
      <c r="C3366" s="515"/>
      <c r="D3366" s="515"/>
      <c r="F3366" s="515"/>
      <c r="G3366" s="515"/>
      <c r="I3366" s="515"/>
      <c r="T3366" s="515"/>
      <c r="W3366" s="515"/>
      <c r="Z3366" s="437"/>
      <c r="AA3366" s="310"/>
    </row>
    <row r="3367" spans="1:27" ht="26.25" x14ac:dyDescent="0.4">
      <c r="A3367" s="311"/>
      <c r="C3367" s="515"/>
      <c r="D3367" s="515"/>
      <c r="F3367" s="515"/>
      <c r="G3367" s="515"/>
      <c r="I3367" s="515"/>
      <c r="T3367" s="515"/>
      <c r="W3367" s="515"/>
      <c r="Z3367" s="437"/>
      <c r="AA3367" s="310"/>
    </row>
    <row r="3368" spans="1:27" ht="26.25" x14ac:dyDescent="0.4">
      <c r="A3368" s="311"/>
      <c r="C3368" s="515"/>
      <c r="D3368" s="515"/>
      <c r="F3368" s="515"/>
      <c r="G3368" s="515"/>
      <c r="I3368" s="515"/>
      <c r="T3368" s="515"/>
      <c r="W3368" s="515"/>
      <c r="Z3368" s="437"/>
      <c r="AA3368" s="310"/>
    </row>
    <row r="3369" spans="1:27" ht="26.25" x14ac:dyDescent="0.4">
      <c r="A3369" s="311"/>
      <c r="C3369" s="515"/>
      <c r="D3369" s="515"/>
      <c r="F3369" s="515"/>
      <c r="G3369" s="515"/>
      <c r="I3369" s="515"/>
      <c r="T3369" s="515"/>
      <c r="W3369" s="515"/>
      <c r="Z3369" s="437"/>
      <c r="AA3369" s="310"/>
    </row>
    <row r="3370" spans="1:27" ht="26.25" x14ac:dyDescent="0.4">
      <c r="A3370" s="311"/>
      <c r="C3370" s="515"/>
      <c r="D3370" s="515"/>
      <c r="F3370" s="515"/>
      <c r="G3370" s="515"/>
      <c r="I3370" s="515"/>
      <c r="T3370" s="515"/>
      <c r="W3370" s="515"/>
      <c r="Z3370" s="437"/>
      <c r="AA3370" s="310"/>
    </row>
    <row r="3371" spans="1:27" ht="26.25" x14ac:dyDescent="0.4">
      <c r="A3371" s="311"/>
      <c r="C3371" s="515"/>
      <c r="D3371" s="515"/>
      <c r="F3371" s="515"/>
      <c r="G3371" s="515"/>
      <c r="I3371" s="515"/>
      <c r="T3371" s="515"/>
      <c r="W3371" s="515"/>
      <c r="Z3371" s="437"/>
      <c r="AA3371" s="310"/>
    </row>
    <row r="3372" spans="1:27" ht="26.25" x14ac:dyDescent="0.4">
      <c r="A3372" s="311"/>
      <c r="C3372" s="515"/>
      <c r="D3372" s="515"/>
      <c r="F3372" s="515"/>
      <c r="G3372" s="515"/>
      <c r="I3372" s="515"/>
      <c r="T3372" s="515"/>
      <c r="W3372" s="515"/>
      <c r="Z3372" s="437"/>
      <c r="AA3372" s="310"/>
    </row>
    <row r="3373" spans="1:27" ht="26.25" x14ac:dyDescent="0.4">
      <c r="A3373" s="311"/>
      <c r="C3373" s="515"/>
      <c r="D3373" s="515"/>
      <c r="F3373" s="515"/>
      <c r="G3373" s="515"/>
      <c r="I3373" s="515"/>
      <c r="T3373" s="515"/>
      <c r="W3373" s="515"/>
      <c r="Z3373" s="437"/>
      <c r="AA3373" s="310"/>
    </row>
    <row r="3374" spans="1:27" ht="26.25" x14ac:dyDescent="0.4">
      <c r="A3374" s="311"/>
      <c r="C3374" s="515"/>
      <c r="D3374" s="515"/>
      <c r="F3374" s="515"/>
      <c r="G3374" s="515"/>
      <c r="I3374" s="515"/>
      <c r="T3374" s="515"/>
      <c r="W3374" s="515"/>
      <c r="Z3374" s="437"/>
      <c r="AA3374" s="310"/>
    </row>
    <row r="3375" spans="1:27" ht="26.25" x14ac:dyDescent="0.4">
      <c r="A3375" s="311"/>
      <c r="C3375" s="515"/>
      <c r="D3375" s="515"/>
      <c r="F3375" s="515"/>
      <c r="G3375" s="515"/>
      <c r="I3375" s="515"/>
      <c r="T3375" s="515"/>
      <c r="W3375" s="515"/>
      <c r="Z3375" s="437"/>
      <c r="AA3375" s="310"/>
    </row>
    <row r="3376" spans="1:27" ht="26.25" x14ac:dyDescent="0.4">
      <c r="A3376" s="311"/>
      <c r="C3376" s="515"/>
      <c r="D3376" s="515"/>
      <c r="F3376" s="515"/>
      <c r="G3376" s="515"/>
      <c r="I3376" s="515"/>
      <c r="T3376" s="515"/>
      <c r="W3376" s="515"/>
      <c r="Z3376" s="437"/>
      <c r="AA3376" s="310"/>
    </row>
    <row r="3377" spans="1:27" ht="26.25" x14ac:dyDescent="0.4">
      <c r="A3377" s="311"/>
      <c r="C3377" s="515"/>
      <c r="D3377" s="515"/>
      <c r="F3377" s="515"/>
      <c r="G3377" s="515"/>
      <c r="I3377" s="515"/>
      <c r="T3377" s="515"/>
      <c r="W3377" s="515"/>
      <c r="Z3377" s="437"/>
      <c r="AA3377" s="310"/>
    </row>
    <row r="3378" spans="1:27" ht="26.25" x14ac:dyDescent="0.4">
      <c r="A3378" s="311"/>
      <c r="C3378" s="515"/>
      <c r="D3378" s="515"/>
      <c r="F3378" s="515"/>
      <c r="G3378" s="515"/>
      <c r="I3378" s="515"/>
      <c r="T3378" s="515"/>
      <c r="W3378" s="515"/>
      <c r="Z3378" s="437"/>
      <c r="AA3378" s="310"/>
    </row>
    <row r="3379" spans="1:27" ht="26.25" x14ac:dyDescent="0.4">
      <c r="A3379" s="311"/>
      <c r="C3379" s="515"/>
      <c r="D3379" s="515"/>
      <c r="F3379" s="515"/>
      <c r="G3379" s="515"/>
      <c r="I3379" s="515"/>
      <c r="T3379" s="515"/>
      <c r="W3379" s="515"/>
      <c r="Z3379" s="437"/>
      <c r="AA3379" s="310"/>
    </row>
    <row r="3380" spans="1:27" ht="26.25" x14ac:dyDescent="0.4">
      <c r="A3380" s="311"/>
      <c r="C3380" s="515"/>
      <c r="D3380" s="515"/>
      <c r="F3380" s="515"/>
      <c r="G3380" s="515"/>
      <c r="I3380" s="515"/>
      <c r="T3380" s="515"/>
      <c r="W3380" s="515"/>
      <c r="Z3380" s="437"/>
      <c r="AA3380" s="310"/>
    </row>
    <row r="3381" spans="1:27" ht="26.25" x14ac:dyDescent="0.4">
      <c r="A3381" s="311"/>
      <c r="C3381" s="515"/>
      <c r="D3381" s="515"/>
      <c r="F3381" s="515"/>
      <c r="G3381" s="515"/>
      <c r="I3381" s="515"/>
      <c r="T3381" s="515"/>
      <c r="W3381" s="515"/>
      <c r="Z3381" s="437"/>
      <c r="AA3381" s="310"/>
    </row>
    <row r="3382" spans="1:27" ht="26.25" x14ac:dyDescent="0.4">
      <c r="A3382" s="311"/>
      <c r="C3382" s="515"/>
      <c r="D3382" s="515"/>
      <c r="F3382" s="515"/>
      <c r="G3382" s="515"/>
      <c r="I3382" s="515"/>
      <c r="T3382" s="515"/>
      <c r="W3382" s="515"/>
      <c r="Z3382" s="437"/>
      <c r="AA3382" s="310"/>
    </row>
    <row r="3383" spans="1:27" ht="26.25" x14ac:dyDescent="0.4">
      <c r="A3383" s="311"/>
      <c r="C3383" s="515"/>
      <c r="D3383" s="515"/>
      <c r="F3383" s="515"/>
      <c r="G3383" s="515"/>
      <c r="I3383" s="515"/>
      <c r="T3383" s="515"/>
      <c r="W3383" s="515"/>
      <c r="Z3383" s="437"/>
      <c r="AA3383" s="310"/>
    </row>
    <row r="3384" spans="1:27" ht="26.25" x14ac:dyDescent="0.4">
      <c r="A3384" s="311"/>
      <c r="C3384" s="515"/>
      <c r="D3384" s="515"/>
      <c r="F3384" s="515"/>
      <c r="G3384" s="515"/>
      <c r="I3384" s="515"/>
      <c r="T3384" s="515"/>
      <c r="W3384" s="515"/>
      <c r="Z3384" s="437"/>
      <c r="AA3384" s="310"/>
    </row>
    <row r="3385" spans="1:27" ht="26.25" x14ac:dyDescent="0.4">
      <c r="A3385" s="311"/>
      <c r="C3385" s="515"/>
      <c r="D3385" s="515"/>
      <c r="F3385" s="515"/>
      <c r="G3385" s="515"/>
      <c r="I3385" s="515"/>
      <c r="T3385" s="515"/>
      <c r="W3385" s="515"/>
      <c r="Z3385" s="437"/>
      <c r="AA3385" s="310"/>
    </row>
    <row r="3386" spans="1:27" ht="26.25" x14ac:dyDescent="0.4">
      <c r="A3386" s="311"/>
      <c r="C3386" s="515"/>
      <c r="D3386" s="515"/>
      <c r="F3386" s="515"/>
      <c r="G3386" s="515"/>
      <c r="I3386" s="515"/>
      <c r="T3386" s="515"/>
      <c r="W3386" s="515"/>
      <c r="Z3386" s="437"/>
      <c r="AA3386" s="310"/>
    </row>
    <row r="3387" spans="1:27" ht="26.25" x14ac:dyDescent="0.4">
      <c r="A3387" s="311"/>
      <c r="C3387" s="515"/>
      <c r="D3387" s="515"/>
      <c r="F3387" s="515"/>
      <c r="G3387" s="515"/>
      <c r="I3387" s="515"/>
      <c r="T3387" s="515"/>
      <c r="W3387" s="515"/>
      <c r="Z3387" s="437"/>
      <c r="AA3387" s="310"/>
    </row>
    <row r="3388" spans="1:27" ht="26.25" x14ac:dyDescent="0.4">
      <c r="A3388" s="311"/>
      <c r="C3388" s="515"/>
      <c r="D3388" s="515"/>
      <c r="F3388" s="515"/>
      <c r="G3388" s="515"/>
      <c r="I3388" s="515"/>
      <c r="T3388" s="515"/>
      <c r="W3388" s="515"/>
      <c r="Z3388" s="437"/>
      <c r="AA3388" s="310"/>
    </row>
    <row r="3389" spans="1:27" ht="26.25" x14ac:dyDescent="0.4">
      <c r="A3389" s="311"/>
      <c r="C3389" s="515"/>
      <c r="D3389" s="515"/>
      <c r="F3389" s="515"/>
      <c r="G3389" s="515"/>
      <c r="I3389" s="515"/>
      <c r="T3389" s="515"/>
      <c r="W3389" s="515"/>
      <c r="Z3389" s="437"/>
      <c r="AA3389" s="310"/>
    </row>
    <row r="3390" spans="1:27" ht="26.25" x14ac:dyDescent="0.4">
      <c r="A3390" s="311"/>
      <c r="C3390" s="515"/>
      <c r="D3390" s="515"/>
      <c r="F3390" s="515"/>
      <c r="G3390" s="515"/>
      <c r="I3390" s="515"/>
      <c r="T3390" s="515"/>
      <c r="W3390" s="515"/>
      <c r="Z3390" s="437"/>
      <c r="AA3390" s="310"/>
    </row>
    <row r="3391" spans="1:27" ht="26.25" x14ac:dyDescent="0.4">
      <c r="A3391" s="311"/>
      <c r="C3391" s="515"/>
      <c r="D3391" s="515"/>
      <c r="F3391" s="515"/>
      <c r="G3391" s="515"/>
      <c r="I3391" s="515"/>
      <c r="T3391" s="515"/>
      <c r="W3391" s="515"/>
      <c r="Z3391" s="437"/>
      <c r="AA3391" s="310"/>
    </row>
    <row r="3392" spans="1:27" ht="26.25" x14ac:dyDescent="0.4">
      <c r="A3392" s="311"/>
      <c r="C3392" s="515"/>
      <c r="D3392" s="515"/>
      <c r="F3392" s="515"/>
      <c r="G3392" s="515"/>
      <c r="I3392" s="515"/>
      <c r="T3392" s="515"/>
      <c r="W3392" s="515"/>
      <c r="Z3392" s="437"/>
      <c r="AA3392" s="310"/>
    </row>
    <row r="3393" spans="1:27" ht="26.25" x14ac:dyDescent="0.4">
      <c r="A3393" s="311"/>
      <c r="C3393" s="515"/>
      <c r="D3393" s="515"/>
      <c r="F3393" s="515"/>
      <c r="G3393" s="515"/>
      <c r="I3393" s="515"/>
      <c r="T3393" s="515"/>
      <c r="W3393" s="515"/>
      <c r="Z3393" s="437"/>
      <c r="AA3393" s="310"/>
    </row>
    <row r="3394" spans="1:27" ht="26.25" x14ac:dyDescent="0.4">
      <c r="A3394" s="311"/>
      <c r="C3394" s="515"/>
      <c r="D3394" s="515"/>
      <c r="F3394" s="515"/>
      <c r="G3394" s="515"/>
      <c r="I3394" s="515"/>
      <c r="T3394" s="515"/>
      <c r="W3394" s="515"/>
      <c r="Z3394" s="437"/>
      <c r="AA3394" s="310"/>
    </row>
    <row r="3395" spans="1:27" ht="26.25" x14ac:dyDescent="0.4">
      <c r="A3395" s="311"/>
      <c r="C3395" s="515"/>
      <c r="D3395" s="515"/>
      <c r="F3395" s="515"/>
      <c r="G3395" s="515"/>
      <c r="I3395" s="515"/>
      <c r="T3395" s="515"/>
      <c r="W3395" s="515"/>
      <c r="Z3395" s="437"/>
      <c r="AA3395" s="310"/>
    </row>
    <row r="3396" spans="1:27" ht="26.25" x14ac:dyDescent="0.4">
      <c r="A3396" s="311"/>
      <c r="C3396" s="515"/>
      <c r="D3396" s="515"/>
      <c r="F3396" s="515"/>
      <c r="G3396" s="515"/>
      <c r="I3396" s="515"/>
      <c r="T3396" s="515"/>
      <c r="W3396" s="515"/>
      <c r="Z3396" s="437"/>
      <c r="AA3396" s="310"/>
    </row>
    <row r="3397" spans="1:27" ht="26.25" x14ac:dyDescent="0.4">
      <c r="A3397" s="311"/>
      <c r="C3397" s="515"/>
      <c r="D3397" s="515"/>
      <c r="F3397" s="515"/>
      <c r="G3397" s="515"/>
      <c r="I3397" s="515"/>
      <c r="T3397" s="515"/>
      <c r="W3397" s="515"/>
      <c r="Z3397" s="437"/>
      <c r="AA3397" s="310"/>
    </row>
    <row r="3398" spans="1:27" ht="26.25" x14ac:dyDescent="0.4">
      <c r="A3398" s="311"/>
      <c r="C3398" s="515"/>
      <c r="D3398" s="515"/>
      <c r="F3398" s="515"/>
      <c r="G3398" s="515"/>
      <c r="I3398" s="515"/>
      <c r="T3398" s="515"/>
      <c r="W3398" s="515"/>
      <c r="Z3398" s="437"/>
      <c r="AA3398" s="310"/>
    </row>
    <row r="3399" spans="1:27" ht="26.25" x14ac:dyDescent="0.4">
      <c r="A3399" s="311"/>
      <c r="C3399" s="515"/>
      <c r="D3399" s="515"/>
      <c r="F3399" s="515"/>
      <c r="G3399" s="515"/>
      <c r="I3399" s="515"/>
      <c r="T3399" s="515"/>
      <c r="W3399" s="515"/>
      <c r="Z3399" s="437"/>
      <c r="AA3399" s="310"/>
    </row>
    <row r="3400" spans="1:27" ht="26.25" x14ac:dyDescent="0.4">
      <c r="A3400" s="311"/>
      <c r="C3400" s="515"/>
      <c r="D3400" s="515"/>
      <c r="F3400" s="515"/>
      <c r="G3400" s="515"/>
      <c r="I3400" s="515"/>
      <c r="T3400" s="515"/>
      <c r="W3400" s="515"/>
      <c r="Z3400" s="437"/>
      <c r="AA3400" s="310"/>
    </row>
    <row r="3401" spans="1:27" ht="26.25" x14ac:dyDescent="0.4">
      <c r="A3401" s="311"/>
      <c r="C3401" s="515"/>
      <c r="D3401" s="515"/>
      <c r="F3401" s="515"/>
      <c r="G3401" s="515"/>
      <c r="I3401" s="515"/>
      <c r="T3401" s="515"/>
      <c r="W3401" s="515"/>
      <c r="Z3401" s="437"/>
      <c r="AA3401" s="310"/>
    </row>
    <row r="3402" spans="1:27" ht="26.25" x14ac:dyDescent="0.4">
      <c r="A3402" s="311"/>
      <c r="C3402" s="515"/>
      <c r="D3402" s="515"/>
      <c r="F3402" s="515"/>
      <c r="G3402" s="515"/>
      <c r="I3402" s="515"/>
      <c r="T3402" s="515"/>
      <c r="W3402" s="515"/>
      <c r="Z3402" s="437"/>
      <c r="AA3402" s="310"/>
    </row>
    <row r="3403" spans="1:27" ht="26.25" x14ac:dyDescent="0.4">
      <c r="A3403" s="311"/>
      <c r="C3403" s="515"/>
      <c r="D3403" s="515"/>
      <c r="F3403" s="515"/>
      <c r="G3403" s="515"/>
      <c r="I3403" s="515"/>
      <c r="T3403" s="515"/>
      <c r="W3403" s="515"/>
      <c r="Z3403" s="437"/>
      <c r="AA3403" s="310"/>
    </row>
    <row r="3404" spans="1:27" ht="26.25" x14ac:dyDescent="0.4">
      <c r="A3404" s="311"/>
      <c r="C3404" s="515"/>
      <c r="D3404" s="515"/>
      <c r="F3404" s="515"/>
      <c r="G3404" s="515"/>
      <c r="I3404" s="515"/>
      <c r="T3404" s="515"/>
      <c r="W3404" s="515"/>
      <c r="Z3404" s="437"/>
      <c r="AA3404" s="310"/>
    </row>
    <row r="3405" spans="1:27" ht="26.25" x14ac:dyDescent="0.4">
      <c r="A3405" s="311"/>
      <c r="C3405" s="515"/>
      <c r="D3405" s="515"/>
      <c r="F3405" s="515"/>
      <c r="G3405" s="515"/>
      <c r="I3405" s="515"/>
      <c r="T3405" s="515"/>
      <c r="W3405" s="515"/>
      <c r="Z3405" s="437"/>
      <c r="AA3405" s="310"/>
    </row>
    <row r="3406" spans="1:27" ht="26.25" x14ac:dyDescent="0.4">
      <c r="A3406" s="311"/>
      <c r="C3406" s="515"/>
      <c r="D3406" s="515"/>
      <c r="F3406" s="515"/>
      <c r="G3406" s="515"/>
      <c r="I3406" s="515"/>
      <c r="T3406" s="515"/>
      <c r="W3406" s="515"/>
      <c r="Z3406" s="437"/>
      <c r="AA3406" s="310"/>
    </row>
    <row r="3407" spans="1:27" ht="26.25" x14ac:dyDescent="0.4">
      <c r="A3407" s="311"/>
      <c r="C3407" s="515"/>
      <c r="D3407" s="515"/>
      <c r="F3407" s="515"/>
      <c r="G3407" s="515"/>
      <c r="I3407" s="515"/>
      <c r="T3407" s="515"/>
      <c r="W3407" s="515"/>
      <c r="Z3407" s="437"/>
      <c r="AA3407" s="310"/>
    </row>
    <row r="3408" spans="1:27" ht="26.25" x14ac:dyDescent="0.4">
      <c r="A3408" s="311"/>
      <c r="C3408" s="515"/>
      <c r="D3408" s="515"/>
      <c r="F3408" s="515"/>
      <c r="G3408" s="515"/>
      <c r="I3408" s="515"/>
      <c r="T3408" s="515"/>
      <c r="W3408" s="515"/>
      <c r="Z3408" s="437"/>
      <c r="AA3408" s="310"/>
    </row>
    <row r="3409" spans="1:27" ht="26.25" x14ac:dyDescent="0.4">
      <c r="A3409" s="311"/>
      <c r="C3409" s="515"/>
      <c r="D3409" s="515"/>
      <c r="F3409" s="515"/>
      <c r="G3409" s="515"/>
      <c r="I3409" s="515"/>
      <c r="T3409" s="515"/>
      <c r="W3409" s="515"/>
      <c r="Z3409" s="437"/>
      <c r="AA3409" s="310"/>
    </row>
    <row r="3410" spans="1:27" ht="26.25" x14ac:dyDescent="0.4">
      <c r="A3410" s="311"/>
      <c r="C3410" s="515"/>
      <c r="D3410" s="515"/>
      <c r="F3410" s="515"/>
      <c r="G3410" s="515"/>
      <c r="I3410" s="515"/>
      <c r="T3410" s="515"/>
      <c r="W3410" s="515"/>
      <c r="Z3410" s="437"/>
      <c r="AA3410" s="310"/>
    </row>
    <row r="3411" spans="1:27" ht="26.25" x14ac:dyDescent="0.4">
      <c r="A3411" s="311"/>
      <c r="C3411" s="515"/>
      <c r="D3411" s="515"/>
      <c r="F3411" s="515"/>
      <c r="G3411" s="515"/>
      <c r="I3411" s="515"/>
      <c r="T3411" s="515"/>
      <c r="W3411" s="515"/>
      <c r="Z3411" s="437"/>
      <c r="AA3411" s="310"/>
    </row>
    <row r="3412" spans="1:27" ht="26.25" x14ac:dyDescent="0.4">
      <c r="A3412" s="311"/>
      <c r="C3412" s="515"/>
      <c r="D3412" s="515"/>
      <c r="F3412" s="515"/>
      <c r="G3412" s="515"/>
      <c r="I3412" s="515"/>
      <c r="T3412" s="515"/>
      <c r="W3412" s="515"/>
      <c r="Z3412" s="437"/>
      <c r="AA3412" s="310"/>
    </row>
    <row r="3413" spans="1:27" ht="26.25" x14ac:dyDescent="0.4">
      <c r="A3413" s="311"/>
      <c r="C3413" s="515"/>
      <c r="D3413" s="515"/>
      <c r="F3413" s="515"/>
      <c r="G3413" s="515"/>
      <c r="I3413" s="515"/>
      <c r="T3413" s="515"/>
      <c r="W3413" s="515"/>
      <c r="Z3413" s="437"/>
      <c r="AA3413" s="310"/>
    </row>
    <row r="3414" spans="1:27" ht="26.25" x14ac:dyDescent="0.4">
      <c r="A3414" s="311"/>
      <c r="C3414" s="515"/>
      <c r="D3414" s="515"/>
      <c r="F3414" s="515"/>
      <c r="G3414" s="515"/>
      <c r="I3414" s="515"/>
      <c r="T3414" s="515"/>
      <c r="W3414" s="515"/>
      <c r="Z3414" s="437"/>
      <c r="AA3414" s="310"/>
    </row>
    <row r="3415" spans="1:27" ht="26.25" x14ac:dyDescent="0.4">
      <c r="A3415" s="311"/>
      <c r="C3415" s="515"/>
      <c r="D3415" s="515"/>
      <c r="F3415" s="515"/>
      <c r="G3415" s="515"/>
      <c r="I3415" s="515"/>
      <c r="T3415" s="515"/>
      <c r="W3415" s="515"/>
      <c r="Z3415" s="437"/>
      <c r="AA3415" s="310"/>
    </row>
    <row r="3416" spans="1:27" ht="26.25" x14ac:dyDescent="0.4">
      <c r="A3416" s="311"/>
      <c r="C3416" s="515"/>
      <c r="D3416" s="515"/>
      <c r="F3416" s="515"/>
      <c r="G3416" s="515"/>
      <c r="I3416" s="515"/>
      <c r="T3416" s="515"/>
      <c r="W3416" s="515"/>
      <c r="Z3416" s="437"/>
      <c r="AA3416" s="310"/>
    </row>
    <row r="3417" spans="1:27" ht="26.25" x14ac:dyDescent="0.4">
      <c r="A3417" s="311"/>
      <c r="C3417" s="515"/>
      <c r="D3417" s="515"/>
      <c r="F3417" s="515"/>
      <c r="G3417" s="515"/>
      <c r="I3417" s="515"/>
      <c r="T3417" s="515"/>
      <c r="W3417" s="515"/>
      <c r="Z3417" s="437"/>
      <c r="AA3417" s="310"/>
    </row>
    <row r="3418" spans="1:27" ht="26.25" x14ac:dyDescent="0.4">
      <c r="A3418" s="311"/>
      <c r="C3418" s="515"/>
      <c r="D3418" s="515"/>
      <c r="F3418" s="515"/>
      <c r="G3418" s="515"/>
      <c r="I3418" s="515"/>
      <c r="T3418" s="515"/>
      <c r="W3418" s="515"/>
      <c r="Z3418" s="437"/>
      <c r="AA3418" s="310"/>
    </row>
    <row r="3419" spans="1:27" ht="26.25" x14ac:dyDescent="0.4">
      <c r="A3419" s="311"/>
      <c r="C3419" s="515"/>
      <c r="D3419" s="515"/>
      <c r="F3419" s="515"/>
      <c r="G3419" s="515"/>
      <c r="I3419" s="515"/>
      <c r="T3419" s="515"/>
      <c r="W3419" s="515"/>
      <c r="Z3419" s="437"/>
      <c r="AA3419" s="310"/>
    </row>
    <row r="3420" spans="1:27" ht="26.25" x14ac:dyDescent="0.4">
      <c r="A3420" s="311"/>
      <c r="C3420" s="515"/>
      <c r="D3420" s="515"/>
      <c r="F3420" s="515"/>
      <c r="G3420" s="515"/>
      <c r="I3420" s="515"/>
      <c r="T3420" s="515"/>
      <c r="W3420" s="515"/>
      <c r="Z3420" s="437"/>
      <c r="AA3420" s="310"/>
    </row>
    <row r="3421" spans="1:27" ht="26.25" x14ac:dyDescent="0.4">
      <c r="A3421" s="311"/>
      <c r="C3421" s="515"/>
      <c r="D3421" s="515"/>
      <c r="F3421" s="515"/>
      <c r="G3421" s="515"/>
      <c r="I3421" s="515"/>
      <c r="T3421" s="515"/>
      <c r="W3421" s="515"/>
      <c r="Z3421" s="437"/>
      <c r="AA3421" s="310"/>
    </row>
    <row r="3422" spans="1:27" ht="26.25" x14ac:dyDescent="0.4">
      <c r="A3422" s="311"/>
      <c r="C3422" s="515"/>
      <c r="D3422" s="515"/>
      <c r="F3422" s="515"/>
      <c r="G3422" s="515"/>
      <c r="I3422" s="515"/>
      <c r="T3422" s="515"/>
      <c r="W3422" s="515"/>
      <c r="Z3422" s="437"/>
      <c r="AA3422" s="310"/>
    </row>
    <row r="3423" spans="1:27" ht="26.25" x14ac:dyDescent="0.4">
      <c r="A3423" s="311"/>
      <c r="C3423" s="515"/>
      <c r="D3423" s="515"/>
      <c r="F3423" s="515"/>
      <c r="G3423" s="515"/>
      <c r="I3423" s="515"/>
      <c r="T3423" s="515"/>
      <c r="W3423" s="515"/>
      <c r="Z3423" s="437"/>
      <c r="AA3423" s="310"/>
    </row>
    <row r="3424" spans="1:27" ht="26.25" x14ac:dyDescent="0.4">
      <c r="A3424" s="311"/>
      <c r="C3424" s="515"/>
      <c r="D3424" s="515"/>
      <c r="F3424" s="515"/>
      <c r="G3424" s="515"/>
      <c r="I3424" s="515"/>
      <c r="T3424" s="515"/>
      <c r="W3424" s="515"/>
      <c r="Z3424" s="437"/>
      <c r="AA3424" s="310"/>
    </row>
    <row r="3425" spans="1:27" ht="26.25" x14ac:dyDescent="0.4">
      <c r="A3425" s="311"/>
      <c r="C3425" s="515"/>
      <c r="D3425" s="515"/>
      <c r="F3425" s="515"/>
      <c r="G3425" s="515"/>
      <c r="I3425" s="515"/>
      <c r="T3425" s="515"/>
      <c r="W3425" s="515"/>
      <c r="Z3425" s="437"/>
      <c r="AA3425" s="310"/>
    </row>
    <row r="3426" spans="1:27" ht="26.25" x14ac:dyDescent="0.4">
      <c r="A3426" s="311"/>
      <c r="C3426" s="515"/>
      <c r="D3426" s="515"/>
      <c r="F3426" s="515"/>
      <c r="G3426" s="515"/>
      <c r="I3426" s="515"/>
      <c r="T3426" s="515"/>
      <c r="W3426" s="515"/>
      <c r="Z3426" s="437"/>
      <c r="AA3426" s="310"/>
    </row>
    <row r="3427" spans="1:27" ht="26.25" x14ac:dyDescent="0.4">
      <c r="A3427" s="311"/>
      <c r="C3427" s="515"/>
      <c r="D3427" s="515"/>
      <c r="F3427" s="515"/>
      <c r="G3427" s="515"/>
      <c r="I3427" s="515"/>
      <c r="T3427" s="515"/>
      <c r="W3427" s="515"/>
      <c r="Z3427" s="437"/>
      <c r="AA3427" s="310"/>
    </row>
    <row r="3428" spans="1:27" ht="26.25" x14ac:dyDescent="0.4">
      <c r="A3428" s="311"/>
      <c r="C3428" s="515"/>
      <c r="D3428" s="515"/>
      <c r="F3428" s="515"/>
      <c r="G3428" s="515"/>
      <c r="I3428" s="515"/>
      <c r="T3428" s="515"/>
      <c r="W3428" s="515"/>
      <c r="Z3428" s="437"/>
      <c r="AA3428" s="310"/>
    </row>
    <row r="3429" spans="1:27" ht="26.25" x14ac:dyDescent="0.4">
      <c r="A3429" s="311"/>
      <c r="C3429" s="515"/>
      <c r="D3429" s="515"/>
      <c r="F3429" s="515"/>
      <c r="G3429" s="515"/>
      <c r="I3429" s="515"/>
      <c r="T3429" s="515"/>
      <c r="W3429" s="515"/>
      <c r="Z3429" s="437"/>
      <c r="AA3429" s="310"/>
    </row>
    <row r="3430" spans="1:27" ht="26.25" x14ac:dyDescent="0.4">
      <c r="A3430" s="311"/>
      <c r="C3430" s="515"/>
      <c r="D3430" s="515"/>
      <c r="F3430" s="515"/>
      <c r="G3430" s="515"/>
      <c r="I3430" s="515"/>
      <c r="T3430" s="515"/>
      <c r="W3430" s="515"/>
      <c r="Z3430" s="437"/>
      <c r="AA3430" s="310"/>
    </row>
    <row r="3431" spans="1:27" ht="26.25" x14ac:dyDescent="0.4">
      <c r="A3431" s="311"/>
      <c r="C3431" s="515"/>
      <c r="D3431" s="515"/>
      <c r="F3431" s="515"/>
      <c r="G3431" s="515"/>
      <c r="I3431" s="515"/>
      <c r="T3431" s="515"/>
      <c r="W3431" s="515"/>
      <c r="Z3431" s="437"/>
      <c r="AA3431" s="310"/>
    </row>
    <row r="3432" spans="1:27" ht="26.25" x14ac:dyDescent="0.4">
      <c r="A3432" s="311"/>
      <c r="C3432" s="515"/>
      <c r="D3432" s="515"/>
      <c r="F3432" s="515"/>
      <c r="G3432" s="515"/>
      <c r="I3432" s="515"/>
      <c r="T3432" s="515"/>
      <c r="W3432" s="515"/>
      <c r="Z3432" s="437"/>
      <c r="AA3432" s="310"/>
    </row>
    <row r="3433" spans="1:27" ht="26.25" x14ac:dyDescent="0.4">
      <c r="A3433" s="311"/>
      <c r="C3433" s="515"/>
      <c r="D3433" s="515"/>
      <c r="F3433" s="515"/>
      <c r="G3433" s="515"/>
      <c r="I3433" s="515"/>
      <c r="T3433" s="515"/>
      <c r="W3433" s="515"/>
      <c r="Z3433" s="437"/>
      <c r="AA3433" s="310"/>
    </row>
    <row r="3434" spans="1:27" ht="26.25" x14ac:dyDescent="0.4">
      <c r="A3434" s="311"/>
      <c r="C3434" s="515"/>
      <c r="D3434" s="515"/>
      <c r="F3434" s="515"/>
      <c r="G3434" s="515"/>
      <c r="I3434" s="515"/>
      <c r="T3434" s="515"/>
      <c r="W3434" s="515"/>
      <c r="Z3434" s="437"/>
      <c r="AA3434" s="310"/>
    </row>
    <row r="3435" spans="1:27" ht="26.25" x14ac:dyDescent="0.4">
      <c r="A3435" s="311"/>
      <c r="C3435" s="515"/>
      <c r="D3435" s="515"/>
      <c r="F3435" s="515"/>
      <c r="G3435" s="515"/>
      <c r="I3435" s="515"/>
      <c r="T3435" s="515"/>
      <c r="W3435" s="515"/>
      <c r="Z3435" s="437"/>
      <c r="AA3435" s="310"/>
    </row>
    <row r="3436" spans="1:27" ht="26.25" x14ac:dyDescent="0.4">
      <c r="A3436" s="311"/>
      <c r="C3436" s="515"/>
      <c r="D3436" s="515"/>
      <c r="F3436" s="515"/>
      <c r="G3436" s="515"/>
      <c r="I3436" s="515"/>
      <c r="T3436" s="515"/>
      <c r="W3436" s="515"/>
      <c r="Z3436" s="437"/>
      <c r="AA3436" s="310"/>
    </row>
    <row r="3437" spans="1:27" ht="26.25" x14ac:dyDescent="0.4">
      <c r="A3437" s="311"/>
      <c r="C3437" s="515"/>
      <c r="D3437" s="515"/>
      <c r="F3437" s="515"/>
      <c r="G3437" s="515"/>
      <c r="I3437" s="515"/>
      <c r="T3437" s="515"/>
      <c r="W3437" s="515"/>
      <c r="Z3437" s="437"/>
      <c r="AA3437" s="310"/>
    </row>
    <row r="3438" spans="1:27" ht="26.25" x14ac:dyDescent="0.4">
      <c r="A3438" s="311"/>
      <c r="C3438" s="515"/>
      <c r="D3438" s="515"/>
      <c r="F3438" s="515"/>
      <c r="G3438" s="515"/>
      <c r="I3438" s="515"/>
      <c r="T3438" s="515"/>
      <c r="W3438" s="515"/>
      <c r="Z3438" s="437"/>
      <c r="AA3438" s="310"/>
    </row>
    <row r="3439" spans="1:27" ht="26.25" x14ac:dyDescent="0.4">
      <c r="A3439" s="311"/>
      <c r="C3439" s="515"/>
      <c r="D3439" s="515"/>
      <c r="F3439" s="515"/>
      <c r="G3439" s="515"/>
      <c r="I3439" s="515"/>
      <c r="T3439" s="515"/>
      <c r="W3439" s="515"/>
      <c r="Z3439" s="437"/>
      <c r="AA3439" s="310"/>
    </row>
    <row r="3440" spans="1:27" ht="26.25" x14ac:dyDescent="0.4">
      <c r="A3440" s="311"/>
      <c r="C3440" s="515"/>
      <c r="D3440" s="515"/>
      <c r="F3440" s="515"/>
      <c r="G3440" s="515"/>
      <c r="I3440" s="515"/>
      <c r="T3440" s="515"/>
      <c r="W3440" s="515"/>
      <c r="Z3440" s="437"/>
      <c r="AA3440" s="310"/>
    </row>
    <row r="3441" spans="1:27" ht="26.25" x14ac:dyDescent="0.4">
      <c r="A3441" s="311"/>
      <c r="C3441" s="515"/>
      <c r="D3441" s="515"/>
      <c r="F3441" s="515"/>
      <c r="G3441" s="515"/>
      <c r="I3441" s="515"/>
      <c r="T3441" s="515"/>
      <c r="W3441" s="515"/>
      <c r="Z3441" s="437"/>
      <c r="AA3441" s="310"/>
    </row>
    <row r="3442" spans="1:27" ht="26.25" x14ac:dyDescent="0.4">
      <c r="A3442" s="311"/>
      <c r="C3442" s="515"/>
      <c r="D3442" s="515"/>
      <c r="F3442" s="515"/>
      <c r="G3442" s="515"/>
      <c r="I3442" s="515"/>
      <c r="T3442" s="515"/>
      <c r="W3442" s="515"/>
      <c r="Z3442" s="437"/>
      <c r="AA3442" s="310"/>
    </row>
    <row r="3443" spans="1:27" ht="26.25" x14ac:dyDescent="0.4">
      <c r="A3443" s="311"/>
      <c r="C3443" s="515"/>
      <c r="D3443" s="515"/>
      <c r="F3443" s="515"/>
      <c r="G3443" s="515"/>
      <c r="I3443" s="515"/>
      <c r="T3443" s="515"/>
      <c r="W3443" s="515"/>
      <c r="Z3443" s="437"/>
      <c r="AA3443" s="310"/>
    </row>
    <row r="3444" spans="1:27" ht="26.25" x14ac:dyDescent="0.4">
      <c r="A3444" s="311"/>
      <c r="C3444" s="515"/>
      <c r="D3444" s="515"/>
      <c r="F3444" s="515"/>
      <c r="G3444" s="515"/>
      <c r="I3444" s="515"/>
      <c r="T3444" s="515"/>
      <c r="W3444" s="515"/>
      <c r="Z3444" s="437"/>
      <c r="AA3444" s="310"/>
    </row>
    <row r="3445" spans="1:27" ht="26.25" x14ac:dyDescent="0.4">
      <c r="A3445" s="311"/>
      <c r="C3445" s="515"/>
      <c r="D3445" s="515"/>
      <c r="F3445" s="515"/>
      <c r="G3445" s="515"/>
      <c r="I3445" s="515"/>
      <c r="T3445" s="515"/>
      <c r="W3445" s="515"/>
      <c r="Z3445" s="437"/>
      <c r="AA3445" s="310"/>
    </row>
    <row r="3446" spans="1:27" ht="26.25" x14ac:dyDescent="0.4">
      <c r="A3446" s="311"/>
      <c r="C3446" s="515"/>
      <c r="D3446" s="515"/>
      <c r="F3446" s="515"/>
      <c r="G3446" s="515"/>
      <c r="I3446" s="515"/>
      <c r="T3446" s="515"/>
      <c r="W3446" s="515"/>
      <c r="Z3446" s="437"/>
      <c r="AA3446" s="310"/>
    </row>
    <row r="3447" spans="1:27" ht="26.25" x14ac:dyDescent="0.4">
      <c r="A3447" s="311"/>
      <c r="C3447" s="515"/>
      <c r="D3447" s="515"/>
      <c r="F3447" s="515"/>
      <c r="G3447" s="515"/>
      <c r="I3447" s="515"/>
      <c r="T3447" s="515"/>
      <c r="W3447" s="515"/>
      <c r="Z3447" s="437"/>
      <c r="AA3447" s="310"/>
    </row>
    <row r="3448" spans="1:27" ht="26.25" x14ac:dyDescent="0.4">
      <c r="A3448" s="311"/>
      <c r="C3448" s="515"/>
      <c r="D3448" s="515"/>
      <c r="F3448" s="515"/>
      <c r="G3448" s="515"/>
      <c r="I3448" s="515"/>
      <c r="T3448" s="515"/>
      <c r="W3448" s="515"/>
      <c r="Z3448" s="437"/>
      <c r="AA3448" s="310"/>
    </row>
    <row r="3449" spans="1:27" ht="26.25" x14ac:dyDescent="0.4">
      <c r="A3449" s="311"/>
      <c r="C3449" s="515"/>
      <c r="D3449" s="515"/>
      <c r="F3449" s="515"/>
      <c r="G3449" s="515"/>
      <c r="I3449" s="515"/>
      <c r="T3449" s="515"/>
      <c r="W3449" s="515"/>
      <c r="Z3449" s="437"/>
      <c r="AA3449" s="310"/>
    </row>
    <row r="3450" spans="1:27" ht="26.25" x14ac:dyDescent="0.4">
      <c r="A3450" s="311"/>
      <c r="C3450" s="515"/>
      <c r="D3450" s="515"/>
      <c r="F3450" s="515"/>
      <c r="G3450" s="515"/>
      <c r="I3450" s="515"/>
      <c r="T3450" s="515"/>
      <c r="W3450" s="515"/>
      <c r="Z3450" s="437"/>
      <c r="AA3450" s="310"/>
    </row>
    <row r="3451" spans="1:27" ht="26.25" x14ac:dyDescent="0.4">
      <c r="A3451" s="311"/>
      <c r="C3451" s="515"/>
      <c r="D3451" s="515"/>
      <c r="F3451" s="515"/>
      <c r="G3451" s="515"/>
      <c r="I3451" s="515"/>
      <c r="T3451" s="515"/>
      <c r="W3451" s="515"/>
      <c r="Z3451" s="437"/>
      <c r="AA3451" s="310"/>
    </row>
    <row r="3452" spans="1:27" ht="26.25" x14ac:dyDescent="0.4">
      <c r="A3452" s="311"/>
      <c r="C3452" s="515"/>
      <c r="D3452" s="515"/>
      <c r="F3452" s="515"/>
      <c r="G3452" s="515"/>
      <c r="I3452" s="515"/>
      <c r="T3452" s="515"/>
      <c r="W3452" s="515"/>
      <c r="Z3452" s="437"/>
      <c r="AA3452" s="310"/>
    </row>
    <row r="3453" spans="1:27" ht="26.25" x14ac:dyDescent="0.4">
      <c r="A3453" s="311"/>
      <c r="C3453" s="515"/>
      <c r="D3453" s="515"/>
      <c r="F3453" s="515"/>
      <c r="G3453" s="515"/>
      <c r="I3453" s="515"/>
      <c r="T3453" s="515"/>
      <c r="W3453" s="515"/>
      <c r="Z3453" s="437"/>
      <c r="AA3453" s="310"/>
    </row>
    <row r="3454" spans="1:27" ht="26.25" x14ac:dyDescent="0.4">
      <c r="A3454" s="311"/>
      <c r="C3454" s="515"/>
      <c r="D3454" s="515"/>
      <c r="F3454" s="515"/>
      <c r="G3454" s="515"/>
      <c r="I3454" s="515"/>
      <c r="T3454" s="515"/>
      <c r="W3454" s="515"/>
      <c r="Z3454" s="437"/>
      <c r="AA3454" s="310"/>
    </row>
    <row r="3455" spans="1:27" ht="26.25" x14ac:dyDescent="0.4">
      <c r="A3455" s="311"/>
      <c r="C3455" s="515"/>
      <c r="D3455" s="515"/>
      <c r="F3455" s="515"/>
      <c r="G3455" s="515"/>
      <c r="I3455" s="515"/>
      <c r="T3455" s="515"/>
      <c r="W3455" s="515"/>
      <c r="Z3455" s="437"/>
      <c r="AA3455" s="310"/>
    </row>
    <row r="3456" spans="1:27" ht="26.25" x14ac:dyDescent="0.4">
      <c r="A3456" s="311"/>
      <c r="C3456" s="515"/>
      <c r="D3456" s="515"/>
      <c r="F3456" s="515"/>
      <c r="G3456" s="515"/>
      <c r="I3456" s="515"/>
      <c r="T3456" s="515"/>
      <c r="W3456" s="515"/>
      <c r="Z3456" s="437"/>
      <c r="AA3456" s="310"/>
    </row>
    <row r="3457" spans="1:27" ht="26.25" x14ac:dyDescent="0.4">
      <c r="A3457" s="311"/>
      <c r="C3457" s="515"/>
      <c r="D3457" s="515"/>
      <c r="F3457" s="515"/>
      <c r="G3457" s="515"/>
      <c r="I3457" s="515"/>
      <c r="T3457" s="515"/>
      <c r="W3457" s="515"/>
      <c r="Z3457" s="437"/>
      <c r="AA3457" s="310"/>
    </row>
    <row r="3458" spans="1:27" ht="26.25" x14ac:dyDescent="0.4">
      <c r="A3458" s="311"/>
      <c r="C3458" s="515"/>
      <c r="D3458" s="515"/>
      <c r="F3458" s="515"/>
      <c r="G3458" s="515"/>
      <c r="I3458" s="515"/>
      <c r="T3458" s="515"/>
      <c r="W3458" s="515"/>
      <c r="Z3458" s="437"/>
      <c r="AA3458" s="310"/>
    </row>
    <row r="3459" spans="1:27" ht="26.25" x14ac:dyDescent="0.4">
      <c r="A3459" s="311"/>
      <c r="C3459" s="515"/>
      <c r="D3459" s="515"/>
      <c r="F3459" s="515"/>
      <c r="G3459" s="515"/>
      <c r="I3459" s="515"/>
      <c r="T3459" s="515"/>
      <c r="W3459" s="515"/>
      <c r="Z3459" s="437"/>
      <c r="AA3459" s="310"/>
    </row>
    <row r="3460" spans="1:27" ht="26.25" x14ac:dyDescent="0.4">
      <c r="A3460" s="311"/>
      <c r="C3460" s="515"/>
      <c r="D3460" s="515"/>
      <c r="F3460" s="515"/>
      <c r="G3460" s="515"/>
      <c r="I3460" s="515"/>
      <c r="T3460" s="515"/>
      <c r="W3460" s="515"/>
      <c r="Z3460" s="437"/>
      <c r="AA3460" s="310"/>
    </row>
    <row r="3461" spans="1:27" ht="26.25" x14ac:dyDescent="0.4">
      <c r="A3461" s="311"/>
      <c r="C3461" s="515"/>
      <c r="D3461" s="515"/>
      <c r="F3461" s="515"/>
      <c r="G3461" s="515"/>
      <c r="I3461" s="515"/>
      <c r="T3461" s="515"/>
      <c r="W3461" s="515"/>
      <c r="Z3461" s="437"/>
      <c r="AA3461" s="310"/>
    </row>
    <row r="3462" spans="1:27" ht="26.25" x14ac:dyDescent="0.4">
      <c r="A3462" s="311"/>
      <c r="C3462" s="515"/>
      <c r="D3462" s="515"/>
      <c r="F3462" s="515"/>
      <c r="G3462" s="515"/>
      <c r="I3462" s="515"/>
      <c r="T3462" s="515"/>
      <c r="W3462" s="515"/>
      <c r="Z3462" s="437"/>
      <c r="AA3462" s="310"/>
    </row>
    <row r="3463" spans="1:27" ht="26.25" x14ac:dyDescent="0.4">
      <c r="A3463" s="311"/>
      <c r="C3463" s="515"/>
      <c r="D3463" s="515"/>
      <c r="F3463" s="515"/>
      <c r="G3463" s="515"/>
      <c r="I3463" s="515"/>
      <c r="T3463" s="515"/>
      <c r="W3463" s="515"/>
      <c r="Z3463" s="437"/>
      <c r="AA3463" s="310"/>
    </row>
    <row r="3464" spans="1:27" ht="26.25" x14ac:dyDescent="0.4">
      <c r="A3464" s="311"/>
      <c r="C3464" s="515"/>
      <c r="D3464" s="515"/>
      <c r="F3464" s="515"/>
      <c r="G3464" s="515"/>
      <c r="I3464" s="515"/>
      <c r="T3464" s="515"/>
      <c r="W3464" s="515"/>
      <c r="Z3464" s="437"/>
      <c r="AA3464" s="310"/>
    </row>
    <row r="3465" spans="1:27" ht="26.25" x14ac:dyDescent="0.4">
      <c r="A3465" s="311"/>
      <c r="C3465" s="515"/>
      <c r="D3465" s="515"/>
      <c r="F3465" s="515"/>
      <c r="G3465" s="515"/>
      <c r="I3465" s="515"/>
      <c r="T3465" s="515"/>
      <c r="W3465" s="515"/>
      <c r="Z3465" s="437"/>
      <c r="AA3465" s="310"/>
    </row>
    <row r="3466" spans="1:27" ht="26.25" x14ac:dyDescent="0.4">
      <c r="A3466" s="311"/>
      <c r="C3466" s="515"/>
      <c r="D3466" s="515"/>
      <c r="F3466" s="515"/>
      <c r="G3466" s="515"/>
      <c r="I3466" s="515"/>
      <c r="T3466" s="515"/>
      <c r="W3466" s="515"/>
      <c r="Z3466" s="437"/>
      <c r="AA3466" s="310"/>
    </row>
    <row r="3467" spans="1:27" ht="26.25" x14ac:dyDescent="0.4">
      <c r="A3467" s="311"/>
      <c r="C3467" s="515"/>
      <c r="D3467" s="515"/>
      <c r="F3467" s="515"/>
      <c r="G3467" s="515"/>
      <c r="I3467" s="515"/>
      <c r="T3467" s="515"/>
      <c r="W3467" s="515"/>
      <c r="Z3467" s="437"/>
      <c r="AA3467" s="310"/>
    </row>
    <row r="3468" spans="1:27" ht="26.25" x14ac:dyDescent="0.4">
      <c r="A3468" s="311"/>
      <c r="C3468" s="515"/>
      <c r="D3468" s="515"/>
      <c r="F3468" s="515"/>
      <c r="G3468" s="515"/>
      <c r="I3468" s="515"/>
      <c r="T3468" s="515"/>
      <c r="W3468" s="515"/>
      <c r="Z3468" s="437"/>
      <c r="AA3468" s="310"/>
    </row>
    <row r="3469" spans="1:27" ht="26.25" x14ac:dyDescent="0.4">
      <c r="A3469" s="311"/>
      <c r="C3469" s="515"/>
      <c r="D3469" s="515"/>
      <c r="F3469" s="515"/>
      <c r="G3469" s="515"/>
      <c r="I3469" s="515"/>
      <c r="T3469" s="515"/>
      <c r="W3469" s="515"/>
      <c r="Z3469" s="437"/>
      <c r="AA3469" s="310"/>
    </row>
    <row r="3470" spans="1:27" ht="26.25" x14ac:dyDescent="0.4">
      <c r="A3470" s="311"/>
      <c r="C3470" s="515"/>
      <c r="D3470" s="515"/>
      <c r="F3470" s="515"/>
      <c r="G3470" s="515"/>
      <c r="I3470" s="515"/>
      <c r="T3470" s="515"/>
      <c r="W3470" s="515"/>
      <c r="Z3470" s="437"/>
      <c r="AA3470" s="310"/>
    </row>
    <row r="3471" spans="1:27" ht="26.25" x14ac:dyDescent="0.4">
      <c r="A3471" s="311"/>
      <c r="C3471" s="515"/>
      <c r="D3471" s="515"/>
      <c r="F3471" s="515"/>
      <c r="G3471" s="515"/>
      <c r="I3471" s="515"/>
      <c r="T3471" s="515"/>
      <c r="W3471" s="515"/>
      <c r="Z3471" s="437"/>
      <c r="AA3471" s="310"/>
    </row>
    <row r="3472" spans="1:27" ht="26.25" x14ac:dyDescent="0.4">
      <c r="A3472" s="311"/>
      <c r="C3472" s="515"/>
      <c r="D3472" s="515"/>
      <c r="F3472" s="515"/>
      <c r="G3472" s="515"/>
      <c r="I3472" s="515"/>
      <c r="T3472" s="515"/>
      <c r="W3472" s="515"/>
      <c r="Z3472" s="437"/>
      <c r="AA3472" s="310"/>
    </row>
    <row r="3473" spans="1:27" ht="26.25" x14ac:dyDescent="0.4">
      <c r="A3473" s="311"/>
      <c r="C3473" s="515"/>
      <c r="D3473" s="515"/>
      <c r="F3473" s="515"/>
      <c r="G3473" s="515"/>
      <c r="I3473" s="515"/>
      <c r="T3473" s="515"/>
      <c r="W3473" s="515"/>
      <c r="Z3473" s="437"/>
      <c r="AA3473" s="310"/>
    </row>
    <row r="3474" spans="1:27" ht="26.25" x14ac:dyDescent="0.4">
      <c r="A3474" s="311"/>
      <c r="C3474" s="515"/>
      <c r="D3474" s="515"/>
      <c r="F3474" s="515"/>
      <c r="G3474" s="515"/>
      <c r="I3474" s="515"/>
      <c r="T3474" s="515"/>
      <c r="W3474" s="515"/>
      <c r="Z3474" s="437"/>
      <c r="AA3474" s="310"/>
    </row>
    <row r="3475" spans="1:27" thickBot="1" x14ac:dyDescent="0.45">
      <c r="A3475" s="311"/>
    </row>
    <row r="3476" spans="1:27" ht="26.25" x14ac:dyDescent="0.4"/>
    <row r="3477" spans="1:27" ht="26.25" x14ac:dyDescent="0.4"/>
    <row r="3478" spans="1:27" ht="26.25" x14ac:dyDescent="0.4"/>
    <row r="3479" spans="1:27" ht="26.25" x14ac:dyDescent="0.4"/>
    <row r="3480" spans="1:27" ht="26.25" x14ac:dyDescent="0.4"/>
    <row r="3481" spans="1:27" ht="26.25" x14ac:dyDescent="0.4"/>
    <row r="3482" spans="1:27" ht="26.25" x14ac:dyDescent="0.4"/>
    <row r="3483" spans="1:27" ht="26.25" x14ac:dyDescent="0.4"/>
    <row r="3484" spans="1:27" ht="26.25" x14ac:dyDescent="0.4"/>
    <row r="3485" spans="1:27" ht="26.25" x14ac:dyDescent="0.4"/>
    <row r="3486" spans="1:27" ht="26.25" x14ac:dyDescent="0.4"/>
    <row r="3487" spans="1:27" ht="26.25" x14ac:dyDescent="0.4"/>
    <row r="3488" spans="1:27" ht="26.25" x14ac:dyDescent="0.4"/>
    <row r="3489" ht="26.25" x14ac:dyDescent="0.4"/>
  </sheetData>
  <sheetProtection selectLockedCells="1" selectUnlockedCells="1"/>
  <autoFilter ref="A7:AC3248"/>
  <mergeCells count="43">
    <mergeCell ref="Z372:AB372"/>
    <mergeCell ref="Z600:AB600"/>
    <mergeCell ref="AA345:AC345"/>
    <mergeCell ref="AA573:AC573"/>
    <mergeCell ref="AA801:AC801"/>
    <mergeCell ref="C3034:E3034"/>
    <mergeCell ref="D71:E71"/>
    <mergeCell ref="C3035:E3035"/>
    <mergeCell ref="Y4:Y6"/>
    <mergeCell ref="P6:S6"/>
    <mergeCell ref="K3034:N3034"/>
    <mergeCell ref="T4:V4"/>
    <mergeCell ref="Y887:Y888"/>
    <mergeCell ref="K3047:N3047"/>
    <mergeCell ref="C3044:E3044"/>
    <mergeCell ref="K3044:N3044"/>
    <mergeCell ref="B71:B72"/>
    <mergeCell ref="C71:C72"/>
    <mergeCell ref="A1:B1"/>
    <mergeCell ref="A3:B3"/>
    <mergeCell ref="A4:A6"/>
    <mergeCell ref="B4:B6"/>
    <mergeCell ref="C4:J5"/>
    <mergeCell ref="Z148:AB148"/>
    <mergeCell ref="C3036:E3036"/>
    <mergeCell ref="K4:S5"/>
    <mergeCell ref="K3048:N3048"/>
    <mergeCell ref="C3039:E3039"/>
    <mergeCell ref="C3041:E3041"/>
    <mergeCell ref="C3048:E3048"/>
    <mergeCell ref="W4:X4"/>
    <mergeCell ref="C3042:E3042"/>
    <mergeCell ref="C3047:E3047"/>
    <mergeCell ref="A3100:Y3100"/>
    <mergeCell ref="A3187:Y3187"/>
    <mergeCell ref="A3189:Y3189"/>
    <mergeCell ref="Z4:Z6"/>
    <mergeCell ref="G6:J6"/>
    <mergeCell ref="C3045:E3045"/>
    <mergeCell ref="C3040:E3040"/>
    <mergeCell ref="C3043:E3043"/>
    <mergeCell ref="C3037:E3037"/>
    <mergeCell ref="C3038:E3038"/>
  </mergeCells>
  <phoneticPr fontId="1" type="noConversion"/>
  <pageMargins left="0" right="0" top="0" bottom="0" header="0.51181102362204722" footer="0.51181102362204722"/>
  <pageSetup paperSize="9" scale="57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94"/>
  <sheetViews>
    <sheetView topLeftCell="A28" zoomScale="65" zoomScaleNormal="65" workbookViewId="0">
      <selection activeCell="D39" sqref="D39:U39"/>
    </sheetView>
  </sheetViews>
  <sheetFormatPr defaultColWidth="11.42578125" defaultRowHeight="12.75" x14ac:dyDescent="0.2"/>
  <cols>
    <col min="1" max="1" width="4.28515625" style="97" customWidth="1"/>
    <col min="2" max="2" width="73.85546875" style="7" customWidth="1"/>
    <col min="3" max="3" width="6.85546875" style="98" customWidth="1"/>
    <col min="4" max="4" width="9.7109375" style="99" customWidth="1"/>
    <col min="5" max="5" width="13.140625" style="7" customWidth="1"/>
    <col min="6" max="6" width="10.42578125" style="7" customWidth="1"/>
    <col min="7" max="7" width="5.28515625" style="98" customWidth="1"/>
    <col min="8" max="8" width="2.7109375" style="7" customWidth="1"/>
    <col min="9" max="9" width="4.7109375" style="98" customWidth="1"/>
    <col min="10" max="10" width="6.7109375" style="7" customWidth="1"/>
    <col min="11" max="13" width="9.140625" style="7" customWidth="1"/>
    <col min="14" max="14" width="15.42578125" style="7" customWidth="1"/>
    <col min="15" max="15" width="9.140625" style="7" customWidth="1"/>
    <col min="16" max="16" width="4.7109375" style="7" customWidth="1"/>
    <col min="17" max="17" width="3.7109375" style="7" customWidth="1"/>
    <col min="18" max="18" width="4.42578125" style="7" customWidth="1"/>
    <col min="19" max="19" width="5.7109375" style="7" customWidth="1"/>
    <col min="20" max="20" width="9.140625" style="100" customWidth="1"/>
    <col min="21" max="21" width="9.140625" style="7" customWidth="1"/>
    <col min="22" max="22" width="15.28515625" style="101" customWidth="1"/>
    <col min="23" max="23" width="9.140625" style="100" customWidth="1"/>
    <col min="24" max="24" width="13.28515625" style="101" customWidth="1"/>
    <col min="25" max="25" width="6.42578125" style="7" customWidth="1"/>
    <col min="26" max="16384" width="11.42578125" style="7"/>
  </cols>
  <sheetData>
    <row r="1" spans="1:256" ht="18.75" x14ac:dyDescent="0.3">
      <c r="A1" s="952" t="s">
        <v>567</v>
      </c>
      <c r="B1" s="952"/>
      <c r="C1" s="1"/>
      <c r="D1" s="2"/>
      <c r="E1" s="3"/>
      <c r="F1" s="3"/>
      <c r="G1" s="4"/>
      <c r="H1" s="3"/>
      <c r="I1" s="4"/>
      <c r="J1" s="3"/>
      <c r="K1" s="3"/>
      <c r="L1" s="3"/>
      <c r="M1" s="3"/>
      <c r="N1" s="3"/>
      <c r="O1" s="3"/>
      <c r="P1" s="2"/>
      <c r="Q1" s="2"/>
      <c r="R1" s="2"/>
      <c r="S1" s="3"/>
      <c r="T1" s="5"/>
      <c r="U1" s="3"/>
      <c r="V1" s="3"/>
      <c r="W1" s="5"/>
      <c r="X1" s="6" t="s">
        <v>0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8.75" x14ac:dyDescent="0.3">
      <c r="A2" s="3" t="s">
        <v>1</v>
      </c>
      <c r="B2" s="2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3"/>
      <c r="W2" s="5"/>
      <c r="X2" s="6" t="s">
        <v>2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19.5" thickBot="1" x14ac:dyDescent="0.35">
      <c r="A3" s="952"/>
      <c r="B3" s="952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3"/>
      <c r="W3" s="5"/>
      <c r="X3" s="13" t="s">
        <v>281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19.5" thickBot="1" x14ac:dyDescent="0.35">
      <c r="A4" s="953" t="s">
        <v>3</v>
      </c>
      <c r="B4" s="947" t="s">
        <v>4</v>
      </c>
      <c r="C4" s="947" t="s">
        <v>5</v>
      </c>
      <c r="D4" s="947"/>
      <c r="E4" s="947"/>
      <c r="F4" s="947"/>
      <c r="G4" s="947"/>
      <c r="H4" s="947"/>
      <c r="I4" s="947"/>
      <c r="J4" s="947"/>
      <c r="K4" s="947" t="s">
        <v>6</v>
      </c>
      <c r="L4" s="947"/>
      <c r="M4" s="947"/>
      <c r="N4" s="947"/>
      <c r="O4" s="947"/>
      <c r="P4" s="947"/>
      <c r="Q4" s="947"/>
      <c r="R4" s="947"/>
      <c r="S4" s="947"/>
      <c r="T4" s="947" t="s">
        <v>7</v>
      </c>
      <c r="U4" s="947"/>
      <c r="V4" s="947"/>
      <c r="W4" s="947" t="s">
        <v>8</v>
      </c>
      <c r="X4" s="947"/>
    </row>
    <row r="5" spans="1:256" ht="38.25" thickBot="1" x14ac:dyDescent="0.35">
      <c r="A5" s="953"/>
      <c r="B5" s="947"/>
      <c r="C5" s="947"/>
      <c r="D5" s="947"/>
      <c r="E5" s="947"/>
      <c r="F5" s="947"/>
      <c r="G5" s="947"/>
      <c r="H5" s="947"/>
      <c r="I5" s="947"/>
      <c r="J5" s="947"/>
      <c r="K5" s="947"/>
      <c r="L5" s="947"/>
      <c r="M5" s="947"/>
      <c r="N5" s="947"/>
      <c r="O5" s="947"/>
      <c r="P5" s="947"/>
      <c r="Q5" s="947"/>
      <c r="R5" s="947"/>
      <c r="S5" s="947"/>
      <c r="T5" s="16" t="s">
        <v>9</v>
      </c>
      <c r="U5" s="15"/>
      <c r="V5" s="15" t="s">
        <v>10</v>
      </c>
      <c r="W5" s="16" t="s">
        <v>9</v>
      </c>
      <c r="X5" s="15" t="s">
        <v>10</v>
      </c>
    </row>
    <row r="6" spans="1:256" ht="21" customHeight="1" thickBot="1" x14ac:dyDescent="0.35">
      <c r="A6" s="953"/>
      <c r="B6" s="947"/>
      <c r="C6" s="16" t="s">
        <v>262</v>
      </c>
      <c r="D6" s="17" t="s">
        <v>12</v>
      </c>
      <c r="E6" s="15" t="s">
        <v>13</v>
      </c>
      <c r="F6" s="15" t="s">
        <v>14</v>
      </c>
      <c r="G6" s="947" t="s">
        <v>15</v>
      </c>
      <c r="H6" s="947"/>
      <c r="I6" s="947"/>
      <c r="J6" s="947"/>
      <c r="K6" s="15" t="s">
        <v>11</v>
      </c>
      <c r="L6" s="18" t="s">
        <v>12</v>
      </c>
      <c r="M6" s="15"/>
      <c r="N6" s="15" t="s">
        <v>13</v>
      </c>
      <c r="O6" s="15" t="s">
        <v>14</v>
      </c>
      <c r="P6" s="947" t="s">
        <v>15</v>
      </c>
      <c r="Q6" s="947"/>
      <c r="R6" s="947"/>
      <c r="S6" s="947"/>
      <c r="T6" s="16"/>
      <c r="U6" s="15"/>
      <c r="V6" s="15" t="s">
        <v>16</v>
      </c>
      <c r="W6" s="16"/>
      <c r="X6" s="15" t="s">
        <v>16</v>
      </c>
    </row>
    <row r="7" spans="1:256" ht="19.5" thickBot="1" x14ac:dyDescent="0.35">
      <c r="A7" s="230"/>
      <c r="B7" s="949" t="s">
        <v>554</v>
      </c>
      <c r="C7" s="950"/>
      <c r="D7" s="950"/>
      <c r="E7" s="950"/>
      <c r="F7" s="950"/>
      <c r="G7" s="950"/>
      <c r="H7" s="950"/>
      <c r="I7" s="950"/>
      <c r="J7" s="950"/>
      <c r="K7" s="950"/>
      <c r="L7" s="950"/>
      <c r="M7" s="950"/>
      <c r="N7" s="950"/>
      <c r="O7" s="950"/>
      <c r="P7" s="950"/>
      <c r="Q7" s="950"/>
      <c r="R7" s="950"/>
      <c r="S7" s="950"/>
      <c r="T7" s="950"/>
      <c r="U7" s="950"/>
      <c r="V7" s="950"/>
      <c r="W7" s="950"/>
      <c r="X7" s="951"/>
    </row>
    <row r="8" spans="1:256" s="20" customFormat="1" ht="19.5" thickBot="1" x14ac:dyDescent="0.35">
      <c r="A8" s="26"/>
      <c r="B8" s="26" t="s">
        <v>17</v>
      </c>
      <c r="C8" s="27"/>
      <c r="D8" s="28">
        <f>C8*12</f>
        <v>0</v>
      </c>
      <c r="E8" s="19">
        <f>D8*0.2</f>
        <v>0</v>
      </c>
      <c r="F8" s="29">
        <f>D8*22*0.0086/24.7</f>
        <v>0</v>
      </c>
      <c r="G8" s="27">
        <f t="shared" ref="G8:G15" si="0">INT(M8)</f>
        <v>0</v>
      </c>
      <c r="H8" s="30" t="s">
        <v>18</v>
      </c>
      <c r="I8" s="27">
        <f t="shared" ref="I8:I15" si="1">(M8-G8)*64</f>
        <v>0</v>
      </c>
      <c r="J8" s="19" t="s">
        <v>19</v>
      </c>
      <c r="K8" s="19"/>
      <c r="L8" s="19"/>
      <c r="M8" s="31">
        <f>F8*3024/16128</f>
        <v>0</v>
      </c>
      <c r="N8" s="19"/>
      <c r="O8" s="19"/>
      <c r="P8" s="19"/>
      <c r="Q8" s="30" t="s">
        <v>18</v>
      </c>
      <c r="R8" s="19"/>
      <c r="S8" s="19" t="s">
        <v>19</v>
      </c>
      <c r="T8" s="32"/>
      <c r="U8" s="19">
        <f>E8/272*60</f>
        <v>0</v>
      </c>
      <c r="V8" s="19"/>
      <c r="W8" s="32"/>
      <c r="X8" s="19"/>
    </row>
    <row r="9" spans="1:256" s="20" customFormat="1" ht="19.5" thickBot="1" x14ac:dyDescent="0.35">
      <c r="A9" s="26"/>
      <c r="B9" s="26" t="s">
        <v>20</v>
      </c>
      <c r="C9" s="27"/>
      <c r="D9" s="28">
        <f>C9*12</f>
        <v>0</v>
      </c>
      <c r="E9" s="19">
        <f>D9*0.2</f>
        <v>0</v>
      </c>
      <c r="F9" s="29">
        <f>D9*22*0.0086/24.7</f>
        <v>0</v>
      </c>
      <c r="G9" s="27">
        <f t="shared" si="0"/>
        <v>0</v>
      </c>
      <c r="H9" s="30" t="s">
        <v>18</v>
      </c>
      <c r="I9" s="27">
        <f t="shared" si="1"/>
        <v>0</v>
      </c>
      <c r="J9" s="19" t="s">
        <v>19</v>
      </c>
      <c r="K9" s="19"/>
      <c r="L9" s="19"/>
      <c r="M9" s="31">
        <f>F9*3024/16128</f>
        <v>0</v>
      </c>
      <c r="N9" s="19"/>
      <c r="O9" s="19"/>
      <c r="P9" s="19"/>
      <c r="Q9" s="30" t="s">
        <v>18</v>
      </c>
      <c r="R9" s="19"/>
      <c r="S9" s="19" t="s">
        <v>19</v>
      </c>
      <c r="T9" s="32"/>
      <c r="U9" s="19">
        <f>E9/207*60</f>
        <v>0</v>
      </c>
      <c r="V9" s="19"/>
      <c r="W9" s="32"/>
      <c r="X9" s="19"/>
    </row>
    <row r="10" spans="1:256" s="20" customFormat="1" ht="19.5" thickBot="1" x14ac:dyDescent="0.35">
      <c r="A10" s="26"/>
      <c r="B10" s="26" t="s">
        <v>21</v>
      </c>
      <c r="C10" s="27"/>
      <c r="D10" s="28">
        <f>C10*20</f>
        <v>0</v>
      </c>
      <c r="E10" s="19">
        <f>D10*0.2</f>
        <v>0</v>
      </c>
      <c r="F10" s="29">
        <f>E10*0.8*1.01/20</f>
        <v>0</v>
      </c>
      <c r="G10" s="27">
        <f t="shared" si="0"/>
        <v>0</v>
      </c>
      <c r="H10" s="30" t="s">
        <v>18</v>
      </c>
      <c r="I10" s="27">
        <f t="shared" si="1"/>
        <v>0</v>
      </c>
      <c r="J10" s="19" t="s">
        <v>19</v>
      </c>
      <c r="K10" s="19"/>
      <c r="L10" s="19"/>
      <c r="M10" s="31">
        <f>F10*1008/8064</f>
        <v>0</v>
      </c>
      <c r="N10" s="19"/>
      <c r="O10" s="19"/>
      <c r="P10" s="19"/>
      <c r="Q10" s="30" t="s">
        <v>18</v>
      </c>
      <c r="R10" s="19"/>
      <c r="S10" s="19" t="s">
        <v>19</v>
      </c>
      <c r="T10" s="32"/>
      <c r="U10" s="19">
        <f>E10/272*60</f>
        <v>0</v>
      </c>
      <c r="V10" s="19"/>
      <c r="W10" s="32"/>
      <c r="X10" s="19"/>
    </row>
    <row r="11" spans="1:256" s="20" customFormat="1" ht="19.5" thickBot="1" x14ac:dyDescent="0.35">
      <c r="A11" s="26"/>
      <c r="B11" s="26" t="s">
        <v>22</v>
      </c>
      <c r="C11" s="27"/>
      <c r="D11" s="28"/>
      <c r="E11" s="19">
        <f>C11*2</f>
        <v>0</v>
      </c>
      <c r="F11" s="29">
        <f>E11*0.76*1.034/20</f>
        <v>0</v>
      </c>
      <c r="G11" s="27">
        <f t="shared" si="0"/>
        <v>0</v>
      </c>
      <c r="H11" s="30" t="s">
        <v>18</v>
      </c>
      <c r="I11" s="27">
        <f t="shared" si="1"/>
        <v>0</v>
      </c>
      <c r="J11" s="19" t="s">
        <v>19</v>
      </c>
      <c r="K11" s="19"/>
      <c r="L11" s="19"/>
      <c r="M11" s="31">
        <f>F11*1008/8064</f>
        <v>0</v>
      </c>
      <c r="N11" s="19"/>
      <c r="O11" s="19"/>
      <c r="P11" s="19"/>
      <c r="Q11" s="30" t="s">
        <v>18</v>
      </c>
      <c r="R11" s="19"/>
      <c r="S11" s="19" t="s">
        <v>19</v>
      </c>
      <c r="T11" s="32"/>
      <c r="U11" s="19">
        <f>E11/272*60</f>
        <v>0</v>
      </c>
      <c r="V11" s="19"/>
      <c r="W11" s="32"/>
      <c r="X11" s="19"/>
    </row>
    <row r="12" spans="1:256" s="20" customFormat="1" ht="19.5" thickBot="1" x14ac:dyDescent="0.35">
      <c r="A12" s="26"/>
      <c r="B12" s="26" t="s">
        <v>23</v>
      </c>
      <c r="C12" s="27"/>
      <c r="D12" s="28">
        <f>C12*20</f>
        <v>0</v>
      </c>
      <c r="E12" s="19">
        <f>D12*0.2</f>
        <v>0</v>
      </c>
      <c r="F12" s="29">
        <f>E12*0.8*1.01/20</f>
        <v>0</v>
      </c>
      <c r="G12" s="27">
        <f t="shared" si="0"/>
        <v>0</v>
      </c>
      <c r="H12" s="30" t="s">
        <v>18</v>
      </c>
      <c r="I12" s="27">
        <f t="shared" si="1"/>
        <v>0</v>
      </c>
      <c r="J12" s="19" t="s">
        <v>19</v>
      </c>
      <c r="K12" s="19"/>
      <c r="L12" s="19"/>
      <c r="M12" s="31">
        <f>F12*1008/8064</f>
        <v>0</v>
      </c>
      <c r="N12" s="19"/>
      <c r="O12" s="19"/>
      <c r="P12" s="19"/>
      <c r="Q12" s="30" t="s">
        <v>18</v>
      </c>
      <c r="R12" s="19"/>
      <c r="S12" s="19" t="s">
        <v>19</v>
      </c>
      <c r="T12" s="32"/>
      <c r="U12" s="19">
        <f>E12/272*60</f>
        <v>0</v>
      </c>
      <c r="V12" s="19"/>
      <c r="W12" s="32"/>
      <c r="X12" s="19"/>
    </row>
    <row r="13" spans="1:256" s="20" customFormat="1" ht="19.5" thickBot="1" x14ac:dyDescent="0.35">
      <c r="A13" s="26"/>
      <c r="B13" s="26" t="s">
        <v>24</v>
      </c>
      <c r="C13" s="27"/>
      <c r="D13" s="28">
        <f>C13*20</f>
        <v>0</v>
      </c>
      <c r="E13" s="19">
        <f>D13*0.2</f>
        <v>0</v>
      </c>
      <c r="F13" s="29">
        <f>E13*0.8*1.01/20</f>
        <v>0</v>
      </c>
      <c r="G13" s="27">
        <f t="shared" si="0"/>
        <v>0</v>
      </c>
      <c r="H13" s="30" t="s">
        <v>18</v>
      </c>
      <c r="I13" s="27">
        <f t="shared" si="1"/>
        <v>0</v>
      </c>
      <c r="J13" s="19" t="s">
        <v>19</v>
      </c>
      <c r="K13" s="19"/>
      <c r="L13" s="19"/>
      <c r="M13" s="31">
        <f>F13*1008/8064</f>
        <v>0</v>
      </c>
      <c r="N13" s="19"/>
      <c r="O13" s="19"/>
      <c r="P13" s="19"/>
      <c r="Q13" s="30" t="s">
        <v>18</v>
      </c>
      <c r="R13" s="19"/>
      <c r="S13" s="19" t="s">
        <v>19</v>
      </c>
      <c r="T13" s="32"/>
      <c r="U13" s="19">
        <f t="shared" ref="U13:U20" si="2">E13/272*60</f>
        <v>0</v>
      </c>
      <c r="V13" s="19"/>
      <c r="W13" s="32"/>
      <c r="X13" s="19"/>
    </row>
    <row r="14" spans="1:256" s="20" customFormat="1" ht="19.5" thickBot="1" x14ac:dyDescent="0.35">
      <c r="A14" s="26"/>
      <c r="B14" s="26" t="s">
        <v>25</v>
      </c>
      <c r="C14" s="27"/>
      <c r="D14" s="28"/>
      <c r="E14" s="19">
        <f>C14*2</f>
        <v>0</v>
      </c>
      <c r="F14" s="29">
        <f>E14*0.76*1.034/20</f>
        <v>0</v>
      </c>
      <c r="G14" s="27">
        <f t="shared" si="0"/>
        <v>0</v>
      </c>
      <c r="H14" s="30" t="s">
        <v>18</v>
      </c>
      <c r="I14" s="27">
        <f t="shared" si="1"/>
        <v>0</v>
      </c>
      <c r="J14" s="19" t="s">
        <v>19</v>
      </c>
      <c r="K14" s="19"/>
      <c r="L14" s="19"/>
      <c r="M14" s="31">
        <f>F14*1008/8064</f>
        <v>0</v>
      </c>
      <c r="N14" s="19"/>
      <c r="O14" s="19"/>
      <c r="P14" s="19"/>
      <c r="Q14" s="30" t="s">
        <v>18</v>
      </c>
      <c r="R14" s="19"/>
      <c r="S14" s="19" t="s">
        <v>19</v>
      </c>
      <c r="T14" s="32"/>
      <c r="U14" s="19">
        <f>E14/272*60</f>
        <v>0</v>
      </c>
      <c r="V14" s="19"/>
      <c r="W14" s="32"/>
      <c r="X14" s="19"/>
    </row>
    <row r="15" spans="1:256" s="20" customFormat="1" ht="19.5" thickBot="1" x14ac:dyDescent="0.35">
      <c r="A15" s="26"/>
      <c r="B15" s="26" t="s">
        <v>26</v>
      </c>
      <c r="C15" s="27"/>
      <c r="D15" s="28">
        <f>C15*12</f>
        <v>0</v>
      </c>
      <c r="E15" s="19">
        <f>D15*0.2</f>
        <v>0</v>
      </c>
      <c r="F15" s="29">
        <f>D15*22*0.0086/24.7</f>
        <v>0</v>
      </c>
      <c r="G15" s="27">
        <f t="shared" si="0"/>
        <v>0</v>
      </c>
      <c r="H15" s="30" t="s">
        <v>18</v>
      </c>
      <c r="I15" s="27">
        <f t="shared" si="1"/>
        <v>0</v>
      </c>
      <c r="J15" s="19" t="s">
        <v>19</v>
      </c>
      <c r="K15" s="19"/>
      <c r="L15" s="19"/>
      <c r="M15" s="31">
        <f>F15*3024/16128</f>
        <v>0</v>
      </c>
      <c r="N15" s="19"/>
      <c r="O15" s="19"/>
      <c r="P15" s="19"/>
      <c r="Q15" s="30" t="s">
        <v>18</v>
      </c>
      <c r="R15" s="19"/>
      <c r="S15" s="19" t="s">
        <v>19</v>
      </c>
      <c r="T15" s="32"/>
      <c r="U15" s="19">
        <f>E15/166*60</f>
        <v>0</v>
      </c>
      <c r="V15" s="19"/>
      <c r="W15" s="32"/>
      <c r="X15" s="19"/>
    </row>
    <row r="16" spans="1:256" s="20" customFormat="1" ht="19.5" thickBot="1" x14ac:dyDescent="0.35">
      <c r="A16" s="26"/>
      <c r="B16" s="26" t="s">
        <v>29</v>
      </c>
      <c r="C16" s="27"/>
      <c r="D16" s="28">
        <f>C16*12</f>
        <v>0</v>
      </c>
      <c r="E16" s="19">
        <f>D16*0.25</f>
        <v>0</v>
      </c>
      <c r="F16" s="29">
        <f>E16*0.8*1/20</f>
        <v>0</v>
      </c>
      <c r="G16" s="27">
        <f t="shared" ref="G16:G21" si="3">INT(M16)</f>
        <v>0</v>
      </c>
      <c r="H16" s="30" t="s">
        <v>18</v>
      </c>
      <c r="I16" s="27">
        <f t="shared" ref="I16:I21" si="4">(M16-G16)*64</f>
        <v>0</v>
      </c>
      <c r="J16" s="19" t="s">
        <v>19</v>
      </c>
      <c r="K16" s="19"/>
      <c r="L16" s="19"/>
      <c r="M16" s="31">
        <f>F16*2016/16128</f>
        <v>0</v>
      </c>
      <c r="N16" s="19"/>
      <c r="O16" s="19"/>
      <c r="P16" s="19"/>
      <c r="Q16" s="30" t="s">
        <v>18</v>
      </c>
      <c r="R16" s="19"/>
      <c r="S16" s="19" t="s">
        <v>19</v>
      </c>
      <c r="T16" s="32"/>
      <c r="U16" s="19">
        <f t="shared" si="2"/>
        <v>0</v>
      </c>
      <c r="V16" s="19"/>
      <c r="W16" s="32"/>
      <c r="X16" s="19"/>
    </row>
    <row r="17" spans="1:24" s="20" customFormat="1" ht="19.5" thickBot="1" x14ac:dyDescent="0.35">
      <c r="A17" s="26"/>
      <c r="B17" s="26" t="s">
        <v>296</v>
      </c>
      <c r="C17" s="27"/>
      <c r="D17" s="28">
        <f>C17*12</f>
        <v>0</v>
      </c>
      <c r="E17" s="19">
        <f>D17*0.25</f>
        <v>0</v>
      </c>
      <c r="F17" s="29">
        <f>E17*0.8*1/20</f>
        <v>0</v>
      </c>
      <c r="G17" s="27">
        <f>INT(M17)</f>
        <v>0</v>
      </c>
      <c r="H17" s="30" t="s">
        <v>18</v>
      </c>
      <c r="I17" s="27">
        <f>(M17-G17)*64</f>
        <v>0</v>
      </c>
      <c r="J17" s="19" t="s">
        <v>19</v>
      </c>
      <c r="K17" s="19"/>
      <c r="L17" s="19"/>
      <c r="M17" s="31">
        <f>F17*2016/16128</f>
        <v>0</v>
      </c>
      <c r="N17" s="19"/>
      <c r="O17" s="19"/>
      <c r="P17" s="19"/>
      <c r="Q17" s="30" t="s">
        <v>18</v>
      </c>
      <c r="R17" s="19"/>
      <c r="S17" s="19" t="s">
        <v>19</v>
      </c>
      <c r="T17" s="32"/>
      <c r="U17" s="19">
        <f>E17/272*60</f>
        <v>0</v>
      </c>
      <c r="V17" s="19"/>
      <c r="W17" s="32"/>
      <c r="X17" s="19"/>
    </row>
    <row r="18" spans="1:24" s="20" customFormat="1" ht="19.5" thickBot="1" x14ac:dyDescent="0.35">
      <c r="A18" s="26"/>
      <c r="B18" s="26" t="s">
        <v>30</v>
      </c>
      <c r="C18" s="27"/>
      <c r="D18" s="28"/>
      <c r="E18" s="19">
        <f>C18*2</f>
        <v>0</v>
      </c>
      <c r="F18" s="29">
        <f>E18*0.76*1.034/20</f>
        <v>0</v>
      </c>
      <c r="G18" s="27">
        <f t="shared" si="3"/>
        <v>0</v>
      </c>
      <c r="H18" s="30" t="s">
        <v>18</v>
      </c>
      <c r="I18" s="27">
        <f t="shared" si="4"/>
        <v>0</v>
      </c>
      <c r="J18" s="19" t="s">
        <v>19</v>
      </c>
      <c r="K18" s="19"/>
      <c r="L18" s="19"/>
      <c r="M18" s="31">
        <f>F18*1008/8064</f>
        <v>0</v>
      </c>
      <c r="N18" s="19"/>
      <c r="O18" s="19"/>
      <c r="P18" s="19"/>
      <c r="Q18" s="30" t="s">
        <v>18</v>
      </c>
      <c r="R18" s="19"/>
      <c r="S18" s="19" t="s">
        <v>19</v>
      </c>
      <c r="T18" s="32"/>
      <c r="U18" s="19">
        <f>E18/272*60</f>
        <v>0</v>
      </c>
      <c r="V18" s="19"/>
      <c r="W18" s="32"/>
      <c r="X18" s="19"/>
    </row>
    <row r="19" spans="1:24" s="20" customFormat="1" ht="19.5" thickBot="1" x14ac:dyDescent="0.35">
      <c r="A19" s="26"/>
      <c r="B19" s="26" t="s">
        <v>32</v>
      </c>
      <c r="C19" s="27"/>
      <c r="D19" s="28"/>
      <c r="E19" s="19">
        <f>C19*2</f>
        <v>0</v>
      </c>
      <c r="F19" s="29">
        <f>E19*0.76*1.034/20</f>
        <v>0</v>
      </c>
      <c r="G19" s="27">
        <f t="shared" si="3"/>
        <v>0</v>
      </c>
      <c r="H19" s="30" t="s">
        <v>18</v>
      </c>
      <c r="I19" s="27">
        <f t="shared" si="4"/>
        <v>0</v>
      </c>
      <c r="J19" s="19" t="s">
        <v>19</v>
      </c>
      <c r="K19" s="19"/>
      <c r="L19" s="19"/>
      <c r="M19" s="31">
        <f>F19*2016/16128</f>
        <v>0</v>
      </c>
      <c r="N19" s="19"/>
      <c r="O19" s="19"/>
      <c r="P19" s="19"/>
      <c r="Q19" s="30" t="s">
        <v>18</v>
      </c>
      <c r="R19" s="19"/>
      <c r="S19" s="19" t="s">
        <v>19</v>
      </c>
      <c r="T19" s="32"/>
      <c r="U19" s="19">
        <f t="shared" si="2"/>
        <v>0</v>
      </c>
      <c r="V19" s="19"/>
      <c r="W19" s="32"/>
      <c r="X19" s="19"/>
    </row>
    <row r="20" spans="1:24" s="20" customFormat="1" ht="19.5" thickBot="1" x14ac:dyDescent="0.35">
      <c r="A20" s="26"/>
      <c r="B20" s="26" t="s">
        <v>33</v>
      </c>
      <c r="C20" s="27"/>
      <c r="D20" s="28"/>
      <c r="E20" s="19">
        <f>C20*2</f>
        <v>0</v>
      </c>
      <c r="F20" s="29">
        <f>E20*0.76*1.034/20</f>
        <v>0</v>
      </c>
      <c r="G20" s="27">
        <f t="shared" si="3"/>
        <v>0</v>
      </c>
      <c r="H20" s="30" t="s">
        <v>18</v>
      </c>
      <c r="I20" s="27">
        <f t="shared" si="4"/>
        <v>0</v>
      </c>
      <c r="J20" s="19" t="s">
        <v>19</v>
      </c>
      <c r="K20" s="19"/>
      <c r="L20" s="19"/>
      <c r="M20" s="31">
        <f>F20*2016/16128</f>
        <v>0</v>
      </c>
      <c r="N20" s="19"/>
      <c r="O20" s="19"/>
      <c r="P20" s="19"/>
      <c r="Q20" s="30" t="s">
        <v>18</v>
      </c>
      <c r="R20" s="19"/>
      <c r="S20" s="19" t="s">
        <v>19</v>
      </c>
      <c r="T20" s="32"/>
      <c r="U20" s="19">
        <f t="shared" si="2"/>
        <v>0</v>
      </c>
      <c r="V20" s="19"/>
      <c r="W20" s="32"/>
      <c r="X20" s="19"/>
    </row>
    <row r="21" spans="1:24" s="20" customFormat="1" ht="19.5" thickBot="1" x14ac:dyDescent="0.35">
      <c r="A21" s="26"/>
      <c r="B21" s="26" t="s">
        <v>34</v>
      </c>
      <c r="C21" s="27"/>
      <c r="D21" s="28"/>
      <c r="E21" s="19">
        <f>C21*2</f>
        <v>0</v>
      </c>
      <c r="F21" s="29">
        <f>E21*0.76*1.034/20</f>
        <v>0</v>
      </c>
      <c r="G21" s="27">
        <f t="shared" si="3"/>
        <v>0</v>
      </c>
      <c r="H21" s="30" t="s">
        <v>18</v>
      </c>
      <c r="I21" s="27">
        <f t="shared" si="4"/>
        <v>0</v>
      </c>
      <c r="J21" s="19" t="s">
        <v>19</v>
      </c>
      <c r="K21" s="19"/>
      <c r="L21" s="19"/>
      <c r="M21" s="31">
        <f>F21*2016/16128</f>
        <v>0</v>
      </c>
      <c r="N21" s="19"/>
      <c r="O21" s="19"/>
      <c r="P21" s="19"/>
      <c r="Q21" s="30" t="s">
        <v>18</v>
      </c>
      <c r="R21" s="19"/>
      <c r="S21" s="19" t="s">
        <v>19</v>
      </c>
      <c r="T21" s="32"/>
      <c r="U21" s="19">
        <f>E21/259*60</f>
        <v>0</v>
      </c>
      <c r="V21" s="19"/>
      <c r="W21" s="32"/>
      <c r="X21" s="19"/>
    </row>
    <row r="22" spans="1:24" s="20" customFormat="1" ht="38.25" thickBot="1" x14ac:dyDescent="0.35">
      <c r="A22" s="26"/>
      <c r="B22" s="26" t="s">
        <v>35</v>
      </c>
      <c r="C22" s="27"/>
      <c r="D22" s="28">
        <f>C22*12</f>
        <v>0</v>
      </c>
      <c r="E22" s="19">
        <f>D22*0.2</f>
        <v>0</v>
      </c>
      <c r="F22" s="29">
        <f>D22*22*0.0086/24.7</f>
        <v>0</v>
      </c>
      <c r="G22" s="27">
        <f>INT(M22)</f>
        <v>0</v>
      </c>
      <c r="H22" s="30" t="s">
        <v>18</v>
      </c>
      <c r="I22" s="27">
        <f>(M22-G22)*64</f>
        <v>0</v>
      </c>
      <c r="J22" s="19" t="s">
        <v>19</v>
      </c>
      <c r="K22" s="19"/>
      <c r="L22" s="19"/>
      <c r="M22" s="31">
        <f>F22*3024/16128</f>
        <v>0</v>
      </c>
      <c r="N22" s="19"/>
      <c r="O22" s="19"/>
      <c r="P22" s="19"/>
      <c r="Q22" s="30" t="s">
        <v>18</v>
      </c>
      <c r="R22" s="19"/>
      <c r="S22" s="19" t="s">
        <v>19</v>
      </c>
      <c r="T22" s="32"/>
      <c r="U22" s="19">
        <f>E22/207*60</f>
        <v>0</v>
      </c>
      <c r="V22" s="19"/>
      <c r="W22" s="32"/>
      <c r="X22" s="19"/>
    </row>
    <row r="23" spans="1:24" s="20" customFormat="1" ht="19.5" thickBot="1" x14ac:dyDescent="0.35">
      <c r="A23" s="19"/>
      <c r="B23" s="26" t="s">
        <v>36</v>
      </c>
      <c r="C23" s="27"/>
      <c r="D23" s="28"/>
      <c r="E23" s="30"/>
      <c r="F23" s="29"/>
      <c r="G23" s="33"/>
      <c r="H23" s="34"/>
      <c r="I23" s="33"/>
      <c r="J23" s="34"/>
      <c r="K23" s="31"/>
      <c r="L23" s="31"/>
      <c r="M23" s="31"/>
      <c r="N23" s="19"/>
      <c r="O23" s="19"/>
      <c r="P23" s="19"/>
      <c r="Q23" s="35"/>
      <c r="R23" s="19"/>
      <c r="S23" s="35"/>
      <c r="T23" s="32"/>
      <c r="U23" s="19"/>
      <c r="V23" s="19"/>
      <c r="W23" s="32"/>
      <c r="X23" s="19"/>
    </row>
    <row r="24" spans="1:24" s="20" customFormat="1" ht="19.5" thickBot="1" x14ac:dyDescent="0.35">
      <c r="A24" s="19"/>
      <c r="B24" s="26" t="s">
        <v>37</v>
      </c>
      <c r="C24" s="27"/>
      <c r="D24" s="28"/>
      <c r="E24" s="19">
        <f>SUM(E8:E22)</f>
        <v>0</v>
      </c>
      <c r="F24" s="19">
        <f>SUM(F8:F22)</f>
        <v>0</v>
      </c>
      <c r="G24" s="27"/>
      <c r="H24" s="35"/>
      <c r="I24" s="27"/>
      <c r="J24" s="35"/>
      <c r="K24" s="19"/>
      <c r="L24" s="19"/>
      <c r="M24" s="19"/>
      <c r="N24" s="19"/>
      <c r="O24" s="19"/>
      <c r="P24" s="19"/>
      <c r="Q24" s="30"/>
      <c r="R24" s="19"/>
      <c r="S24" s="19"/>
      <c r="T24" s="32"/>
      <c r="U24" s="19"/>
      <c r="V24" s="19"/>
      <c r="W24" s="32"/>
      <c r="X24" s="19"/>
    </row>
    <row r="25" spans="1:24" s="20" customFormat="1" ht="19.5" thickBot="1" x14ac:dyDescent="0.35">
      <c r="A25" s="21"/>
      <c r="B25" s="22" t="s">
        <v>38</v>
      </c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4" s="20" customFormat="1" ht="19.5" thickBot="1" x14ac:dyDescent="0.35">
      <c r="A26" s="26"/>
      <c r="B26" s="26" t="s">
        <v>39</v>
      </c>
      <c r="C26" s="27"/>
      <c r="D26" s="28"/>
      <c r="E26" s="19">
        <f>C26*3*0.34</f>
        <v>0</v>
      </c>
      <c r="F26" s="29">
        <f>E26*0.8*1.03/22</f>
        <v>0</v>
      </c>
      <c r="G26" s="27">
        <f t="shared" ref="G26:G31" si="5">INT(M26)</f>
        <v>0</v>
      </c>
      <c r="H26" s="30" t="s">
        <v>18</v>
      </c>
      <c r="I26" s="27">
        <f t="shared" ref="I26:I31" si="6">(M26-G26)*64</f>
        <v>0</v>
      </c>
      <c r="J26" s="19" t="s">
        <v>19</v>
      </c>
      <c r="K26" s="19"/>
      <c r="L26" s="19"/>
      <c r="M26" s="31">
        <f t="shared" ref="M26:M31" si="7">F26*2940/12544</f>
        <v>0</v>
      </c>
      <c r="N26" s="19"/>
      <c r="O26" s="19"/>
      <c r="P26" s="19"/>
      <c r="Q26" s="30"/>
      <c r="R26" s="19"/>
      <c r="S26" s="19"/>
      <c r="T26" s="32"/>
      <c r="U26" s="19"/>
      <c r="V26" s="19"/>
      <c r="W26" s="32"/>
      <c r="X26" s="19"/>
    </row>
    <row r="27" spans="1:24" s="20" customFormat="1" ht="38.25" thickBot="1" x14ac:dyDescent="0.35">
      <c r="A27" s="26"/>
      <c r="B27" s="26" t="s">
        <v>313</v>
      </c>
      <c r="C27" s="27"/>
      <c r="D27" s="28"/>
      <c r="E27" s="19">
        <f>C27*3*0.66</f>
        <v>0</v>
      </c>
      <c r="F27" s="29">
        <f>E27*0.8*1.03/43</f>
        <v>0</v>
      </c>
      <c r="G27" s="27">
        <f t="shared" si="5"/>
        <v>0</v>
      </c>
      <c r="H27" s="30" t="s">
        <v>18</v>
      </c>
      <c r="I27" s="27">
        <f t="shared" si="6"/>
        <v>0</v>
      </c>
      <c r="J27" s="19" t="s">
        <v>19</v>
      </c>
      <c r="K27" s="19"/>
      <c r="L27" s="19"/>
      <c r="M27" s="31">
        <f t="shared" si="7"/>
        <v>0</v>
      </c>
      <c r="N27" s="19"/>
      <c r="O27" s="19"/>
      <c r="P27" s="19"/>
      <c r="Q27" s="30"/>
      <c r="R27" s="19"/>
      <c r="S27" s="19"/>
      <c r="T27" s="32"/>
      <c r="U27" s="19"/>
      <c r="V27" s="19"/>
      <c r="W27" s="32"/>
      <c r="X27" s="19"/>
    </row>
    <row r="28" spans="1:24" s="20" customFormat="1" ht="19.5" thickBot="1" x14ac:dyDescent="0.35">
      <c r="A28" s="26"/>
      <c r="B28" s="26" t="s">
        <v>40</v>
      </c>
      <c r="C28" s="27"/>
      <c r="D28" s="28"/>
      <c r="E28" s="19">
        <f>C28*3*0.34</f>
        <v>0</v>
      </c>
      <c r="F28" s="29">
        <f>E28*0.8*1.03/22</f>
        <v>0</v>
      </c>
      <c r="G28" s="27">
        <f t="shared" si="5"/>
        <v>0</v>
      </c>
      <c r="H28" s="30" t="s">
        <v>18</v>
      </c>
      <c r="I28" s="27">
        <f t="shared" si="6"/>
        <v>0</v>
      </c>
      <c r="J28" s="19" t="s">
        <v>19</v>
      </c>
      <c r="K28" s="19"/>
      <c r="L28" s="19"/>
      <c r="M28" s="31">
        <f t="shared" si="7"/>
        <v>0</v>
      </c>
      <c r="N28" s="19"/>
      <c r="O28" s="19"/>
      <c r="P28" s="19"/>
      <c r="Q28" s="30"/>
      <c r="R28" s="19"/>
      <c r="S28" s="19"/>
      <c r="T28" s="32"/>
      <c r="U28" s="19"/>
      <c r="V28" s="19"/>
      <c r="W28" s="32"/>
      <c r="X28" s="19"/>
    </row>
    <row r="29" spans="1:24" s="20" customFormat="1" ht="38.25" thickBot="1" x14ac:dyDescent="0.35">
      <c r="A29" s="26"/>
      <c r="B29" s="26" t="s">
        <v>314</v>
      </c>
      <c r="C29" s="27"/>
      <c r="D29" s="28"/>
      <c r="E29" s="19">
        <f>C29*3*0.66</f>
        <v>0</v>
      </c>
      <c r="F29" s="29">
        <f>E29*0.8*1.03/43</f>
        <v>0</v>
      </c>
      <c r="G29" s="27">
        <f t="shared" si="5"/>
        <v>0</v>
      </c>
      <c r="H29" s="30" t="s">
        <v>18</v>
      </c>
      <c r="I29" s="27">
        <f t="shared" si="6"/>
        <v>0</v>
      </c>
      <c r="J29" s="19" t="s">
        <v>19</v>
      </c>
      <c r="K29" s="19"/>
      <c r="L29" s="19"/>
      <c r="M29" s="31">
        <f t="shared" si="7"/>
        <v>0</v>
      </c>
      <c r="N29" s="19"/>
      <c r="O29" s="19"/>
      <c r="P29" s="19"/>
      <c r="Q29" s="30"/>
      <c r="R29" s="19"/>
      <c r="S29" s="19"/>
      <c r="T29" s="32"/>
      <c r="U29" s="19"/>
      <c r="V29" s="19"/>
      <c r="W29" s="32"/>
      <c r="X29" s="19"/>
    </row>
    <row r="30" spans="1:24" s="20" customFormat="1" ht="19.5" thickBot="1" x14ac:dyDescent="0.35">
      <c r="A30" s="26"/>
      <c r="B30" s="26" t="s">
        <v>41</v>
      </c>
      <c r="C30" s="27"/>
      <c r="D30" s="28"/>
      <c r="E30" s="19">
        <f>C30*3*0.34</f>
        <v>0</v>
      </c>
      <c r="F30" s="29">
        <f>E30*0.8*1.03/22</f>
        <v>0</v>
      </c>
      <c r="G30" s="27">
        <f t="shared" si="5"/>
        <v>0</v>
      </c>
      <c r="H30" s="30" t="s">
        <v>18</v>
      </c>
      <c r="I30" s="27">
        <f t="shared" si="6"/>
        <v>0</v>
      </c>
      <c r="J30" s="19" t="s">
        <v>19</v>
      </c>
      <c r="K30" s="19"/>
      <c r="L30" s="19"/>
      <c r="M30" s="31">
        <f t="shared" si="7"/>
        <v>0</v>
      </c>
      <c r="N30" s="19"/>
      <c r="O30" s="19"/>
      <c r="P30" s="19"/>
      <c r="Q30" s="30"/>
      <c r="R30" s="19"/>
      <c r="S30" s="19"/>
      <c r="T30" s="32"/>
      <c r="U30" s="19"/>
      <c r="V30" s="19"/>
      <c r="W30" s="32"/>
      <c r="X30" s="19"/>
    </row>
    <row r="31" spans="1:24" s="20" customFormat="1" ht="38.25" thickBot="1" x14ac:dyDescent="0.35">
      <c r="A31" s="26"/>
      <c r="B31" s="26" t="s">
        <v>312</v>
      </c>
      <c r="C31" s="27"/>
      <c r="D31" s="28"/>
      <c r="E31" s="19">
        <f>C31*3*0.66</f>
        <v>0</v>
      </c>
      <c r="F31" s="29">
        <f>E31*0.8*1.03/43</f>
        <v>0</v>
      </c>
      <c r="G31" s="27">
        <f t="shared" si="5"/>
        <v>0</v>
      </c>
      <c r="H31" s="30" t="s">
        <v>18</v>
      </c>
      <c r="I31" s="27">
        <f t="shared" si="6"/>
        <v>0</v>
      </c>
      <c r="J31" s="19" t="s">
        <v>19</v>
      </c>
      <c r="K31" s="19"/>
      <c r="L31" s="19"/>
      <c r="M31" s="31">
        <f t="shared" si="7"/>
        <v>0</v>
      </c>
      <c r="N31" s="19"/>
      <c r="O31" s="19"/>
      <c r="P31" s="19"/>
      <c r="Q31" s="30"/>
      <c r="R31" s="19"/>
      <c r="S31" s="19"/>
      <c r="T31" s="32"/>
      <c r="U31" s="19"/>
      <c r="V31" s="19"/>
      <c r="W31" s="32"/>
      <c r="X31" s="19"/>
    </row>
    <row r="32" spans="1:24" s="20" customFormat="1" ht="19.5" thickBot="1" x14ac:dyDescent="0.35">
      <c r="A32" s="19"/>
      <c r="B32" s="26" t="s">
        <v>36</v>
      </c>
      <c r="C32" s="27"/>
      <c r="D32" s="28"/>
      <c r="E32" s="30"/>
      <c r="F32" s="29"/>
      <c r="G32" s="33"/>
      <c r="H32" s="34"/>
      <c r="I32" s="33"/>
      <c r="J32" s="34"/>
      <c r="K32" s="31"/>
      <c r="L32" s="31"/>
      <c r="M32" s="31"/>
      <c r="N32" s="19"/>
      <c r="O32" s="19"/>
      <c r="P32" s="19"/>
      <c r="Q32" s="35"/>
      <c r="R32" s="19"/>
      <c r="S32" s="35"/>
      <c r="T32" s="32"/>
      <c r="U32" s="19"/>
      <c r="V32" s="19"/>
      <c r="W32" s="32"/>
      <c r="X32" s="19"/>
    </row>
    <row r="33" spans="1:24" s="20" customFormat="1" ht="19.5" thickBot="1" x14ac:dyDescent="0.35">
      <c r="A33" s="19"/>
      <c r="B33" s="26" t="s">
        <v>42</v>
      </c>
      <c r="C33" s="27"/>
      <c r="D33" s="28"/>
      <c r="E33" s="30"/>
      <c r="F33" s="29"/>
      <c r="G33" s="33"/>
      <c r="H33" s="34"/>
      <c r="I33" s="33"/>
      <c r="J33" s="34"/>
      <c r="K33" s="31"/>
      <c r="L33" s="31"/>
      <c r="M33" s="31"/>
      <c r="N33" s="19"/>
      <c r="O33" s="19"/>
      <c r="P33" s="19"/>
      <c r="Q33" s="35"/>
      <c r="R33" s="19"/>
      <c r="S33" s="35"/>
      <c r="T33" s="32"/>
      <c r="U33" s="19"/>
      <c r="V33" s="19"/>
      <c r="W33" s="32"/>
      <c r="X33" s="19"/>
    </row>
    <row r="34" spans="1:24" s="20" customFormat="1" ht="19.5" thickBot="1" x14ac:dyDescent="0.35">
      <c r="A34" s="19"/>
      <c r="B34" s="26" t="s">
        <v>37</v>
      </c>
      <c r="C34" s="27"/>
      <c r="D34" s="28"/>
      <c r="E34" s="19">
        <f>E26+E28+E30</f>
        <v>0</v>
      </c>
      <c r="F34" s="19">
        <f>F26+F28+F30</f>
        <v>0</v>
      </c>
      <c r="G34" s="27"/>
      <c r="H34" s="35"/>
      <c r="I34" s="27"/>
      <c r="J34" s="35"/>
      <c r="K34" s="19"/>
      <c r="L34" s="19"/>
      <c r="M34" s="19"/>
      <c r="N34" s="19"/>
      <c r="O34" s="19"/>
      <c r="P34" s="19"/>
      <c r="Q34" s="30"/>
      <c r="R34" s="19"/>
      <c r="S34" s="19"/>
      <c r="T34" s="32"/>
      <c r="U34" s="19"/>
      <c r="V34" s="19"/>
      <c r="W34" s="32"/>
      <c r="X34" s="19"/>
    </row>
    <row r="35" spans="1:24" s="20" customFormat="1" ht="19.5" thickBot="1" x14ac:dyDescent="0.35">
      <c r="A35" s="19"/>
      <c r="B35" s="26" t="s">
        <v>43</v>
      </c>
      <c r="C35" s="27"/>
      <c r="D35" s="28"/>
      <c r="E35" s="19">
        <f>E27+E29+E31</f>
        <v>0</v>
      </c>
      <c r="F35" s="19">
        <f>F27+F29+F31</f>
        <v>0</v>
      </c>
      <c r="G35" s="27"/>
      <c r="H35" s="35"/>
      <c r="I35" s="27"/>
      <c r="J35" s="35"/>
      <c r="K35" s="19"/>
      <c r="L35" s="19"/>
      <c r="M35" s="19"/>
      <c r="N35" s="19"/>
      <c r="O35" s="19"/>
      <c r="P35" s="19"/>
      <c r="Q35" s="30"/>
      <c r="R35" s="19"/>
      <c r="S35" s="19"/>
      <c r="T35" s="32"/>
      <c r="U35" s="19"/>
      <c r="V35" s="19"/>
      <c r="W35" s="32"/>
      <c r="X35" s="19"/>
    </row>
    <row r="36" spans="1:24" s="20" customFormat="1" ht="19.5" thickBot="1" x14ac:dyDescent="0.35">
      <c r="A36" s="19"/>
      <c r="B36" s="948" t="s">
        <v>44</v>
      </c>
      <c r="C36" s="948"/>
      <c r="D36" s="948"/>
      <c r="E36" s="948"/>
      <c r="F36" s="948"/>
      <c r="G36" s="948"/>
      <c r="H36" s="948"/>
      <c r="I36" s="948"/>
      <c r="J36" s="948"/>
      <c r="K36" s="948"/>
      <c r="L36" s="948"/>
      <c r="M36" s="948"/>
      <c r="N36" s="948"/>
      <c r="O36" s="948"/>
      <c r="P36" s="948"/>
      <c r="Q36" s="948"/>
      <c r="R36" s="948"/>
      <c r="S36" s="948"/>
      <c r="T36" s="948"/>
      <c r="U36" s="948"/>
      <c r="V36" s="948"/>
      <c r="W36" s="948"/>
      <c r="X36" s="948"/>
    </row>
    <row r="37" spans="1:24" s="20" customFormat="1" ht="38.25" thickBot="1" x14ac:dyDescent="0.35">
      <c r="A37" s="26"/>
      <c r="B37" s="26" t="s">
        <v>45</v>
      </c>
      <c r="C37" s="27"/>
      <c r="D37" s="28">
        <f>C37*6*28</f>
        <v>0</v>
      </c>
      <c r="E37" s="19">
        <f>D37*0.04</f>
        <v>0</v>
      </c>
      <c r="F37" s="29">
        <f>E37*0.79*1.25/20</f>
        <v>0</v>
      </c>
      <c r="G37" s="27">
        <f t="shared" ref="G37:G45" si="8">INT(M37)</f>
        <v>0</v>
      </c>
      <c r="H37" s="30" t="s">
        <v>18</v>
      </c>
      <c r="I37" s="27">
        <f t="shared" ref="I37:I45" si="9">(M37-G37)*64</f>
        <v>0</v>
      </c>
      <c r="J37" s="19" t="s">
        <v>19</v>
      </c>
      <c r="K37" s="19"/>
      <c r="L37" s="19"/>
      <c r="M37" s="31">
        <f>F37*540/4608</f>
        <v>0</v>
      </c>
      <c r="N37" s="19"/>
      <c r="O37" s="19"/>
      <c r="P37" s="19"/>
      <c r="Q37" s="30" t="s">
        <v>18</v>
      </c>
      <c r="R37" s="19"/>
      <c r="S37" s="19" t="s">
        <v>19</v>
      </c>
      <c r="T37" s="32"/>
      <c r="U37" s="19">
        <f t="shared" ref="U37:U46" si="10">E37/272*60</f>
        <v>0</v>
      </c>
      <c r="V37" s="19"/>
      <c r="W37" s="32"/>
      <c r="X37" s="19"/>
    </row>
    <row r="38" spans="1:24" s="20" customFormat="1" ht="19.5" thickBot="1" x14ac:dyDescent="0.35">
      <c r="A38" s="26"/>
      <c r="B38" s="26" t="s">
        <v>46</v>
      </c>
      <c r="C38" s="27"/>
      <c r="D38" s="28">
        <f>C38*6*28</f>
        <v>0</v>
      </c>
      <c r="E38" s="19">
        <f>D38*0.04</f>
        <v>0</v>
      </c>
      <c r="F38" s="29">
        <f>E38*0.79*1.25/20</f>
        <v>0</v>
      </c>
      <c r="G38" s="27">
        <f t="shared" si="8"/>
        <v>0</v>
      </c>
      <c r="H38" s="30" t="s">
        <v>18</v>
      </c>
      <c r="I38" s="27">
        <f t="shared" si="9"/>
        <v>0</v>
      </c>
      <c r="J38" s="19" t="s">
        <v>19</v>
      </c>
      <c r="K38" s="19"/>
      <c r="L38" s="19"/>
      <c r="M38" s="31">
        <f>F38*540/4608</f>
        <v>0</v>
      </c>
      <c r="N38" s="19"/>
      <c r="O38" s="19"/>
      <c r="P38" s="19"/>
      <c r="Q38" s="30" t="s">
        <v>18</v>
      </c>
      <c r="R38" s="19"/>
      <c r="S38" s="19" t="s">
        <v>19</v>
      </c>
      <c r="T38" s="32"/>
      <c r="U38" s="19">
        <f t="shared" si="10"/>
        <v>0</v>
      </c>
      <c r="V38" s="19"/>
      <c r="W38" s="32"/>
      <c r="X38" s="19"/>
    </row>
    <row r="39" spans="1:24" s="20" customFormat="1" ht="19.5" thickBot="1" x14ac:dyDescent="0.35">
      <c r="A39" s="26"/>
      <c r="B39" s="26" t="s">
        <v>47</v>
      </c>
      <c r="C39" s="27"/>
      <c r="D39" s="28">
        <f>C39*6*28</f>
        <v>0</v>
      </c>
      <c r="E39" s="19">
        <f>D39*0.04</f>
        <v>0</v>
      </c>
      <c r="F39" s="29">
        <f>E39*0.79*1.25/20</f>
        <v>0</v>
      </c>
      <c r="G39" s="27">
        <f t="shared" si="8"/>
        <v>0</v>
      </c>
      <c r="H39" s="30" t="s">
        <v>18</v>
      </c>
      <c r="I39" s="27">
        <f t="shared" si="9"/>
        <v>0</v>
      </c>
      <c r="J39" s="19" t="s">
        <v>19</v>
      </c>
      <c r="K39" s="19"/>
      <c r="L39" s="19"/>
      <c r="M39" s="31">
        <f>F39*540/4608</f>
        <v>0</v>
      </c>
      <c r="N39" s="19"/>
      <c r="O39" s="19"/>
      <c r="P39" s="19"/>
      <c r="Q39" s="30" t="s">
        <v>18</v>
      </c>
      <c r="R39" s="19"/>
      <c r="S39" s="19" t="s">
        <v>19</v>
      </c>
      <c r="T39" s="32"/>
      <c r="U39" s="19">
        <f t="shared" si="10"/>
        <v>0</v>
      </c>
      <c r="V39" s="19"/>
      <c r="W39" s="32"/>
      <c r="X39" s="19"/>
    </row>
    <row r="40" spans="1:24" s="120" customFormat="1" ht="38.25" thickBot="1" x14ac:dyDescent="0.35">
      <c r="A40" s="146"/>
      <c r="B40" s="146" t="s">
        <v>319</v>
      </c>
      <c r="C40" s="147"/>
      <c r="D40" s="154"/>
      <c r="E40" s="149">
        <f>D40*0.1</f>
        <v>0</v>
      </c>
      <c r="F40" s="150">
        <f>E40*0.79*1.07/20</f>
        <v>0</v>
      </c>
      <c r="G40" s="147">
        <f t="shared" si="8"/>
        <v>0</v>
      </c>
      <c r="H40" s="151" t="s">
        <v>18</v>
      </c>
      <c r="I40" s="147">
        <f t="shared" si="9"/>
        <v>0</v>
      </c>
      <c r="J40" s="149" t="s">
        <v>19</v>
      </c>
      <c r="K40" s="149"/>
      <c r="L40" s="149"/>
      <c r="M40" s="152">
        <f t="shared" ref="M40:M46" si="11">F40*1890/16128</f>
        <v>0</v>
      </c>
      <c r="N40" s="149"/>
      <c r="O40" s="149"/>
      <c r="P40" s="149"/>
      <c r="Q40" s="151" t="s">
        <v>18</v>
      </c>
      <c r="R40" s="149"/>
      <c r="S40" s="149" t="s">
        <v>19</v>
      </c>
      <c r="T40" s="153"/>
      <c r="U40" s="149">
        <f t="shared" si="10"/>
        <v>0</v>
      </c>
      <c r="V40" s="149"/>
      <c r="W40" s="153"/>
      <c r="X40" s="149"/>
    </row>
    <row r="41" spans="1:24" s="120" customFormat="1" ht="38.25" thickBot="1" x14ac:dyDescent="0.35">
      <c r="A41" s="146"/>
      <c r="B41" s="146" t="s">
        <v>320</v>
      </c>
      <c r="C41" s="147"/>
      <c r="D41" s="154"/>
      <c r="E41" s="149">
        <f>D41*0.12</f>
        <v>0</v>
      </c>
      <c r="F41" s="150">
        <f>E41*0.79*1.07/20</f>
        <v>0</v>
      </c>
      <c r="G41" s="147">
        <f t="shared" si="8"/>
        <v>0</v>
      </c>
      <c r="H41" s="151" t="s">
        <v>18</v>
      </c>
      <c r="I41" s="147">
        <f t="shared" si="9"/>
        <v>0</v>
      </c>
      <c r="J41" s="149" t="s">
        <v>19</v>
      </c>
      <c r="K41" s="149"/>
      <c r="L41" s="149"/>
      <c r="M41" s="152">
        <f t="shared" si="11"/>
        <v>0</v>
      </c>
      <c r="N41" s="149"/>
      <c r="O41" s="149"/>
      <c r="P41" s="149"/>
      <c r="Q41" s="151" t="s">
        <v>18</v>
      </c>
      <c r="R41" s="149"/>
      <c r="S41" s="149" t="s">
        <v>19</v>
      </c>
      <c r="T41" s="153"/>
      <c r="U41" s="149">
        <f t="shared" si="10"/>
        <v>0</v>
      </c>
      <c r="V41" s="149"/>
      <c r="W41" s="153"/>
      <c r="X41" s="149"/>
    </row>
    <row r="42" spans="1:24" s="120" customFormat="1" ht="38.25" thickBot="1" x14ac:dyDescent="0.35">
      <c r="A42" s="146"/>
      <c r="B42" s="146" t="s">
        <v>318</v>
      </c>
      <c r="C42" s="147"/>
      <c r="D42" s="148"/>
      <c r="E42" s="149">
        <f>C42*4.8</f>
        <v>0</v>
      </c>
      <c r="F42" s="150">
        <f>E42*0.79*1.07/20</f>
        <v>0</v>
      </c>
      <c r="G42" s="147">
        <f>INT(M42)</f>
        <v>0</v>
      </c>
      <c r="H42" s="151" t="s">
        <v>18</v>
      </c>
      <c r="I42" s="147">
        <f>(M42-G42)*64</f>
        <v>0</v>
      </c>
      <c r="J42" s="149" t="s">
        <v>19</v>
      </c>
      <c r="K42" s="149"/>
      <c r="L42" s="149"/>
      <c r="M42" s="152">
        <f t="shared" si="11"/>
        <v>0</v>
      </c>
      <c r="N42" s="149"/>
      <c r="O42" s="149"/>
      <c r="P42" s="149"/>
      <c r="Q42" s="151" t="s">
        <v>18</v>
      </c>
      <c r="R42" s="149"/>
      <c r="S42" s="149" t="s">
        <v>19</v>
      </c>
      <c r="T42" s="153"/>
      <c r="U42" s="149">
        <f>E42/272*60</f>
        <v>0</v>
      </c>
      <c r="V42" s="149"/>
      <c r="W42" s="153"/>
      <c r="X42" s="149"/>
    </row>
    <row r="43" spans="1:24" s="20" customFormat="1" ht="19.5" thickBot="1" x14ac:dyDescent="0.35">
      <c r="A43" s="26"/>
      <c r="B43" s="26" t="s">
        <v>316</v>
      </c>
      <c r="C43" s="27"/>
      <c r="D43" s="28"/>
      <c r="E43" s="19">
        <f>C43*4</f>
        <v>0</v>
      </c>
      <c r="F43" s="29">
        <f>E43*0.79*1.07/20</f>
        <v>0</v>
      </c>
      <c r="G43" s="27">
        <f t="shared" si="8"/>
        <v>0</v>
      </c>
      <c r="H43" s="30" t="s">
        <v>18</v>
      </c>
      <c r="I43" s="27">
        <f t="shared" si="9"/>
        <v>0</v>
      </c>
      <c r="J43" s="19" t="s">
        <v>19</v>
      </c>
      <c r="K43" s="19"/>
      <c r="L43" s="19"/>
      <c r="M43" s="31">
        <f t="shared" si="11"/>
        <v>0</v>
      </c>
      <c r="N43" s="19"/>
      <c r="O43" s="19"/>
      <c r="P43" s="19"/>
      <c r="Q43" s="30" t="s">
        <v>18</v>
      </c>
      <c r="R43" s="19"/>
      <c r="S43" s="19" t="s">
        <v>19</v>
      </c>
      <c r="T43" s="32"/>
      <c r="U43" s="19">
        <f t="shared" si="10"/>
        <v>0</v>
      </c>
      <c r="V43" s="19"/>
      <c r="W43" s="32"/>
      <c r="X43" s="19"/>
    </row>
    <row r="44" spans="1:24" s="20" customFormat="1" ht="19.5" thickBot="1" x14ac:dyDescent="0.35">
      <c r="A44" s="26"/>
      <c r="B44" s="26" t="s">
        <v>317</v>
      </c>
      <c r="C44" s="27"/>
      <c r="D44" s="28"/>
      <c r="E44" s="19">
        <f>C44*4</f>
        <v>0</v>
      </c>
      <c r="F44" s="29">
        <f>E44*0.91*1.03/21</f>
        <v>0</v>
      </c>
      <c r="G44" s="27">
        <f t="shared" si="8"/>
        <v>0</v>
      </c>
      <c r="H44" s="30" t="s">
        <v>18</v>
      </c>
      <c r="I44" s="27">
        <f t="shared" si="9"/>
        <v>0</v>
      </c>
      <c r="J44" s="19" t="s">
        <v>19</v>
      </c>
      <c r="K44" s="19"/>
      <c r="L44" s="19"/>
      <c r="M44" s="31">
        <f t="shared" si="11"/>
        <v>0</v>
      </c>
      <c r="N44" s="19"/>
      <c r="O44" s="19"/>
      <c r="P44" s="19"/>
      <c r="Q44" s="30" t="s">
        <v>18</v>
      </c>
      <c r="R44" s="19"/>
      <c r="S44" s="19" t="s">
        <v>19</v>
      </c>
      <c r="T44" s="32"/>
      <c r="U44" s="19">
        <f t="shared" si="10"/>
        <v>0</v>
      </c>
      <c r="V44" s="19"/>
      <c r="W44" s="32"/>
      <c r="X44" s="19"/>
    </row>
    <row r="45" spans="1:24" s="20" customFormat="1" ht="19.5" thickBot="1" x14ac:dyDescent="0.35">
      <c r="A45" s="26"/>
      <c r="B45" s="26" t="s">
        <v>315</v>
      </c>
      <c r="C45" s="27"/>
      <c r="D45" s="28"/>
      <c r="E45" s="19">
        <f>C45*4</f>
        <v>0</v>
      </c>
      <c r="F45" s="29">
        <f>E45*0.91*1.03/21</f>
        <v>0</v>
      </c>
      <c r="G45" s="27">
        <f t="shared" si="8"/>
        <v>0</v>
      </c>
      <c r="H45" s="30" t="s">
        <v>18</v>
      </c>
      <c r="I45" s="27">
        <f t="shared" si="9"/>
        <v>0</v>
      </c>
      <c r="J45" s="19" t="s">
        <v>19</v>
      </c>
      <c r="K45" s="19"/>
      <c r="L45" s="19"/>
      <c r="M45" s="31">
        <f t="shared" si="11"/>
        <v>0</v>
      </c>
      <c r="N45" s="19"/>
      <c r="O45" s="19"/>
      <c r="P45" s="19"/>
      <c r="Q45" s="30" t="s">
        <v>18</v>
      </c>
      <c r="R45" s="19"/>
      <c r="S45" s="19" t="s">
        <v>19</v>
      </c>
      <c r="T45" s="32"/>
      <c r="U45" s="19">
        <f t="shared" si="10"/>
        <v>0</v>
      </c>
      <c r="V45" s="19"/>
      <c r="W45" s="32"/>
      <c r="X45" s="19"/>
    </row>
    <row r="46" spans="1:24" s="20" customFormat="1" ht="19.5" thickBot="1" x14ac:dyDescent="0.35">
      <c r="A46" s="26"/>
      <c r="B46" s="26" t="s">
        <v>51</v>
      </c>
      <c r="C46" s="27"/>
      <c r="D46" s="28"/>
      <c r="E46" s="19">
        <f>C46*5</f>
        <v>0</v>
      </c>
      <c r="F46" s="29">
        <f>E46*0.79*1.01/23.3</f>
        <v>0</v>
      </c>
      <c r="G46" s="27">
        <f>INT(M46)</f>
        <v>0</v>
      </c>
      <c r="H46" s="30" t="s">
        <v>18</v>
      </c>
      <c r="I46" s="27">
        <f>(M46-G46)*64</f>
        <v>0</v>
      </c>
      <c r="J46" s="19" t="s">
        <v>19</v>
      </c>
      <c r="K46" s="19"/>
      <c r="L46" s="19"/>
      <c r="M46" s="31">
        <f t="shared" si="11"/>
        <v>0</v>
      </c>
      <c r="N46" s="19"/>
      <c r="O46" s="19"/>
      <c r="P46" s="19"/>
      <c r="Q46" s="30" t="s">
        <v>18</v>
      </c>
      <c r="R46" s="19"/>
      <c r="S46" s="19" t="s">
        <v>19</v>
      </c>
      <c r="T46" s="32"/>
      <c r="U46" s="19">
        <f t="shared" si="10"/>
        <v>0</v>
      </c>
      <c r="V46" s="19"/>
      <c r="W46" s="32"/>
      <c r="X46" s="19"/>
    </row>
    <row r="47" spans="1:24" s="20" customFormat="1" ht="19.5" thickBot="1" x14ac:dyDescent="0.35">
      <c r="A47" s="19"/>
      <c r="B47" s="26" t="s">
        <v>52</v>
      </c>
      <c r="C47" s="27"/>
      <c r="D47" s="28"/>
      <c r="E47" s="30"/>
      <c r="F47" s="29"/>
      <c r="G47" s="33"/>
      <c r="H47" s="34"/>
      <c r="I47" s="33"/>
      <c r="J47" s="34"/>
      <c r="K47" s="31"/>
      <c r="L47" s="31"/>
      <c r="M47" s="31"/>
      <c r="N47" s="19"/>
      <c r="O47" s="19"/>
      <c r="P47" s="19"/>
      <c r="Q47" s="35"/>
      <c r="R47" s="19"/>
      <c r="S47" s="35"/>
      <c r="T47" s="32"/>
      <c r="U47" s="19"/>
      <c r="V47" s="19"/>
      <c r="W47" s="32"/>
      <c r="X47" s="19"/>
    </row>
    <row r="48" spans="1:24" s="20" customFormat="1" ht="19.5" thickBot="1" x14ac:dyDescent="0.35">
      <c r="A48" s="19"/>
      <c r="B48" s="26" t="s">
        <v>53</v>
      </c>
      <c r="C48" s="27"/>
      <c r="D48" s="28"/>
      <c r="E48" s="19">
        <f>SUM(E37:E46)</f>
        <v>0</v>
      </c>
      <c r="F48" s="36">
        <f>SUM(F37:F46)</f>
        <v>0</v>
      </c>
      <c r="G48" s="27"/>
      <c r="H48" s="35"/>
      <c r="I48" s="27"/>
      <c r="J48" s="35"/>
      <c r="K48" s="19"/>
      <c r="L48" s="19"/>
      <c r="M48" s="19"/>
      <c r="N48" s="19"/>
      <c r="O48" s="19"/>
      <c r="P48" s="19"/>
      <c r="Q48" s="30"/>
      <c r="R48" s="19"/>
      <c r="S48" s="19"/>
      <c r="T48" s="32"/>
      <c r="U48" s="19"/>
      <c r="V48" s="19"/>
      <c r="W48" s="32"/>
      <c r="X48" s="19"/>
    </row>
    <row r="49" spans="1:25" s="20" customFormat="1" ht="19.5" thickBot="1" x14ac:dyDescent="0.35">
      <c r="A49" s="946"/>
      <c r="B49" s="946"/>
      <c r="C49" s="946"/>
      <c r="D49" s="946"/>
      <c r="E49" s="946"/>
      <c r="F49" s="946"/>
      <c r="G49" s="946"/>
      <c r="H49" s="946"/>
      <c r="I49" s="946"/>
      <c r="J49" s="946"/>
      <c r="K49" s="946"/>
      <c r="L49" s="946"/>
      <c r="M49" s="946"/>
      <c r="N49" s="946"/>
      <c r="O49" s="946"/>
      <c r="P49" s="946"/>
      <c r="Q49" s="946"/>
      <c r="R49" s="946"/>
      <c r="S49" s="946"/>
      <c r="T49" s="946"/>
      <c r="U49" s="946"/>
      <c r="V49" s="946"/>
      <c r="W49" s="946"/>
      <c r="X49" s="946"/>
    </row>
    <row r="50" spans="1:25" s="20" customFormat="1" ht="19.5" thickBot="1" x14ac:dyDescent="0.35">
      <c r="A50" s="37"/>
      <c r="B50" s="944" t="s">
        <v>54</v>
      </c>
      <c r="C50" s="944"/>
      <c r="D50" s="944"/>
      <c r="E50" s="944"/>
      <c r="F50" s="944"/>
      <c r="G50" s="944"/>
      <c r="H50" s="944"/>
      <c r="I50" s="944"/>
      <c r="J50" s="944"/>
      <c r="K50" s="944"/>
      <c r="L50" s="944"/>
      <c r="M50" s="944"/>
      <c r="N50" s="944"/>
      <c r="O50" s="944"/>
      <c r="P50" s="944"/>
      <c r="Q50" s="944"/>
      <c r="R50" s="944"/>
      <c r="S50" s="944"/>
      <c r="T50" s="944"/>
      <c r="U50" s="944"/>
      <c r="V50" s="944"/>
      <c r="W50" s="944"/>
      <c r="X50" s="944"/>
      <c r="Y50" s="38"/>
    </row>
    <row r="51" spans="1:25" s="20" customFormat="1" ht="19.5" thickBot="1" x14ac:dyDescent="0.35">
      <c r="A51" s="21"/>
      <c r="B51" s="22" t="s">
        <v>54</v>
      </c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</row>
    <row r="52" spans="1:25" s="20" customFormat="1" ht="19.5" thickBot="1" x14ac:dyDescent="0.35">
      <c r="A52" s="26"/>
      <c r="B52" s="26" t="s">
        <v>17</v>
      </c>
      <c r="C52" s="27"/>
      <c r="D52" s="28">
        <f>C52*12</f>
        <v>0</v>
      </c>
      <c r="E52" s="19">
        <f t="shared" ref="E52:E59" si="12">D52*0.2</f>
        <v>0</v>
      </c>
      <c r="F52" s="29">
        <f>D52*23*0.0087*1.03/21</f>
        <v>0</v>
      </c>
      <c r="G52" s="27">
        <f t="shared" ref="G52:G59" si="13">INT(M52)</f>
        <v>0</v>
      </c>
      <c r="H52" s="30" t="s">
        <v>18</v>
      </c>
      <c r="I52" s="27">
        <f t="shared" ref="I52:I59" si="14">(M52-G52)*64</f>
        <v>0</v>
      </c>
      <c r="J52" s="19" t="s">
        <v>19</v>
      </c>
      <c r="K52" s="19"/>
      <c r="L52" s="19"/>
      <c r="M52" s="31">
        <f>F52*2352/12544</f>
        <v>0</v>
      </c>
      <c r="N52" s="19"/>
      <c r="O52" s="19"/>
      <c r="P52" s="19"/>
      <c r="Q52" s="30" t="s">
        <v>18</v>
      </c>
      <c r="R52" s="19"/>
      <c r="S52" s="19" t="s">
        <v>19</v>
      </c>
      <c r="T52" s="32"/>
      <c r="U52" s="19">
        <f>E52/272*60</f>
        <v>0</v>
      </c>
      <c r="V52" s="19"/>
      <c r="W52" s="32"/>
      <c r="X52" s="19"/>
    </row>
    <row r="53" spans="1:25" s="20" customFormat="1" ht="19.5" thickBot="1" x14ac:dyDescent="0.35">
      <c r="A53" s="26"/>
      <c r="B53" s="26" t="s">
        <v>20</v>
      </c>
      <c r="C53" s="27"/>
      <c r="D53" s="28">
        <f>C53*12</f>
        <v>0</v>
      </c>
      <c r="E53" s="19">
        <f t="shared" si="12"/>
        <v>0</v>
      </c>
      <c r="F53" s="29">
        <f>D53*23*0.0087*1.03/21</f>
        <v>0</v>
      </c>
      <c r="G53" s="27">
        <f t="shared" si="13"/>
        <v>0</v>
      </c>
      <c r="H53" s="30" t="s">
        <v>18</v>
      </c>
      <c r="I53" s="27">
        <f t="shared" si="14"/>
        <v>0</v>
      </c>
      <c r="J53" s="19" t="s">
        <v>19</v>
      </c>
      <c r="K53" s="19"/>
      <c r="L53" s="19"/>
      <c r="M53" s="31">
        <f>F53*2352/12544</f>
        <v>0</v>
      </c>
      <c r="N53" s="19"/>
      <c r="O53" s="19"/>
      <c r="P53" s="19"/>
      <c r="Q53" s="30" t="s">
        <v>18</v>
      </c>
      <c r="R53" s="19"/>
      <c r="S53" s="19" t="s">
        <v>19</v>
      </c>
      <c r="T53" s="32"/>
      <c r="U53" s="19">
        <f>E53/207*60</f>
        <v>0</v>
      </c>
      <c r="V53" s="19"/>
      <c r="W53" s="32"/>
      <c r="X53" s="19"/>
    </row>
    <row r="54" spans="1:25" s="20" customFormat="1" ht="19.5" thickBot="1" x14ac:dyDescent="0.35">
      <c r="A54" s="26"/>
      <c r="B54" s="26" t="s">
        <v>31</v>
      </c>
      <c r="C54" s="27"/>
      <c r="D54" s="28">
        <f>C54*12</f>
        <v>0</v>
      </c>
      <c r="E54" s="19">
        <f>D54*0.25</f>
        <v>0</v>
      </c>
      <c r="F54" s="29">
        <f>E54*0.76*1.03/22</f>
        <v>0</v>
      </c>
      <c r="G54" s="27">
        <f>INT(M54)</f>
        <v>0</v>
      </c>
      <c r="H54" s="30" t="s">
        <v>18</v>
      </c>
      <c r="I54" s="27">
        <f>(M54-G54)*64</f>
        <v>0</v>
      </c>
      <c r="J54" s="19" t="s">
        <v>19</v>
      </c>
      <c r="K54" s="19"/>
      <c r="L54" s="19"/>
      <c r="M54" s="31">
        <f>F54*1568/12544</f>
        <v>0</v>
      </c>
      <c r="N54" s="19"/>
      <c r="O54" s="19"/>
      <c r="P54" s="19"/>
      <c r="Q54" s="30" t="s">
        <v>18</v>
      </c>
      <c r="R54" s="19"/>
      <c r="S54" s="19" t="s">
        <v>19</v>
      </c>
      <c r="T54" s="32"/>
      <c r="U54" s="19">
        <f>E54/272*60</f>
        <v>0</v>
      </c>
      <c r="V54" s="19"/>
      <c r="W54" s="32"/>
      <c r="X54" s="19"/>
    </row>
    <row r="55" spans="1:25" s="20" customFormat="1" ht="19.5" thickBot="1" x14ac:dyDescent="0.35">
      <c r="A55" s="26"/>
      <c r="B55" s="26" t="s">
        <v>33</v>
      </c>
      <c r="C55" s="27"/>
      <c r="D55" s="28"/>
      <c r="E55" s="19">
        <f>C55*2</f>
        <v>0</v>
      </c>
      <c r="F55" s="29">
        <f>E55*0.76*1.03/22</f>
        <v>0</v>
      </c>
      <c r="G55" s="27">
        <f>INT(M55)</f>
        <v>0</v>
      </c>
      <c r="H55" s="30" t="s">
        <v>18</v>
      </c>
      <c r="I55" s="27">
        <f>(M55-G55)*64</f>
        <v>0</v>
      </c>
      <c r="J55" s="19" t="s">
        <v>19</v>
      </c>
      <c r="K55" s="19"/>
      <c r="L55" s="19"/>
      <c r="M55" s="31">
        <f>F55*1568/12544</f>
        <v>0</v>
      </c>
      <c r="N55" s="19"/>
      <c r="O55" s="19"/>
      <c r="P55" s="19"/>
      <c r="Q55" s="30" t="s">
        <v>18</v>
      </c>
      <c r="R55" s="19"/>
      <c r="S55" s="19" t="s">
        <v>19</v>
      </c>
      <c r="T55" s="32"/>
      <c r="U55" s="19">
        <f>E55/272*60</f>
        <v>0</v>
      </c>
      <c r="V55" s="19"/>
      <c r="W55" s="32"/>
      <c r="X55" s="19"/>
    </row>
    <row r="56" spans="1:25" s="20" customFormat="1" ht="19.5" thickBot="1" x14ac:dyDescent="0.35">
      <c r="A56" s="26"/>
      <c r="B56" s="26" t="s">
        <v>24</v>
      </c>
      <c r="C56" s="27"/>
      <c r="D56" s="28">
        <f>C56*20</f>
        <v>0</v>
      </c>
      <c r="E56" s="19">
        <f t="shared" si="12"/>
        <v>0</v>
      </c>
      <c r="F56" s="29">
        <f>E56*0.8*1.03/22</f>
        <v>0</v>
      </c>
      <c r="G56" s="27">
        <f t="shared" si="13"/>
        <v>0</v>
      </c>
      <c r="H56" s="30" t="s">
        <v>18</v>
      </c>
      <c r="I56" s="27">
        <f t="shared" si="14"/>
        <v>0</v>
      </c>
      <c r="J56" s="19" t="s">
        <v>19</v>
      </c>
      <c r="K56" s="19"/>
      <c r="L56" s="19"/>
      <c r="M56" s="31">
        <f>F56*784/6272</f>
        <v>0</v>
      </c>
      <c r="N56" s="19"/>
      <c r="O56" s="19"/>
      <c r="P56" s="19"/>
      <c r="Q56" s="30" t="s">
        <v>18</v>
      </c>
      <c r="R56" s="19"/>
      <c r="S56" s="19" t="s">
        <v>19</v>
      </c>
      <c r="T56" s="32"/>
      <c r="U56" s="19">
        <f>E56/272*60</f>
        <v>0</v>
      </c>
      <c r="V56" s="19"/>
      <c r="W56" s="32"/>
      <c r="X56" s="19"/>
    </row>
    <row r="57" spans="1:25" s="20" customFormat="1" ht="19.5" thickBot="1" x14ac:dyDescent="0.35">
      <c r="A57" s="26"/>
      <c r="B57" s="26" t="s">
        <v>21</v>
      </c>
      <c r="C57" s="27"/>
      <c r="D57" s="28">
        <f>C57*20</f>
        <v>0</v>
      </c>
      <c r="E57" s="19">
        <f t="shared" si="12"/>
        <v>0</v>
      </c>
      <c r="F57" s="29">
        <f>E57*0.8*1.03/22</f>
        <v>0</v>
      </c>
      <c r="G57" s="27">
        <f t="shared" si="13"/>
        <v>0</v>
      </c>
      <c r="H57" s="30" t="s">
        <v>18</v>
      </c>
      <c r="I57" s="27">
        <f t="shared" si="14"/>
        <v>0</v>
      </c>
      <c r="J57" s="19" t="s">
        <v>19</v>
      </c>
      <c r="K57" s="19"/>
      <c r="L57" s="19"/>
      <c r="M57" s="31">
        <f>F57*784/6272</f>
        <v>0</v>
      </c>
      <c r="N57" s="19"/>
      <c r="O57" s="19"/>
      <c r="P57" s="19"/>
      <c r="Q57" s="30" t="s">
        <v>18</v>
      </c>
      <c r="R57" s="19"/>
      <c r="S57" s="19" t="s">
        <v>19</v>
      </c>
      <c r="T57" s="32"/>
      <c r="U57" s="19">
        <f>E57/272*60</f>
        <v>0</v>
      </c>
      <c r="V57" s="19"/>
      <c r="W57" s="32"/>
      <c r="X57" s="19"/>
    </row>
    <row r="58" spans="1:25" s="20" customFormat="1" ht="19.5" thickBot="1" x14ac:dyDescent="0.35">
      <c r="A58" s="26"/>
      <c r="B58" s="26" t="s">
        <v>23</v>
      </c>
      <c r="C58" s="27"/>
      <c r="D58" s="28">
        <f>C58*20</f>
        <v>0</v>
      </c>
      <c r="E58" s="19">
        <f t="shared" si="12"/>
        <v>0</v>
      </c>
      <c r="F58" s="29">
        <f>E58*0.8*1.03/22</f>
        <v>0</v>
      </c>
      <c r="G58" s="27">
        <f t="shared" si="13"/>
        <v>0</v>
      </c>
      <c r="H58" s="30" t="s">
        <v>18</v>
      </c>
      <c r="I58" s="27">
        <f t="shared" si="14"/>
        <v>0</v>
      </c>
      <c r="J58" s="19" t="s">
        <v>19</v>
      </c>
      <c r="K58" s="19"/>
      <c r="L58" s="19"/>
      <c r="M58" s="31">
        <f>F58*784/6272</f>
        <v>0</v>
      </c>
      <c r="N58" s="19"/>
      <c r="O58" s="19"/>
      <c r="P58" s="19"/>
      <c r="Q58" s="30" t="s">
        <v>18</v>
      </c>
      <c r="R58" s="19"/>
      <c r="S58" s="19" t="s">
        <v>19</v>
      </c>
      <c r="T58" s="32"/>
      <c r="U58" s="19">
        <f>E58/272*60</f>
        <v>0</v>
      </c>
      <c r="V58" s="19"/>
      <c r="W58" s="32"/>
      <c r="X58" s="19"/>
    </row>
    <row r="59" spans="1:25" s="20" customFormat="1" ht="19.5" thickBot="1" x14ac:dyDescent="0.35">
      <c r="A59" s="26"/>
      <c r="B59" s="26" t="s">
        <v>26</v>
      </c>
      <c r="C59" s="27"/>
      <c r="D59" s="28">
        <f>C59*12</f>
        <v>0</v>
      </c>
      <c r="E59" s="19">
        <f t="shared" si="12"/>
        <v>0</v>
      </c>
      <c r="F59" s="29">
        <f>D59*23*0.0087*1.03/21</f>
        <v>0</v>
      </c>
      <c r="G59" s="27">
        <f t="shared" si="13"/>
        <v>0</v>
      </c>
      <c r="H59" s="30" t="s">
        <v>18</v>
      </c>
      <c r="I59" s="27">
        <f t="shared" si="14"/>
        <v>0</v>
      </c>
      <c r="J59" s="19" t="s">
        <v>19</v>
      </c>
      <c r="K59" s="19"/>
      <c r="L59" s="19"/>
      <c r="M59" s="31">
        <f>F59*2352/12544</f>
        <v>0</v>
      </c>
      <c r="N59" s="19"/>
      <c r="O59" s="19"/>
      <c r="P59" s="19"/>
      <c r="Q59" s="30" t="s">
        <v>18</v>
      </c>
      <c r="R59" s="19"/>
      <c r="S59" s="19" t="s">
        <v>19</v>
      </c>
      <c r="T59" s="32"/>
      <c r="U59" s="19">
        <f>E59/166*60</f>
        <v>0</v>
      </c>
      <c r="V59" s="19"/>
      <c r="W59" s="32"/>
      <c r="X59" s="19"/>
    </row>
    <row r="60" spans="1:25" s="20" customFormat="1" ht="19.5" thickBot="1" x14ac:dyDescent="0.35">
      <c r="A60" s="26"/>
      <c r="B60" s="26" t="s">
        <v>25</v>
      </c>
      <c r="C60" s="27"/>
      <c r="D60" s="28"/>
      <c r="E60" s="19">
        <f>C60*2</f>
        <v>0</v>
      </c>
      <c r="F60" s="29">
        <f>E60*0.76*1.03/22</f>
        <v>0</v>
      </c>
      <c r="G60" s="27">
        <f t="shared" ref="G60:G67" si="15">INT(M60)</f>
        <v>0</v>
      </c>
      <c r="H60" s="30" t="s">
        <v>18</v>
      </c>
      <c r="I60" s="27">
        <f t="shared" ref="I60:I67" si="16">(M60-G60)*64</f>
        <v>0</v>
      </c>
      <c r="J60" s="19" t="s">
        <v>19</v>
      </c>
      <c r="K60" s="19"/>
      <c r="L60" s="19"/>
      <c r="M60" s="31">
        <f>F60*1568/12544</f>
        <v>0</v>
      </c>
      <c r="N60" s="19"/>
      <c r="O60" s="19"/>
      <c r="P60" s="19"/>
      <c r="Q60" s="30" t="s">
        <v>18</v>
      </c>
      <c r="R60" s="19"/>
      <c r="S60" s="19" t="s">
        <v>19</v>
      </c>
      <c r="T60" s="32"/>
      <c r="U60" s="19">
        <f t="shared" ref="U60:U66" si="17">E60/272*60</f>
        <v>0</v>
      </c>
      <c r="V60" s="19"/>
      <c r="W60" s="32"/>
      <c r="X60" s="19"/>
    </row>
    <row r="61" spans="1:25" s="20" customFormat="1" ht="19.5" thickBot="1" x14ac:dyDescent="0.35">
      <c r="A61" s="26"/>
      <c r="B61" s="26" t="s">
        <v>27</v>
      </c>
      <c r="C61" s="27"/>
      <c r="D61" s="28">
        <f>C61*12</f>
        <v>0</v>
      </c>
      <c r="E61" s="19">
        <f>D61*0.28</f>
        <v>0</v>
      </c>
      <c r="F61" s="29">
        <f>E61*0.8*1.03/22</f>
        <v>0</v>
      </c>
      <c r="G61" s="27">
        <f t="shared" si="15"/>
        <v>0</v>
      </c>
      <c r="H61" s="30" t="s">
        <v>18</v>
      </c>
      <c r="I61" s="27">
        <f t="shared" si="16"/>
        <v>0</v>
      </c>
      <c r="J61" s="19" t="s">
        <v>19</v>
      </c>
      <c r="K61" s="19"/>
      <c r="L61" s="19"/>
      <c r="M61" s="31">
        <f>F61*784/6272</f>
        <v>0</v>
      </c>
      <c r="N61" s="19"/>
      <c r="O61" s="19"/>
      <c r="P61" s="19"/>
      <c r="Q61" s="30" t="s">
        <v>18</v>
      </c>
      <c r="R61" s="19"/>
      <c r="S61" s="19" t="s">
        <v>19</v>
      </c>
      <c r="T61" s="32"/>
      <c r="U61" s="19">
        <f t="shared" si="17"/>
        <v>0</v>
      </c>
      <c r="V61" s="19"/>
      <c r="W61" s="32"/>
      <c r="X61" s="19"/>
    </row>
    <row r="62" spans="1:25" s="20" customFormat="1" ht="19.5" thickBot="1" x14ac:dyDescent="0.35">
      <c r="A62" s="26"/>
      <c r="B62" s="26" t="s">
        <v>28</v>
      </c>
      <c r="C62" s="27"/>
      <c r="D62" s="28">
        <f>C62*12</f>
        <v>0</v>
      </c>
      <c r="E62" s="19">
        <f>D62*0.28</f>
        <v>0</v>
      </c>
      <c r="F62" s="29">
        <f>E62*0.8*1.03/22</f>
        <v>0</v>
      </c>
      <c r="G62" s="27">
        <f t="shared" si="15"/>
        <v>0</v>
      </c>
      <c r="H62" s="30" t="s">
        <v>18</v>
      </c>
      <c r="I62" s="27">
        <f t="shared" si="16"/>
        <v>0</v>
      </c>
      <c r="J62" s="19" t="s">
        <v>19</v>
      </c>
      <c r="K62" s="19"/>
      <c r="L62" s="19"/>
      <c r="M62" s="31">
        <f>F62*784/6272</f>
        <v>0</v>
      </c>
      <c r="N62" s="19"/>
      <c r="O62" s="19"/>
      <c r="P62" s="19"/>
      <c r="Q62" s="30" t="s">
        <v>18</v>
      </c>
      <c r="R62" s="19"/>
      <c r="S62" s="19" t="s">
        <v>19</v>
      </c>
      <c r="T62" s="32"/>
      <c r="U62" s="19">
        <f t="shared" si="17"/>
        <v>0</v>
      </c>
      <c r="V62" s="19"/>
      <c r="W62" s="32"/>
      <c r="X62" s="19"/>
    </row>
    <row r="63" spans="1:25" s="20" customFormat="1" ht="19.5" thickBot="1" x14ac:dyDescent="0.35">
      <c r="A63" s="26"/>
      <c r="B63" s="26" t="s">
        <v>29</v>
      </c>
      <c r="C63" s="27"/>
      <c r="D63" s="28">
        <f>C63*12</f>
        <v>0</v>
      </c>
      <c r="E63" s="19">
        <f>D63*0.25</f>
        <v>0</v>
      </c>
      <c r="F63" s="29">
        <f>E63*0.76*1.03/22</f>
        <v>0</v>
      </c>
      <c r="G63" s="27">
        <f t="shared" si="15"/>
        <v>0</v>
      </c>
      <c r="H63" s="30" t="s">
        <v>18</v>
      </c>
      <c r="I63" s="27">
        <f t="shared" si="16"/>
        <v>0</v>
      </c>
      <c r="J63" s="19" t="s">
        <v>19</v>
      </c>
      <c r="K63" s="19"/>
      <c r="L63" s="19"/>
      <c r="M63" s="31">
        <f>F63*1568/12544</f>
        <v>0</v>
      </c>
      <c r="N63" s="19"/>
      <c r="O63" s="19"/>
      <c r="P63" s="19"/>
      <c r="Q63" s="30" t="s">
        <v>18</v>
      </c>
      <c r="R63" s="19"/>
      <c r="S63" s="19" t="s">
        <v>19</v>
      </c>
      <c r="T63" s="32"/>
      <c r="U63" s="19">
        <f t="shared" si="17"/>
        <v>0</v>
      </c>
      <c r="V63" s="19"/>
      <c r="W63" s="32"/>
      <c r="X63" s="19"/>
    </row>
    <row r="64" spans="1:25" s="20" customFormat="1" ht="19.5" thickBot="1" x14ac:dyDescent="0.35">
      <c r="A64" s="26"/>
      <c r="B64" s="26" t="s">
        <v>32</v>
      </c>
      <c r="C64" s="27"/>
      <c r="D64" s="28"/>
      <c r="E64" s="19">
        <f>C64*2</f>
        <v>0</v>
      </c>
      <c r="F64" s="29">
        <f>E64*0.76*1.03/22</f>
        <v>0</v>
      </c>
      <c r="G64" s="27">
        <f t="shared" si="15"/>
        <v>0</v>
      </c>
      <c r="H64" s="30" t="s">
        <v>18</v>
      </c>
      <c r="I64" s="27">
        <f t="shared" si="16"/>
        <v>0</v>
      </c>
      <c r="J64" s="19" t="s">
        <v>19</v>
      </c>
      <c r="K64" s="19"/>
      <c r="L64" s="19"/>
      <c r="M64" s="31">
        <f>F64*1568/12544</f>
        <v>0</v>
      </c>
      <c r="N64" s="19"/>
      <c r="O64" s="19"/>
      <c r="P64" s="19"/>
      <c r="Q64" s="30" t="s">
        <v>18</v>
      </c>
      <c r="R64" s="19"/>
      <c r="S64" s="19" t="s">
        <v>19</v>
      </c>
      <c r="T64" s="32"/>
      <c r="U64" s="19">
        <f t="shared" si="17"/>
        <v>0</v>
      </c>
      <c r="V64" s="19"/>
      <c r="W64" s="32"/>
      <c r="X64" s="19"/>
    </row>
    <row r="65" spans="1:24" s="20" customFormat="1" ht="19.5" thickBot="1" x14ac:dyDescent="0.35">
      <c r="A65" s="26"/>
      <c r="B65" s="26" t="s">
        <v>30</v>
      </c>
      <c r="C65" s="27"/>
      <c r="D65" s="28"/>
      <c r="E65" s="19">
        <f>C65*2</f>
        <v>0</v>
      </c>
      <c r="F65" s="29">
        <f>E65*0.76*1.03/22</f>
        <v>0</v>
      </c>
      <c r="G65" s="27">
        <f t="shared" si="15"/>
        <v>0</v>
      </c>
      <c r="H65" s="30" t="s">
        <v>18</v>
      </c>
      <c r="I65" s="27">
        <f t="shared" si="16"/>
        <v>0</v>
      </c>
      <c r="J65" s="19" t="s">
        <v>19</v>
      </c>
      <c r="K65" s="19"/>
      <c r="L65" s="19"/>
      <c r="M65" s="31">
        <f>F65*1568/12544</f>
        <v>0</v>
      </c>
      <c r="N65" s="19"/>
      <c r="O65" s="19"/>
      <c r="P65" s="19"/>
      <c r="Q65" s="30" t="s">
        <v>18</v>
      </c>
      <c r="R65" s="19"/>
      <c r="S65" s="19" t="s">
        <v>19</v>
      </c>
      <c r="T65" s="32"/>
      <c r="U65" s="19">
        <f t="shared" si="17"/>
        <v>0</v>
      </c>
      <c r="V65" s="19"/>
      <c r="W65" s="32"/>
      <c r="X65" s="19"/>
    </row>
    <row r="66" spans="1:24" s="20" customFormat="1" ht="19.5" thickBot="1" x14ac:dyDescent="0.35">
      <c r="A66" s="26"/>
      <c r="B66" s="26" t="s">
        <v>22</v>
      </c>
      <c r="C66" s="27"/>
      <c r="D66" s="28"/>
      <c r="E66" s="19">
        <f>C66*2</f>
        <v>0</v>
      </c>
      <c r="F66" s="29">
        <f>E66*0.76*1.03/22</f>
        <v>0</v>
      </c>
      <c r="G66" s="27">
        <f t="shared" si="15"/>
        <v>0</v>
      </c>
      <c r="H66" s="30" t="s">
        <v>18</v>
      </c>
      <c r="I66" s="27">
        <f t="shared" si="16"/>
        <v>0</v>
      </c>
      <c r="J66" s="19" t="s">
        <v>19</v>
      </c>
      <c r="K66" s="19"/>
      <c r="L66" s="19"/>
      <c r="M66" s="31">
        <f>F66*1568/12544</f>
        <v>0</v>
      </c>
      <c r="N66" s="19"/>
      <c r="O66" s="19"/>
      <c r="P66" s="19"/>
      <c r="Q66" s="30" t="s">
        <v>18</v>
      </c>
      <c r="R66" s="19"/>
      <c r="S66" s="19" t="s">
        <v>19</v>
      </c>
      <c r="T66" s="32"/>
      <c r="U66" s="19">
        <f t="shared" si="17"/>
        <v>0</v>
      </c>
      <c r="V66" s="19"/>
      <c r="W66" s="32"/>
      <c r="X66" s="19"/>
    </row>
    <row r="67" spans="1:24" s="20" customFormat="1" ht="19.5" thickBot="1" x14ac:dyDescent="0.35">
      <c r="A67" s="26"/>
      <c r="B67" s="26" t="s">
        <v>34</v>
      </c>
      <c r="C67" s="27"/>
      <c r="D67" s="28"/>
      <c r="E67" s="19">
        <f>C67*2</f>
        <v>0</v>
      </c>
      <c r="F67" s="29">
        <f>E67*0.76*1.03/22</f>
        <v>0</v>
      </c>
      <c r="G67" s="27">
        <f t="shared" si="15"/>
        <v>0</v>
      </c>
      <c r="H67" s="30" t="s">
        <v>18</v>
      </c>
      <c r="I67" s="27">
        <f t="shared" si="16"/>
        <v>0</v>
      </c>
      <c r="J67" s="19" t="s">
        <v>19</v>
      </c>
      <c r="K67" s="19"/>
      <c r="L67" s="19"/>
      <c r="M67" s="31">
        <f>F67*1568/12544</f>
        <v>0</v>
      </c>
      <c r="N67" s="19"/>
      <c r="O67" s="19"/>
      <c r="P67" s="19"/>
      <c r="Q67" s="30" t="s">
        <v>18</v>
      </c>
      <c r="R67" s="19"/>
      <c r="S67" s="19" t="s">
        <v>19</v>
      </c>
      <c r="T67" s="32"/>
      <c r="U67" s="19">
        <f>E67/259*60</f>
        <v>0</v>
      </c>
      <c r="V67" s="19"/>
      <c r="W67" s="32"/>
      <c r="X67" s="19"/>
    </row>
    <row r="68" spans="1:24" s="20" customFormat="1" ht="38.25" thickBot="1" x14ac:dyDescent="0.35">
      <c r="A68" s="26"/>
      <c r="B68" s="26" t="s">
        <v>35</v>
      </c>
      <c r="C68" s="27"/>
      <c r="D68" s="28">
        <f>C68*12</f>
        <v>0</v>
      </c>
      <c r="E68" s="19">
        <f>D68*0.2</f>
        <v>0</v>
      </c>
      <c r="F68" s="29">
        <f>D68*23*0.0087*1.03/21</f>
        <v>0</v>
      </c>
      <c r="G68" s="27">
        <f>INT(M68)</f>
        <v>0</v>
      </c>
      <c r="H68" s="30" t="s">
        <v>18</v>
      </c>
      <c r="I68" s="27">
        <f>(M68-G68)*64</f>
        <v>0</v>
      </c>
      <c r="J68" s="19" t="s">
        <v>19</v>
      </c>
      <c r="K68" s="19"/>
      <c r="L68" s="19"/>
      <c r="M68" s="31">
        <f>F68*2352/12544</f>
        <v>0</v>
      </c>
      <c r="N68" s="19"/>
      <c r="O68" s="19"/>
      <c r="P68" s="19"/>
      <c r="Q68" s="30" t="s">
        <v>18</v>
      </c>
      <c r="R68" s="19"/>
      <c r="S68" s="19" t="s">
        <v>19</v>
      </c>
      <c r="T68" s="32"/>
      <c r="U68" s="19">
        <f>E68/207*60</f>
        <v>0</v>
      </c>
      <c r="V68" s="19"/>
      <c r="W68" s="32"/>
      <c r="X68" s="19"/>
    </row>
    <row r="69" spans="1:24" s="20" customFormat="1" ht="19.5" thickBot="1" x14ac:dyDescent="0.35">
      <c r="A69" s="19"/>
      <c r="B69" s="26" t="s">
        <v>36</v>
      </c>
      <c r="C69" s="27"/>
      <c r="D69" s="28"/>
      <c r="E69" s="30"/>
      <c r="F69" s="29"/>
      <c r="G69" s="33"/>
      <c r="H69" s="34"/>
      <c r="I69" s="33"/>
      <c r="J69" s="34"/>
      <c r="K69" s="31"/>
      <c r="L69" s="31"/>
      <c r="M69" s="31"/>
      <c r="N69" s="19"/>
      <c r="O69" s="19"/>
      <c r="P69" s="19"/>
      <c r="Q69" s="35"/>
      <c r="R69" s="19"/>
      <c r="S69" s="35"/>
      <c r="T69" s="32"/>
      <c r="U69" s="19"/>
      <c r="V69" s="19"/>
      <c r="W69" s="32"/>
      <c r="X69" s="19"/>
    </row>
    <row r="70" spans="1:24" s="20" customFormat="1" ht="19.5" thickBot="1" x14ac:dyDescent="0.35">
      <c r="A70" s="19"/>
      <c r="B70" s="26" t="s">
        <v>37</v>
      </c>
      <c r="C70" s="27"/>
      <c r="D70" s="28"/>
      <c r="E70" s="19">
        <f>SUM(E52:E68)</f>
        <v>0</v>
      </c>
      <c r="F70" s="19">
        <f>SUM(F52:F68)</f>
        <v>0</v>
      </c>
      <c r="G70" s="27"/>
      <c r="H70" s="35"/>
      <c r="I70" s="27"/>
      <c r="J70" s="35"/>
      <c r="K70" s="19"/>
      <c r="L70" s="19"/>
      <c r="M70" s="19"/>
      <c r="N70" s="19"/>
      <c r="O70" s="19"/>
      <c r="P70" s="19"/>
      <c r="Q70" s="30"/>
      <c r="R70" s="19"/>
      <c r="S70" s="19"/>
      <c r="T70" s="32"/>
      <c r="U70" s="19"/>
      <c r="V70" s="19"/>
      <c r="W70" s="32"/>
      <c r="X70" s="19"/>
    </row>
    <row r="71" spans="1:24" s="20" customFormat="1" ht="19.5" thickBot="1" x14ac:dyDescent="0.35">
      <c r="A71" s="21"/>
      <c r="B71" s="22" t="s">
        <v>55</v>
      </c>
      <c r="C71" s="23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</row>
    <row r="72" spans="1:24" s="20" customFormat="1" ht="38.25" thickBot="1" x14ac:dyDescent="0.35">
      <c r="A72" s="26"/>
      <c r="B72" s="26" t="s">
        <v>313</v>
      </c>
      <c r="C72" s="27">
        <f>C27</f>
        <v>0</v>
      </c>
      <c r="D72" s="28"/>
      <c r="E72" s="19">
        <f>C72*3</f>
        <v>0</v>
      </c>
      <c r="F72" s="29">
        <f>E72*0.8*1.03/22</f>
        <v>0</v>
      </c>
      <c r="G72" s="27">
        <f>INT(M72)</f>
        <v>0</v>
      </c>
      <c r="H72" s="30" t="s">
        <v>18</v>
      </c>
      <c r="I72" s="27">
        <f>(M72-G72)*64</f>
        <v>0</v>
      </c>
      <c r="J72" s="19" t="s">
        <v>19</v>
      </c>
      <c r="K72" s="19"/>
      <c r="L72" s="19"/>
      <c r="M72" s="31">
        <f>F72*2940/12544</f>
        <v>0</v>
      </c>
      <c r="N72" s="19"/>
      <c r="O72" s="19"/>
      <c r="P72" s="19"/>
      <c r="Q72" s="30"/>
      <c r="R72" s="19"/>
      <c r="S72" s="19"/>
      <c r="T72" s="32"/>
      <c r="U72" s="19"/>
      <c r="V72" s="19"/>
      <c r="W72" s="32"/>
      <c r="X72" s="19"/>
    </row>
    <row r="73" spans="1:24" s="20" customFormat="1" ht="38.25" thickBot="1" x14ac:dyDescent="0.35">
      <c r="A73" s="26"/>
      <c r="B73" s="26" t="s">
        <v>314</v>
      </c>
      <c r="C73" s="27">
        <f>C29</f>
        <v>0</v>
      </c>
      <c r="D73" s="28"/>
      <c r="E73" s="19">
        <f>C73*3</f>
        <v>0</v>
      </c>
      <c r="F73" s="29">
        <f>E73*0.8*1.03/22</f>
        <v>0</v>
      </c>
      <c r="G73" s="27">
        <f>INT(M73)</f>
        <v>0</v>
      </c>
      <c r="H73" s="30" t="s">
        <v>18</v>
      </c>
      <c r="I73" s="27">
        <f>(M73-G73)*64</f>
        <v>0</v>
      </c>
      <c r="J73" s="19" t="s">
        <v>19</v>
      </c>
      <c r="K73" s="19"/>
      <c r="L73" s="19"/>
      <c r="M73" s="31">
        <f>F73*2940/12544</f>
        <v>0</v>
      </c>
      <c r="N73" s="19"/>
      <c r="O73" s="19"/>
      <c r="P73" s="19"/>
      <c r="Q73" s="30"/>
      <c r="R73" s="19"/>
      <c r="S73" s="19"/>
      <c r="T73" s="32"/>
      <c r="U73" s="19"/>
      <c r="V73" s="19"/>
      <c r="W73" s="32"/>
      <c r="X73" s="19"/>
    </row>
    <row r="74" spans="1:24" s="20" customFormat="1" ht="38.25" thickBot="1" x14ac:dyDescent="0.35">
      <c r="A74" s="26"/>
      <c r="B74" s="26" t="s">
        <v>312</v>
      </c>
      <c r="C74" s="27">
        <f>C31</f>
        <v>0</v>
      </c>
      <c r="D74" s="28"/>
      <c r="E74" s="19">
        <f>C74*3</f>
        <v>0</v>
      </c>
      <c r="F74" s="29">
        <f>E74*0.8*1.03/22</f>
        <v>0</v>
      </c>
      <c r="G74" s="27">
        <f>INT(M74)</f>
        <v>0</v>
      </c>
      <c r="H74" s="30" t="s">
        <v>18</v>
      </c>
      <c r="I74" s="27">
        <f>(M74-G74)*64</f>
        <v>0</v>
      </c>
      <c r="J74" s="19" t="s">
        <v>19</v>
      </c>
      <c r="K74" s="19"/>
      <c r="L74" s="19"/>
      <c r="M74" s="31">
        <f>F74*2940/12544</f>
        <v>0</v>
      </c>
      <c r="N74" s="19"/>
      <c r="O74" s="19"/>
      <c r="P74" s="19"/>
      <c r="Q74" s="30"/>
      <c r="R74" s="19"/>
      <c r="S74" s="19"/>
      <c r="T74" s="32"/>
      <c r="U74" s="19"/>
      <c r="V74" s="19"/>
      <c r="W74" s="32"/>
      <c r="X74" s="19"/>
    </row>
    <row r="75" spans="1:24" s="20" customFormat="1" ht="19.5" thickBot="1" x14ac:dyDescent="0.35">
      <c r="A75" s="19"/>
      <c r="B75" s="26" t="s">
        <v>36</v>
      </c>
      <c r="C75" s="27"/>
      <c r="D75" s="28"/>
      <c r="E75" s="30"/>
      <c r="F75" s="29"/>
      <c r="G75" s="33"/>
      <c r="H75" s="34"/>
      <c r="I75" s="33"/>
      <c r="J75" s="34"/>
      <c r="K75" s="31"/>
      <c r="L75" s="31"/>
      <c r="M75" s="31"/>
      <c r="N75" s="19"/>
      <c r="O75" s="19"/>
      <c r="P75" s="19"/>
      <c r="Q75" s="35"/>
      <c r="R75" s="19"/>
      <c r="S75" s="35"/>
      <c r="T75" s="32"/>
      <c r="U75" s="19"/>
      <c r="V75" s="19"/>
      <c r="W75" s="32"/>
      <c r="X75" s="19"/>
    </row>
    <row r="76" spans="1:24" s="20" customFormat="1" ht="19.5" thickBot="1" x14ac:dyDescent="0.35">
      <c r="A76" s="19"/>
      <c r="B76" s="26" t="s">
        <v>42</v>
      </c>
      <c r="C76" s="27"/>
      <c r="D76" s="28"/>
      <c r="E76" s="30"/>
      <c r="F76" s="29"/>
      <c r="G76" s="33"/>
      <c r="H76" s="34"/>
      <c r="I76" s="33"/>
      <c r="J76" s="34"/>
      <c r="K76" s="31"/>
      <c r="L76" s="31"/>
      <c r="M76" s="31"/>
      <c r="N76" s="19"/>
      <c r="O76" s="19"/>
      <c r="P76" s="19"/>
      <c r="Q76" s="35"/>
      <c r="R76" s="19"/>
      <c r="S76" s="35"/>
      <c r="T76" s="32"/>
      <c r="U76" s="19"/>
      <c r="V76" s="19"/>
      <c r="W76" s="32"/>
      <c r="X76" s="19"/>
    </row>
    <row r="77" spans="1:24" s="20" customFormat="1" ht="19.5" thickBot="1" x14ac:dyDescent="0.35">
      <c r="A77" s="19"/>
      <c r="B77" s="26" t="s">
        <v>37</v>
      </c>
      <c r="C77" s="27"/>
      <c r="D77" s="28"/>
      <c r="E77" s="19">
        <f>SUM(E70:E74)</f>
        <v>0</v>
      </c>
      <c r="F77" s="19">
        <f>F70+F71+F74</f>
        <v>0</v>
      </c>
      <c r="G77" s="27"/>
      <c r="H77" s="35"/>
      <c r="I77" s="27"/>
      <c r="J77" s="35"/>
      <c r="K77" s="19"/>
      <c r="L77" s="19"/>
      <c r="M77" s="19"/>
      <c r="N77" s="19"/>
      <c r="O77" s="19"/>
      <c r="P77" s="19"/>
      <c r="Q77" s="30"/>
      <c r="R77" s="19"/>
      <c r="S77" s="19"/>
      <c r="T77" s="32"/>
      <c r="U77" s="19"/>
      <c r="V77" s="19"/>
      <c r="W77" s="32"/>
      <c r="X77" s="19"/>
    </row>
    <row r="78" spans="1:24" s="20" customFormat="1" ht="19.5" thickBot="1" x14ac:dyDescent="0.35">
      <c r="A78" s="19"/>
      <c r="B78" s="945" t="s">
        <v>59</v>
      </c>
      <c r="C78" s="945"/>
      <c r="D78" s="945"/>
      <c r="E78" s="945"/>
      <c r="F78" s="945"/>
      <c r="G78" s="945"/>
      <c r="H78" s="945"/>
      <c r="I78" s="945"/>
      <c r="J78" s="945"/>
      <c r="K78" s="945"/>
      <c r="L78" s="945"/>
      <c r="M78" s="945"/>
      <c r="N78" s="945"/>
      <c r="O78" s="945"/>
      <c r="P78" s="945"/>
      <c r="Q78" s="945"/>
      <c r="R78" s="945"/>
      <c r="S78" s="945"/>
      <c r="T78" s="945"/>
      <c r="U78" s="945"/>
      <c r="V78" s="945"/>
      <c r="W78" s="945"/>
      <c r="X78" s="945"/>
    </row>
    <row r="79" spans="1:24" s="20" customFormat="1" ht="38.25" thickBot="1" x14ac:dyDescent="0.35">
      <c r="A79" s="26"/>
      <c r="B79" s="26" t="s">
        <v>45</v>
      </c>
      <c r="C79" s="27"/>
      <c r="D79" s="28">
        <f>C79*6*28</f>
        <v>0</v>
      </c>
      <c r="E79" s="19">
        <f>D79*0.04</f>
        <v>0</v>
      </c>
      <c r="F79" s="29">
        <f>E79*0.79*1.03/21</f>
        <v>0</v>
      </c>
      <c r="G79" s="27">
        <f t="shared" ref="G79:G87" si="18">INT(M79)</f>
        <v>0</v>
      </c>
      <c r="H79" s="30" t="s">
        <v>18</v>
      </c>
      <c r="I79" s="27">
        <f t="shared" ref="I79:I87" si="19">(M79-G79)*64</f>
        <v>0</v>
      </c>
      <c r="J79" s="19" t="s">
        <v>19</v>
      </c>
      <c r="K79" s="19"/>
      <c r="L79" s="19"/>
      <c r="M79" s="31">
        <f>F79*448/3584</f>
        <v>0</v>
      </c>
      <c r="N79" s="19"/>
      <c r="O79" s="19"/>
      <c r="P79" s="19"/>
      <c r="Q79" s="30" t="s">
        <v>18</v>
      </c>
      <c r="R79" s="19"/>
      <c r="S79" s="19" t="s">
        <v>19</v>
      </c>
      <c r="T79" s="32"/>
      <c r="U79" s="19">
        <f t="shared" ref="U79:U88" si="20">E79/272*60</f>
        <v>0</v>
      </c>
      <c r="V79" s="19"/>
      <c r="W79" s="32"/>
      <c r="X79" s="19"/>
    </row>
    <row r="80" spans="1:24" s="20" customFormat="1" ht="19.5" thickBot="1" x14ac:dyDescent="0.35">
      <c r="A80" s="26"/>
      <c r="B80" s="26" t="s">
        <v>46</v>
      </c>
      <c r="C80" s="27"/>
      <c r="D80" s="28">
        <f>C80*6*28</f>
        <v>0</v>
      </c>
      <c r="E80" s="19">
        <f>D80*0.04</f>
        <v>0</v>
      </c>
      <c r="F80" s="29">
        <f>E80*0.79*1.03/21</f>
        <v>0</v>
      </c>
      <c r="G80" s="27">
        <f t="shared" si="18"/>
        <v>0</v>
      </c>
      <c r="H80" s="30" t="s">
        <v>18</v>
      </c>
      <c r="I80" s="27">
        <f t="shared" si="19"/>
        <v>0</v>
      </c>
      <c r="J80" s="19" t="s">
        <v>19</v>
      </c>
      <c r="K80" s="19"/>
      <c r="L80" s="19"/>
      <c r="M80" s="31">
        <f>F80*448/3584</f>
        <v>0</v>
      </c>
      <c r="N80" s="19"/>
      <c r="O80" s="19"/>
      <c r="P80" s="19"/>
      <c r="Q80" s="30" t="s">
        <v>18</v>
      </c>
      <c r="R80" s="19"/>
      <c r="S80" s="19" t="s">
        <v>19</v>
      </c>
      <c r="T80" s="32"/>
      <c r="U80" s="19">
        <f t="shared" si="20"/>
        <v>0</v>
      </c>
      <c r="V80" s="19"/>
      <c r="W80" s="32"/>
      <c r="X80" s="19"/>
    </row>
    <row r="81" spans="1:25" s="20" customFormat="1" ht="19.5" thickBot="1" x14ac:dyDescent="0.35">
      <c r="A81" s="26"/>
      <c r="B81" s="26" t="s">
        <v>47</v>
      </c>
      <c r="C81" s="27"/>
      <c r="D81" s="28">
        <f>C81*6*28</f>
        <v>0</v>
      </c>
      <c r="E81" s="19">
        <f>D81*0.04</f>
        <v>0</v>
      </c>
      <c r="F81" s="29">
        <f>E81*0.79*1.03/21</f>
        <v>0</v>
      </c>
      <c r="G81" s="27">
        <f t="shared" si="18"/>
        <v>0</v>
      </c>
      <c r="H81" s="30" t="s">
        <v>18</v>
      </c>
      <c r="I81" s="27">
        <f t="shared" si="19"/>
        <v>0</v>
      </c>
      <c r="J81" s="19" t="s">
        <v>19</v>
      </c>
      <c r="K81" s="19"/>
      <c r="L81" s="19"/>
      <c r="M81" s="31">
        <f>F81*448/3584</f>
        <v>0</v>
      </c>
      <c r="N81" s="19"/>
      <c r="O81" s="19"/>
      <c r="P81" s="19"/>
      <c r="Q81" s="30" t="s">
        <v>18</v>
      </c>
      <c r="R81" s="19"/>
      <c r="S81" s="19" t="s">
        <v>19</v>
      </c>
      <c r="T81" s="32"/>
      <c r="U81" s="19">
        <f t="shared" si="20"/>
        <v>0</v>
      </c>
      <c r="V81" s="19"/>
      <c r="W81" s="32"/>
      <c r="X81" s="19"/>
    </row>
    <row r="82" spans="1:25" s="120" customFormat="1" ht="38.25" thickBot="1" x14ac:dyDescent="0.35">
      <c r="A82" s="146"/>
      <c r="B82" s="146" t="s">
        <v>319</v>
      </c>
      <c r="C82" s="147"/>
      <c r="D82" s="154"/>
      <c r="E82" s="149">
        <f>D82*0.1</f>
        <v>0</v>
      </c>
      <c r="F82" s="150">
        <f>E82*0.79*1.07/20</f>
        <v>0</v>
      </c>
      <c r="G82" s="147">
        <f t="shared" si="18"/>
        <v>0</v>
      </c>
      <c r="H82" s="151" t="s">
        <v>18</v>
      </c>
      <c r="I82" s="147">
        <f t="shared" si="19"/>
        <v>0</v>
      </c>
      <c r="J82" s="149" t="s">
        <v>19</v>
      </c>
      <c r="K82" s="149"/>
      <c r="L82" s="149"/>
      <c r="M82" s="152">
        <f>F82*1890/16128</f>
        <v>0</v>
      </c>
      <c r="N82" s="149"/>
      <c r="O82" s="149"/>
      <c r="P82" s="149"/>
      <c r="Q82" s="151" t="s">
        <v>18</v>
      </c>
      <c r="R82" s="149"/>
      <c r="S82" s="149" t="s">
        <v>19</v>
      </c>
      <c r="T82" s="153"/>
      <c r="U82" s="149">
        <f t="shared" si="20"/>
        <v>0</v>
      </c>
      <c r="V82" s="149"/>
      <c r="W82" s="153"/>
      <c r="X82" s="149"/>
    </row>
    <row r="83" spans="1:25" s="120" customFormat="1" ht="38.25" thickBot="1" x14ac:dyDescent="0.35">
      <c r="A83" s="146"/>
      <c r="B83" s="146" t="s">
        <v>320</v>
      </c>
      <c r="C83" s="147"/>
      <c r="D83" s="154"/>
      <c r="E83" s="149">
        <f>D83*0.12</f>
        <v>0</v>
      </c>
      <c r="F83" s="150">
        <f>E83*0.79*1.07/20</f>
        <v>0</v>
      </c>
      <c r="G83" s="147">
        <f t="shared" si="18"/>
        <v>0</v>
      </c>
      <c r="H83" s="151" t="s">
        <v>18</v>
      </c>
      <c r="I83" s="147">
        <f t="shared" si="19"/>
        <v>0</v>
      </c>
      <c r="J83" s="149" t="s">
        <v>19</v>
      </c>
      <c r="K83" s="149"/>
      <c r="L83" s="149"/>
      <c r="M83" s="152">
        <f>F83*1890/16128</f>
        <v>0</v>
      </c>
      <c r="N83" s="149"/>
      <c r="O83" s="149"/>
      <c r="P83" s="149"/>
      <c r="Q83" s="151" t="s">
        <v>18</v>
      </c>
      <c r="R83" s="149"/>
      <c r="S83" s="149" t="s">
        <v>19</v>
      </c>
      <c r="T83" s="153"/>
      <c r="U83" s="149">
        <f t="shared" si="20"/>
        <v>0</v>
      </c>
      <c r="V83" s="149"/>
      <c r="W83" s="153"/>
      <c r="X83" s="149"/>
    </row>
    <row r="84" spans="1:25" s="120" customFormat="1" ht="38.25" thickBot="1" x14ac:dyDescent="0.35">
      <c r="A84" s="146"/>
      <c r="B84" s="146" t="s">
        <v>318</v>
      </c>
      <c r="C84" s="147"/>
      <c r="D84" s="148"/>
      <c r="E84" s="149">
        <f>C84*4.8</f>
        <v>0</v>
      </c>
      <c r="F84" s="150">
        <f>E84*0.79*1.07/20</f>
        <v>0</v>
      </c>
      <c r="G84" s="147">
        <f t="shared" si="18"/>
        <v>0</v>
      </c>
      <c r="H84" s="151" t="s">
        <v>18</v>
      </c>
      <c r="I84" s="147">
        <f t="shared" si="19"/>
        <v>0</v>
      </c>
      <c r="J84" s="149" t="s">
        <v>19</v>
      </c>
      <c r="K84" s="149"/>
      <c r="L84" s="149"/>
      <c r="M84" s="152">
        <f>F84*1890/16128</f>
        <v>0</v>
      </c>
      <c r="N84" s="149"/>
      <c r="O84" s="149"/>
      <c r="P84" s="149"/>
      <c r="Q84" s="151" t="s">
        <v>18</v>
      </c>
      <c r="R84" s="149"/>
      <c r="S84" s="149" t="s">
        <v>19</v>
      </c>
      <c r="T84" s="153"/>
      <c r="U84" s="149">
        <f t="shared" si="20"/>
        <v>0</v>
      </c>
      <c r="V84" s="149"/>
      <c r="W84" s="153"/>
      <c r="X84" s="149"/>
    </row>
    <row r="85" spans="1:25" s="20" customFormat="1" ht="19.5" thickBot="1" x14ac:dyDescent="0.35">
      <c r="A85" s="26"/>
      <c r="B85" s="26" t="s">
        <v>316</v>
      </c>
      <c r="C85" s="27"/>
      <c r="D85" s="28"/>
      <c r="E85" s="19">
        <f>C85*4</f>
        <v>0</v>
      </c>
      <c r="F85" s="29">
        <f>E85*0.91*1.03/21</f>
        <v>0</v>
      </c>
      <c r="G85" s="27">
        <f t="shared" si="18"/>
        <v>0</v>
      </c>
      <c r="H85" s="30" t="s">
        <v>18</v>
      </c>
      <c r="I85" s="27">
        <f t="shared" si="19"/>
        <v>0</v>
      </c>
      <c r="J85" s="19" t="s">
        <v>19</v>
      </c>
      <c r="K85" s="19"/>
      <c r="L85" s="19"/>
      <c r="M85" s="31">
        <f>F85*1568/12544</f>
        <v>0</v>
      </c>
      <c r="N85" s="19"/>
      <c r="O85" s="19"/>
      <c r="P85" s="19"/>
      <c r="Q85" s="30" t="s">
        <v>18</v>
      </c>
      <c r="R85" s="19"/>
      <c r="S85" s="19" t="s">
        <v>19</v>
      </c>
      <c r="T85" s="32"/>
      <c r="U85" s="19">
        <f t="shared" si="20"/>
        <v>0</v>
      </c>
      <c r="V85" s="19"/>
      <c r="W85" s="32"/>
      <c r="X85" s="19"/>
    </row>
    <row r="86" spans="1:25" s="20" customFormat="1" ht="19.5" thickBot="1" x14ac:dyDescent="0.35">
      <c r="A86" s="26"/>
      <c r="B86" s="26" t="s">
        <v>317</v>
      </c>
      <c r="C86" s="27"/>
      <c r="D86" s="28"/>
      <c r="E86" s="19">
        <f>C86*4</f>
        <v>0</v>
      </c>
      <c r="F86" s="29">
        <f>E86*0.91*1.03/21</f>
        <v>0</v>
      </c>
      <c r="G86" s="27">
        <f t="shared" si="18"/>
        <v>0</v>
      </c>
      <c r="H86" s="30" t="s">
        <v>18</v>
      </c>
      <c r="I86" s="27">
        <f t="shared" si="19"/>
        <v>0</v>
      </c>
      <c r="J86" s="19" t="s">
        <v>19</v>
      </c>
      <c r="K86" s="19"/>
      <c r="L86" s="19"/>
      <c r="M86" s="31">
        <f>F86*1568/12544</f>
        <v>0</v>
      </c>
      <c r="N86" s="19"/>
      <c r="O86" s="19"/>
      <c r="P86" s="19"/>
      <c r="Q86" s="30" t="s">
        <v>18</v>
      </c>
      <c r="R86" s="19"/>
      <c r="S86" s="19" t="s">
        <v>19</v>
      </c>
      <c r="T86" s="32"/>
      <c r="U86" s="19">
        <f t="shared" si="20"/>
        <v>0</v>
      </c>
      <c r="V86" s="19"/>
      <c r="W86" s="32"/>
      <c r="X86" s="19"/>
    </row>
    <row r="87" spans="1:25" s="20" customFormat="1" ht="19.5" thickBot="1" x14ac:dyDescent="0.35">
      <c r="A87" s="26"/>
      <c r="B87" s="26" t="s">
        <v>315</v>
      </c>
      <c r="C87" s="27"/>
      <c r="D87" s="28"/>
      <c r="E87" s="19">
        <f>C87*4</f>
        <v>0</v>
      </c>
      <c r="F87" s="29">
        <f>E87*0.91*1.03/21</f>
        <v>0</v>
      </c>
      <c r="G87" s="27">
        <f t="shared" si="18"/>
        <v>0</v>
      </c>
      <c r="H87" s="30" t="s">
        <v>18</v>
      </c>
      <c r="I87" s="27">
        <f t="shared" si="19"/>
        <v>0</v>
      </c>
      <c r="J87" s="19" t="s">
        <v>19</v>
      </c>
      <c r="K87" s="19"/>
      <c r="L87" s="19"/>
      <c r="M87" s="31">
        <f>F87*1568/12544</f>
        <v>0</v>
      </c>
      <c r="N87" s="19"/>
      <c r="O87" s="19"/>
      <c r="P87" s="19"/>
      <c r="Q87" s="30" t="s">
        <v>18</v>
      </c>
      <c r="R87" s="19"/>
      <c r="S87" s="19" t="s">
        <v>19</v>
      </c>
      <c r="T87" s="32"/>
      <c r="U87" s="19">
        <f t="shared" si="20"/>
        <v>0</v>
      </c>
      <c r="V87" s="19"/>
      <c r="W87" s="32"/>
      <c r="X87" s="19"/>
    </row>
    <row r="88" spans="1:25" s="20" customFormat="1" ht="19.5" thickBot="1" x14ac:dyDescent="0.35">
      <c r="A88" s="26"/>
      <c r="B88" s="26" t="s">
        <v>51</v>
      </c>
      <c r="C88" s="27"/>
      <c r="D88" s="28"/>
      <c r="E88" s="19">
        <f>C88*5</f>
        <v>0</v>
      </c>
      <c r="F88" s="29">
        <f>E88*0.91*1.06/28</f>
        <v>0</v>
      </c>
      <c r="G88" s="27">
        <f>INT(M88)</f>
        <v>0</v>
      </c>
      <c r="H88" s="30" t="s">
        <v>18</v>
      </c>
      <c r="I88" s="27">
        <f>(M88-G88)*64</f>
        <v>0</v>
      </c>
      <c r="J88" s="19" t="s">
        <v>19</v>
      </c>
      <c r="K88" s="19"/>
      <c r="L88" s="19"/>
      <c r="M88" s="31">
        <f>F88*1568/12544</f>
        <v>0</v>
      </c>
      <c r="N88" s="19"/>
      <c r="O88" s="19"/>
      <c r="P88" s="19"/>
      <c r="Q88" s="30" t="s">
        <v>18</v>
      </c>
      <c r="R88" s="19"/>
      <c r="S88" s="19" t="s">
        <v>19</v>
      </c>
      <c r="T88" s="32"/>
      <c r="U88" s="19">
        <f t="shared" si="20"/>
        <v>0</v>
      </c>
      <c r="V88" s="19"/>
      <c r="W88" s="32"/>
      <c r="X88" s="19"/>
    </row>
    <row r="89" spans="1:25" s="20" customFormat="1" ht="19.5" thickBot="1" x14ac:dyDescent="0.35">
      <c r="A89" s="19"/>
      <c r="B89" s="26" t="s">
        <v>52</v>
      </c>
      <c r="C89" s="27"/>
      <c r="D89" s="28"/>
      <c r="E89" s="30"/>
      <c r="F89" s="29"/>
      <c r="G89" s="33"/>
      <c r="H89" s="34"/>
      <c r="I89" s="33"/>
      <c r="J89" s="34"/>
      <c r="K89" s="31"/>
      <c r="L89" s="31"/>
      <c r="M89" s="31"/>
      <c r="N89" s="19"/>
      <c r="O89" s="19"/>
      <c r="P89" s="19"/>
      <c r="Q89" s="35"/>
      <c r="R89" s="19"/>
      <c r="S89" s="35"/>
      <c r="T89" s="32"/>
      <c r="U89" s="19"/>
      <c r="V89" s="19"/>
      <c r="W89" s="32"/>
      <c r="X89" s="19"/>
    </row>
    <row r="90" spans="1:25" s="20" customFormat="1" ht="19.5" thickBot="1" x14ac:dyDescent="0.35">
      <c r="A90" s="19"/>
      <c r="B90" s="26" t="s">
        <v>53</v>
      </c>
      <c r="C90" s="27"/>
      <c r="D90" s="28"/>
      <c r="E90" s="19">
        <f>SUM(E79:E88)</f>
        <v>0</v>
      </c>
      <c r="F90" s="36">
        <f>SUM(F79:F88)</f>
        <v>0</v>
      </c>
      <c r="G90" s="27"/>
      <c r="H90" s="35"/>
      <c r="I90" s="27"/>
      <c r="J90" s="35"/>
      <c r="K90" s="19"/>
      <c r="L90" s="19"/>
      <c r="M90" s="19"/>
      <c r="N90" s="19"/>
      <c r="O90" s="19"/>
      <c r="P90" s="19"/>
      <c r="Q90" s="30"/>
      <c r="R90" s="19"/>
      <c r="S90" s="19"/>
      <c r="T90" s="32"/>
      <c r="U90" s="19"/>
      <c r="V90" s="19"/>
      <c r="W90" s="32"/>
      <c r="X90" s="19"/>
    </row>
    <row r="91" spans="1:25" s="20" customFormat="1" ht="19.5" thickBot="1" x14ac:dyDescent="0.35">
      <c r="A91" s="946"/>
      <c r="B91" s="946"/>
      <c r="C91" s="946"/>
      <c r="D91" s="946"/>
      <c r="E91" s="946"/>
      <c r="F91" s="946"/>
      <c r="G91" s="946"/>
      <c r="H91" s="946"/>
      <c r="I91" s="946"/>
      <c r="J91" s="946"/>
      <c r="K91" s="946"/>
      <c r="L91" s="946"/>
      <c r="M91" s="946"/>
      <c r="N91" s="946"/>
      <c r="O91" s="946"/>
      <c r="P91" s="946"/>
      <c r="Q91" s="946"/>
      <c r="R91" s="946"/>
      <c r="S91" s="946"/>
      <c r="T91" s="946"/>
      <c r="U91" s="946"/>
      <c r="V91" s="946"/>
      <c r="W91" s="946"/>
      <c r="X91" s="946"/>
    </row>
    <row r="92" spans="1:25" s="120" customFormat="1" ht="19.5" thickBot="1" x14ac:dyDescent="0.35">
      <c r="A92" s="118"/>
      <c r="B92" s="935" t="s">
        <v>602</v>
      </c>
      <c r="C92" s="936"/>
      <c r="D92" s="936"/>
      <c r="E92" s="936"/>
      <c r="F92" s="936"/>
      <c r="G92" s="936"/>
      <c r="H92" s="936"/>
      <c r="I92" s="936"/>
      <c r="J92" s="936"/>
      <c r="K92" s="936"/>
      <c r="L92" s="936"/>
      <c r="M92" s="936"/>
      <c r="N92" s="936"/>
      <c r="O92" s="936"/>
      <c r="P92" s="936"/>
      <c r="Q92" s="936"/>
      <c r="R92" s="936"/>
      <c r="S92" s="936"/>
      <c r="T92" s="936"/>
      <c r="U92" s="936"/>
      <c r="V92" s="936"/>
      <c r="W92" s="936"/>
      <c r="X92" s="936"/>
      <c r="Y92" s="119"/>
    </row>
    <row r="93" spans="1:25" s="20" customFormat="1" ht="19.5" thickBot="1" x14ac:dyDescent="0.35">
      <c r="A93" s="117"/>
      <c r="B93" s="937" t="s">
        <v>60</v>
      </c>
      <c r="C93" s="938"/>
      <c r="D93" s="938"/>
      <c r="E93" s="938"/>
      <c r="F93" s="938"/>
      <c r="G93" s="938"/>
      <c r="H93" s="938"/>
      <c r="I93" s="938"/>
      <c r="J93" s="938"/>
      <c r="K93" s="938"/>
      <c r="L93" s="938"/>
      <c r="M93" s="938"/>
      <c r="N93" s="938"/>
      <c r="O93" s="938"/>
      <c r="P93" s="938"/>
      <c r="Q93" s="938"/>
      <c r="R93" s="938"/>
      <c r="S93" s="938"/>
      <c r="T93" s="938"/>
      <c r="U93" s="938"/>
      <c r="V93" s="938"/>
      <c r="W93" s="938"/>
      <c r="X93" s="939"/>
    </row>
    <row r="94" spans="1:25" s="20" customFormat="1" ht="19.5" thickBot="1" x14ac:dyDescent="0.35">
      <c r="A94" s="41"/>
      <c r="B94" s="41" t="s">
        <v>61</v>
      </c>
      <c r="C94" s="42"/>
      <c r="D94" s="43"/>
      <c r="E94" s="40">
        <f>C94*2.8</f>
        <v>0</v>
      </c>
      <c r="F94" s="44">
        <f t="shared" ref="F94:F99" si="21">E94*1.03*0.82/173</f>
        <v>0</v>
      </c>
      <c r="G94" s="42">
        <f t="shared" ref="G94:G99" si="22">INT(M94)</f>
        <v>0</v>
      </c>
      <c r="H94" s="45" t="s">
        <v>18</v>
      </c>
      <c r="I94" s="42">
        <f t="shared" ref="I94:I99" si="23">(M94-G94)*64</f>
        <v>0</v>
      </c>
      <c r="J94" s="40" t="s">
        <v>19</v>
      </c>
      <c r="K94" s="40"/>
      <c r="L94" s="40"/>
      <c r="M94" s="46">
        <f>F94*13307/3456</f>
        <v>0</v>
      </c>
      <c r="N94" s="40"/>
      <c r="O94" s="40"/>
      <c r="P94" s="40"/>
      <c r="Q94" s="45" t="s">
        <v>18</v>
      </c>
      <c r="R94" s="40"/>
      <c r="S94" s="40" t="s">
        <v>19</v>
      </c>
      <c r="T94" s="47"/>
      <c r="U94" s="40">
        <f>E94/166*60</f>
        <v>0</v>
      </c>
      <c r="V94" s="176"/>
      <c r="W94" s="47"/>
      <c r="X94" s="40"/>
    </row>
    <row r="95" spans="1:25" s="20" customFormat="1" ht="38.25" thickBot="1" x14ac:dyDescent="0.35">
      <c r="A95" s="41"/>
      <c r="B95" s="41" t="s">
        <v>347</v>
      </c>
      <c r="C95" s="42"/>
      <c r="D95" s="43">
        <f t="shared" ref="D95:D101" si="24">C95*10</f>
        <v>0</v>
      </c>
      <c r="E95" s="40">
        <f>D95*0.18</f>
        <v>0</v>
      </c>
      <c r="F95" s="44">
        <f t="shared" si="21"/>
        <v>0</v>
      </c>
      <c r="G95" s="42">
        <f t="shared" si="22"/>
        <v>0</v>
      </c>
      <c r="H95" s="45" t="s">
        <v>18</v>
      </c>
      <c r="I95" s="42">
        <f t="shared" si="23"/>
        <v>0</v>
      </c>
      <c r="J95" s="40" t="s">
        <v>19</v>
      </c>
      <c r="K95" s="40"/>
      <c r="L95" s="40"/>
      <c r="M95" s="46">
        <f>(F95*11610)/3456</f>
        <v>0</v>
      </c>
      <c r="N95" s="40"/>
      <c r="O95" s="40"/>
      <c r="P95" s="40"/>
      <c r="Q95" s="45" t="s">
        <v>18</v>
      </c>
      <c r="R95" s="40"/>
      <c r="S95" s="40" t="s">
        <v>19</v>
      </c>
      <c r="T95" s="47"/>
      <c r="U95" s="40">
        <f>E95/207*60</f>
        <v>0</v>
      </c>
      <c r="V95" s="176"/>
      <c r="W95" s="47"/>
      <c r="X95" s="40"/>
    </row>
    <row r="96" spans="1:25" s="20" customFormat="1" ht="19.5" thickBot="1" x14ac:dyDescent="0.35">
      <c r="A96" s="41"/>
      <c r="B96" s="41" t="s">
        <v>70</v>
      </c>
      <c r="C96" s="42"/>
      <c r="D96" s="43">
        <f t="shared" si="24"/>
        <v>0</v>
      </c>
      <c r="E96" s="40">
        <f>D96*0.25</f>
        <v>0</v>
      </c>
      <c r="F96" s="44">
        <f t="shared" si="21"/>
        <v>0</v>
      </c>
      <c r="G96" s="42">
        <f t="shared" si="22"/>
        <v>0</v>
      </c>
      <c r="H96" s="45" t="s">
        <v>18</v>
      </c>
      <c r="I96" s="42">
        <f t="shared" si="23"/>
        <v>0</v>
      </c>
      <c r="J96" s="40" t="s">
        <v>19</v>
      </c>
      <c r="K96" s="40"/>
      <c r="L96" s="40"/>
      <c r="M96" s="46">
        <f>(F96*8480)/3456</f>
        <v>0</v>
      </c>
      <c r="N96" s="40"/>
      <c r="O96" s="40"/>
      <c r="P96" s="40"/>
      <c r="Q96" s="45" t="s">
        <v>18</v>
      </c>
      <c r="R96" s="40"/>
      <c r="S96" s="40" t="s">
        <v>19</v>
      </c>
      <c r="T96" s="47"/>
      <c r="U96" s="40">
        <f>E96/272*60</f>
        <v>0</v>
      </c>
      <c r="V96" s="176"/>
      <c r="W96" s="47"/>
      <c r="X96" s="40"/>
    </row>
    <row r="97" spans="1:24" s="20" customFormat="1" ht="38.25" thickBot="1" x14ac:dyDescent="0.35">
      <c r="A97" s="41"/>
      <c r="B97" s="41" t="s">
        <v>350</v>
      </c>
      <c r="C97" s="42"/>
      <c r="D97" s="43">
        <f t="shared" si="24"/>
        <v>0</v>
      </c>
      <c r="E97" s="40">
        <f>D97*0.25</f>
        <v>0</v>
      </c>
      <c r="F97" s="44">
        <f t="shared" si="21"/>
        <v>0</v>
      </c>
      <c r="G97" s="42">
        <f t="shared" si="22"/>
        <v>0</v>
      </c>
      <c r="H97" s="45" t="s">
        <v>18</v>
      </c>
      <c r="I97" s="42">
        <f t="shared" si="23"/>
        <v>0</v>
      </c>
      <c r="J97" s="40" t="s">
        <v>19</v>
      </c>
      <c r="K97" s="40"/>
      <c r="L97" s="40"/>
      <c r="M97" s="46">
        <f>(F97*8480)/3456</f>
        <v>0</v>
      </c>
      <c r="N97" s="40"/>
      <c r="O97" s="40"/>
      <c r="P97" s="40"/>
      <c r="Q97" s="45" t="s">
        <v>18</v>
      </c>
      <c r="R97" s="40"/>
      <c r="S97" s="40" t="s">
        <v>19</v>
      </c>
      <c r="T97" s="47"/>
      <c r="U97" s="40">
        <f>E97/272*60</f>
        <v>0</v>
      </c>
      <c r="V97" s="176"/>
      <c r="W97" s="47"/>
      <c r="X97" s="40"/>
    </row>
    <row r="98" spans="1:24" s="20" customFormat="1" ht="38.25" thickBot="1" x14ac:dyDescent="0.35">
      <c r="A98" s="41"/>
      <c r="B98" s="41" t="s">
        <v>568</v>
      </c>
      <c r="C98" s="42"/>
      <c r="D98" s="43">
        <f>C98*10</f>
        <v>0</v>
      </c>
      <c r="E98" s="40">
        <f>D98*0.25</f>
        <v>0</v>
      </c>
      <c r="F98" s="44">
        <f t="shared" si="21"/>
        <v>0</v>
      </c>
      <c r="G98" s="42">
        <f t="shared" si="22"/>
        <v>0</v>
      </c>
      <c r="H98" s="45" t="s">
        <v>18</v>
      </c>
      <c r="I98" s="42">
        <f t="shared" si="23"/>
        <v>0</v>
      </c>
      <c r="J98" s="40" t="s">
        <v>19</v>
      </c>
      <c r="K98" s="40"/>
      <c r="L98" s="40"/>
      <c r="M98" s="46">
        <f>(F98*8480)/3456</f>
        <v>0</v>
      </c>
      <c r="N98" s="40"/>
      <c r="O98" s="40"/>
      <c r="P98" s="40"/>
      <c r="Q98" s="45" t="s">
        <v>18</v>
      </c>
      <c r="R98" s="40"/>
      <c r="S98" s="40" t="s">
        <v>19</v>
      </c>
      <c r="T98" s="47"/>
      <c r="U98" s="40">
        <f>E98/272*60</f>
        <v>0</v>
      </c>
      <c r="V98" s="176"/>
      <c r="W98" s="47"/>
      <c r="X98" s="40"/>
    </row>
    <row r="99" spans="1:24" s="20" customFormat="1" ht="38.25" thickBot="1" x14ac:dyDescent="0.35">
      <c r="A99" s="41"/>
      <c r="B99" s="41" t="s">
        <v>353</v>
      </c>
      <c r="C99" s="42"/>
      <c r="D99" s="43">
        <f t="shared" si="24"/>
        <v>0</v>
      </c>
      <c r="E99" s="40">
        <f>D99*0.25</f>
        <v>0</v>
      </c>
      <c r="F99" s="44">
        <f t="shared" si="21"/>
        <v>0</v>
      </c>
      <c r="G99" s="42">
        <f t="shared" si="22"/>
        <v>0</v>
      </c>
      <c r="H99" s="45" t="s">
        <v>18</v>
      </c>
      <c r="I99" s="42">
        <f t="shared" si="23"/>
        <v>0</v>
      </c>
      <c r="J99" s="40" t="s">
        <v>19</v>
      </c>
      <c r="K99" s="40"/>
      <c r="L99" s="40"/>
      <c r="M99" s="46">
        <f>(F99*8480)/3456</f>
        <v>0</v>
      </c>
      <c r="N99" s="40"/>
      <c r="O99" s="40"/>
      <c r="P99" s="40"/>
      <c r="Q99" s="45" t="s">
        <v>18</v>
      </c>
      <c r="R99" s="40"/>
      <c r="S99" s="40" t="s">
        <v>19</v>
      </c>
      <c r="T99" s="47"/>
      <c r="U99" s="40">
        <f>E99/272*60</f>
        <v>0</v>
      </c>
      <c r="V99" s="176"/>
      <c r="W99" s="47"/>
      <c r="X99" s="40"/>
    </row>
    <row r="100" spans="1:24" s="20" customFormat="1" ht="38.25" thickBot="1" x14ac:dyDescent="0.35">
      <c r="A100" s="41"/>
      <c r="B100" s="41" t="s">
        <v>346</v>
      </c>
      <c r="C100" s="42"/>
      <c r="D100" s="43">
        <f t="shared" si="24"/>
        <v>0</v>
      </c>
      <c r="E100" s="40">
        <f>D100*0.18</f>
        <v>0</v>
      </c>
      <c r="F100" s="44">
        <f t="shared" ref="F100:F112" si="25">E100*1.03*0.82/173</f>
        <v>0</v>
      </c>
      <c r="G100" s="42">
        <f t="shared" ref="G100:G112" si="26">INT(M100)</f>
        <v>0</v>
      </c>
      <c r="H100" s="45" t="s">
        <v>18</v>
      </c>
      <c r="I100" s="42">
        <f t="shared" ref="I100:I112" si="27">(M100-G100)*64</f>
        <v>0</v>
      </c>
      <c r="J100" s="40" t="s">
        <v>19</v>
      </c>
      <c r="K100" s="40"/>
      <c r="L100" s="40"/>
      <c r="M100" s="46">
        <f>(F100*11610)/3456</f>
        <v>0</v>
      </c>
      <c r="N100" s="40"/>
      <c r="O100" s="40"/>
      <c r="P100" s="40"/>
      <c r="Q100" s="45" t="s">
        <v>18</v>
      </c>
      <c r="R100" s="40"/>
      <c r="S100" s="40" t="s">
        <v>19</v>
      </c>
      <c r="T100" s="47"/>
      <c r="U100" s="40">
        <f>E100/207*60</f>
        <v>0</v>
      </c>
      <c r="V100" s="176"/>
      <c r="W100" s="47"/>
      <c r="X100" s="40"/>
    </row>
    <row r="101" spans="1:24" s="20" customFormat="1" ht="19.5" thickBot="1" x14ac:dyDescent="0.35">
      <c r="A101" s="41"/>
      <c r="B101" s="41" t="s">
        <v>64</v>
      </c>
      <c r="C101" s="42"/>
      <c r="D101" s="43">
        <f t="shared" si="24"/>
        <v>0</v>
      </c>
      <c r="E101" s="40">
        <f>D101*0.18</f>
        <v>0</v>
      </c>
      <c r="F101" s="44">
        <f t="shared" si="25"/>
        <v>0</v>
      </c>
      <c r="G101" s="42">
        <f t="shared" si="26"/>
        <v>0</v>
      </c>
      <c r="H101" s="45" t="s">
        <v>18</v>
      </c>
      <c r="I101" s="42">
        <f t="shared" si="27"/>
        <v>0</v>
      </c>
      <c r="J101" s="40" t="s">
        <v>19</v>
      </c>
      <c r="K101" s="40"/>
      <c r="L101" s="40"/>
      <c r="M101" s="46">
        <f>(F101*11610)/3456</f>
        <v>0</v>
      </c>
      <c r="N101" s="40"/>
      <c r="O101" s="40"/>
      <c r="P101" s="40"/>
      <c r="Q101" s="45" t="s">
        <v>18</v>
      </c>
      <c r="R101" s="40"/>
      <c r="S101" s="40" t="s">
        <v>19</v>
      </c>
      <c r="T101" s="47"/>
      <c r="U101" s="40">
        <f>E101/207*60</f>
        <v>0</v>
      </c>
      <c r="V101" s="176"/>
      <c r="W101" s="47"/>
      <c r="X101" s="40"/>
    </row>
    <row r="102" spans="1:24" s="20" customFormat="1" ht="19.5" thickBot="1" x14ac:dyDescent="0.35">
      <c r="A102" s="41"/>
      <c r="B102" s="41" t="s">
        <v>65</v>
      </c>
      <c r="C102" s="42"/>
      <c r="D102" s="43">
        <f>C102*26</f>
        <v>0</v>
      </c>
      <c r="E102" s="40">
        <f>D102*0.15</f>
        <v>0</v>
      </c>
      <c r="F102" s="44">
        <f t="shared" si="25"/>
        <v>0</v>
      </c>
      <c r="G102" s="42">
        <f t="shared" si="26"/>
        <v>0</v>
      </c>
      <c r="H102" s="45" t="s">
        <v>18</v>
      </c>
      <c r="I102" s="42">
        <f t="shared" si="27"/>
        <v>0</v>
      </c>
      <c r="J102" s="40" t="s">
        <v>19</v>
      </c>
      <c r="K102" s="40"/>
      <c r="L102" s="40"/>
      <c r="M102" s="46">
        <f t="shared" ref="M102:M112" si="28">(F102*8480)/3456</f>
        <v>0</v>
      </c>
      <c r="N102" s="40"/>
      <c r="O102" s="40"/>
      <c r="P102" s="40"/>
      <c r="Q102" s="45" t="s">
        <v>18</v>
      </c>
      <c r="R102" s="40"/>
      <c r="S102" s="40" t="s">
        <v>19</v>
      </c>
      <c r="T102" s="47"/>
      <c r="U102" s="40">
        <f>E102/259*60</f>
        <v>0</v>
      </c>
      <c r="V102" s="176"/>
      <c r="W102" s="47"/>
      <c r="X102" s="40"/>
    </row>
    <row r="103" spans="1:24" s="20" customFormat="1" ht="38.25" thickBot="1" x14ac:dyDescent="0.35">
      <c r="A103" s="41"/>
      <c r="B103" s="41" t="s">
        <v>352</v>
      </c>
      <c r="C103" s="42"/>
      <c r="D103" s="43">
        <f t="shared" ref="D103:D112" si="29">C103*10</f>
        <v>0</v>
      </c>
      <c r="E103" s="40">
        <f>D103*0.25</f>
        <v>0</v>
      </c>
      <c r="F103" s="44">
        <f t="shared" si="25"/>
        <v>0</v>
      </c>
      <c r="G103" s="42">
        <f t="shared" si="26"/>
        <v>0</v>
      </c>
      <c r="H103" s="45" t="s">
        <v>18</v>
      </c>
      <c r="I103" s="42">
        <f t="shared" si="27"/>
        <v>0</v>
      </c>
      <c r="J103" s="40" t="s">
        <v>19</v>
      </c>
      <c r="K103" s="40"/>
      <c r="L103" s="40"/>
      <c r="M103" s="46">
        <f t="shared" si="28"/>
        <v>0</v>
      </c>
      <c r="N103" s="40"/>
      <c r="O103" s="40"/>
      <c r="P103" s="40"/>
      <c r="Q103" s="45" t="s">
        <v>18</v>
      </c>
      <c r="R103" s="40"/>
      <c r="S103" s="40" t="s">
        <v>19</v>
      </c>
      <c r="T103" s="47"/>
      <c r="U103" s="40">
        <f t="shared" ref="U103:U112" si="30">E103/272*60</f>
        <v>0</v>
      </c>
      <c r="V103" s="176"/>
      <c r="W103" s="47"/>
      <c r="X103" s="40"/>
    </row>
    <row r="104" spans="1:24" s="20" customFormat="1" ht="19.5" thickBot="1" x14ac:dyDescent="0.35">
      <c r="A104" s="41"/>
      <c r="B104" s="41" t="s">
        <v>69</v>
      </c>
      <c r="C104" s="42"/>
      <c r="D104" s="43">
        <f t="shared" si="29"/>
        <v>0</v>
      </c>
      <c r="E104" s="40">
        <f>D104*0.25</f>
        <v>0</v>
      </c>
      <c r="F104" s="44">
        <f t="shared" si="25"/>
        <v>0</v>
      </c>
      <c r="G104" s="42">
        <f t="shared" si="26"/>
        <v>0</v>
      </c>
      <c r="H104" s="45" t="s">
        <v>18</v>
      </c>
      <c r="I104" s="42">
        <f t="shared" si="27"/>
        <v>0</v>
      </c>
      <c r="J104" s="40" t="s">
        <v>19</v>
      </c>
      <c r="K104" s="40"/>
      <c r="L104" s="40"/>
      <c r="M104" s="46">
        <f t="shared" si="28"/>
        <v>0</v>
      </c>
      <c r="N104" s="40"/>
      <c r="O104" s="40"/>
      <c r="P104" s="40"/>
      <c r="Q104" s="45" t="s">
        <v>18</v>
      </c>
      <c r="R104" s="40"/>
      <c r="S104" s="40" t="s">
        <v>19</v>
      </c>
      <c r="T104" s="47"/>
      <c r="U104" s="40">
        <f t="shared" si="30"/>
        <v>0</v>
      </c>
      <c r="V104" s="176"/>
      <c r="W104" s="47"/>
      <c r="X104" s="40"/>
    </row>
    <row r="105" spans="1:24" s="120" customFormat="1" ht="38.25" thickBot="1" x14ac:dyDescent="0.35">
      <c r="A105" s="146"/>
      <c r="B105" s="146" t="s">
        <v>362</v>
      </c>
      <c r="C105" s="147"/>
      <c r="D105" s="148">
        <f>C105*10</f>
        <v>0</v>
      </c>
      <c r="E105" s="149">
        <f>D105*0.36</f>
        <v>0</v>
      </c>
      <c r="F105" s="150">
        <f>E105*1.03*0.82/173</f>
        <v>0</v>
      </c>
      <c r="G105" s="147">
        <f>INT(M105)</f>
        <v>0</v>
      </c>
      <c r="H105" s="151" t="s">
        <v>18</v>
      </c>
      <c r="I105" s="147">
        <f>(M105-G105)*64</f>
        <v>0</v>
      </c>
      <c r="J105" s="149" t="s">
        <v>19</v>
      </c>
      <c r="K105" s="149"/>
      <c r="L105" s="149"/>
      <c r="M105" s="152">
        <f>(F105*8480)/3456</f>
        <v>0</v>
      </c>
      <c r="N105" s="149"/>
      <c r="O105" s="149"/>
      <c r="P105" s="149"/>
      <c r="Q105" s="151" t="s">
        <v>18</v>
      </c>
      <c r="R105" s="149"/>
      <c r="S105" s="149" t="s">
        <v>19</v>
      </c>
      <c r="T105" s="153"/>
      <c r="U105" s="149">
        <f>E105/272*60</f>
        <v>0</v>
      </c>
      <c r="V105" s="176"/>
      <c r="W105" s="153"/>
      <c r="X105" s="149"/>
    </row>
    <row r="106" spans="1:24" s="120" customFormat="1" ht="38.25" thickBot="1" x14ac:dyDescent="0.35">
      <c r="A106" s="146"/>
      <c r="B106" s="146" t="s">
        <v>360</v>
      </c>
      <c r="C106" s="147"/>
      <c r="D106" s="148">
        <f t="shared" si="29"/>
        <v>0</v>
      </c>
      <c r="E106" s="149">
        <f>D106*0.2</f>
        <v>0</v>
      </c>
      <c r="F106" s="150">
        <f t="shared" si="25"/>
        <v>0</v>
      </c>
      <c r="G106" s="147">
        <f t="shared" si="26"/>
        <v>0</v>
      </c>
      <c r="H106" s="151" t="s">
        <v>18</v>
      </c>
      <c r="I106" s="147">
        <f t="shared" si="27"/>
        <v>0</v>
      </c>
      <c r="J106" s="149" t="s">
        <v>19</v>
      </c>
      <c r="K106" s="149"/>
      <c r="L106" s="149"/>
      <c r="M106" s="152">
        <f t="shared" si="28"/>
        <v>0</v>
      </c>
      <c r="N106" s="149"/>
      <c r="O106" s="149"/>
      <c r="P106" s="149"/>
      <c r="Q106" s="151" t="s">
        <v>18</v>
      </c>
      <c r="R106" s="149"/>
      <c r="S106" s="149" t="s">
        <v>19</v>
      </c>
      <c r="T106" s="153"/>
      <c r="U106" s="149">
        <f t="shared" si="30"/>
        <v>0</v>
      </c>
      <c r="V106" s="176"/>
      <c r="W106" s="153"/>
      <c r="X106" s="149"/>
    </row>
    <row r="107" spans="1:24" s="120" customFormat="1" ht="38.25" thickBot="1" x14ac:dyDescent="0.35">
      <c r="A107" s="146"/>
      <c r="B107" s="146" t="s">
        <v>361</v>
      </c>
      <c r="C107" s="147"/>
      <c r="D107" s="148">
        <f>C107*10</f>
        <v>0</v>
      </c>
      <c r="E107" s="149">
        <f>D107*0.2</f>
        <v>0</v>
      </c>
      <c r="F107" s="150">
        <f>E107*1.03*0.82/173</f>
        <v>0</v>
      </c>
      <c r="G107" s="147">
        <f>INT(M107)</f>
        <v>0</v>
      </c>
      <c r="H107" s="151" t="s">
        <v>18</v>
      </c>
      <c r="I107" s="147">
        <f>(M107-G107)*64</f>
        <v>0</v>
      </c>
      <c r="J107" s="149" t="s">
        <v>19</v>
      </c>
      <c r="K107" s="149"/>
      <c r="L107" s="149"/>
      <c r="M107" s="152">
        <f>(F107*8480)/3456</f>
        <v>0</v>
      </c>
      <c r="N107" s="149"/>
      <c r="O107" s="149"/>
      <c r="P107" s="149"/>
      <c r="Q107" s="151" t="s">
        <v>18</v>
      </c>
      <c r="R107" s="149"/>
      <c r="S107" s="149" t="s">
        <v>19</v>
      </c>
      <c r="T107" s="153"/>
      <c r="U107" s="149">
        <f>E107/272*60</f>
        <v>0</v>
      </c>
      <c r="V107" s="176"/>
      <c r="W107" s="153"/>
      <c r="X107" s="149"/>
    </row>
    <row r="108" spans="1:24" s="20" customFormat="1" ht="19.5" thickBot="1" x14ac:dyDescent="0.35">
      <c r="A108" s="41"/>
      <c r="B108" s="41" t="s">
        <v>71</v>
      </c>
      <c r="C108" s="42"/>
      <c r="D108" s="43">
        <f t="shared" si="29"/>
        <v>0</v>
      </c>
      <c r="E108" s="40">
        <f>D108*0.25</f>
        <v>0</v>
      </c>
      <c r="F108" s="44">
        <f t="shared" si="25"/>
        <v>0</v>
      </c>
      <c r="G108" s="42">
        <f t="shared" si="26"/>
        <v>0</v>
      </c>
      <c r="H108" s="45" t="s">
        <v>18</v>
      </c>
      <c r="I108" s="42">
        <f t="shared" si="27"/>
        <v>0</v>
      </c>
      <c r="J108" s="40" t="s">
        <v>19</v>
      </c>
      <c r="K108" s="40"/>
      <c r="L108" s="40"/>
      <c r="M108" s="46">
        <f t="shared" si="28"/>
        <v>0</v>
      </c>
      <c r="N108" s="40"/>
      <c r="O108" s="40"/>
      <c r="P108" s="40"/>
      <c r="Q108" s="45" t="s">
        <v>18</v>
      </c>
      <c r="R108" s="40"/>
      <c r="S108" s="40" t="s">
        <v>19</v>
      </c>
      <c r="T108" s="47"/>
      <c r="U108" s="40">
        <f t="shared" si="30"/>
        <v>0</v>
      </c>
      <c r="V108" s="176"/>
      <c r="W108" s="47"/>
      <c r="X108" s="40"/>
    </row>
    <row r="109" spans="1:24" s="20" customFormat="1" ht="38.25" thickBot="1" x14ac:dyDescent="0.35">
      <c r="A109" s="41"/>
      <c r="B109" s="41" t="s">
        <v>351</v>
      </c>
      <c r="C109" s="42"/>
      <c r="D109" s="43">
        <f t="shared" si="29"/>
        <v>0</v>
      </c>
      <c r="E109" s="40">
        <f>D109*0.25</f>
        <v>0</v>
      </c>
      <c r="F109" s="44">
        <f t="shared" si="25"/>
        <v>0</v>
      </c>
      <c r="G109" s="42">
        <f t="shared" si="26"/>
        <v>0</v>
      </c>
      <c r="H109" s="45" t="s">
        <v>18</v>
      </c>
      <c r="I109" s="42">
        <f t="shared" si="27"/>
        <v>0</v>
      </c>
      <c r="J109" s="40" t="s">
        <v>19</v>
      </c>
      <c r="K109" s="40"/>
      <c r="L109" s="40"/>
      <c r="M109" s="46">
        <f t="shared" si="28"/>
        <v>0</v>
      </c>
      <c r="N109" s="40"/>
      <c r="O109" s="40"/>
      <c r="P109" s="40"/>
      <c r="Q109" s="45" t="s">
        <v>18</v>
      </c>
      <c r="R109" s="40"/>
      <c r="S109" s="40" t="s">
        <v>19</v>
      </c>
      <c r="T109" s="47"/>
      <c r="U109" s="40">
        <f t="shared" si="30"/>
        <v>0</v>
      </c>
      <c r="V109" s="176"/>
      <c r="W109" s="47"/>
      <c r="X109" s="40"/>
    </row>
    <row r="110" spans="1:24" s="20" customFormat="1" ht="19.5" thickBot="1" x14ac:dyDescent="0.35">
      <c r="A110" s="41"/>
      <c r="B110" s="41" t="s">
        <v>73</v>
      </c>
      <c r="C110" s="42"/>
      <c r="D110" s="43">
        <f t="shared" si="29"/>
        <v>0</v>
      </c>
      <c r="E110" s="40">
        <f>D110*0.25</f>
        <v>0</v>
      </c>
      <c r="F110" s="44">
        <f t="shared" si="25"/>
        <v>0</v>
      </c>
      <c r="G110" s="42">
        <f t="shared" si="26"/>
        <v>0</v>
      </c>
      <c r="H110" s="45" t="s">
        <v>18</v>
      </c>
      <c r="I110" s="42">
        <f t="shared" si="27"/>
        <v>0</v>
      </c>
      <c r="J110" s="40" t="s">
        <v>19</v>
      </c>
      <c r="K110" s="40"/>
      <c r="L110" s="40"/>
      <c r="M110" s="46">
        <f t="shared" si="28"/>
        <v>0</v>
      </c>
      <c r="N110" s="40"/>
      <c r="O110" s="40"/>
      <c r="P110" s="40"/>
      <c r="Q110" s="45" t="s">
        <v>18</v>
      </c>
      <c r="R110" s="40"/>
      <c r="S110" s="40" t="s">
        <v>19</v>
      </c>
      <c r="T110" s="47"/>
      <c r="U110" s="40">
        <f t="shared" si="30"/>
        <v>0</v>
      </c>
      <c r="V110" s="176"/>
      <c r="W110" s="47"/>
      <c r="X110" s="40"/>
    </row>
    <row r="111" spans="1:24" s="20" customFormat="1" ht="19.5" thickBot="1" x14ac:dyDescent="0.35">
      <c r="A111" s="41"/>
      <c r="B111" s="41" t="s">
        <v>74</v>
      </c>
      <c r="C111" s="42"/>
      <c r="D111" s="43">
        <f t="shared" si="29"/>
        <v>0</v>
      </c>
      <c r="E111" s="40">
        <f>D111*0.2</f>
        <v>0</v>
      </c>
      <c r="F111" s="44">
        <f t="shared" si="25"/>
        <v>0</v>
      </c>
      <c r="G111" s="42">
        <f t="shared" si="26"/>
        <v>0</v>
      </c>
      <c r="H111" s="45" t="s">
        <v>18</v>
      </c>
      <c r="I111" s="42">
        <f t="shared" si="27"/>
        <v>0</v>
      </c>
      <c r="J111" s="40" t="s">
        <v>19</v>
      </c>
      <c r="K111" s="40"/>
      <c r="L111" s="40"/>
      <c r="M111" s="46">
        <f t="shared" si="28"/>
        <v>0</v>
      </c>
      <c r="N111" s="40"/>
      <c r="O111" s="40"/>
      <c r="P111" s="40"/>
      <c r="Q111" s="45" t="s">
        <v>18</v>
      </c>
      <c r="R111" s="40"/>
      <c r="S111" s="40" t="s">
        <v>19</v>
      </c>
      <c r="T111" s="47"/>
      <c r="U111" s="40">
        <f t="shared" si="30"/>
        <v>0</v>
      </c>
      <c r="V111" s="176"/>
      <c r="W111" s="47"/>
      <c r="X111" s="40"/>
    </row>
    <row r="112" spans="1:24" s="20" customFormat="1" ht="19.5" thickBot="1" x14ac:dyDescent="0.35">
      <c r="A112" s="41"/>
      <c r="B112" s="41" t="s">
        <v>75</v>
      </c>
      <c r="C112" s="42"/>
      <c r="D112" s="43">
        <f t="shared" si="29"/>
        <v>0</v>
      </c>
      <c r="E112" s="40">
        <f>D112*0.25</f>
        <v>0</v>
      </c>
      <c r="F112" s="44">
        <f t="shared" si="25"/>
        <v>0</v>
      </c>
      <c r="G112" s="42">
        <f t="shared" si="26"/>
        <v>0</v>
      </c>
      <c r="H112" s="45" t="s">
        <v>18</v>
      </c>
      <c r="I112" s="42">
        <f t="shared" si="27"/>
        <v>0</v>
      </c>
      <c r="J112" s="40" t="s">
        <v>19</v>
      </c>
      <c r="K112" s="40"/>
      <c r="L112" s="40"/>
      <c r="M112" s="46">
        <f t="shared" si="28"/>
        <v>0</v>
      </c>
      <c r="N112" s="40"/>
      <c r="O112" s="40"/>
      <c r="P112" s="40"/>
      <c r="Q112" s="45" t="s">
        <v>18</v>
      </c>
      <c r="R112" s="40"/>
      <c r="S112" s="40" t="s">
        <v>19</v>
      </c>
      <c r="T112" s="47"/>
      <c r="U112" s="40">
        <f t="shared" si="30"/>
        <v>0</v>
      </c>
      <c r="V112" s="176"/>
      <c r="W112" s="47"/>
      <c r="X112" s="40"/>
    </row>
    <row r="113" spans="1:26" s="20" customFormat="1" ht="33.75" customHeight="1" thickBot="1" x14ac:dyDescent="0.35">
      <c r="A113" s="41"/>
      <c r="B113" s="271" t="s">
        <v>562</v>
      </c>
      <c r="C113" s="272">
        <v>100</v>
      </c>
      <c r="D113" s="273">
        <f>C113*20</f>
        <v>2000</v>
      </c>
      <c r="E113" s="274">
        <f>D113*0.25</f>
        <v>500</v>
      </c>
      <c r="F113" s="275">
        <f>E113*1.03*0.82*0.9/165</f>
        <v>2.3034545454545454</v>
      </c>
      <c r="G113" s="272">
        <f>INT(M113)</f>
        <v>5</v>
      </c>
      <c r="H113" s="274" t="s">
        <v>18</v>
      </c>
      <c r="I113" s="272">
        <f>(M113-G113)*64</f>
        <v>35.457161616161613</v>
      </c>
      <c r="J113" s="276" t="s">
        <v>19</v>
      </c>
      <c r="K113" s="276"/>
      <c r="L113" s="276"/>
      <c r="M113" s="277">
        <f>(F113*8333/3456)</f>
        <v>5.5540181502525252</v>
      </c>
      <c r="N113" s="40"/>
      <c r="O113" s="40"/>
      <c r="P113" s="40"/>
      <c r="Q113" s="14" t="s">
        <v>18</v>
      </c>
      <c r="R113" s="40"/>
      <c r="S113" s="40" t="s">
        <v>19</v>
      </c>
      <c r="T113" s="47"/>
      <c r="U113" s="40">
        <f t="shared" ref="U113:U119" si="31">E113/259*60</f>
        <v>115.83011583011583</v>
      </c>
      <c r="V113" s="40"/>
      <c r="W113" s="47"/>
      <c r="X113" s="40"/>
    </row>
    <row r="114" spans="1:26" s="20" customFormat="1" ht="26.25" customHeight="1" thickBot="1" x14ac:dyDescent="0.35">
      <c r="A114" s="41"/>
      <c r="B114" s="41" t="s">
        <v>282</v>
      </c>
      <c r="C114" s="42">
        <v>100</v>
      </c>
      <c r="D114" s="43">
        <f>C114*20</f>
        <v>2000</v>
      </c>
      <c r="E114" s="45">
        <f>D114*0.25</f>
        <v>500</v>
      </c>
      <c r="F114" s="50">
        <f>E114*1.001*0.72/147</f>
        <v>2.4514285714285711</v>
      </c>
      <c r="G114" s="42">
        <f t="shared" ref="G114:G120" si="32">INT(M114)</f>
        <v>5</v>
      </c>
      <c r="H114" s="45" t="s">
        <v>18</v>
      </c>
      <c r="I114" s="42">
        <f t="shared" ref="I114:I120" si="33">(M114-G114)*64</f>
        <v>5.8130158730157859</v>
      </c>
      <c r="J114" s="40" t="s">
        <v>19</v>
      </c>
      <c r="K114" s="40"/>
      <c r="L114" s="40"/>
      <c r="M114" s="46">
        <f>(F114*7177/3456)</f>
        <v>5.0908283730158717</v>
      </c>
      <c r="N114" s="40"/>
      <c r="O114" s="40"/>
      <c r="P114" s="40"/>
      <c r="Q114" s="14" t="s">
        <v>18</v>
      </c>
      <c r="R114" s="40"/>
      <c r="S114" s="40" t="s">
        <v>19</v>
      </c>
      <c r="T114" s="47"/>
      <c r="U114" s="40">
        <f t="shared" si="31"/>
        <v>115.83011583011583</v>
      </c>
      <c r="V114" s="40"/>
      <c r="W114" s="47"/>
      <c r="X114" s="40"/>
    </row>
    <row r="115" spans="1:26" s="20" customFormat="1" ht="26.25" customHeight="1" thickBot="1" x14ac:dyDescent="0.35">
      <c r="A115" s="41"/>
      <c r="B115" s="271" t="s">
        <v>563</v>
      </c>
      <c r="C115" s="272">
        <v>100</v>
      </c>
      <c r="D115" s="273">
        <f>C115*20</f>
        <v>2000</v>
      </c>
      <c r="E115" s="274">
        <f>D115*0.25</f>
        <v>500</v>
      </c>
      <c r="F115" s="275">
        <f>E115*1.03*0.82*0.9/165</f>
        <v>2.3034545454545454</v>
      </c>
      <c r="G115" s="272">
        <f t="shared" si="32"/>
        <v>5</v>
      </c>
      <c r="H115" s="274" t="s">
        <v>18</v>
      </c>
      <c r="I115" s="272">
        <f t="shared" si="33"/>
        <v>35.457161616161613</v>
      </c>
      <c r="J115" s="276" t="s">
        <v>19</v>
      </c>
      <c r="K115" s="276"/>
      <c r="L115" s="276"/>
      <c r="M115" s="277">
        <f>(F115*8333/3456)</f>
        <v>5.5540181502525252</v>
      </c>
      <c r="N115" s="40"/>
      <c r="O115" s="40"/>
      <c r="P115" s="40"/>
      <c r="Q115" s="14" t="s">
        <v>18</v>
      </c>
      <c r="R115" s="40"/>
      <c r="S115" s="40" t="s">
        <v>19</v>
      </c>
      <c r="T115" s="47"/>
      <c r="U115" s="40">
        <f t="shared" si="31"/>
        <v>115.83011583011583</v>
      </c>
      <c r="V115" s="40"/>
      <c r="W115" s="47"/>
      <c r="X115" s="40"/>
    </row>
    <row r="116" spans="1:26" s="20" customFormat="1" ht="26.25" customHeight="1" thickBot="1" x14ac:dyDescent="0.35">
      <c r="A116" s="41"/>
      <c r="B116" s="41" t="s">
        <v>283</v>
      </c>
      <c r="C116" s="42"/>
      <c r="D116" s="43">
        <f>C116*20</f>
        <v>0</v>
      </c>
      <c r="E116" s="45">
        <f>D116*0.25</f>
        <v>0</v>
      </c>
      <c r="F116" s="50">
        <f>E116*1.001*0.72/147</f>
        <v>0</v>
      </c>
      <c r="G116" s="42">
        <f t="shared" si="32"/>
        <v>0</v>
      </c>
      <c r="H116" s="45" t="s">
        <v>18</v>
      </c>
      <c r="I116" s="42">
        <f t="shared" si="33"/>
        <v>0</v>
      </c>
      <c r="J116" s="40" t="s">
        <v>19</v>
      </c>
      <c r="K116" s="40"/>
      <c r="L116" s="40"/>
      <c r="M116" s="46">
        <f>(F116*7177/3456)</f>
        <v>0</v>
      </c>
      <c r="N116" s="40"/>
      <c r="O116" s="40"/>
      <c r="P116" s="40"/>
      <c r="Q116" s="14" t="s">
        <v>18</v>
      </c>
      <c r="R116" s="40"/>
      <c r="S116" s="40" t="s">
        <v>19</v>
      </c>
      <c r="T116" s="47"/>
      <c r="U116" s="40">
        <f t="shared" si="31"/>
        <v>0</v>
      </c>
      <c r="V116" s="40"/>
      <c r="W116" s="47"/>
      <c r="X116" s="40"/>
    </row>
    <row r="117" spans="1:26" s="20" customFormat="1" ht="21.75" customHeight="1" thickBot="1" x14ac:dyDescent="0.35">
      <c r="A117" s="41"/>
      <c r="B117" s="41" t="s">
        <v>89</v>
      </c>
      <c r="C117" s="42"/>
      <c r="D117" s="43">
        <f>C117*144</f>
        <v>0</v>
      </c>
      <c r="E117" s="45">
        <f>D117*0.025</f>
        <v>0</v>
      </c>
      <c r="F117" s="50">
        <f>E117*1.03*0.72/147</f>
        <v>0</v>
      </c>
      <c r="G117" s="42">
        <f t="shared" si="32"/>
        <v>0</v>
      </c>
      <c r="H117" s="45" t="s">
        <v>18</v>
      </c>
      <c r="I117" s="42">
        <f t="shared" si="33"/>
        <v>0</v>
      </c>
      <c r="J117" s="40" t="s">
        <v>19</v>
      </c>
      <c r="K117" s="40"/>
      <c r="L117" s="40"/>
      <c r="M117" s="46">
        <f>(F117*8448/3456)</f>
        <v>0</v>
      </c>
      <c r="N117" s="40"/>
      <c r="O117" s="40"/>
      <c r="P117" s="40"/>
      <c r="Q117" s="14" t="s">
        <v>18</v>
      </c>
      <c r="R117" s="40"/>
      <c r="S117" s="40" t="s">
        <v>19</v>
      </c>
      <c r="T117" s="47"/>
      <c r="U117" s="40">
        <f t="shared" si="31"/>
        <v>0</v>
      </c>
      <c r="V117" s="40"/>
      <c r="W117" s="47"/>
      <c r="X117" s="40"/>
    </row>
    <row r="118" spans="1:26" s="20" customFormat="1" ht="21.75" customHeight="1" thickBot="1" x14ac:dyDescent="0.35">
      <c r="A118" s="41"/>
      <c r="B118" s="41" t="s">
        <v>219</v>
      </c>
      <c r="C118" s="42"/>
      <c r="D118" s="43">
        <f>C118*10</f>
        <v>0</v>
      </c>
      <c r="E118" s="45">
        <f>D118*0.2</f>
        <v>0</v>
      </c>
      <c r="F118" s="50">
        <f>E118*1.03*0.72/147</f>
        <v>0</v>
      </c>
      <c r="G118" s="42">
        <f t="shared" si="32"/>
        <v>0</v>
      </c>
      <c r="H118" s="45" t="s">
        <v>18</v>
      </c>
      <c r="I118" s="42">
        <f t="shared" si="33"/>
        <v>0</v>
      </c>
      <c r="J118" s="40" t="s">
        <v>19</v>
      </c>
      <c r="K118" s="40"/>
      <c r="L118" s="40"/>
      <c r="M118" s="46">
        <f>(F118*8400/3456)</f>
        <v>0</v>
      </c>
      <c r="N118" s="40"/>
      <c r="O118" s="40"/>
      <c r="P118" s="40"/>
      <c r="Q118" s="14" t="s">
        <v>18</v>
      </c>
      <c r="R118" s="40"/>
      <c r="S118" s="40" t="s">
        <v>19</v>
      </c>
      <c r="T118" s="47"/>
      <c r="U118" s="40">
        <f t="shared" si="31"/>
        <v>0</v>
      </c>
      <c r="V118" s="40"/>
      <c r="W118" s="47"/>
      <c r="X118" s="40"/>
    </row>
    <row r="119" spans="1:26" s="20" customFormat="1" ht="27.75" customHeight="1" thickBot="1" x14ac:dyDescent="0.35">
      <c r="A119" s="41"/>
      <c r="B119" s="41" t="s">
        <v>86</v>
      </c>
      <c r="C119" s="42"/>
      <c r="D119" s="43">
        <f>C119*10</f>
        <v>0</v>
      </c>
      <c r="E119" s="45">
        <f>D119*0.2</f>
        <v>0</v>
      </c>
      <c r="F119" s="50">
        <f>E119*1.03*0.72/147</f>
        <v>0</v>
      </c>
      <c r="G119" s="42">
        <f t="shared" si="32"/>
        <v>0</v>
      </c>
      <c r="H119" s="45" t="s">
        <v>18</v>
      </c>
      <c r="I119" s="42">
        <f t="shared" si="33"/>
        <v>0</v>
      </c>
      <c r="J119" s="40" t="s">
        <v>19</v>
      </c>
      <c r="K119" s="40"/>
      <c r="L119" s="40"/>
      <c r="M119" s="46">
        <f>(F119*8400/3456)</f>
        <v>0</v>
      </c>
      <c r="N119" s="40"/>
      <c r="O119" s="40"/>
      <c r="P119" s="40"/>
      <c r="Q119" s="14" t="s">
        <v>18</v>
      </c>
      <c r="R119" s="40"/>
      <c r="S119" s="40" t="s">
        <v>19</v>
      </c>
      <c r="T119" s="47"/>
      <c r="U119" s="40">
        <f t="shared" si="31"/>
        <v>0</v>
      </c>
      <c r="V119" s="40"/>
      <c r="W119" s="47"/>
      <c r="X119" s="40"/>
    </row>
    <row r="120" spans="1:26" s="20" customFormat="1" ht="33.75" customHeight="1" thickBot="1" x14ac:dyDescent="0.35">
      <c r="A120" s="41"/>
      <c r="B120" s="41" t="s">
        <v>98</v>
      </c>
      <c r="C120" s="42"/>
      <c r="D120" s="43">
        <f>C120*10</f>
        <v>0</v>
      </c>
      <c r="E120" s="40">
        <f>D120*0.2</f>
        <v>0</v>
      </c>
      <c r="F120" s="50">
        <f>E120*1.03*0.8/147</f>
        <v>0</v>
      </c>
      <c r="G120" s="42">
        <f t="shared" si="32"/>
        <v>0</v>
      </c>
      <c r="H120" s="45" t="s">
        <v>18</v>
      </c>
      <c r="I120" s="42">
        <f t="shared" si="33"/>
        <v>0</v>
      </c>
      <c r="J120" s="40" t="s">
        <v>19</v>
      </c>
      <c r="K120" s="40"/>
      <c r="L120" s="40"/>
      <c r="M120" s="46">
        <f>(F120*9483)/3456</f>
        <v>0</v>
      </c>
      <c r="N120" s="40"/>
      <c r="O120" s="40"/>
      <c r="P120" s="40"/>
      <c r="Q120" s="14" t="s">
        <v>18</v>
      </c>
      <c r="R120" s="40"/>
      <c r="S120" s="40" t="s">
        <v>19</v>
      </c>
      <c r="T120" s="47"/>
      <c r="U120" s="40">
        <f>E120/220*60</f>
        <v>0</v>
      </c>
      <c r="V120" s="40"/>
      <c r="W120" s="47"/>
      <c r="X120" s="40"/>
    </row>
    <row r="121" spans="1:26" s="128" customFormat="1" ht="33" customHeight="1" thickBot="1" x14ac:dyDescent="0.35">
      <c r="A121" s="129"/>
      <c r="B121" s="130" t="s">
        <v>288</v>
      </c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</row>
    <row r="122" spans="1:26" s="20" customFormat="1" ht="21.75" customHeight="1" thickBot="1" x14ac:dyDescent="0.35">
      <c r="A122" s="41"/>
      <c r="B122" s="41" t="s">
        <v>93</v>
      </c>
      <c r="C122" s="42"/>
      <c r="D122" s="43"/>
      <c r="E122" s="45">
        <f>C122*2.5</f>
        <v>0</v>
      </c>
      <c r="F122" s="50">
        <f>E122*1.03*0.8/147</f>
        <v>0</v>
      </c>
      <c r="G122" s="42">
        <f t="shared" ref="G122:G130" si="34">INT(M122)</f>
        <v>0</v>
      </c>
      <c r="H122" s="45" t="s">
        <v>18</v>
      </c>
      <c r="I122" s="42">
        <f t="shared" ref="I122:I130" si="35">(M122-G122)*64</f>
        <v>0</v>
      </c>
      <c r="J122" s="40" t="s">
        <v>19</v>
      </c>
      <c r="K122" s="40"/>
      <c r="L122" s="40"/>
      <c r="M122" s="46">
        <f>(F122*5444/3456)</f>
        <v>0</v>
      </c>
      <c r="N122" s="40"/>
      <c r="O122" s="40"/>
      <c r="P122" s="40"/>
      <c r="Q122" s="14" t="s">
        <v>18</v>
      </c>
      <c r="R122" s="40"/>
      <c r="S122" s="40" t="s">
        <v>19</v>
      </c>
      <c r="T122" s="47"/>
      <c r="U122" s="40">
        <f t="shared" ref="U122:U127" si="36">E122/324*60</f>
        <v>0</v>
      </c>
      <c r="V122" s="40"/>
      <c r="W122" s="47"/>
      <c r="X122" s="40"/>
    </row>
    <row r="123" spans="1:26" s="20" customFormat="1" ht="21.75" customHeight="1" thickBot="1" x14ac:dyDescent="0.35">
      <c r="A123" s="53"/>
      <c r="B123" s="53" t="s">
        <v>91</v>
      </c>
      <c r="C123" s="42"/>
      <c r="D123" s="43"/>
      <c r="E123" s="45">
        <f>C123*2.5</f>
        <v>0</v>
      </c>
      <c r="F123" s="50">
        <f>E123*1.03*0.72/147</f>
        <v>0</v>
      </c>
      <c r="G123" s="42">
        <f t="shared" si="34"/>
        <v>0</v>
      </c>
      <c r="H123" s="45" t="s">
        <v>18</v>
      </c>
      <c r="I123" s="42">
        <f t="shared" si="35"/>
        <v>0</v>
      </c>
      <c r="J123" s="40" t="s">
        <v>19</v>
      </c>
      <c r="K123" s="40"/>
      <c r="L123" s="40"/>
      <c r="M123" s="46">
        <f>(F123*6049/3456)</f>
        <v>0</v>
      </c>
      <c r="N123" s="40"/>
      <c r="O123" s="40"/>
      <c r="P123" s="40"/>
      <c r="Q123" s="14" t="s">
        <v>18</v>
      </c>
      <c r="R123" s="40"/>
      <c r="S123" s="40" t="s">
        <v>19</v>
      </c>
      <c r="T123" s="47"/>
      <c r="U123" s="40">
        <f t="shared" si="36"/>
        <v>0</v>
      </c>
      <c r="V123" s="40"/>
      <c r="W123" s="47"/>
      <c r="X123" s="40"/>
    </row>
    <row r="124" spans="1:26" s="20" customFormat="1" ht="21.75" customHeight="1" thickBot="1" x14ac:dyDescent="0.35">
      <c r="A124" s="53"/>
      <c r="B124" s="53" t="s">
        <v>81</v>
      </c>
      <c r="C124" s="42"/>
      <c r="D124" s="43"/>
      <c r="E124" s="45">
        <f>C124*2.5</f>
        <v>0</v>
      </c>
      <c r="F124" s="50">
        <f>E124*1.03*0.72/147</f>
        <v>0</v>
      </c>
      <c r="G124" s="42">
        <f t="shared" si="34"/>
        <v>0</v>
      </c>
      <c r="H124" s="45" t="s">
        <v>18</v>
      </c>
      <c r="I124" s="42">
        <f t="shared" si="35"/>
        <v>0</v>
      </c>
      <c r="J124" s="40" t="s">
        <v>19</v>
      </c>
      <c r="K124" s="40"/>
      <c r="L124" s="40"/>
      <c r="M124" s="46">
        <f>(F124*6049/3456)</f>
        <v>0</v>
      </c>
      <c r="N124" s="40"/>
      <c r="O124" s="40"/>
      <c r="P124" s="40"/>
      <c r="Q124" s="14" t="s">
        <v>18</v>
      </c>
      <c r="R124" s="40"/>
      <c r="S124" s="40" t="s">
        <v>19</v>
      </c>
      <c r="T124" s="47"/>
      <c r="U124" s="40">
        <f t="shared" si="36"/>
        <v>0</v>
      </c>
      <c r="V124" s="40"/>
      <c r="W124" s="47"/>
      <c r="X124" s="40"/>
    </row>
    <row r="125" spans="1:26" s="20" customFormat="1" ht="41.25" customHeight="1" thickBot="1" x14ac:dyDescent="0.35">
      <c r="A125" s="41"/>
      <c r="B125" s="41" t="s">
        <v>564</v>
      </c>
      <c r="C125" s="42"/>
      <c r="D125" s="43"/>
      <c r="E125" s="45">
        <f>C125*4</f>
        <v>0</v>
      </c>
      <c r="F125" s="50">
        <f>E125*1.03*0.72/147</f>
        <v>0</v>
      </c>
      <c r="G125" s="42">
        <f t="shared" si="34"/>
        <v>0</v>
      </c>
      <c r="H125" s="45" t="s">
        <v>18</v>
      </c>
      <c r="I125" s="42">
        <f t="shared" si="35"/>
        <v>0</v>
      </c>
      <c r="J125" s="40" t="s">
        <v>19</v>
      </c>
      <c r="K125" s="40"/>
      <c r="L125" s="40"/>
      <c r="M125" s="46">
        <f>(F125*6049/3456)</f>
        <v>0</v>
      </c>
      <c r="N125" s="40"/>
      <c r="O125" s="40"/>
      <c r="P125" s="40"/>
      <c r="Q125" s="14" t="s">
        <v>18</v>
      </c>
      <c r="R125" s="40"/>
      <c r="S125" s="40" t="s">
        <v>19</v>
      </c>
      <c r="T125" s="47"/>
      <c r="U125" s="40">
        <f t="shared" si="36"/>
        <v>0</v>
      </c>
      <c r="V125" s="40"/>
      <c r="W125" s="47"/>
      <c r="X125" s="40"/>
    </row>
    <row r="126" spans="1:26" s="20" customFormat="1" ht="21.75" customHeight="1" thickBot="1" x14ac:dyDescent="0.35">
      <c r="A126" s="41"/>
      <c r="B126" s="41" t="s">
        <v>565</v>
      </c>
      <c r="C126" s="42"/>
      <c r="D126" s="43"/>
      <c r="E126" s="45">
        <f>C126*4</f>
        <v>0</v>
      </c>
      <c r="F126" s="50">
        <f>E126*1.03*0.8/147</f>
        <v>0</v>
      </c>
      <c r="G126" s="42">
        <f t="shared" si="34"/>
        <v>0</v>
      </c>
      <c r="H126" s="45" t="s">
        <v>18</v>
      </c>
      <c r="I126" s="42">
        <f t="shared" si="35"/>
        <v>0</v>
      </c>
      <c r="J126" s="40" t="s">
        <v>19</v>
      </c>
      <c r="K126" s="40"/>
      <c r="L126" s="40"/>
      <c r="M126" s="46">
        <f>(F126*5444/3456)</f>
        <v>0</v>
      </c>
      <c r="N126" s="40"/>
      <c r="O126" s="40"/>
      <c r="P126" s="40"/>
      <c r="Q126" s="14" t="s">
        <v>18</v>
      </c>
      <c r="R126" s="40"/>
      <c r="S126" s="40" t="s">
        <v>19</v>
      </c>
      <c r="T126" s="47"/>
      <c r="U126" s="40">
        <f t="shared" si="36"/>
        <v>0</v>
      </c>
      <c r="V126" s="40"/>
      <c r="W126" s="47"/>
      <c r="X126" s="40"/>
    </row>
    <row r="127" spans="1:26" s="20" customFormat="1" ht="23.25" customHeight="1" thickBot="1" x14ac:dyDescent="0.35">
      <c r="A127" s="41"/>
      <c r="B127" s="271" t="s">
        <v>566</v>
      </c>
      <c r="C127" s="272">
        <v>200</v>
      </c>
      <c r="D127" s="273"/>
      <c r="E127" s="274">
        <f>C127*4</f>
        <v>800</v>
      </c>
      <c r="F127" s="275">
        <f>E127*1.03*0.8/165</f>
        <v>3.9951515151515156</v>
      </c>
      <c r="G127" s="272">
        <f t="shared" si="34"/>
        <v>7</v>
      </c>
      <c r="H127" s="274" t="s">
        <v>18</v>
      </c>
      <c r="I127" s="272">
        <f t="shared" si="35"/>
        <v>55.093153759820495</v>
      </c>
      <c r="J127" s="276" t="s">
        <v>19</v>
      </c>
      <c r="K127" s="276"/>
      <c r="L127" s="276"/>
      <c r="M127" s="277">
        <f>(F127*6800/3456)</f>
        <v>7.8608305274971952</v>
      </c>
      <c r="N127" s="40"/>
      <c r="O127" s="40"/>
      <c r="P127" s="40"/>
      <c r="Q127" s="14" t="s">
        <v>18</v>
      </c>
      <c r="R127" s="40"/>
      <c r="S127" s="40" t="s">
        <v>19</v>
      </c>
      <c r="T127" s="47"/>
      <c r="U127" s="40">
        <f t="shared" si="36"/>
        <v>148.14814814814815</v>
      </c>
      <c r="V127" s="40"/>
      <c r="W127" s="47"/>
      <c r="X127" s="40"/>
    </row>
    <row r="128" spans="1:26" s="269" customFormat="1" ht="32.25" customHeight="1" thickBot="1" x14ac:dyDescent="0.35">
      <c r="A128" s="260"/>
      <c r="B128" s="260" t="s">
        <v>559</v>
      </c>
      <c r="C128" s="261"/>
      <c r="D128" s="262">
        <f>C128*12</f>
        <v>0</v>
      </c>
      <c r="E128" s="263">
        <f>D128*0.255</f>
        <v>0</v>
      </c>
      <c r="F128" s="264">
        <f>E128*1.03*1.05/173</f>
        <v>0</v>
      </c>
      <c r="G128" s="261">
        <f t="shared" si="34"/>
        <v>0</v>
      </c>
      <c r="H128" s="265" t="s">
        <v>18</v>
      </c>
      <c r="I128" s="261">
        <f t="shared" si="35"/>
        <v>0</v>
      </c>
      <c r="J128" s="263" t="s">
        <v>19</v>
      </c>
      <c r="K128" s="263"/>
      <c r="L128" s="263"/>
      <c r="M128" s="266">
        <f>(F128*7673)/2880</f>
        <v>0</v>
      </c>
      <c r="N128" s="263"/>
      <c r="O128" s="263"/>
      <c r="P128" s="263"/>
      <c r="Q128" s="265" t="s">
        <v>18</v>
      </c>
      <c r="R128" s="263"/>
      <c r="S128" s="263" t="s">
        <v>19</v>
      </c>
      <c r="T128" s="267"/>
      <c r="U128" s="263">
        <f>E128/272*60</f>
        <v>0</v>
      </c>
      <c r="V128" s="263"/>
      <c r="W128" s="267"/>
      <c r="X128" s="263"/>
      <c r="Y128" s="268"/>
      <c r="Z128" s="268"/>
    </row>
    <row r="129" spans="1:26" s="269" customFormat="1" ht="38.25" customHeight="1" thickBot="1" x14ac:dyDescent="0.35">
      <c r="A129" s="260"/>
      <c r="B129" s="260" t="s">
        <v>560</v>
      </c>
      <c r="C129" s="261"/>
      <c r="D129" s="262">
        <f>C129*12</f>
        <v>0</v>
      </c>
      <c r="E129" s="263">
        <f>D129*0.255</f>
        <v>0</v>
      </c>
      <c r="F129" s="264">
        <f>E129*1.03*1.05/173</f>
        <v>0</v>
      </c>
      <c r="G129" s="261">
        <f t="shared" si="34"/>
        <v>0</v>
      </c>
      <c r="H129" s="265" t="s">
        <v>18</v>
      </c>
      <c r="I129" s="261">
        <f t="shared" si="35"/>
        <v>0</v>
      </c>
      <c r="J129" s="263" t="s">
        <v>19</v>
      </c>
      <c r="K129" s="263"/>
      <c r="L129" s="263"/>
      <c r="M129" s="266">
        <f>(F129*7673)/2880</f>
        <v>0</v>
      </c>
      <c r="N129" s="263"/>
      <c r="O129" s="263"/>
      <c r="P129" s="263"/>
      <c r="Q129" s="265" t="s">
        <v>18</v>
      </c>
      <c r="R129" s="263"/>
      <c r="S129" s="263" t="s">
        <v>19</v>
      </c>
      <c r="T129" s="267"/>
      <c r="U129" s="263">
        <f>E129/272*60</f>
        <v>0</v>
      </c>
      <c r="V129" s="263"/>
      <c r="W129" s="267"/>
      <c r="X129" s="263"/>
      <c r="Y129" s="268"/>
      <c r="Z129" s="268"/>
    </row>
    <row r="130" spans="1:26" s="269" customFormat="1" ht="41.25" customHeight="1" thickBot="1" x14ac:dyDescent="0.35">
      <c r="A130" s="260"/>
      <c r="B130" s="260" t="s">
        <v>561</v>
      </c>
      <c r="C130" s="261"/>
      <c r="D130" s="262">
        <f>C130*12</f>
        <v>0</v>
      </c>
      <c r="E130" s="263">
        <f>D130*0.255</f>
        <v>0</v>
      </c>
      <c r="F130" s="264">
        <f>E130*1.03*1.05/173</f>
        <v>0</v>
      </c>
      <c r="G130" s="261">
        <f t="shared" si="34"/>
        <v>0</v>
      </c>
      <c r="H130" s="265" t="s">
        <v>18</v>
      </c>
      <c r="I130" s="261">
        <f t="shared" si="35"/>
        <v>0</v>
      </c>
      <c r="J130" s="263" t="s">
        <v>19</v>
      </c>
      <c r="K130" s="263"/>
      <c r="L130" s="263"/>
      <c r="M130" s="266">
        <f>(F130*7673)/2880</f>
        <v>0</v>
      </c>
      <c r="N130" s="263"/>
      <c r="O130" s="263"/>
      <c r="P130" s="263"/>
      <c r="Q130" s="265" t="s">
        <v>18</v>
      </c>
      <c r="R130" s="263"/>
      <c r="S130" s="263" t="s">
        <v>19</v>
      </c>
      <c r="T130" s="267"/>
      <c r="U130" s="263">
        <f>E130/272*60</f>
        <v>0</v>
      </c>
      <c r="V130" s="263"/>
      <c r="W130" s="267"/>
      <c r="X130" s="263"/>
      <c r="Y130" s="268"/>
      <c r="Z130" s="268"/>
    </row>
    <row r="131" spans="1:26" s="20" customFormat="1" ht="19.5" thickBot="1" x14ac:dyDescent="0.35">
      <c r="A131" s="40"/>
      <c r="B131" s="41" t="s">
        <v>76</v>
      </c>
      <c r="C131" s="42"/>
      <c r="D131" s="43"/>
      <c r="E131" s="45"/>
      <c r="F131" s="44"/>
      <c r="G131" s="48"/>
      <c r="H131" s="49"/>
      <c r="I131" s="48"/>
      <c r="J131" s="49"/>
      <c r="K131" s="46"/>
      <c r="L131" s="46"/>
      <c r="M131" s="46"/>
      <c r="N131" s="40"/>
      <c r="O131" s="40"/>
      <c r="P131" s="40"/>
      <c r="Q131" s="14"/>
      <c r="R131" s="40"/>
      <c r="S131" s="14"/>
      <c r="T131" s="47"/>
      <c r="U131" s="40"/>
      <c r="V131" s="40"/>
      <c r="W131" s="47"/>
      <c r="X131" s="40"/>
    </row>
    <row r="132" spans="1:26" s="20" customFormat="1" ht="19.5" thickBot="1" x14ac:dyDescent="0.35">
      <c r="A132" s="40"/>
      <c r="B132" s="41" t="s">
        <v>77</v>
      </c>
      <c r="C132" s="42"/>
      <c r="D132" s="43"/>
      <c r="E132" s="40">
        <f>SUM(E94:E112)</f>
        <v>0</v>
      </c>
      <c r="F132" s="50">
        <f>SUM(F94:F131)</f>
        <v>11.053489177489178</v>
      </c>
      <c r="G132" s="42"/>
      <c r="H132" s="14"/>
      <c r="I132" s="42"/>
      <c r="J132" s="14"/>
      <c r="K132" s="40"/>
      <c r="L132" s="40"/>
      <c r="M132" s="40"/>
      <c r="N132" s="40"/>
      <c r="O132" s="40"/>
      <c r="P132" s="40"/>
      <c r="Q132" s="45"/>
      <c r="R132" s="40"/>
      <c r="S132" s="40"/>
      <c r="T132" s="47"/>
      <c r="U132" s="40"/>
      <c r="V132" s="40"/>
      <c r="W132" s="47"/>
      <c r="X132" s="40"/>
    </row>
    <row r="133" spans="1:26" s="128" customFormat="1" ht="19.5" thickBot="1" x14ac:dyDescent="0.35">
      <c r="A133" s="117"/>
      <c r="B133" s="917" t="s">
        <v>289</v>
      </c>
      <c r="C133" s="917"/>
      <c r="D133" s="917"/>
      <c r="E133" s="917"/>
      <c r="F133" s="917"/>
      <c r="G133" s="917"/>
      <c r="H133" s="917"/>
      <c r="I133" s="917"/>
      <c r="J133" s="917"/>
      <c r="K133" s="917"/>
      <c r="L133" s="917"/>
      <c r="M133" s="917"/>
      <c r="N133" s="917"/>
      <c r="O133" s="917"/>
      <c r="P133" s="917"/>
      <c r="Q133" s="917"/>
      <c r="R133" s="917"/>
      <c r="S133" s="917"/>
      <c r="T133" s="917"/>
      <c r="U133" s="917"/>
      <c r="V133" s="917"/>
      <c r="W133" s="917"/>
      <c r="X133" s="917"/>
    </row>
    <row r="134" spans="1:26" s="128" customFormat="1" ht="19.5" thickBot="1" x14ac:dyDescent="0.35">
      <c r="A134" s="129"/>
      <c r="B134" s="130" t="s">
        <v>285</v>
      </c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</row>
    <row r="135" spans="1:26" s="128" customFormat="1" ht="19.5" thickBot="1" x14ac:dyDescent="0.35">
      <c r="A135" s="129"/>
      <c r="B135" s="130" t="s">
        <v>286</v>
      </c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</row>
    <row r="136" spans="1:26" s="20" customFormat="1" ht="19.5" thickBot="1" x14ac:dyDescent="0.35">
      <c r="A136" s="41"/>
      <c r="B136" s="116" t="s">
        <v>231</v>
      </c>
      <c r="C136" s="42"/>
      <c r="D136" s="43">
        <f>C136*10</f>
        <v>0</v>
      </c>
      <c r="E136" s="45">
        <f>D136*0.25</f>
        <v>0</v>
      </c>
      <c r="F136" s="50">
        <f>E136*1.03*0.8/147</f>
        <v>0</v>
      </c>
      <c r="G136" s="42">
        <f t="shared" ref="G136:G184" si="37">INT(M136)</f>
        <v>0</v>
      </c>
      <c r="H136" s="45" t="s">
        <v>18</v>
      </c>
      <c r="I136" s="42">
        <f t="shared" ref="I136:I184" si="38">(M136-G136)*64</f>
        <v>0</v>
      </c>
      <c r="J136" s="40" t="s">
        <v>19</v>
      </c>
      <c r="K136" s="40"/>
      <c r="L136" s="40"/>
      <c r="M136" s="46">
        <f>(F136*7461/3456)</f>
        <v>0</v>
      </c>
      <c r="N136" s="40"/>
      <c r="O136" s="40"/>
      <c r="P136" s="40"/>
      <c r="Q136" s="14" t="s">
        <v>18</v>
      </c>
      <c r="R136" s="40"/>
      <c r="S136" s="40" t="s">
        <v>19</v>
      </c>
      <c r="T136" s="47"/>
      <c r="U136" s="40">
        <f>E136/259*60</f>
        <v>0</v>
      </c>
      <c r="V136" s="176"/>
      <c r="W136" s="47"/>
      <c r="X136" s="40"/>
    </row>
    <row r="137" spans="1:26" s="20" customFormat="1" ht="19.5" thickBot="1" x14ac:dyDescent="0.35">
      <c r="A137" s="41"/>
      <c r="B137" s="116" t="s">
        <v>232</v>
      </c>
      <c r="C137" s="42"/>
      <c r="D137" s="42">
        <f>C137*10</f>
        <v>0</v>
      </c>
      <c r="E137" s="45">
        <f>D137*0.25</f>
        <v>0</v>
      </c>
      <c r="F137" s="50">
        <f>E137*1.03*0.8/147</f>
        <v>0</v>
      </c>
      <c r="G137" s="42">
        <f t="shared" si="37"/>
        <v>0</v>
      </c>
      <c r="H137" s="45" t="s">
        <v>18</v>
      </c>
      <c r="I137" s="42">
        <f t="shared" si="38"/>
        <v>0</v>
      </c>
      <c r="J137" s="40" t="s">
        <v>19</v>
      </c>
      <c r="K137" s="40"/>
      <c r="L137" s="40"/>
      <c r="M137" s="46">
        <f>(F137*7461/3456)</f>
        <v>0</v>
      </c>
      <c r="N137" s="40"/>
      <c r="O137" s="40"/>
      <c r="P137" s="40"/>
      <c r="Q137" s="14" t="s">
        <v>18</v>
      </c>
      <c r="R137" s="40"/>
      <c r="S137" s="40" t="s">
        <v>19</v>
      </c>
      <c r="T137" s="47"/>
      <c r="U137" s="40">
        <f>E137/259*60</f>
        <v>0</v>
      </c>
      <c r="V137" s="176"/>
      <c r="W137" s="47"/>
      <c r="X137" s="40"/>
    </row>
    <row r="138" spans="1:26" s="20" customFormat="1" ht="19.5" thickBot="1" x14ac:dyDescent="0.35">
      <c r="A138" s="41"/>
      <c r="B138" s="116" t="s">
        <v>227</v>
      </c>
      <c r="C138" s="42"/>
      <c r="D138" s="43">
        <f>C138*10</f>
        <v>0</v>
      </c>
      <c r="E138" s="40">
        <f>D138*0.18</f>
        <v>0</v>
      </c>
      <c r="F138" s="290">
        <f>E138*1.03*0.8/147</f>
        <v>0</v>
      </c>
      <c r="G138" s="42">
        <f t="shared" si="37"/>
        <v>0</v>
      </c>
      <c r="H138" s="45" t="s">
        <v>18</v>
      </c>
      <c r="I138" s="42">
        <f t="shared" si="38"/>
        <v>0</v>
      </c>
      <c r="J138" s="40" t="s">
        <v>19</v>
      </c>
      <c r="K138" s="40"/>
      <c r="L138" s="40"/>
      <c r="M138" s="291">
        <f>(F138*10000)/3456</f>
        <v>0</v>
      </c>
      <c r="N138" s="40"/>
      <c r="O138" s="40"/>
      <c r="P138" s="40"/>
      <c r="Q138" s="45" t="s">
        <v>18</v>
      </c>
      <c r="R138" s="40"/>
      <c r="S138" s="40" t="s">
        <v>19</v>
      </c>
      <c r="T138" s="47"/>
      <c r="U138" s="40">
        <f>E138/207*60</f>
        <v>0</v>
      </c>
      <c r="V138" s="176"/>
      <c r="W138" s="47"/>
      <c r="X138" s="40"/>
    </row>
    <row r="139" spans="1:26" s="20" customFormat="1" ht="38.25" thickBot="1" x14ac:dyDescent="0.35">
      <c r="A139" s="41"/>
      <c r="B139" s="116" t="s">
        <v>234</v>
      </c>
      <c r="C139" s="42"/>
      <c r="D139" s="43">
        <f>C139*10</f>
        <v>0</v>
      </c>
      <c r="E139" s="45">
        <f>D139*0.25</f>
        <v>0</v>
      </c>
      <c r="F139" s="50">
        <f>E139*1.03*0.8/147</f>
        <v>0</v>
      </c>
      <c r="G139" s="42">
        <f t="shared" si="37"/>
        <v>0</v>
      </c>
      <c r="H139" s="45" t="s">
        <v>18</v>
      </c>
      <c r="I139" s="42">
        <f t="shared" si="38"/>
        <v>0</v>
      </c>
      <c r="J139" s="40" t="s">
        <v>19</v>
      </c>
      <c r="K139" s="40"/>
      <c r="L139" s="40"/>
      <c r="M139" s="46">
        <f>(F139*7461/3456)</f>
        <v>0</v>
      </c>
      <c r="N139" s="40"/>
      <c r="O139" s="40"/>
      <c r="P139" s="40"/>
      <c r="Q139" s="14" t="s">
        <v>18</v>
      </c>
      <c r="R139" s="40"/>
      <c r="S139" s="40" t="s">
        <v>19</v>
      </c>
      <c r="T139" s="47"/>
      <c r="U139" s="40">
        <f>E139/259*60</f>
        <v>0</v>
      </c>
      <c r="V139" s="176"/>
      <c r="W139" s="47"/>
      <c r="X139" s="40"/>
    </row>
    <row r="140" spans="1:26" s="20" customFormat="1" ht="38.25" thickBot="1" x14ac:dyDescent="0.35">
      <c r="A140" s="41"/>
      <c r="B140" s="41" t="s">
        <v>348</v>
      </c>
      <c r="C140" s="42"/>
      <c r="D140" s="43">
        <f>C140*18</f>
        <v>0</v>
      </c>
      <c r="E140" s="40">
        <f>D140*0.2</f>
        <v>0</v>
      </c>
      <c r="F140" s="290">
        <f>E140*1.0001*0.8/147</f>
        <v>0</v>
      </c>
      <c r="G140" s="42">
        <f t="shared" si="37"/>
        <v>0</v>
      </c>
      <c r="H140" s="45" t="s">
        <v>18</v>
      </c>
      <c r="I140" s="42">
        <f t="shared" si="38"/>
        <v>0</v>
      </c>
      <c r="J140" s="40" t="s">
        <v>19</v>
      </c>
      <c r="K140" s="40"/>
      <c r="L140" s="40"/>
      <c r="M140" s="291">
        <f>(F140*5653)/3456</f>
        <v>0</v>
      </c>
      <c r="N140" s="40"/>
      <c r="O140" s="40"/>
      <c r="P140" s="40"/>
      <c r="Q140" s="45" t="s">
        <v>18</v>
      </c>
      <c r="R140" s="40"/>
      <c r="S140" s="40" t="s">
        <v>19</v>
      </c>
      <c r="T140" s="47"/>
      <c r="U140" s="40">
        <f t="shared" ref="U140:U145" si="39">E140/220*60</f>
        <v>0</v>
      </c>
      <c r="V140" s="176"/>
      <c r="W140" s="47"/>
      <c r="X140" s="40"/>
    </row>
    <row r="141" spans="1:26" s="289" customFormat="1" ht="38.25" thickBot="1" x14ac:dyDescent="0.35">
      <c r="A141" s="141"/>
      <c r="B141" s="141" t="s">
        <v>349</v>
      </c>
      <c r="C141" s="282"/>
      <c r="D141" s="283">
        <f>C141*18</f>
        <v>0</v>
      </c>
      <c r="E141" s="117">
        <f>D141*0.2</f>
        <v>0</v>
      </c>
      <c r="F141" s="284">
        <f>E141*1.05*0.8/140</f>
        <v>0</v>
      </c>
      <c r="G141" s="282">
        <f t="shared" si="37"/>
        <v>0</v>
      </c>
      <c r="H141" s="285" t="s">
        <v>18</v>
      </c>
      <c r="I141" s="282">
        <f t="shared" si="38"/>
        <v>0</v>
      </c>
      <c r="J141" s="117" t="s">
        <v>19</v>
      </c>
      <c r="K141" s="117"/>
      <c r="L141" s="117"/>
      <c r="M141" s="295">
        <f>F141*5111/3456</f>
        <v>0</v>
      </c>
      <c r="N141" s="117"/>
      <c r="O141" s="117"/>
      <c r="P141" s="117"/>
      <c r="Q141" s="285" t="s">
        <v>18</v>
      </c>
      <c r="R141" s="117"/>
      <c r="S141" s="117" t="s">
        <v>19</v>
      </c>
      <c r="T141" s="287"/>
      <c r="U141" s="117">
        <f t="shared" si="39"/>
        <v>0</v>
      </c>
      <c r="V141" s="288"/>
      <c r="W141" s="287"/>
      <c r="X141" s="117"/>
    </row>
    <row r="142" spans="1:26" s="20" customFormat="1" ht="38.25" thickBot="1" x14ac:dyDescent="0.35">
      <c r="A142" s="41"/>
      <c r="B142" s="41" t="s">
        <v>354</v>
      </c>
      <c r="C142" s="42"/>
      <c r="D142" s="43">
        <f>C142*18</f>
        <v>0</v>
      </c>
      <c r="E142" s="40">
        <f>D142*0.2</f>
        <v>0</v>
      </c>
      <c r="F142" s="290">
        <f>E142*1.0001*0.8/147</f>
        <v>0</v>
      </c>
      <c r="G142" s="42">
        <f t="shared" si="37"/>
        <v>0</v>
      </c>
      <c r="H142" s="45" t="s">
        <v>18</v>
      </c>
      <c r="I142" s="42">
        <f t="shared" si="38"/>
        <v>0</v>
      </c>
      <c r="J142" s="40" t="s">
        <v>19</v>
      </c>
      <c r="K142" s="40"/>
      <c r="L142" s="40"/>
      <c r="M142" s="291">
        <f>(F142*5653)/3456</f>
        <v>0</v>
      </c>
      <c r="N142" s="40"/>
      <c r="O142" s="40"/>
      <c r="P142" s="40"/>
      <c r="Q142" s="45" t="s">
        <v>18</v>
      </c>
      <c r="R142" s="40"/>
      <c r="S142" s="40" t="s">
        <v>19</v>
      </c>
      <c r="T142" s="47"/>
      <c r="U142" s="40">
        <f t="shared" si="39"/>
        <v>0</v>
      </c>
      <c r="V142" s="176"/>
      <c r="W142" s="47"/>
      <c r="X142" s="40"/>
    </row>
    <row r="143" spans="1:26" s="20" customFormat="1" ht="38.25" thickBot="1" x14ac:dyDescent="0.35">
      <c r="A143" s="41"/>
      <c r="B143" s="41" t="s">
        <v>570</v>
      </c>
      <c r="C143" s="42"/>
      <c r="D143" s="43">
        <f>C143*18</f>
        <v>0</v>
      </c>
      <c r="E143" s="40">
        <f>D143*0.2</f>
        <v>0</v>
      </c>
      <c r="F143" s="290">
        <f>E143*1.0001*0.8/147</f>
        <v>0</v>
      </c>
      <c r="G143" s="42">
        <f t="shared" si="37"/>
        <v>0</v>
      </c>
      <c r="H143" s="45" t="s">
        <v>18</v>
      </c>
      <c r="I143" s="42">
        <f t="shared" si="38"/>
        <v>0</v>
      </c>
      <c r="J143" s="40" t="s">
        <v>19</v>
      </c>
      <c r="K143" s="40"/>
      <c r="L143" s="40"/>
      <c r="M143" s="291">
        <f>(F143*5653)/3456</f>
        <v>0</v>
      </c>
      <c r="N143" s="40"/>
      <c r="O143" s="40"/>
      <c r="P143" s="40"/>
      <c r="Q143" s="45" t="s">
        <v>18</v>
      </c>
      <c r="R143" s="40"/>
      <c r="S143" s="40" t="s">
        <v>19</v>
      </c>
      <c r="T143" s="47"/>
      <c r="U143" s="40">
        <f t="shared" si="39"/>
        <v>0</v>
      </c>
      <c r="V143" s="176"/>
      <c r="W143" s="47"/>
      <c r="X143" s="40"/>
    </row>
    <row r="144" spans="1:26" s="20" customFormat="1" ht="38.25" thickBot="1" x14ac:dyDescent="0.35">
      <c r="A144" s="41"/>
      <c r="B144" s="41" t="s">
        <v>359</v>
      </c>
      <c r="C144" s="42"/>
      <c r="D144" s="43">
        <f>C144*10</f>
        <v>0</v>
      </c>
      <c r="E144" s="40">
        <f>D144*0.36</f>
        <v>0</v>
      </c>
      <c r="F144" s="290">
        <f>E144*1.01*0.8/147</f>
        <v>0</v>
      </c>
      <c r="G144" s="42">
        <f t="shared" si="37"/>
        <v>0</v>
      </c>
      <c r="H144" s="45" t="s">
        <v>18</v>
      </c>
      <c r="I144" s="42">
        <f t="shared" si="38"/>
        <v>0</v>
      </c>
      <c r="J144" s="40" t="s">
        <v>19</v>
      </c>
      <c r="K144" s="40"/>
      <c r="L144" s="40"/>
      <c r="M144" s="291">
        <f>(F144*6125)/3456</f>
        <v>0</v>
      </c>
      <c r="N144" s="40"/>
      <c r="O144" s="40"/>
      <c r="P144" s="40"/>
      <c r="Q144" s="45" t="s">
        <v>18</v>
      </c>
      <c r="R144" s="40"/>
      <c r="S144" s="40" t="s">
        <v>19</v>
      </c>
      <c r="T144" s="47"/>
      <c r="U144" s="40">
        <f t="shared" si="39"/>
        <v>0</v>
      </c>
      <c r="V144" s="176"/>
      <c r="W144" s="47"/>
      <c r="X144" s="40"/>
    </row>
    <row r="145" spans="1:24" s="20" customFormat="1" ht="19.5" thickBot="1" x14ac:dyDescent="0.35">
      <c r="A145" s="41"/>
      <c r="B145" s="41" t="s">
        <v>290</v>
      </c>
      <c r="C145" s="42"/>
      <c r="D145" s="43">
        <f>C145*10</f>
        <v>0</v>
      </c>
      <c r="E145" s="40">
        <f>D145*0.36</f>
        <v>0</v>
      </c>
      <c r="F145" s="290">
        <f>E145*1.01*0.8/147</f>
        <v>0</v>
      </c>
      <c r="G145" s="42">
        <f t="shared" si="37"/>
        <v>0</v>
      </c>
      <c r="H145" s="45" t="s">
        <v>18</v>
      </c>
      <c r="I145" s="42">
        <f t="shared" si="38"/>
        <v>0</v>
      </c>
      <c r="J145" s="40" t="s">
        <v>19</v>
      </c>
      <c r="K145" s="40"/>
      <c r="L145" s="40"/>
      <c r="M145" s="291">
        <f>(F145*6125)/3456</f>
        <v>0</v>
      </c>
      <c r="N145" s="40"/>
      <c r="O145" s="40"/>
      <c r="P145" s="40"/>
      <c r="Q145" s="45" t="s">
        <v>18</v>
      </c>
      <c r="R145" s="40"/>
      <c r="S145" s="40" t="s">
        <v>19</v>
      </c>
      <c r="T145" s="47"/>
      <c r="U145" s="40">
        <f t="shared" si="39"/>
        <v>0</v>
      </c>
      <c r="V145" s="176"/>
      <c r="W145" s="47"/>
      <c r="X145" s="40"/>
    </row>
    <row r="146" spans="1:24" s="20" customFormat="1" ht="19.5" thickBot="1" x14ac:dyDescent="0.35">
      <c r="A146" s="41"/>
      <c r="B146" s="41" t="s">
        <v>84</v>
      </c>
      <c r="C146" s="42"/>
      <c r="D146" s="43">
        <f>C146*10</f>
        <v>0</v>
      </c>
      <c r="E146" s="45">
        <f>D146*0.25</f>
        <v>0</v>
      </c>
      <c r="F146" s="50">
        <f>E146*1.03*0.72/147</f>
        <v>0</v>
      </c>
      <c r="G146" s="42">
        <f t="shared" si="37"/>
        <v>0</v>
      </c>
      <c r="H146" s="45" t="s">
        <v>18</v>
      </c>
      <c r="I146" s="42">
        <f t="shared" si="38"/>
        <v>0</v>
      </c>
      <c r="J146" s="40" t="s">
        <v>19</v>
      </c>
      <c r="K146" s="40"/>
      <c r="L146" s="40"/>
      <c r="M146" s="46">
        <f>(F146*7177/3456)</f>
        <v>0</v>
      </c>
      <c r="N146" s="40"/>
      <c r="O146" s="40"/>
      <c r="P146" s="40"/>
      <c r="Q146" s="14" t="s">
        <v>18</v>
      </c>
      <c r="R146" s="40"/>
      <c r="S146" s="40" t="s">
        <v>19</v>
      </c>
      <c r="T146" s="47"/>
      <c r="U146" s="40">
        <f>E146/259*60</f>
        <v>0</v>
      </c>
      <c r="V146" s="176"/>
      <c r="W146" s="47"/>
      <c r="X146" s="40"/>
    </row>
    <row r="147" spans="1:24" s="20" customFormat="1" ht="38.25" thickBot="1" x14ac:dyDescent="0.35">
      <c r="A147" s="41"/>
      <c r="B147" s="41" t="s">
        <v>358</v>
      </c>
      <c r="C147" s="42"/>
      <c r="D147" s="43">
        <f>C147*10</f>
        <v>0</v>
      </c>
      <c r="E147" s="45">
        <f>D147*0.25</f>
        <v>0</v>
      </c>
      <c r="F147" s="50">
        <f>E147*1.03*0.72/147</f>
        <v>0</v>
      </c>
      <c r="G147" s="42">
        <f t="shared" si="37"/>
        <v>0</v>
      </c>
      <c r="H147" s="45" t="s">
        <v>18</v>
      </c>
      <c r="I147" s="42">
        <f t="shared" si="38"/>
        <v>0</v>
      </c>
      <c r="J147" s="40" t="s">
        <v>19</v>
      </c>
      <c r="K147" s="40"/>
      <c r="L147" s="40"/>
      <c r="M147" s="46">
        <f>(F147*8448/3456)</f>
        <v>0</v>
      </c>
      <c r="N147" s="40"/>
      <c r="O147" s="40"/>
      <c r="P147" s="40"/>
      <c r="Q147" s="14" t="s">
        <v>18</v>
      </c>
      <c r="R147" s="40"/>
      <c r="S147" s="40" t="s">
        <v>19</v>
      </c>
      <c r="T147" s="47"/>
      <c r="U147" s="40">
        <f>E147/259*60</f>
        <v>0</v>
      </c>
      <c r="V147" s="176"/>
      <c r="W147" s="47"/>
      <c r="X147" s="40"/>
    </row>
    <row r="148" spans="1:24" s="20" customFormat="1" ht="19.5" thickBot="1" x14ac:dyDescent="0.35">
      <c r="A148" s="53"/>
      <c r="B148" s="53" t="s">
        <v>91</v>
      </c>
      <c r="C148" s="42"/>
      <c r="D148" s="43"/>
      <c r="E148" s="45">
        <f>C148*2.5</f>
        <v>0</v>
      </c>
      <c r="F148" s="290">
        <f>E148*1.05*0.72/147</f>
        <v>0</v>
      </c>
      <c r="G148" s="42">
        <f t="shared" si="37"/>
        <v>0</v>
      </c>
      <c r="H148" s="45" t="s">
        <v>18</v>
      </c>
      <c r="I148" s="42">
        <f t="shared" si="38"/>
        <v>0</v>
      </c>
      <c r="J148" s="40" t="s">
        <v>19</v>
      </c>
      <c r="K148" s="40"/>
      <c r="L148" s="40"/>
      <c r="M148" s="291">
        <f>(F148*5989/3456)</f>
        <v>0</v>
      </c>
      <c r="N148" s="40"/>
      <c r="O148" s="40"/>
      <c r="P148" s="40"/>
      <c r="Q148" s="14" t="s">
        <v>18</v>
      </c>
      <c r="R148" s="40"/>
      <c r="S148" s="40" t="s">
        <v>19</v>
      </c>
      <c r="T148" s="47"/>
      <c r="U148" s="40">
        <f>E148/324*60</f>
        <v>0</v>
      </c>
      <c r="V148" s="176"/>
      <c r="W148" s="47"/>
      <c r="X148" s="40"/>
    </row>
    <row r="149" spans="1:24" s="20" customFormat="1" ht="38.25" thickBot="1" x14ac:dyDescent="0.35">
      <c r="A149" s="53"/>
      <c r="B149" s="41" t="s">
        <v>332</v>
      </c>
      <c r="C149" s="42"/>
      <c r="D149" s="43"/>
      <c r="E149" s="45">
        <f>C149*2.5</f>
        <v>0</v>
      </c>
      <c r="F149" s="290">
        <f>E149*1.05*0.72/147</f>
        <v>0</v>
      </c>
      <c r="G149" s="42">
        <f t="shared" si="37"/>
        <v>0</v>
      </c>
      <c r="H149" s="45" t="s">
        <v>18</v>
      </c>
      <c r="I149" s="42">
        <f t="shared" si="38"/>
        <v>0</v>
      </c>
      <c r="J149" s="40" t="s">
        <v>19</v>
      </c>
      <c r="K149" s="40"/>
      <c r="L149" s="40"/>
      <c r="M149" s="291">
        <f>(F149*5989/3456)</f>
        <v>0</v>
      </c>
      <c r="N149" s="40"/>
      <c r="O149" s="40"/>
      <c r="P149" s="40"/>
      <c r="Q149" s="14" t="s">
        <v>18</v>
      </c>
      <c r="R149" s="40"/>
      <c r="S149" s="40" t="s">
        <v>19</v>
      </c>
      <c r="T149" s="47"/>
      <c r="U149" s="40">
        <f>E149/324*60</f>
        <v>0</v>
      </c>
      <c r="V149" s="176"/>
      <c r="W149" s="47"/>
      <c r="X149" s="40"/>
    </row>
    <row r="150" spans="1:24" s="20" customFormat="1" ht="57" thickBot="1" x14ac:dyDescent="0.35">
      <c r="A150" s="41"/>
      <c r="B150" s="41" t="s">
        <v>333</v>
      </c>
      <c r="C150" s="42"/>
      <c r="D150" s="43"/>
      <c r="E150" s="45">
        <f>C150*4</f>
        <v>0</v>
      </c>
      <c r="F150" s="290">
        <f>E150*1.05*0.72/147</f>
        <v>0</v>
      </c>
      <c r="G150" s="42">
        <f t="shared" si="37"/>
        <v>0</v>
      </c>
      <c r="H150" s="45" t="s">
        <v>18</v>
      </c>
      <c r="I150" s="42">
        <f t="shared" si="38"/>
        <v>0</v>
      </c>
      <c r="J150" s="40" t="s">
        <v>19</v>
      </c>
      <c r="K150" s="40"/>
      <c r="L150" s="40"/>
      <c r="M150" s="291">
        <f>(F150*5989/3456)</f>
        <v>0</v>
      </c>
      <c r="N150" s="40"/>
      <c r="O150" s="40"/>
      <c r="P150" s="40"/>
      <c r="Q150" s="14" t="s">
        <v>18</v>
      </c>
      <c r="R150" s="40"/>
      <c r="S150" s="40" t="s">
        <v>19</v>
      </c>
      <c r="T150" s="47"/>
      <c r="U150" s="40">
        <f>E150/324*60</f>
        <v>0</v>
      </c>
      <c r="V150" s="176"/>
      <c r="W150" s="47"/>
      <c r="X150" s="40"/>
    </row>
    <row r="151" spans="1:24" s="20" customFormat="1" ht="38.25" thickBot="1" x14ac:dyDescent="0.35">
      <c r="A151" s="41"/>
      <c r="B151" s="41" t="s">
        <v>364</v>
      </c>
      <c r="C151" s="42"/>
      <c r="D151" s="43">
        <f>C151*20</f>
        <v>0</v>
      </c>
      <c r="E151" s="45">
        <f>D151*0.25</f>
        <v>0</v>
      </c>
      <c r="F151" s="290">
        <f>E151*1.055*0.72/147</f>
        <v>0</v>
      </c>
      <c r="G151" s="42">
        <f t="shared" si="37"/>
        <v>0</v>
      </c>
      <c r="H151" s="45" t="s">
        <v>18</v>
      </c>
      <c r="I151" s="42">
        <f t="shared" si="38"/>
        <v>0</v>
      </c>
      <c r="J151" s="40" t="s">
        <v>19</v>
      </c>
      <c r="K151" s="40"/>
      <c r="L151" s="40"/>
      <c r="M151" s="291">
        <f>(F151*6313/3456)</f>
        <v>0</v>
      </c>
      <c r="N151" s="40"/>
      <c r="O151" s="40"/>
      <c r="P151" s="40"/>
      <c r="Q151" s="14" t="s">
        <v>18</v>
      </c>
      <c r="R151" s="40"/>
      <c r="S151" s="40" t="s">
        <v>19</v>
      </c>
      <c r="T151" s="47"/>
      <c r="U151" s="40">
        <f>E151/259*60</f>
        <v>0</v>
      </c>
      <c r="V151" s="176"/>
      <c r="W151" s="47"/>
      <c r="X151" s="40"/>
    </row>
    <row r="152" spans="1:24" s="20" customFormat="1" ht="38.25" thickBot="1" x14ac:dyDescent="0.35">
      <c r="A152" s="41"/>
      <c r="B152" s="41" t="s">
        <v>363</v>
      </c>
      <c r="C152" s="42"/>
      <c r="D152" s="43">
        <f>C152*20</f>
        <v>0</v>
      </c>
      <c r="E152" s="45">
        <f>D152*0.25</f>
        <v>0</v>
      </c>
      <c r="F152" s="290">
        <f>E152*1.055*0.72/147</f>
        <v>0</v>
      </c>
      <c r="G152" s="42">
        <f t="shared" si="37"/>
        <v>0</v>
      </c>
      <c r="H152" s="45" t="s">
        <v>18</v>
      </c>
      <c r="I152" s="42">
        <f t="shared" si="38"/>
        <v>0</v>
      </c>
      <c r="J152" s="40" t="s">
        <v>19</v>
      </c>
      <c r="K152" s="40"/>
      <c r="L152" s="40"/>
      <c r="M152" s="291">
        <f>(F152*6313/3456)</f>
        <v>0</v>
      </c>
      <c r="N152" s="40"/>
      <c r="O152" s="40"/>
      <c r="P152" s="40"/>
      <c r="Q152" s="14" t="s">
        <v>18</v>
      </c>
      <c r="R152" s="40"/>
      <c r="S152" s="40" t="s">
        <v>19</v>
      </c>
      <c r="T152" s="47"/>
      <c r="U152" s="40">
        <f>E152/259*60</f>
        <v>0</v>
      </c>
      <c r="V152" s="176"/>
      <c r="W152" s="47"/>
      <c r="X152" s="40"/>
    </row>
    <row r="153" spans="1:24" s="289" customFormat="1" ht="38.25" thickBot="1" x14ac:dyDescent="0.35">
      <c r="A153" s="141"/>
      <c r="B153" s="141" t="s">
        <v>605</v>
      </c>
      <c r="C153" s="282"/>
      <c r="D153" s="283">
        <f>C153*20</f>
        <v>0</v>
      </c>
      <c r="E153" s="117">
        <f>D153*0.25</f>
        <v>0</v>
      </c>
      <c r="F153" s="284">
        <f>E153*1.039*0.8/147</f>
        <v>0</v>
      </c>
      <c r="G153" s="282">
        <f>INT(M153)</f>
        <v>0</v>
      </c>
      <c r="H153" s="285" t="s">
        <v>18</v>
      </c>
      <c r="I153" s="282">
        <f>(M153-G153)*64</f>
        <v>0</v>
      </c>
      <c r="J153" s="117" t="s">
        <v>19</v>
      </c>
      <c r="K153" s="117"/>
      <c r="L153" s="117"/>
      <c r="M153" s="295">
        <f>(F153*5764)/3456</f>
        <v>0</v>
      </c>
      <c r="N153" s="117"/>
      <c r="O153" s="117"/>
      <c r="P153" s="117"/>
      <c r="Q153" s="285" t="s">
        <v>18</v>
      </c>
      <c r="R153" s="117"/>
      <c r="S153" s="117" t="s">
        <v>19</v>
      </c>
      <c r="T153" s="287"/>
      <c r="U153" s="117">
        <f>E153/220*60</f>
        <v>0</v>
      </c>
      <c r="V153" s="288"/>
      <c r="W153" s="287"/>
      <c r="X153" s="117"/>
    </row>
    <row r="154" spans="1:24" s="289" customFormat="1" ht="19.5" thickBot="1" x14ac:dyDescent="0.35">
      <c r="A154" s="141"/>
      <c r="B154" s="141" t="s">
        <v>606</v>
      </c>
      <c r="C154" s="282"/>
      <c r="D154" s="283">
        <f>C154*20</f>
        <v>0</v>
      </c>
      <c r="E154" s="117">
        <f>D154*0.25</f>
        <v>0</v>
      </c>
      <c r="F154" s="284">
        <f>E154*1.039*0.8/147</f>
        <v>0</v>
      </c>
      <c r="G154" s="282">
        <f>INT(M154)</f>
        <v>0</v>
      </c>
      <c r="H154" s="285" t="s">
        <v>18</v>
      </c>
      <c r="I154" s="282">
        <f>(M154-G154)*64</f>
        <v>0</v>
      </c>
      <c r="J154" s="117" t="s">
        <v>19</v>
      </c>
      <c r="K154" s="117"/>
      <c r="L154" s="117"/>
      <c r="M154" s="295">
        <f>(F154*5764)/3456</f>
        <v>0</v>
      </c>
      <c r="N154" s="117"/>
      <c r="O154" s="117"/>
      <c r="P154" s="117"/>
      <c r="Q154" s="285" t="s">
        <v>18</v>
      </c>
      <c r="R154" s="117"/>
      <c r="S154" s="117" t="s">
        <v>19</v>
      </c>
      <c r="T154" s="287"/>
      <c r="U154" s="117">
        <f>E154/220*60</f>
        <v>0</v>
      </c>
      <c r="V154" s="288"/>
      <c r="W154" s="287"/>
      <c r="X154" s="117"/>
    </row>
    <row r="155" spans="1:24" s="20" customFormat="1" ht="19.5" thickBot="1" x14ac:dyDescent="0.35">
      <c r="A155" s="41"/>
      <c r="B155" s="41" t="s">
        <v>89</v>
      </c>
      <c r="C155" s="42"/>
      <c r="D155" s="43">
        <f>C155*144</f>
        <v>0</v>
      </c>
      <c r="E155" s="45">
        <f>D155*0.025</f>
        <v>0</v>
      </c>
      <c r="F155" s="290">
        <f>E155*1.001*0.72/147</f>
        <v>0</v>
      </c>
      <c r="G155" s="42">
        <f t="shared" si="37"/>
        <v>0</v>
      </c>
      <c r="H155" s="45" t="s">
        <v>18</v>
      </c>
      <c r="I155" s="42">
        <f t="shared" si="38"/>
        <v>0</v>
      </c>
      <c r="J155" s="40" t="s">
        <v>19</v>
      </c>
      <c r="K155" s="40"/>
      <c r="L155" s="40"/>
      <c r="M155" s="291">
        <f>(F155*8292/3456)</f>
        <v>0</v>
      </c>
      <c r="N155" s="40"/>
      <c r="O155" s="40"/>
      <c r="P155" s="40"/>
      <c r="Q155" s="14" t="s">
        <v>18</v>
      </c>
      <c r="R155" s="40"/>
      <c r="S155" s="40" t="s">
        <v>19</v>
      </c>
      <c r="T155" s="47"/>
      <c r="U155" s="40">
        <f>E155/259*60</f>
        <v>0</v>
      </c>
      <c r="V155" s="176"/>
      <c r="W155" s="47"/>
      <c r="X155" s="40"/>
    </row>
    <row r="156" spans="1:24" s="20" customFormat="1" ht="38.25" thickBot="1" x14ac:dyDescent="0.35">
      <c r="A156" s="41"/>
      <c r="B156" s="41" t="s">
        <v>356</v>
      </c>
      <c r="C156" s="42"/>
      <c r="D156" s="43">
        <f>C156*10</f>
        <v>0</v>
      </c>
      <c r="E156" s="45">
        <f>D156*0.2</f>
        <v>0</v>
      </c>
      <c r="F156" s="290">
        <f>E156*1.001*0.72/147</f>
        <v>0</v>
      </c>
      <c r="G156" s="42">
        <f t="shared" si="37"/>
        <v>0</v>
      </c>
      <c r="H156" s="45" t="s">
        <v>18</v>
      </c>
      <c r="I156" s="42">
        <f t="shared" si="38"/>
        <v>0</v>
      </c>
      <c r="J156" s="40" t="s">
        <v>19</v>
      </c>
      <c r="K156" s="40"/>
      <c r="L156" s="40"/>
      <c r="M156" s="291">
        <f>(F156*8335/3456)</f>
        <v>0</v>
      </c>
      <c r="N156" s="40"/>
      <c r="O156" s="40"/>
      <c r="P156" s="40"/>
      <c r="Q156" s="14" t="s">
        <v>18</v>
      </c>
      <c r="R156" s="40"/>
      <c r="S156" s="40" t="s">
        <v>19</v>
      </c>
      <c r="T156" s="47"/>
      <c r="U156" s="40">
        <f>E156/259*60</f>
        <v>0</v>
      </c>
      <c r="V156" s="176"/>
      <c r="W156" s="47"/>
      <c r="X156" s="40"/>
    </row>
    <row r="157" spans="1:24" s="20" customFormat="1" ht="38.25" thickBot="1" x14ac:dyDescent="0.35">
      <c r="A157" s="41"/>
      <c r="B157" s="41" t="s">
        <v>357</v>
      </c>
      <c r="C157" s="42"/>
      <c r="D157" s="43">
        <f>C157*10</f>
        <v>0</v>
      </c>
      <c r="E157" s="45">
        <f>D157*0.2</f>
        <v>0</v>
      </c>
      <c r="F157" s="290">
        <f>E157*1.001*0.72/147</f>
        <v>0</v>
      </c>
      <c r="G157" s="42">
        <f t="shared" si="37"/>
        <v>0</v>
      </c>
      <c r="H157" s="45" t="s">
        <v>18</v>
      </c>
      <c r="I157" s="42">
        <f t="shared" si="38"/>
        <v>0</v>
      </c>
      <c r="J157" s="40" t="s">
        <v>19</v>
      </c>
      <c r="K157" s="40"/>
      <c r="L157" s="40"/>
      <c r="M157" s="291">
        <f>(F157*8400/3456)</f>
        <v>0</v>
      </c>
      <c r="N157" s="40"/>
      <c r="O157" s="40"/>
      <c r="P157" s="40"/>
      <c r="Q157" s="14" t="s">
        <v>18</v>
      </c>
      <c r="R157" s="40"/>
      <c r="S157" s="40" t="s">
        <v>19</v>
      </c>
      <c r="T157" s="47"/>
      <c r="U157" s="40">
        <f>E157/259*60</f>
        <v>0</v>
      </c>
      <c r="V157" s="176"/>
      <c r="W157" s="47"/>
      <c r="X157" s="40"/>
    </row>
    <row r="158" spans="1:24" s="120" customFormat="1" ht="38.25" thickBot="1" x14ac:dyDescent="0.35">
      <c r="A158" s="146"/>
      <c r="B158" s="146" t="s">
        <v>328</v>
      </c>
      <c r="C158" s="147"/>
      <c r="D158" s="148"/>
      <c r="E158" s="151">
        <f>C158*2.5</f>
        <v>0</v>
      </c>
      <c r="F158" s="292">
        <f>E158*1.03*0.8/147</f>
        <v>0</v>
      </c>
      <c r="G158" s="147">
        <f t="shared" si="37"/>
        <v>0</v>
      </c>
      <c r="H158" s="151" t="s">
        <v>18</v>
      </c>
      <c r="I158" s="147">
        <f t="shared" si="38"/>
        <v>0</v>
      </c>
      <c r="J158" s="149" t="s">
        <v>19</v>
      </c>
      <c r="K158" s="149"/>
      <c r="L158" s="149"/>
      <c r="M158" s="152">
        <f>(F158*5444/3456)</f>
        <v>0</v>
      </c>
      <c r="N158" s="149"/>
      <c r="O158" s="149"/>
      <c r="P158" s="149"/>
      <c r="Q158" s="145" t="s">
        <v>18</v>
      </c>
      <c r="R158" s="149"/>
      <c r="S158" s="149" t="s">
        <v>19</v>
      </c>
      <c r="T158" s="153"/>
      <c r="U158" s="149">
        <f>E158/324*60</f>
        <v>0</v>
      </c>
      <c r="V158" s="176"/>
      <c r="W158" s="153"/>
      <c r="X158" s="149"/>
    </row>
    <row r="159" spans="1:24" s="120" customFormat="1" ht="57" thickBot="1" x14ac:dyDescent="0.35">
      <c r="A159" s="146"/>
      <c r="B159" s="146" t="s">
        <v>329</v>
      </c>
      <c r="C159" s="147"/>
      <c r="D159" s="148"/>
      <c r="E159" s="151">
        <f>C159*4</f>
        <v>0</v>
      </c>
      <c r="F159" s="290">
        <f>E159*1.05*0.72/147</f>
        <v>0</v>
      </c>
      <c r="G159" s="147">
        <f t="shared" si="37"/>
        <v>0</v>
      </c>
      <c r="H159" s="151" t="s">
        <v>18</v>
      </c>
      <c r="I159" s="147">
        <f t="shared" si="38"/>
        <v>0</v>
      </c>
      <c r="J159" s="149" t="s">
        <v>19</v>
      </c>
      <c r="K159" s="149"/>
      <c r="L159" s="149"/>
      <c r="M159" s="291">
        <f>(F159*5989/3456)</f>
        <v>0</v>
      </c>
      <c r="N159" s="149"/>
      <c r="O159" s="149"/>
      <c r="P159" s="149"/>
      <c r="Q159" s="145" t="s">
        <v>18</v>
      </c>
      <c r="R159" s="149"/>
      <c r="S159" s="149" t="s">
        <v>19</v>
      </c>
      <c r="T159" s="153"/>
      <c r="U159" s="149">
        <f>E159/324*60</f>
        <v>0</v>
      </c>
      <c r="V159" s="176"/>
      <c r="W159" s="153"/>
      <c r="X159" s="149"/>
    </row>
    <row r="160" spans="1:24" s="20" customFormat="1" ht="38.25" thickBot="1" x14ac:dyDescent="0.35">
      <c r="A160" s="41"/>
      <c r="B160" s="41" t="s">
        <v>355</v>
      </c>
      <c r="C160" s="42"/>
      <c r="D160" s="43">
        <f>C160*10</f>
        <v>0</v>
      </c>
      <c r="E160" s="40">
        <f>D160*0.2</f>
        <v>0</v>
      </c>
      <c r="F160" s="290">
        <f>E160*1.001*0.8/147</f>
        <v>0</v>
      </c>
      <c r="G160" s="42">
        <f t="shared" si="37"/>
        <v>0</v>
      </c>
      <c r="H160" s="45" t="s">
        <v>18</v>
      </c>
      <c r="I160" s="42">
        <f t="shared" si="38"/>
        <v>0</v>
      </c>
      <c r="J160" s="40" t="s">
        <v>19</v>
      </c>
      <c r="K160" s="40"/>
      <c r="L160" s="40"/>
      <c r="M160" s="291">
        <f>(F160*9303)/3456</f>
        <v>0</v>
      </c>
      <c r="N160" s="40"/>
      <c r="O160" s="40"/>
      <c r="P160" s="40"/>
      <c r="Q160" s="14" t="s">
        <v>18</v>
      </c>
      <c r="R160" s="40"/>
      <c r="S160" s="40" t="s">
        <v>19</v>
      </c>
      <c r="T160" s="47"/>
      <c r="U160" s="40">
        <f>E160/220*60</f>
        <v>0</v>
      </c>
      <c r="V160" s="176"/>
      <c r="W160" s="47"/>
      <c r="X160" s="40"/>
    </row>
    <row r="161" spans="1:24" s="20" customFormat="1" ht="38.25" thickBot="1" x14ac:dyDescent="0.35">
      <c r="A161" s="41"/>
      <c r="B161" s="41" t="s">
        <v>354</v>
      </c>
      <c r="C161" s="42"/>
      <c r="D161" s="43">
        <f>C161*18</f>
        <v>0</v>
      </c>
      <c r="E161" s="40">
        <f>D161*0.2</f>
        <v>0</v>
      </c>
      <c r="F161" s="290">
        <f>E161*1.0001*0.8/147</f>
        <v>0</v>
      </c>
      <c r="G161" s="42">
        <f t="shared" si="37"/>
        <v>0</v>
      </c>
      <c r="H161" s="45" t="s">
        <v>18</v>
      </c>
      <c r="I161" s="42">
        <f t="shared" si="38"/>
        <v>0</v>
      </c>
      <c r="J161" s="40" t="s">
        <v>19</v>
      </c>
      <c r="K161" s="40"/>
      <c r="L161" s="40"/>
      <c r="M161" s="291">
        <f>(F161*5653)/3456</f>
        <v>0</v>
      </c>
      <c r="N161" s="40"/>
      <c r="O161" s="40"/>
      <c r="P161" s="40"/>
      <c r="Q161" s="45" t="s">
        <v>18</v>
      </c>
      <c r="R161" s="40"/>
      <c r="S161" s="40" t="s">
        <v>19</v>
      </c>
      <c r="T161" s="47"/>
      <c r="U161" s="40">
        <f>E161/220*60</f>
        <v>0</v>
      </c>
      <c r="V161" s="176"/>
      <c r="W161" s="47"/>
      <c r="X161" s="40"/>
    </row>
    <row r="162" spans="1:24" s="20" customFormat="1" ht="57" thickBot="1" x14ac:dyDescent="0.35">
      <c r="A162" s="41"/>
      <c r="B162" s="41" t="s">
        <v>323</v>
      </c>
      <c r="C162" s="42"/>
      <c r="D162" s="43"/>
      <c r="E162" s="45">
        <f>C162*4</f>
        <v>0</v>
      </c>
      <c r="F162" s="290">
        <f>E162*1.05*0.72/147</f>
        <v>0</v>
      </c>
      <c r="G162" s="42">
        <f t="shared" si="37"/>
        <v>0</v>
      </c>
      <c r="H162" s="45" t="s">
        <v>18</v>
      </c>
      <c r="I162" s="42">
        <f t="shared" si="38"/>
        <v>0</v>
      </c>
      <c r="J162" s="40" t="s">
        <v>19</v>
      </c>
      <c r="K162" s="40"/>
      <c r="L162" s="40"/>
      <c r="M162" s="291">
        <f>(F162*5989/3456)</f>
        <v>0</v>
      </c>
      <c r="N162" s="40"/>
      <c r="O162" s="40"/>
      <c r="P162" s="40"/>
      <c r="Q162" s="14" t="s">
        <v>18</v>
      </c>
      <c r="R162" s="40"/>
      <c r="S162" s="40" t="s">
        <v>19</v>
      </c>
      <c r="T162" s="47"/>
      <c r="U162" s="40">
        <f>E162/324*60</f>
        <v>0</v>
      </c>
      <c r="V162" s="176"/>
      <c r="W162" s="47"/>
      <c r="X162" s="40"/>
    </row>
    <row r="163" spans="1:24" s="20" customFormat="1" ht="38.25" thickBot="1" x14ac:dyDescent="0.35">
      <c r="A163" s="41"/>
      <c r="B163" s="41" t="s">
        <v>570</v>
      </c>
      <c r="C163" s="42"/>
      <c r="D163" s="43">
        <f>C163*18</f>
        <v>0</v>
      </c>
      <c r="E163" s="40">
        <f>D163*0.2</f>
        <v>0</v>
      </c>
      <c r="F163" s="290">
        <f>E163*1.0001*0.8/147</f>
        <v>0</v>
      </c>
      <c r="G163" s="42">
        <f t="shared" si="37"/>
        <v>0</v>
      </c>
      <c r="H163" s="45" t="s">
        <v>18</v>
      </c>
      <c r="I163" s="42">
        <f t="shared" si="38"/>
        <v>0</v>
      </c>
      <c r="J163" s="40" t="s">
        <v>19</v>
      </c>
      <c r="K163" s="40"/>
      <c r="L163" s="40"/>
      <c r="M163" s="291">
        <f>(F163*5653)/3456</f>
        <v>0</v>
      </c>
      <c r="N163" s="40"/>
      <c r="O163" s="40"/>
      <c r="P163" s="40"/>
      <c r="Q163" s="45" t="s">
        <v>18</v>
      </c>
      <c r="R163" s="40"/>
      <c r="S163" s="40" t="s">
        <v>19</v>
      </c>
      <c r="T163" s="47"/>
      <c r="U163" s="40">
        <f>E163/220*60</f>
        <v>0</v>
      </c>
      <c r="V163" s="176"/>
      <c r="W163" s="47"/>
      <c r="X163" s="40"/>
    </row>
    <row r="164" spans="1:24" s="20" customFormat="1" ht="38.25" thickBot="1" x14ac:dyDescent="0.35">
      <c r="A164" s="41"/>
      <c r="B164" s="41" t="s">
        <v>359</v>
      </c>
      <c r="C164" s="42"/>
      <c r="D164" s="43">
        <f>C164*10</f>
        <v>0</v>
      </c>
      <c r="E164" s="40">
        <f>D164*0.36</f>
        <v>0</v>
      </c>
      <c r="F164" s="290">
        <f>E164*1.01*0.8/147</f>
        <v>0</v>
      </c>
      <c r="G164" s="42">
        <f t="shared" si="37"/>
        <v>0</v>
      </c>
      <c r="H164" s="45" t="s">
        <v>18</v>
      </c>
      <c r="I164" s="42">
        <f t="shared" si="38"/>
        <v>0</v>
      </c>
      <c r="J164" s="40" t="s">
        <v>19</v>
      </c>
      <c r="K164" s="40"/>
      <c r="L164" s="40"/>
      <c r="M164" s="291">
        <f>(F164*6125)/3456</f>
        <v>0</v>
      </c>
      <c r="N164" s="40"/>
      <c r="O164" s="40"/>
      <c r="P164" s="40"/>
      <c r="Q164" s="45" t="s">
        <v>18</v>
      </c>
      <c r="R164" s="40"/>
      <c r="S164" s="40" t="s">
        <v>19</v>
      </c>
      <c r="T164" s="47"/>
      <c r="U164" s="40">
        <f>E164/220*60</f>
        <v>0</v>
      </c>
      <c r="V164" s="176"/>
      <c r="W164" s="47"/>
      <c r="X164" s="40"/>
    </row>
    <row r="165" spans="1:24" s="20" customFormat="1" ht="38.25" thickBot="1" x14ac:dyDescent="0.35">
      <c r="A165" s="41"/>
      <c r="B165" s="41" t="s">
        <v>325</v>
      </c>
      <c r="C165" s="42"/>
      <c r="D165" s="43"/>
      <c r="E165" s="45">
        <f>C165*2.5</f>
        <v>0</v>
      </c>
      <c r="F165" s="290">
        <f>E165*1.05*0.72/147</f>
        <v>0</v>
      </c>
      <c r="G165" s="42">
        <f t="shared" si="37"/>
        <v>0</v>
      </c>
      <c r="H165" s="45" t="s">
        <v>18</v>
      </c>
      <c r="I165" s="42">
        <f t="shared" si="38"/>
        <v>0</v>
      </c>
      <c r="J165" s="40" t="s">
        <v>19</v>
      </c>
      <c r="K165" s="40"/>
      <c r="L165" s="40"/>
      <c r="M165" s="291">
        <f>(F165*5989/3456)</f>
        <v>0</v>
      </c>
      <c r="N165" s="40"/>
      <c r="O165" s="40"/>
      <c r="P165" s="40"/>
      <c r="Q165" s="14" t="s">
        <v>18</v>
      </c>
      <c r="R165" s="40"/>
      <c r="S165" s="40" t="s">
        <v>19</v>
      </c>
      <c r="T165" s="47"/>
      <c r="U165" s="40">
        <f>E165/324*60</f>
        <v>0</v>
      </c>
      <c r="V165" s="176"/>
      <c r="W165" s="47"/>
      <c r="X165" s="40"/>
    </row>
    <row r="166" spans="1:24" s="20" customFormat="1" ht="38.25" thickBot="1" x14ac:dyDescent="0.35">
      <c r="A166" s="41"/>
      <c r="B166" s="41" t="s">
        <v>348</v>
      </c>
      <c r="C166" s="42"/>
      <c r="D166" s="43">
        <f>C166*18</f>
        <v>0</v>
      </c>
      <c r="E166" s="40">
        <f>D166*0.2</f>
        <v>0</v>
      </c>
      <c r="F166" s="290">
        <f>E166*1.0001*0.8/147</f>
        <v>0</v>
      </c>
      <c r="G166" s="42">
        <f t="shared" si="37"/>
        <v>0</v>
      </c>
      <c r="H166" s="45" t="s">
        <v>18</v>
      </c>
      <c r="I166" s="42">
        <f t="shared" si="38"/>
        <v>0</v>
      </c>
      <c r="J166" s="40" t="s">
        <v>19</v>
      </c>
      <c r="K166" s="40"/>
      <c r="L166" s="40"/>
      <c r="M166" s="291">
        <f>(F166*5653)/3456</f>
        <v>0</v>
      </c>
      <c r="N166" s="40"/>
      <c r="O166" s="40"/>
      <c r="P166" s="40"/>
      <c r="Q166" s="45" t="s">
        <v>18</v>
      </c>
      <c r="R166" s="40"/>
      <c r="S166" s="40" t="s">
        <v>19</v>
      </c>
      <c r="T166" s="47"/>
      <c r="U166" s="40">
        <f>E166/220*60</f>
        <v>0</v>
      </c>
      <c r="V166" s="176"/>
      <c r="W166" s="47"/>
      <c r="X166" s="40"/>
    </row>
    <row r="167" spans="1:24" s="20" customFormat="1" ht="38.25" thickBot="1" x14ac:dyDescent="0.35">
      <c r="A167" s="41"/>
      <c r="B167" s="41" t="s">
        <v>324</v>
      </c>
      <c r="C167" s="42"/>
      <c r="D167" s="43"/>
      <c r="E167" s="45">
        <f>C167*2.5</f>
        <v>0</v>
      </c>
      <c r="F167" s="290">
        <f>E167*1.05*0.72/147</f>
        <v>0</v>
      </c>
      <c r="G167" s="42">
        <f t="shared" si="37"/>
        <v>0</v>
      </c>
      <c r="H167" s="45" t="s">
        <v>18</v>
      </c>
      <c r="I167" s="42">
        <f t="shared" si="38"/>
        <v>0</v>
      </c>
      <c r="J167" s="40" t="s">
        <v>19</v>
      </c>
      <c r="K167" s="40"/>
      <c r="L167" s="40"/>
      <c r="M167" s="291">
        <f>(F167*5989/3456)</f>
        <v>0</v>
      </c>
      <c r="N167" s="40"/>
      <c r="O167" s="40"/>
      <c r="P167" s="40"/>
      <c r="Q167" s="14" t="s">
        <v>18</v>
      </c>
      <c r="R167" s="40"/>
      <c r="S167" s="40" t="s">
        <v>19</v>
      </c>
      <c r="T167" s="47"/>
      <c r="U167" s="40">
        <f>E167/324*60</f>
        <v>0</v>
      </c>
      <c r="V167" s="176"/>
      <c r="W167" s="47"/>
      <c r="X167" s="40"/>
    </row>
    <row r="168" spans="1:24" s="120" customFormat="1" ht="38.25" thickBot="1" x14ac:dyDescent="0.35">
      <c r="A168" s="146"/>
      <c r="B168" s="146" t="s">
        <v>326</v>
      </c>
      <c r="C168" s="147"/>
      <c r="D168" s="148">
        <f>C168*144</f>
        <v>0</v>
      </c>
      <c r="E168" s="149">
        <f>D168*0.025</f>
        <v>0</v>
      </c>
      <c r="F168" s="292">
        <f>E168*1.0001*0.8/161.7</f>
        <v>0</v>
      </c>
      <c r="G168" s="147">
        <f t="shared" si="37"/>
        <v>0</v>
      </c>
      <c r="H168" s="151" t="s">
        <v>18</v>
      </c>
      <c r="I168" s="147">
        <f t="shared" si="38"/>
        <v>0</v>
      </c>
      <c r="J168" s="149" t="s">
        <v>19</v>
      </c>
      <c r="K168" s="149"/>
      <c r="L168" s="149"/>
      <c r="M168" s="293">
        <f>(F168*8208)/3456</f>
        <v>0</v>
      </c>
      <c r="N168" s="149"/>
      <c r="O168" s="149"/>
      <c r="P168" s="149"/>
      <c r="Q168" s="145" t="s">
        <v>18</v>
      </c>
      <c r="R168" s="149"/>
      <c r="S168" s="149" t="s">
        <v>19</v>
      </c>
      <c r="T168" s="153"/>
      <c r="U168" s="149">
        <f>E168/220*60</f>
        <v>0</v>
      </c>
      <c r="V168" s="176"/>
      <c r="W168" s="153"/>
      <c r="X168" s="149"/>
    </row>
    <row r="169" spans="1:24" s="20" customFormat="1" ht="19.5" thickBot="1" x14ac:dyDescent="0.35">
      <c r="A169" s="41"/>
      <c r="B169" s="41" t="s">
        <v>290</v>
      </c>
      <c r="C169" s="42"/>
      <c r="D169" s="43">
        <f>C169*10</f>
        <v>0</v>
      </c>
      <c r="E169" s="40">
        <f>D169*0.36</f>
        <v>0</v>
      </c>
      <c r="F169" s="290">
        <f>E169*1.01*0.8/147</f>
        <v>0</v>
      </c>
      <c r="G169" s="42">
        <f t="shared" si="37"/>
        <v>0</v>
      </c>
      <c r="H169" s="45" t="s">
        <v>18</v>
      </c>
      <c r="I169" s="42">
        <f t="shared" si="38"/>
        <v>0</v>
      </c>
      <c r="J169" s="40" t="s">
        <v>19</v>
      </c>
      <c r="K169" s="40"/>
      <c r="L169" s="40"/>
      <c r="M169" s="291">
        <f>(F169*6125)/3456</f>
        <v>0</v>
      </c>
      <c r="N169" s="40"/>
      <c r="O169" s="40"/>
      <c r="P169" s="40"/>
      <c r="Q169" s="45" t="s">
        <v>18</v>
      </c>
      <c r="R169" s="40"/>
      <c r="S169" s="40" t="s">
        <v>19</v>
      </c>
      <c r="T169" s="47"/>
      <c r="U169" s="40">
        <f>E169/220*60</f>
        <v>0</v>
      </c>
      <c r="V169" s="176"/>
      <c r="W169" s="47"/>
      <c r="X169" s="40"/>
    </row>
    <row r="170" spans="1:24" s="20" customFormat="1" ht="57" thickBot="1" x14ac:dyDescent="0.35">
      <c r="A170" s="41"/>
      <c r="B170" s="41" t="s">
        <v>597</v>
      </c>
      <c r="C170" s="42"/>
      <c r="D170" s="43"/>
      <c r="E170" s="45">
        <f>C170*4</f>
        <v>0</v>
      </c>
      <c r="F170" s="290">
        <f>E170*1.05*0.72/147</f>
        <v>0</v>
      </c>
      <c r="G170" s="147">
        <f t="shared" si="37"/>
        <v>0</v>
      </c>
      <c r="H170" s="151" t="s">
        <v>18</v>
      </c>
      <c r="I170" s="147">
        <f t="shared" si="38"/>
        <v>0</v>
      </c>
      <c r="J170" s="149" t="s">
        <v>19</v>
      </c>
      <c r="K170" s="149"/>
      <c r="L170" s="149"/>
      <c r="M170" s="291">
        <f>(F170*5989/3456)</f>
        <v>0</v>
      </c>
      <c r="N170" s="40"/>
      <c r="O170" s="40"/>
      <c r="P170" s="40"/>
      <c r="Q170" s="14" t="s">
        <v>18</v>
      </c>
      <c r="R170" s="40"/>
      <c r="S170" s="40" t="s">
        <v>19</v>
      </c>
      <c r="T170" s="47"/>
      <c r="U170" s="40">
        <f>E170/324*60</f>
        <v>0</v>
      </c>
      <c r="V170" s="176"/>
      <c r="W170" s="47"/>
      <c r="X170" s="40"/>
    </row>
    <row r="171" spans="1:24" s="20" customFormat="1" ht="38.25" thickBot="1" x14ac:dyDescent="0.35">
      <c r="A171" s="41"/>
      <c r="B171" s="41" t="s">
        <v>364</v>
      </c>
      <c r="C171" s="42"/>
      <c r="D171" s="43">
        <f>C171*20</f>
        <v>0</v>
      </c>
      <c r="E171" s="45">
        <f>D171*0.25</f>
        <v>0</v>
      </c>
      <c r="F171" s="290">
        <f>E171*1.055*0.72/147</f>
        <v>0</v>
      </c>
      <c r="G171" s="42">
        <f t="shared" si="37"/>
        <v>0</v>
      </c>
      <c r="H171" s="45" t="s">
        <v>18</v>
      </c>
      <c r="I171" s="42">
        <f t="shared" si="38"/>
        <v>0</v>
      </c>
      <c r="J171" s="40" t="s">
        <v>19</v>
      </c>
      <c r="K171" s="40"/>
      <c r="L171" s="40"/>
      <c r="M171" s="291">
        <f>(F171*6313/3456)</f>
        <v>0</v>
      </c>
      <c r="N171" s="40"/>
      <c r="O171" s="40"/>
      <c r="P171" s="40"/>
      <c r="Q171" s="14" t="s">
        <v>18</v>
      </c>
      <c r="R171" s="40"/>
      <c r="S171" s="40" t="s">
        <v>19</v>
      </c>
      <c r="T171" s="47"/>
      <c r="U171" s="40">
        <f>E171/259*60</f>
        <v>0</v>
      </c>
      <c r="V171" s="176"/>
      <c r="W171" s="47"/>
      <c r="X171" s="40"/>
    </row>
    <row r="172" spans="1:24" s="20" customFormat="1" ht="38.25" thickBot="1" x14ac:dyDescent="0.35">
      <c r="A172" s="41"/>
      <c r="B172" s="41" t="s">
        <v>363</v>
      </c>
      <c r="C172" s="42"/>
      <c r="D172" s="43">
        <f>C172*20</f>
        <v>0</v>
      </c>
      <c r="E172" s="45">
        <f>D172*0.25</f>
        <v>0</v>
      </c>
      <c r="F172" s="290">
        <f>E172*1.055*0.72/147</f>
        <v>0</v>
      </c>
      <c r="G172" s="42">
        <f t="shared" si="37"/>
        <v>0</v>
      </c>
      <c r="H172" s="45" t="s">
        <v>18</v>
      </c>
      <c r="I172" s="42">
        <f t="shared" si="38"/>
        <v>0</v>
      </c>
      <c r="J172" s="40" t="s">
        <v>19</v>
      </c>
      <c r="K172" s="40"/>
      <c r="L172" s="40"/>
      <c r="M172" s="291">
        <f>(F172*6313/3456)</f>
        <v>0</v>
      </c>
      <c r="N172" s="40"/>
      <c r="O172" s="40"/>
      <c r="P172" s="40"/>
      <c r="Q172" s="14" t="s">
        <v>18</v>
      </c>
      <c r="R172" s="40"/>
      <c r="S172" s="40" t="s">
        <v>19</v>
      </c>
      <c r="T172" s="47"/>
      <c r="U172" s="40">
        <f>E172/259*60</f>
        <v>0</v>
      </c>
      <c r="V172" s="176"/>
      <c r="W172" s="47"/>
      <c r="X172" s="40"/>
    </row>
    <row r="173" spans="1:24" s="20" customFormat="1" ht="19.5" thickBot="1" x14ac:dyDescent="0.35">
      <c r="A173" s="41"/>
      <c r="B173" s="41" t="s">
        <v>89</v>
      </c>
      <c r="C173" s="42"/>
      <c r="D173" s="43">
        <f>C173*144</f>
        <v>0</v>
      </c>
      <c r="E173" s="45">
        <f>D173*0.025</f>
        <v>0</v>
      </c>
      <c r="F173" s="290">
        <f>E173*1.001*0.72/147</f>
        <v>0</v>
      </c>
      <c r="G173" s="42">
        <f t="shared" si="37"/>
        <v>0</v>
      </c>
      <c r="H173" s="45" t="s">
        <v>18</v>
      </c>
      <c r="I173" s="42">
        <f t="shared" si="38"/>
        <v>0</v>
      </c>
      <c r="J173" s="40" t="s">
        <v>19</v>
      </c>
      <c r="K173" s="40"/>
      <c r="L173" s="40"/>
      <c r="M173" s="291">
        <f>(F173*8292/3456)</f>
        <v>0</v>
      </c>
      <c r="N173" s="40"/>
      <c r="O173" s="40"/>
      <c r="P173" s="40"/>
      <c r="Q173" s="14" t="s">
        <v>18</v>
      </c>
      <c r="R173" s="40"/>
      <c r="S173" s="40" t="s">
        <v>19</v>
      </c>
      <c r="T173" s="47"/>
      <c r="U173" s="40">
        <f>E173/259*60</f>
        <v>0</v>
      </c>
      <c r="V173" s="176"/>
      <c r="W173" s="47"/>
      <c r="X173" s="40"/>
    </row>
    <row r="174" spans="1:24" s="20" customFormat="1" ht="38.25" thickBot="1" x14ac:dyDescent="0.35">
      <c r="A174" s="41"/>
      <c r="B174" s="41" t="s">
        <v>356</v>
      </c>
      <c r="C174" s="42"/>
      <c r="D174" s="43">
        <f>C174*10</f>
        <v>0</v>
      </c>
      <c r="E174" s="45">
        <f>D174*0.2</f>
        <v>0</v>
      </c>
      <c r="F174" s="290">
        <f>E174*1.001*0.72/147</f>
        <v>0</v>
      </c>
      <c r="G174" s="42">
        <f t="shared" si="37"/>
        <v>0</v>
      </c>
      <c r="H174" s="45" t="s">
        <v>18</v>
      </c>
      <c r="I174" s="42">
        <f t="shared" si="38"/>
        <v>0</v>
      </c>
      <c r="J174" s="40" t="s">
        <v>19</v>
      </c>
      <c r="K174" s="40"/>
      <c r="L174" s="40"/>
      <c r="M174" s="291">
        <f>(F174*8335/3456)</f>
        <v>0</v>
      </c>
      <c r="N174" s="40"/>
      <c r="O174" s="40"/>
      <c r="P174" s="40"/>
      <c r="Q174" s="14" t="s">
        <v>18</v>
      </c>
      <c r="R174" s="40"/>
      <c r="S174" s="40" t="s">
        <v>19</v>
      </c>
      <c r="T174" s="47"/>
      <c r="U174" s="40">
        <f>E174/259*60</f>
        <v>0</v>
      </c>
      <c r="V174" s="176"/>
      <c r="W174" s="47"/>
      <c r="X174" s="40"/>
    </row>
    <row r="175" spans="1:24" s="20" customFormat="1" ht="38.25" thickBot="1" x14ac:dyDescent="0.35">
      <c r="A175" s="41"/>
      <c r="B175" s="41" t="s">
        <v>357</v>
      </c>
      <c r="C175" s="42"/>
      <c r="D175" s="43">
        <f>C175*10</f>
        <v>0</v>
      </c>
      <c r="E175" s="45">
        <f>D175*0.2</f>
        <v>0</v>
      </c>
      <c r="F175" s="290">
        <f>E175*1.001*0.72/147</f>
        <v>0</v>
      </c>
      <c r="G175" s="42">
        <f t="shared" si="37"/>
        <v>0</v>
      </c>
      <c r="H175" s="45" t="s">
        <v>18</v>
      </c>
      <c r="I175" s="42">
        <f t="shared" si="38"/>
        <v>0</v>
      </c>
      <c r="J175" s="40" t="s">
        <v>19</v>
      </c>
      <c r="K175" s="40"/>
      <c r="L175" s="40"/>
      <c r="M175" s="291">
        <f>(F175*8400/3456)</f>
        <v>0</v>
      </c>
      <c r="N175" s="40"/>
      <c r="O175" s="40"/>
      <c r="P175" s="40"/>
      <c r="Q175" s="14" t="s">
        <v>18</v>
      </c>
      <c r="R175" s="40"/>
      <c r="S175" s="40" t="s">
        <v>19</v>
      </c>
      <c r="T175" s="47"/>
      <c r="U175" s="40">
        <f>E175/259*60</f>
        <v>0</v>
      </c>
      <c r="V175" s="176"/>
      <c r="W175" s="47"/>
      <c r="X175" s="40"/>
    </row>
    <row r="176" spans="1:24" s="20" customFormat="1" ht="38.25" thickBot="1" x14ac:dyDescent="0.35">
      <c r="A176" s="41"/>
      <c r="B176" s="41" t="s">
        <v>355</v>
      </c>
      <c r="C176" s="42"/>
      <c r="D176" s="43">
        <f>C176*10</f>
        <v>0</v>
      </c>
      <c r="E176" s="40">
        <f>D176*0.2</f>
        <v>0</v>
      </c>
      <c r="F176" s="290">
        <f>E176*1.001*0.8/147</f>
        <v>0</v>
      </c>
      <c r="G176" s="42">
        <f t="shared" si="37"/>
        <v>0</v>
      </c>
      <c r="H176" s="45" t="s">
        <v>18</v>
      </c>
      <c r="I176" s="42">
        <f t="shared" si="38"/>
        <v>0</v>
      </c>
      <c r="J176" s="40" t="s">
        <v>19</v>
      </c>
      <c r="K176" s="40"/>
      <c r="L176" s="40"/>
      <c r="M176" s="291">
        <f>(F176*9303)/3456</f>
        <v>0</v>
      </c>
      <c r="N176" s="40"/>
      <c r="O176" s="40"/>
      <c r="P176" s="40"/>
      <c r="Q176" s="14" t="s">
        <v>18</v>
      </c>
      <c r="R176" s="40"/>
      <c r="S176" s="40" t="s">
        <v>19</v>
      </c>
      <c r="T176" s="47"/>
      <c r="U176" s="40">
        <f>E176/220*60</f>
        <v>0</v>
      </c>
      <c r="V176" s="176"/>
      <c r="W176" s="47"/>
      <c r="X176" s="40"/>
    </row>
    <row r="177" spans="1:24" s="20" customFormat="1" ht="19.5" thickBot="1" x14ac:dyDescent="0.35">
      <c r="A177" s="41"/>
      <c r="B177" s="41" t="s">
        <v>87</v>
      </c>
      <c r="C177" s="42"/>
      <c r="D177" s="43">
        <f>C177*10</f>
        <v>0</v>
      </c>
      <c r="E177" s="45">
        <f>D177*0.25</f>
        <v>0</v>
      </c>
      <c r="F177" s="50">
        <f>E177*1.03*0.72/147</f>
        <v>0</v>
      </c>
      <c r="G177" s="42">
        <f t="shared" si="37"/>
        <v>0</v>
      </c>
      <c r="H177" s="45" t="s">
        <v>18</v>
      </c>
      <c r="I177" s="42">
        <f t="shared" si="38"/>
        <v>0</v>
      </c>
      <c r="J177" s="40" t="s">
        <v>19</v>
      </c>
      <c r="K177" s="40"/>
      <c r="L177" s="40"/>
      <c r="M177" s="46">
        <f>(F177*8448/3456)</f>
        <v>0</v>
      </c>
      <c r="N177" s="40"/>
      <c r="O177" s="40"/>
      <c r="P177" s="40"/>
      <c r="Q177" s="14" t="s">
        <v>18</v>
      </c>
      <c r="R177" s="40"/>
      <c r="S177" s="40" t="s">
        <v>19</v>
      </c>
      <c r="T177" s="47"/>
      <c r="U177" s="40">
        <f t="shared" ref="U177:U183" si="40">E177/259*60</f>
        <v>0</v>
      </c>
      <c r="V177" s="176"/>
      <c r="W177" s="47"/>
      <c r="X177" s="40"/>
    </row>
    <row r="178" spans="1:24" s="20" customFormat="1" ht="38.25" thickBot="1" x14ac:dyDescent="0.35">
      <c r="A178" s="41"/>
      <c r="B178" s="41" t="s">
        <v>284</v>
      </c>
      <c r="C178" s="42"/>
      <c r="D178" s="43">
        <f>C178*10</f>
        <v>0</v>
      </c>
      <c r="E178" s="45">
        <f>D178*0.25</f>
        <v>0</v>
      </c>
      <c r="F178" s="50">
        <f>E178*1.03*0.72/147</f>
        <v>0</v>
      </c>
      <c r="G178" s="42">
        <f t="shared" si="37"/>
        <v>0</v>
      </c>
      <c r="H178" s="45" t="s">
        <v>18</v>
      </c>
      <c r="I178" s="42">
        <f t="shared" si="38"/>
        <v>0</v>
      </c>
      <c r="J178" s="40" t="s">
        <v>19</v>
      </c>
      <c r="K178" s="40"/>
      <c r="L178" s="40"/>
      <c r="M178" s="46">
        <f>(F178*7177/3456)</f>
        <v>0</v>
      </c>
      <c r="N178" s="40"/>
      <c r="O178" s="40"/>
      <c r="P178" s="40"/>
      <c r="Q178" s="14" t="s">
        <v>18</v>
      </c>
      <c r="R178" s="40"/>
      <c r="S178" s="40" t="s">
        <v>19</v>
      </c>
      <c r="T178" s="47"/>
      <c r="U178" s="40">
        <f t="shared" si="40"/>
        <v>0</v>
      </c>
      <c r="V178" s="176"/>
      <c r="W178" s="47"/>
      <c r="X178" s="40"/>
    </row>
    <row r="179" spans="1:24" s="20" customFormat="1" ht="38.25" thickBot="1" x14ac:dyDescent="0.35">
      <c r="A179" s="41"/>
      <c r="B179" s="41" t="s">
        <v>364</v>
      </c>
      <c r="C179" s="42"/>
      <c r="D179" s="43">
        <f>C179*20</f>
        <v>0</v>
      </c>
      <c r="E179" s="45">
        <f>D179*0.25</f>
        <v>0</v>
      </c>
      <c r="F179" s="290">
        <f>E179*1.055*0.72/147</f>
        <v>0</v>
      </c>
      <c r="G179" s="42">
        <f t="shared" si="37"/>
        <v>0</v>
      </c>
      <c r="H179" s="45" t="s">
        <v>18</v>
      </c>
      <c r="I179" s="42">
        <f t="shared" si="38"/>
        <v>0</v>
      </c>
      <c r="J179" s="40" t="s">
        <v>19</v>
      </c>
      <c r="K179" s="40"/>
      <c r="L179" s="40"/>
      <c r="M179" s="291">
        <f>(F179*6313/3456)</f>
        <v>0</v>
      </c>
      <c r="N179" s="40"/>
      <c r="O179" s="40"/>
      <c r="P179" s="40"/>
      <c r="Q179" s="14" t="s">
        <v>18</v>
      </c>
      <c r="R179" s="40"/>
      <c r="S179" s="40" t="s">
        <v>19</v>
      </c>
      <c r="T179" s="47"/>
      <c r="U179" s="40">
        <f t="shared" si="40"/>
        <v>0</v>
      </c>
      <c r="V179" s="176"/>
      <c r="W179" s="47"/>
      <c r="X179" s="40"/>
    </row>
    <row r="180" spans="1:24" s="20" customFormat="1" ht="38.25" thickBot="1" x14ac:dyDescent="0.35">
      <c r="A180" s="41"/>
      <c r="B180" s="41" t="s">
        <v>363</v>
      </c>
      <c r="C180" s="42"/>
      <c r="D180" s="43">
        <f>C180*20</f>
        <v>0</v>
      </c>
      <c r="E180" s="45">
        <f>D180*0.25</f>
        <v>0</v>
      </c>
      <c r="F180" s="290">
        <f>E180*1.055*0.72/147</f>
        <v>0</v>
      </c>
      <c r="G180" s="42">
        <f t="shared" si="37"/>
        <v>0</v>
      </c>
      <c r="H180" s="45" t="s">
        <v>18</v>
      </c>
      <c r="I180" s="42">
        <f t="shared" si="38"/>
        <v>0</v>
      </c>
      <c r="J180" s="40" t="s">
        <v>19</v>
      </c>
      <c r="K180" s="40"/>
      <c r="L180" s="40"/>
      <c r="M180" s="291">
        <f>(F180*6313/3456)</f>
        <v>0</v>
      </c>
      <c r="N180" s="40"/>
      <c r="O180" s="40"/>
      <c r="P180" s="40"/>
      <c r="Q180" s="14" t="s">
        <v>18</v>
      </c>
      <c r="R180" s="40"/>
      <c r="S180" s="40" t="s">
        <v>19</v>
      </c>
      <c r="T180" s="47"/>
      <c r="U180" s="40">
        <f t="shared" si="40"/>
        <v>0</v>
      </c>
      <c r="V180" s="176"/>
      <c r="W180" s="47"/>
      <c r="X180" s="40"/>
    </row>
    <row r="181" spans="1:24" s="20" customFormat="1" ht="19.5" thickBot="1" x14ac:dyDescent="0.35">
      <c r="A181" s="41"/>
      <c r="B181" s="41" t="s">
        <v>89</v>
      </c>
      <c r="C181" s="42"/>
      <c r="D181" s="43">
        <f>C181*144</f>
        <v>0</v>
      </c>
      <c r="E181" s="45">
        <f>D181*0.025</f>
        <v>0</v>
      </c>
      <c r="F181" s="290">
        <f>E181*1.001*0.72/147</f>
        <v>0</v>
      </c>
      <c r="G181" s="42">
        <f t="shared" si="37"/>
        <v>0</v>
      </c>
      <c r="H181" s="45" t="s">
        <v>18</v>
      </c>
      <c r="I181" s="42">
        <f t="shared" si="38"/>
        <v>0</v>
      </c>
      <c r="J181" s="40" t="s">
        <v>19</v>
      </c>
      <c r="K181" s="40"/>
      <c r="L181" s="40"/>
      <c r="M181" s="291">
        <f>(F181*8292/3456)</f>
        <v>0</v>
      </c>
      <c r="N181" s="40"/>
      <c r="O181" s="40"/>
      <c r="P181" s="40"/>
      <c r="Q181" s="14" t="s">
        <v>18</v>
      </c>
      <c r="R181" s="40"/>
      <c r="S181" s="40" t="s">
        <v>19</v>
      </c>
      <c r="T181" s="47"/>
      <c r="U181" s="40">
        <f t="shared" si="40"/>
        <v>0</v>
      </c>
      <c r="V181" s="176"/>
      <c r="W181" s="47"/>
      <c r="X181" s="40"/>
    </row>
    <row r="182" spans="1:24" s="20" customFormat="1" ht="38.25" thickBot="1" x14ac:dyDescent="0.35">
      <c r="A182" s="41"/>
      <c r="B182" s="41" t="s">
        <v>356</v>
      </c>
      <c r="C182" s="42"/>
      <c r="D182" s="43">
        <f>C182*10</f>
        <v>0</v>
      </c>
      <c r="E182" s="45">
        <f>D182*0.2</f>
        <v>0</v>
      </c>
      <c r="F182" s="290">
        <f>E182*1.001*0.72/147</f>
        <v>0</v>
      </c>
      <c r="G182" s="42">
        <f t="shared" si="37"/>
        <v>0</v>
      </c>
      <c r="H182" s="45" t="s">
        <v>18</v>
      </c>
      <c r="I182" s="42">
        <f t="shared" si="38"/>
        <v>0</v>
      </c>
      <c r="J182" s="40" t="s">
        <v>19</v>
      </c>
      <c r="K182" s="40"/>
      <c r="L182" s="40"/>
      <c r="M182" s="291">
        <f>(F182*8335/3456)</f>
        <v>0</v>
      </c>
      <c r="N182" s="40"/>
      <c r="O182" s="40"/>
      <c r="P182" s="40"/>
      <c r="Q182" s="14" t="s">
        <v>18</v>
      </c>
      <c r="R182" s="40"/>
      <c r="S182" s="40" t="s">
        <v>19</v>
      </c>
      <c r="T182" s="47"/>
      <c r="U182" s="40">
        <f t="shared" si="40"/>
        <v>0</v>
      </c>
      <c r="V182" s="176"/>
      <c r="W182" s="47"/>
      <c r="X182" s="40"/>
    </row>
    <row r="183" spans="1:24" s="20" customFormat="1" ht="38.25" thickBot="1" x14ac:dyDescent="0.35">
      <c r="A183" s="41"/>
      <c r="B183" s="41" t="s">
        <v>357</v>
      </c>
      <c r="C183" s="42"/>
      <c r="D183" s="43">
        <f>C183*10</f>
        <v>0</v>
      </c>
      <c r="E183" s="45">
        <f>D183*0.2</f>
        <v>0</v>
      </c>
      <c r="F183" s="290">
        <f>E183*1.001*0.72/147</f>
        <v>0</v>
      </c>
      <c r="G183" s="42">
        <f t="shared" si="37"/>
        <v>0</v>
      </c>
      <c r="H183" s="45" t="s">
        <v>18</v>
      </c>
      <c r="I183" s="42">
        <f t="shared" si="38"/>
        <v>0</v>
      </c>
      <c r="J183" s="40" t="s">
        <v>19</v>
      </c>
      <c r="K183" s="40"/>
      <c r="L183" s="40"/>
      <c r="M183" s="291">
        <f>(F183*8400/3456)</f>
        <v>0</v>
      </c>
      <c r="N183" s="40"/>
      <c r="O183" s="40"/>
      <c r="P183" s="40"/>
      <c r="Q183" s="14" t="s">
        <v>18</v>
      </c>
      <c r="R183" s="40"/>
      <c r="S183" s="40" t="s">
        <v>19</v>
      </c>
      <c r="T183" s="47"/>
      <c r="U183" s="40">
        <f t="shared" si="40"/>
        <v>0</v>
      </c>
      <c r="V183" s="176"/>
      <c r="W183" s="47"/>
      <c r="X183" s="40"/>
    </row>
    <row r="184" spans="1:24" s="20" customFormat="1" ht="38.25" thickBot="1" x14ac:dyDescent="0.35">
      <c r="A184" s="41"/>
      <c r="B184" s="41" t="s">
        <v>355</v>
      </c>
      <c r="C184" s="42"/>
      <c r="D184" s="43">
        <f>C184*10</f>
        <v>0</v>
      </c>
      <c r="E184" s="40">
        <f>D184*0.2</f>
        <v>0</v>
      </c>
      <c r="F184" s="290">
        <f>E184*1.001*0.8/147</f>
        <v>0</v>
      </c>
      <c r="G184" s="42">
        <f t="shared" si="37"/>
        <v>0</v>
      </c>
      <c r="H184" s="45" t="s">
        <v>18</v>
      </c>
      <c r="I184" s="42">
        <f t="shared" si="38"/>
        <v>0</v>
      </c>
      <c r="J184" s="40" t="s">
        <v>19</v>
      </c>
      <c r="K184" s="40"/>
      <c r="L184" s="40"/>
      <c r="M184" s="291">
        <f>(F184*9303)/3456</f>
        <v>0</v>
      </c>
      <c r="N184" s="40"/>
      <c r="O184" s="40"/>
      <c r="P184" s="40"/>
      <c r="Q184" s="14" t="s">
        <v>18</v>
      </c>
      <c r="R184" s="40"/>
      <c r="S184" s="40" t="s">
        <v>19</v>
      </c>
      <c r="T184" s="47"/>
      <c r="U184" s="40">
        <f>E184/220*60</f>
        <v>0</v>
      </c>
      <c r="V184" s="176"/>
      <c r="W184" s="47"/>
      <c r="X184" s="40"/>
    </row>
    <row r="185" spans="1:24" s="128" customFormat="1" ht="19.5" thickBot="1" x14ac:dyDescent="0.35">
      <c r="A185" s="129"/>
      <c r="B185" s="130" t="s">
        <v>288</v>
      </c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</row>
    <row r="186" spans="1:24" s="20" customFormat="1" ht="57" thickBot="1" x14ac:dyDescent="0.35">
      <c r="A186" s="41"/>
      <c r="B186" s="41" t="s">
        <v>597</v>
      </c>
      <c r="C186" s="42"/>
      <c r="D186" s="43"/>
      <c r="E186" s="45">
        <f>C186*4</f>
        <v>0</v>
      </c>
      <c r="F186" s="290">
        <f>E186*1.05*0.72/147</f>
        <v>0</v>
      </c>
      <c r="G186" s="147">
        <f>INT(M186)</f>
        <v>0</v>
      </c>
      <c r="H186" s="151" t="s">
        <v>18</v>
      </c>
      <c r="I186" s="147">
        <f>(M186-G186)*64</f>
        <v>0</v>
      </c>
      <c r="J186" s="149" t="s">
        <v>19</v>
      </c>
      <c r="K186" s="149"/>
      <c r="L186" s="149"/>
      <c r="M186" s="291">
        <f>(F186*5989/3456)</f>
        <v>0</v>
      </c>
      <c r="N186" s="40"/>
      <c r="O186" s="40"/>
      <c r="P186" s="40"/>
      <c r="Q186" s="14" t="s">
        <v>18</v>
      </c>
      <c r="R186" s="40"/>
      <c r="S186" s="40" t="s">
        <v>19</v>
      </c>
      <c r="T186" s="47"/>
      <c r="U186" s="40">
        <f>E186/324*60</f>
        <v>0</v>
      </c>
      <c r="V186" s="176"/>
      <c r="W186" s="47"/>
      <c r="X186" s="40"/>
    </row>
    <row r="187" spans="1:24" s="20" customFormat="1" ht="38.25" thickBot="1" x14ac:dyDescent="0.35">
      <c r="A187" s="41"/>
      <c r="B187" s="41" t="s">
        <v>348</v>
      </c>
      <c r="C187" s="42"/>
      <c r="D187" s="43">
        <f>C187*18</f>
        <v>0</v>
      </c>
      <c r="E187" s="40">
        <f>D187*0.2</f>
        <v>0</v>
      </c>
      <c r="F187" s="290">
        <f>E187*1.0001*0.8/147</f>
        <v>0</v>
      </c>
      <c r="G187" s="42">
        <f>INT(M187)</f>
        <v>0</v>
      </c>
      <c r="H187" s="45" t="s">
        <v>18</v>
      </c>
      <c r="I187" s="42">
        <f>(M187-G187)*64</f>
        <v>0</v>
      </c>
      <c r="J187" s="40" t="s">
        <v>19</v>
      </c>
      <c r="K187" s="40"/>
      <c r="L187" s="40"/>
      <c r="M187" s="291">
        <f>(F187*5653)/3456</f>
        <v>0</v>
      </c>
      <c r="N187" s="40"/>
      <c r="O187" s="40"/>
      <c r="P187" s="40"/>
      <c r="Q187" s="45" t="s">
        <v>18</v>
      </c>
      <c r="R187" s="40"/>
      <c r="S187" s="40" t="s">
        <v>19</v>
      </c>
      <c r="T187" s="47"/>
      <c r="U187" s="40">
        <f>E187/220*60</f>
        <v>0</v>
      </c>
      <c r="V187" s="176"/>
      <c r="W187" s="47"/>
      <c r="X187" s="40"/>
    </row>
    <row r="188" spans="1:24" s="20" customFormat="1" ht="38.25" thickBot="1" x14ac:dyDescent="0.35">
      <c r="A188" s="41"/>
      <c r="B188" s="41" t="s">
        <v>330</v>
      </c>
      <c r="C188" s="42"/>
      <c r="D188" s="43"/>
      <c r="E188" s="45">
        <f>C188*2.5</f>
        <v>0</v>
      </c>
      <c r="F188" s="50">
        <f>E188*1.03*0.8/147</f>
        <v>0</v>
      </c>
      <c r="G188" s="42">
        <f t="shared" ref="G188:G203" si="41">INT(M188)</f>
        <v>0</v>
      </c>
      <c r="H188" s="45" t="s">
        <v>18</v>
      </c>
      <c r="I188" s="42">
        <f t="shared" ref="I188:I203" si="42">(M188-G188)*64</f>
        <v>0</v>
      </c>
      <c r="J188" s="40" t="s">
        <v>19</v>
      </c>
      <c r="K188" s="40"/>
      <c r="L188" s="40"/>
      <c r="M188" s="46">
        <f>(F188*5444/3456)</f>
        <v>0</v>
      </c>
      <c r="N188" s="40"/>
      <c r="O188" s="40"/>
      <c r="P188" s="40"/>
      <c r="Q188" s="14" t="s">
        <v>18</v>
      </c>
      <c r="R188" s="40"/>
      <c r="S188" s="40" t="s">
        <v>19</v>
      </c>
      <c r="T188" s="47"/>
      <c r="U188" s="40">
        <f t="shared" ref="U188:U203" si="43">E188/324*60</f>
        <v>0</v>
      </c>
      <c r="V188" s="176"/>
      <c r="W188" s="47"/>
      <c r="X188" s="40"/>
    </row>
    <row r="189" spans="1:24" s="20" customFormat="1" ht="19.5" thickBot="1" x14ac:dyDescent="0.35">
      <c r="A189" s="53"/>
      <c r="B189" s="53" t="s">
        <v>91</v>
      </c>
      <c r="C189" s="42"/>
      <c r="D189" s="43"/>
      <c r="E189" s="45">
        <f>C189*2.5</f>
        <v>0</v>
      </c>
      <c r="F189" s="290">
        <f>E189*1.05*0.72/147</f>
        <v>0</v>
      </c>
      <c r="G189" s="42">
        <f t="shared" si="41"/>
        <v>0</v>
      </c>
      <c r="H189" s="45" t="s">
        <v>18</v>
      </c>
      <c r="I189" s="42">
        <f t="shared" si="42"/>
        <v>0</v>
      </c>
      <c r="J189" s="40" t="s">
        <v>19</v>
      </c>
      <c r="K189" s="40"/>
      <c r="L189" s="40"/>
      <c r="M189" s="291">
        <f>(F189*5989/3456)</f>
        <v>0</v>
      </c>
      <c r="N189" s="40"/>
      <c r="O189" s="40"/>
      <c r="P189" s="40"/>
      <c r="Q189" s="14" t="s">
        <v>18</v>
      </c>
      <c r="R189" s="40"/>
      <c r="S189" s="40" t="s">
        <v>19</v>
      </c>
      <c r="T189" s="47"/>
      <c r="U189" s="40">
        <f t="shared" si="43"/>
        <v>0</v>
      </c>
      <c r="V189" s="176"/>
      <c r="W189" s="47"/>
      <c r="X189" s="40"/>
    </row>
    <row r="190" spans="1:24" s="20" customFormat="1" ht="38.25" thickBot="1" x14ac:dyDescent="0.35">
      <c r="A190" s="53"/>
      <c r="B190" s="41" t="s">
        <v>332</v>
      </c>
      <c r="C190" s="42"/>
      <c r="D190" s="43"/>
      <c r="E190" s="45">
        <f>C190*2.5</f>
        <v>0</v>
      </c>
      <c r="F190" s="290">
        <f>E190*1.05*0.72/147</f>
        <v>0</v>
      </c>
      <c r="G190" s="42">
        <f t="shared" si="41"/>
        <v>0</v>
      </c>
      <c r="H190" s="45" t="s">
        <v>18</v>
      </c>
      <c r="I190" s="42">
        <f t="shared" si="42"/>
        <v>0</v>
      </c>
      <c r="J190" s="40" t="s">
        <v>19</v>
      </c>
      <c r="K190" s="40"/>
      <c r="L190" s="40"/>
      <c r="M190" s="291">
        <f>(F190*5989/3456)</f>
        <v>0</v>
      </c>
      <c r="N190" s="40"/>
      <c r="O190" s="40"/>
      <c r="P190" s="40"/>
      <c r="Q190" s="14" t="s">
        <v>18</v>
      </c>
      <c r="R190" s="40"/>
      <c r="S190" s="40" t="s">
        <v>19</v>
      </c>
      <c r="T190" s="47"/>
      <c r="U190" s="40">
        <f t="shared" si="43"/>
        <v>0</v>
      </c>
      <c r="V190" s="176"/>
      <c r="W190" s="47"/>
      <c r="X190" s="40"/>
    </row>
    <row r="191" spans="1:24" s="20" customFormat="1" ht="57" thickBot="1" x14ac:dyDescent="0.35">
      <c r="A191" s="41"/>
      <c r="B191" s="41" t="s">
        <v>333</v>
      </c>
      <c r="C191" s="42"/>
      <c r="D191" s="43"/>
      <c r="E191" s="45">
        <f>C191*4</f>
        <v>0</v>
      </c>
      <c r="F191" s="290">
        <f>E191*1.05*0.72/147</f>
        <v>0</v>
      </c>
      <c r="G191" s="42">
        <f t="shared" si="41"/>
        <v>0</v>
      </c>
      <c r="H191" s="45" t="s">
        <v>18</v>
      </c>
      <c r="I191" s="42">
        <f t="shared" si="42"/>
        <v>0</v>
      </c>
      <c r="J191" s="40" t="s">
        <v>19</v>
      </c>
      <c r="K191" s="40"/>
      <c r="L191" s="40"/>
      <c r="M191" s="291">
        <f>(F191*5989/3456)</f>
        <v>0</v>
      </c>
      <c r="N191" s="40"/>
      <c r="O191" s="40"/>
      <c r="P191" s="40"/>
      <c r="Q191" s="14" t="s">
        <v>18</v>
      </c>
      <c r="R191" s="40"/>
      <c r="S191" s="40" t="s">
        <v>19</v>
      </c>
      <c r="T191" s="47"/>
      <c r="U191" s="40">
        <f t="shared" si="43"/>
        <v>0</v>
      </c>
      <c r="V191" s="176"/>
      <c r="W191" s="47"/>
      <c r="X191" s="40"/>
    </row>
    <row r="192" spans="1:24" s="20" customFormat="1" ht="38.25" thickBot="1" x14ac:dyDescent="0.35">
      <c r="A192" s="41"/>
      <c r="B192" s="41" t="s">
        <v>331</v>
      </c>
      <c r="C192" s="42"/>
      <c r="D192" s="43"/>
      <c r="E192" s="45">
        <f>C192*4</f>
        <v>0</v>
      </c>
      <c r="F192" s="50">
        <f>E192*1.03*0.8/147</f>
        <v>0</v>
      </c>
      <c r="G192" s="42">
        <f t="shared" si="41"/>
        <v>0</v>
      </c>
      <c r="H192" s="45" t="s">
        <v>18</v>
      </c>
      <c r="I192" s="42">
        <f t="shared" si="42"/>
        <v>0</v>
      </c>
      <c r="J192" s="40" t="s">
        <v>19</v>
      </c>
      <c r="K192" s="40"/>
      <c r="L192" s="40"/>
      <c r="M192" s="46">
        <f>(F192*5444/3456)</f>
        <v>0</v>
      </c>
      <c r="N192" s="40"/>
      <c r="O192" s="40"/>
      <c r="P192" s="40"/>
      <c r="Q192" s="14" t="s">
        <v>18</v>
      </c>
      <c r="R192" s="40"/>
      <c r="S192" s="40" t="s">
        <v>19</v>
      </c>
      <c r="T192" s="47"/>
      <c r="U192" s="40">
        <f t="shared" si="43"/>
        <v>0</v>
      </c>
      <c r="V192" s="176"/>
      <c r="W192" s="47"/>
      <c r="X192" s="40"/>
    </row>
    <row r="193" spans="1:24" s="20" customFormat="1" ht="38.25" thickBot="1" x14ac:dyDescent="0.35">
      <c r="A193" s="41"/>
      <c r="B193" s="41" t="s">
        <v>322</v>
      </c>
      <c r="C193" s="42"/>
      <c r="D193" s="43"/>
      <c r="E193" s="45">
        <f>C193*4</f>
        <v>0</v>
      </c>
      <c r="F193" s="50">
        <f>E193*1.03*0.8/147</f>
        <v>0</v>
      </c>
      <c r="G193" s="42">
        <f t="shared" si="41"/>
        <v>0</v>
      </c>
      <c r="H193" s="45" t="s">
        <v>18</v>
      </c>
      <c r="I193" s="42">
        <f t="shared" si="42"/>
        <v>0</v>
      </c>
      <c r="J193" s="40" t="s">
        <v>19</v>
      </c>
      <c r="K193" s="40"/>
      <c r="L193" s="40"/>
      <c r="M193" s="46">
        <f>(F193*5444/3456)</f>
        <v>0</v>
      </c>
      <c r="N193" s="40"/>
      <c r="O193" s="40"/>
      <c r="P193" s="40"/>
      <c r="Q193" s="14" t="s">
        <v>18</v>
      </c>
      <c r="R193" s="40"/>
      <c r="S193" s="40" t="s">
        <v>19</v>
      </c>
      <c r="T193" s="47"/>
      <c r="U193" s="40">
        <f t="shared" si="43"/>
        <v>0</v>
      </c>
      <c r="V193" s="176"/>
      <c r="W193" s="47"/>
      <c r="X193" s="40"/>
    </row>
    <row r="194" spans="1:24" s="20" customFormat="1" ht="38.25" thickBot="1" x14ac:dyDescent="0.35">
      <c r="A194" s="41"/>
      <c r="B194" s="237" t="s">
        <v>607</v>
      </c>
      <c r="C194" s="42"/>
      <c r="D194" s="43"/>
      <c r="E194" s="45">
        <f>C194*3</f>
        <v>0</v>
      </c>
      <c r="F194" s="50">
        <f>E194*1.03*0.8/147</f>
        <v>0</v>
      </c>
      <c r="G194" s="42">
        <f>INT(M194)</f>
        <v>0</v>
      </c>
      <c r="H194" s="45" t="s">
        <v>18</v>
      </c>
      <c r="I194" s="42">
        <f>(M194-G194)*64</f>
        <v>0</v>
      </c>
      <c r="J194" s="40" t="s">
        <v>19</v>
      </c>
      <c r="K194" s="40"/>
      <c r="L194" s="40"/>
      <c r="M194" s="46">
        <f>(F194*5444/3456)</f>
        <v>0</v>
      </c>
      <c r="N194" s="40"/>
      <c r="O194" s="40"/>
      <c r="P194" s="40"/>
      <c r="Q194" s="14" t="s">
        <v>18</v>
      </c>
      <c r="R194" s="40"/>
      <c r="S194" s="40" t="s">
        <v>19</v>
      </c>
      <c r="T194" s="47"/>
      <c r="U194" s="40">
        <f>E194/324*60</f>
        <v>0</v>
      </c>
      <c r="V194" s="176"/>
      <c r="W194" s="47"/>
      <c r="X194" s="40"/>
    </row>
    <row r="195" spans="1:24" s="20" customFormat="1" ht="38.25" thickBot="1" x14ac:dyDescent="0.35">
      <c r="A195" s="41"/>
      <c r="B195" s="41" t="s">
        <v>325</v>
      </c>
      <c r="C195" s="42"/>
      <c r="D195" s="43"/>
      <c r="E195" s="45">
        <f>C195*2.5</f>
        <v>0</v>
      </c>
      <c r="F195" s="290">
        <f>E195*1.05*0.72/147</f>
        <v>0</v>
      </c>
      <c r="G195" s="42">
        <f t="shared" si="41"/>
        <v>0</v>
      </c>
      <c r="H195" s="45" t="s">
        <v>18</v>
      </c>
      <c r="I195" s="42">
        <f t="shared" si="42"/>
        <v>0</v>
      </c>
      <c r="J195" s="40" t="s">
        <v>19</v>
      </c>
      <c r="K195" s="40"/>
      <c r="L195" s="40"/>
      <c r="M195" s="291">
        <f>(F195*5989/3456)</f>
        <v>0</v>
      </c>
      <c r="N195" s="40"/>
      <c r="O195" s="40"/>
      <c r="P195" s="40"/>
      <c r="Q195" s="14" t="s">
        <v>18</v>
      </c>
      <c r="R195" s="40"/>
      <c r="S195" s="40" t="s">
        <v>19</v>
      </c>
      <c r="T195" s="47"/>
      <c r="U195" s="40">
        <f t="shared" si="43"/>
        <v>0</v>
      </c>
      <c r="V195" s="176"/>
      <c r="W195" s="47"/>
      <c r="X195" s="40"/>
    </row>
    <row r="196" spans="1:24" s="20" customFormat="1" ht="38.25" thickBot="1" x14ac:dyDescent="0.35">
      <c r="A196" s="41"/>
      <c r="B196" s="41" t="s">
        <v>324</v>
      </c>
      <c r="C196" s="42"/>
      <c r="D196" s="43"/>
      <c r="E196" s="45">
        <f>C196*2.5</f>
        <v>0</v>
      </c>
      <c r="F196" s="290">
        <f>E196*1.05*0.72/147</f>
        <v>0</v>
      </c>
      <c r="G196" s="42">
        <f t="shared" si="41"/>
        <v>0</v>
      </c>
      <c r="H196" s="45" t="s">
        <v>18</v>
      </c>
      <c r="I196" s="42">
        <f t="shared" si="42"/>
        <v>0</v>
      </c>
      <c r="J196" s="40" t="s">
        <v>19</v>
      </c>
      <c r="K196" s="40"/>
      <c r="L196" s="40"/>
      <c r="M196" s="291">
        <f>(F196*5989/3456)</f>
        <v>0</v>
      </c>
      <c r="N196" s="40"/>
      <c r="O196" s="40"/>
      <c r="P196" s="40"/>
      <c r="Q196" s="14" t="s">
        <v>18</v>
      </c>
      <c r="R196" s="40"/>
      <c r="S196" s="40" t="s">
        <v>19</v>
      </c>
      <c r="T196" s="47"/>
      <c r="U196" s="40">
        <f t="shared" si="43"/>
        <v>0</v>
      </c>
      <c r="V196" s="176"/>
      <c r="W196" s="47"/>
      <c r="X196" s="40"/>
    </row>
    <row r="197" spans="1:24" s="120" customFormat="1" ht="38.25" thickBot="1" x14ac:dyDescent="0.35">
      <c r="A197" s="146"/>
      <c r="B197" s="146" t="s">
        <v>326</v>
      </c>
      <c r="C197" s="147"/>
      <c r="D197" s="148">
        <f>C197*144</f>
        <v>0</v>
      </c>
      <c r="E197" s="149">
        <f>D197*0.025</f>
        <v>0</v>
      </c>
      <c r="F197" s="292">
        <f>E197*1.0001*0.8/161.7</f>
        <v>0</v>
      </c>
      <c r="G197" s="147">
        <f t="shared" si="41"/>
        <v>0</v>
      </c>
      <c r="H197" s="151" t="s">
        <v>18</v>
      </c>
      <c r="I197" s="147">
        <f t="shared" si="42"/>
        <v>0</v>
      </c>
      <c r="J197" s="149" t="s">
        <v>19</v>
      </c>
      <c r="K197" s="149"/>
      <c r="L197" s="149"/>
      <c r="M197" s="293">
        <f>(F197*8208)/3456</f>
        <v>0</v>
      </c>
      <c r="N197" s="149"/>
      <c r="O197" s="149"/>
      <c r="P197" s="149"/>
      <c r="Q197" s="145" t="s">
        <v>18</v>
      </c>
      <c r="R197" s="149"/>
      <c r="S197" s="149" t="s">
        <v>19</v>
      </c>
      <c r="T197" s="153"/>
      <c r="U197" s="149">
        <f>E197/220*60</f>
        <v>0</v>
      </c>
      <c r="V197" s="176"/>
      <c r="W197" s="153"/>
      <c r="X197" s="149"/>
    </row>
    <row r="198" spans="1:24" s="120" customFormat="1" ht="38.25" thickBot="1" x14ac:dyDescent="0.35">
      <c r="A198" s="146"/>
      <c r="B198" s="146" t="s">
        <v>334</v>
      </c>
      <c r="C198" s="147"/>
      <c r="D198" s="148"/>
      <c r="E198" s="151">
        <f>C198*3</f>
        <v>0</v>
      </c>
      <c r="F198" s="155">
        <f>E198*1.03*0.8/147</f>
        <v>0</v>
      </c>
      <c r="G198" s="147">
        <f t="shared" si="41"/>
        <v>0</v>
      </c>
      <c r="H198" s="151" t="s">
        <v>18</v>
      </c>
      <c r="I198" s="147">
        <f t="shared" si="42"/>
        <v>0</v>
      </c>
      <c r="J198" s="149" t="s">
        <v>19</v>
      </c>
      <c r="K198" s="149"/>
      <c r="L198" s="149"/>
      <c r="M198" s="152">
        <f>(F198*5444/3456)</f>
        <v>0</v>
      </c>
      <c r="N198" s="149"/>
      <c r="O198" s="149"/>
      <c r="P198" s="149"/>
      <c r="Q198" s="145" t="s">
        <v>18</v>
      </c>
      <c r="R198" s="149"/>
      <c r="S198" s="149" t="s">
        <v>19</v>
      </c>
      <c r="T198" s="153"/>
      <c r="U198" s="149">
        <f t="shared" si="43"/>
        <v>0</v>
      </c>
      <c r="V198" s="176"/>
      <c r="W198" s="153"/>
      <c r="X198" s="149"/>
    </row>
    <row r="199" spans="1:24" s="120" customFormat="1" ht="38.25" thickBot="1" x14ac:dyDescent="0.35">
      <c r="A199" s="146"/>
      <c r="B199" s="146" t="s">
        <v>328</v>
      </c>
      <c r="C199" s="147"/>
      <c r="D199" s="148"/>
      <c r="E199" s="151">
        <f>C199*2.5</f>
        <v>0</v>
      </c>
      <c r="F199" s="292">
        <f>E199*1.03*0.8/147</f>
        <v>0</v>
      </c>
      <c r="G199" s="147">
        <f>INT(M199)</f>
        <v>0</v>
      </c>
      <c r="H199" s="151" t="s">
        <v>18</v>
      </c>
      <c r="I199" s="147">
        <f>(M199-G199)*64</f>
        <v>0</v>
      </c>
      <c r="J199" s="149" t="s">
        <v>19</v>
      </c>
      <c r="K199" s="149"/>
      <c r="L199" s="149"/>
      <c r="M199" s="152">
        <f>(F199*5444/3456)</f>
        <v>0</v>
      </c>
      <c r="N199" s="149"/>
      <c r="O199" s="149"/>
      <c r="P199" s="149"/>
      <c r="Q199" s="145" t="s">
        <v>18</v>
      </c>
      <c r="R199" s="149"/>
      <c r="S199" s="149" t="s">
        <v>19</v>
      </c>
      <c r="T199" s="153"/>
      <c r="U199" s="149">
        <f>E199/324*60</f>
        <v>0</v>
      </c>
      <c r="V199" s="176"/>
      <c r="W199" s="153"/>
      <c r="X199" s="149"/>
    </row>
    <row r="200" spans="1:24" s="298" customFormat="1" ht="57" thickBot="1" x14ac:dyDescent="0.35">
      <c r="A200" s="231"/>
      <c r="B200" s="231" t="s">
        <v>608</v>
      </c>
      <c r="C200" s="232"/>
      <c r="D200" s="154"/>
      <c r="E200" s="233">
        <f>C200*3</f>
        <v>0</v>
      </c>
      <c r="F200" s="284">
        <f>E200*1.17*0.72/147</f>
        <v>0</v>
      </c>
      <c r="G200" s="232">
        <f>INT(M200)</f>
        <v>0</v>
      </c>
      <c r="H200" s="233" t="s">
        <v>18</v>
      </c>
      <c r="I200" s="232">
        <f>(M200-G200)*64</f>
        <v>0</v>
      </c>
      <c r="J200" s="234" t="s">
        <v>19</v>
      </c>
      <c r="K200" s="234"/>
      <c r="L200" s="234"/>
      <c r="M200" s="295">
        <f>(F200*6202/3456)</f>
        <v>0</v>
      </c>
      <c r="N200" s="234"/>
      <c r="O200" s="234"/>
      <c r="P200" s="234"/>
      <c r="Q200" s="296" t="s">
        <v>18</v>
      </c>
      <c r="R200" s="234"/>
      <c r="S200" s="234" t="s">
        <v>19</v>
      </c>
      <c r="T200" s="297"/>
      <c r="U200" s="234">
        <f>E200/324*60</f>
        <v>0</v>
      </c>
      <c r="V200" s="288"/>
      <c r="W200" s="297"/>
      <c r="X200" s="234"/>
    </row>
    <row r="201" spans="1:24" s="20" customFormat="1" ht="19.5" thickBot="1" x14ac:dyDescent="0.35">
      <c r="A201" s="41"/>
      <c r="B201" s="41" t="s">
        <v>321</v>
      </c>
      <c r="C201" s="42"/>
      <c r="D201" s="43"/>
      <c r="E201" s="45">
        <f>C201*2.5</f>
        <v>0</v>
      </c>
      <c r="F201" s="50">
        <f>E201*1.03*0.8/147</f>
        <v>0</v>
      </c>
      <c r="G201" s="42">
        <f t="shared" si="41"/>
        <v>0</v>
      </c>
      <c r="H201" s="45" t="s">
        <v>18</v>
      </c>
      <c r="I201" s="42">
        <f t="shared" si="42"/>
        <v>0</v>
      </c>
      <c r="J201" s="40" t="s">
        <v>19</v>
      </c>
      <c r="K201" s="40"/>
      <c r="L201" s="40"/>
      <c r="M201" s="46">
        <f>(F201*5444/3456)</f>
        <v>0</v>
      </c>
      <c r="N201" s="40"/>
      <c r="O201" s="40"/>
      <c r="P201" s="40"/>
      <c r="Q201" s="14" t="s">
        <v>18</v>
      </c>
      <c r="R201" s="40"/>
      <c r="S201" s="40" t="s">
        <v>19</v>
      </c>
      <c r="T201" s="47"/>
      <c r="U201" s="40">
        <f t="shared" si="43"/>
        <v>0</v>
      </c>
      <c r="V201" s="176"/>
      <c r="W201" s="47"/>
      <c r="X201" s="40"/>
    </row>
    <row r="202" spans="1:24" s="54" customFormat="1" ht="38.25" thickBot="1" x14ac:dyDescent="0.35">
      <c r="A202" s="41"/>
      <c r="B202" s="41" t="s">
        <v>327</v>
      </c>
      <c r="C202" s="42"/>
      <c r="D202" s="43"/>
      <c r="E202" s="45">
        <f>C202*3</f>
        <v>0</v>
      </c>
      <c r="F202" s="50">
        <f>E202*1.03*0.8/147</f>
        <v>0</v>
      </c>
      <c r="G202" s="42">
        <f t="shared" si="41"/>
        <v>0</v>
      </c>
      <c r="H202" s="45" t="s">
        <v>18</v>
      </c>
      <c r="I202" s="42">
        <f t="shared" si="42"/>
        <v>0</v>
      </c>
      <c r="J202" s="40" t="s">
        <v>19</v>
      </c>
      <c r="K202" s="40"/>
      <c r="L202" s="40"/>
      <c r="M202" s="46">
        <f>(F202*5444/3456)</f>
        <v>0</v>
      </c>
      <c r="N202" s="40"/>
      <c r="O202" s="40"/>
      <c r="P202" s="40"/>
      <c r="Q202" s="14" t="s">
        <v>18</v>
      </c>
      <c r="R202" s="40"/>
      <c r="S202" s="40" t="s">
        <v>19</v>
      </c>
      <c r="T202" s="47"/>
      <c r="U202" s="40">
        <f t="shared" si="43"/>
        <v>0</v>
      </c>
      <c r="V202" s="176"/>
      <c r="W202" s="47"/>
      <c r="X202" s="40"/>
    </row>
    <row r="203" spans="1:24" s="20" customFormat="1" ht="57" thickBot="1" x14ac:dyDescent="0.35">
      <c r="A203" s="41"/>
      <c r="B203" s="41" t="s">
        <v>323</v>
      </c>
      <c r="C203" s="42"/>
      <c r="D203" s="43"/>
      <c r="E203" s="45">
        <f>C203*4</f>
        <v>0</v>
      </c>
      <c r="F203" s="290">
        <f>E203*1.05*0.72/147</f>
        <v>0</v>
      </c>
      <c r="G203" s="42">
        <f t="shared" si="41"/>
        <v>0</v>
      </c>
      <c r="H203" s="45" t="s">
        <v>18</v>
      </c>
      <c r="I203" s="42">
        <f t="shared" si="42"/>
        <v>0</v>
      </c>
      <c r="J203" s="40" t="s">
        <v>19</v>
      </c>
      <c r="K203" s="40"/>
      <c r="L203" s="40"/>
      <c r="M203" s="291">
        <f>(F203*5989/3456)</f>
        <v>0</v>
      </c>
      <c r="N203" s="40"/>
      <c r="O203" s="40"/>
      <c r="P203" s="40"/>
      <c r="Q203" s="14" t="s">
        <v>18</v>
      </c>
      <c r="R203" s="40"/>
      <c r="S203" s="40" t="s">
        <v>19</v>
      </c>
      <c r="T203" s="47"/>
      <c r="U203" s="40">
        <f t="shared" si="43"/>
        <v>0</v>
      </c>
      <c r="V203" s="176"/>
      <c r="W203" s="47"/>
      <c r="X203" s="40"/>
    </row>
    <row r="204" spans="1:24" s="128" customFormat="1" ht="19.5" thickBot="1" x14ac:dyDescent="0.35">
      <c r="A204" s="129"/>
      <c r="B204" s="130" t="s">
        <v>287</v>
      </c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</row>
    <row r="205" spans="1:24" s="128" customFormat="1" ht="19.5" thickBot="1" x14ac:dyDescent="0.35">
      <c r="A205" s="129"/>
      <c r="B205" s="130" t="s">
        <v>286</v>
      </c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</row>
    <row r="206" spans="1:24" s="20" customFormat="1" ht="38.25" thickBot="1" x14ac:dyDescent="0.35">
      <c r="A206" s="41"/>
      <c r="B206" s="41" t="s">
        <v>235</v>
      </c>
      <c r="C206" s="42"/>
      <c r="D206" s="43">
        <f>C206*14</f>
        <v>0</v>
      </c>
      <c r="E206" s="64">
        <f t="shared" ref="E206:E211" si="44">D206*0.25</f>
        <v>0</v>
      </c>
      <c r="F206" s="50">
        <f t="shared" ref="F206:F221" si="45">E206*1.03*0.99/147</f>
        <v>0</v>
      </c>
      <c r="G206" s="42">
        <f t="shared" ref="G206:G217" si="46">INT(M206)</f>
        <v>0</v>
      </c>
      <c r="H206" s="14" t="s">
        <v>18</v>
      </c>
      <c r="I206" s="42">
        <f t="shared" ref="I206:I217" si="47">(M206-G206)*64</f>
        <v>0</v>
      </c>
      <c r="J206" s="14" t="s">
        <v>19</v>
      </c>
      <c r="K206" s="40"/>
      <c r="L206" s="40"/>
      <c r="M206" s="52">
        <f>(F206*7000)/2880</f>
        <v>0</v>
      </c>
      <c r="N206" s="40"/>
      <c r="O206" s="40"/>
      <c r="P206" s="40"/>
      <c r="Q206" s="14" t="s">
        <v>18</v>
      </c>
      <c r="R206" s="40"/>
      <c r="S206" s="40" t="s">
        <v>19</v>
      </c>
      <c r="T206" s="47"/>
      <c r="U206" s="40">
        <f>E206/390*60</f>
        <v>0</v>
      </c>
      <c r="V206" s="176"/>
      <c r="W206" s="47"/>
      <c r="X206" s="40"/>
    </row>
    <row r="207" spans="1:24" s="20" customFormat="1" ht="38.25" thickBot="1" x14ac:dyDescent="0.35">
      <c r="A207" s="41"/>
      <c r="B207" s="41" t="s">
        <v>237</v>
      </c>
      <c r="C207" s="42"/>
      <c r="D207" s="43">
        <f>C207*14</f>
        <v>0</v>
      </c>
      <c r="E207" s="64">
        <f t="shared" si="44"/>
        <v>0</v>
      </c>
      <c r="F207" s="50">
        <f t="shared" si="45"/>
        <v>0</v>
      </c>
      <c r="G207" s="42">
        <f t="shared" si="46"/>
        <v>0</v>
      </c>
      <c r="H207" s="14" t="s">
        <v>18</v>
      </c>
      <c r="I207" s="42">
        <f t="shared" si="47"/>
        <v>0</v>
      </c>
      <c r="J207" s="14" t="s">
        <v>19</v>
      </c>
      <c r="K207" s="40"/>
      <c r="L207" s="40"/>
      <c r="M207" s="52">
        <f>(F207*7000)/2880</f>
        <v>0</v>
      </c>
      <c r="N207" s="40"/>
      <c r="O207" s="40"/>
      <c r="P207" s="40"/>
      <c r="Q207" s="14" t="s">
        <v>18</v>
      </c>
      <c r="R207" s="40"/>
      <c r="S207" s="40" t="s">
        <v>19</v>
      </c>
      <c r="T207" s="47"/>
      <c r="U207" s="40">
        <f>E207/390*60</f>
        <v>0</v>
      </c>
      <c r="V207" s="176"/>
      <c r="W207" s="47"/>
      <c r="X207" s="40"/>
    </row>
    <row r="208" spans="1:24" s="120" customFormat="1" ht="38.25" thickBot="1" x14ac:dyDescent="0.35">
      <c r="A208" s="146"/>
      <c r="B208" s="146" t="s">
        <v>381</v>
      </c>
      <c r="C208" s="147"/>
      <c r="D208" s="148">
        <f>C208*12</f>
        <v>0</v>
      </c>
      <c r="E208" s="149">
        <f t="shared" si="44"/>
        <v>0</v>
      </c>
      <c r="F208" s="156">
        <f>E208*1.03*0.99/147</f>
        <v>0</v>
      </c>
      <c r="G208" s="147">
        <f>INT(M208)</f>
        <v>0</v>
      </c>
      <c r="H208" s="151" t="s">
        <v>18</v>
      </c>
      <c r="I208" s="147">
        <f>(M208-G208)*64</f>
        <v>0</v>
      </c>
      <c r="J208" s="149" t="s">
        <v>19</v>
      </c>
      <c r="K208" s="149"/>
      <c r="L208" s="149"/>
      <c r="M208" s="158">
        <f t="shared" ref="M208:M215" si="48">(F208*5202)/2880</f>
        <v>0</v>
      </c>
      <c r="N208" s="149"/>
      <c r="O208" s="149"/>
      <c r="P208" s="149"/>
      <c r="Q208" s="145" t="s">
        <v>18</v>
      </c>
      <c r="R208" s="149"/>
      <c r="S208" s="149" t="s">
        <v>19</v>
      </c>
      <c r="T208" s="153"/>
      <c r="U208" s="149"/>
      <c r="V208" s="176"/>
      <c r="W208" s="153"/>
      <c r="X208" s="149"/>
    </row>
    <row r="209" spans="1:24" s="120" customFormat="1" ht="38.25" thickBot="1" x14ac:dyDescent="0.35">
      <c r="A209" s="146"/>
      <c r="B209" s="146" t="s">
        <v>382</v>
      </c>
      <c r="C209" s="147"/>
      <c r="D209" s="148">
        <f>C209*12</f>
        <v>0</v>
      </c>
      <c r="E209" s="149">
        <f t="shared" si="44"/>
        <v>0</v>
      </c>
      <c r="F209" s="156">
        <f>E209*1.03*0.99/147</f>
        <v>0</v>
      </c>
      <c r="G209" s="147">
        <f>INT(M209)</f>
        <v>0</v>
      </c>
      <c r="H209" s="151" t="s">
        <v>18</v>
      </c>
      <c r="I209" s="147">
        <f>(M209-G209)*64</f>
        <v>0</v>
      </c>
      <c r="J209" s="149" t="s">
        <v>19</v>
      </c>
      <c r="K209" s="149"/>
      <c r="L209" s="149"/>
      <c r="M209" s="158">
        <f t="shared" si="48"/>
        <v>0</v>
      </c>
      <c r="N209" s="149"/>
      <c r="O209" s="149"/>
      <c r="P209" s="149"/>
      <c r="Q209" s="145" t="s">
        <v>18</v>
      </c>
      <c r="R209" s="149"/>
      <c r="S209" s="149" t="s">
        <v>19</v>
      </c>
      <c r="T209" s="153"/>
      <c r="U209" s="149"/>
      <c r="V209" s="176"/>
      <c r="W209" s="153"/>
      <c r="X209" s="149"/>
    </row>
    <row r="210" spans="1:24" s="120" customFormat="1" ht="38.25" thickBot="1" x14ac:dyDescent="0.35">
      <c r="A210" s="146"/>
      <c r="B210" s="146" t="s">
        <v>376</v>
      </c>
      <c r="C210" s="147"/>
      <c r="D210" s="148">
        <f>C210*14</f>
        <v>0</v>
      </c>
      <c r="E210" s="149">
        <f t="shared" si="44"/>
        <v>0</v>
      </c>
      <c r="F210" s="156">
        <f t="shared" si="45"/>
        <v>0</v>
      </c>
      <c r="G210" s="147">
        <f t="shared" si="46"/>
        <v>0</v>
      </c>
      <c r="H210" s="151" t="s">
        <v>18</v>
      </c>
      <c r="I210" s="147">
        <f t="shared" si="47"/>
        <v>0</v>
      </c>
      <c r="J210" s="149" t="s">
        <v>19</v>
      </c>
      <c r="K210" s="149"/>
      <c r="L210" s="149"/>
      <c r="M210" s="158">
        <f t="shared" si="48"/>
        <v>0</v>
      </c>
      <c r="N210" s="149"/>
      <c r="O210" s="149"/>
      <c r="P210" s="149"/>
      <c r="Q210" s="145" t="s">
        <v>18</v>
      </c>
      <c r="R210" s="149"/>
      <c r="S210" s="149" t="s">
        <v>19</v>
      </c>
      <c r="T210" s="153"/>
      <c r="U210" s="149"/>
      <c r="V210" s="176"/>
      <c r="W210" s="153"/>
      <c r="X210" s="149"/>
    </row>
    <row r="211" spans="1:24" s="120" customFormat="1" ht="38.25" thickBot="1" x14ac:dyDescent="0.35">
      <c r="A211" s="146"/>
      <c r="B211" s="146" t="s">
        <v>377</v>
      </c>
      <c r="C211" s="147"/>
      <c r="D211" s="148">
        <f>C211*14</f>
        <v>0</v>
      </c>
      <c r="E211" s="149">
        <f t="shared" si="44"/>
        <v>0</v>
      </c>
      <c r="F211" s="156">
        <f t="shared" si="45"/>
        <v>0</v>
      </c>
      <c r="G211" s="147">
        <f t="shared" si="46"/>
        <v>0</v>
      </c>
      <c r="H211" s="151" t="s">
        <v>18</v>
      </c>
      <c r="I211" s="147">
        <f t="shared" si="47"/>
        <v>0</v>
      </c>
      <c r="J211" s="149" t="s">
        <v>19</v>
      </c>
      <c r="K211" s="149"/>
      <c r="L211" s="149"/>
      <c r="M211" s="158">
        <f t="shared" si="48"/>
        <v>0</v>
      </c>
      <c r="N211" s="149"/>
      <c r="O211" s="149"/>
      <c r="P211" s="149"/>
      <c r="Q211" s="145" t="s">
        <v>18</v>
      </c>
      <c r="R211" s="149"/>
      <c r="S211" s="149" t="s">
        <v>19</v>
      </c>
      <c r="T211" s="153"/>
      <c r="U211" s="149"/>
      <c r="V211" s="176"/>
      <c r="W211" s="153"/>
      <c r="X211" s="149"/>
    </row>
    <row r="212" spans="1:24" s="120" customFormat="1" ht="38.25" thickBot="1" x14ac:dyDescent="0.35">
      <c r="A212" s="146"/>
      <c r="B212" s="146" t="s">
        <v>379</v>
      </c>
      <c r="C212" s="147"/>
      <c r="D212" s="148">
        <f>C212*12</f>
        <v>0</v>
      </c>
      <c r="E212" s="149">
        <f>D212*0.26</f>
        <v>0</v>
      </c>
      <c r="F212" s="156">
        <f>E212*1.03*0.99/147</f>
        <v>0</v>
      </c>
      <c r="G212" s="147">
        <f>INT(M212)</f>
        <v>0</v>
      </c>
      <c r="H212" s="151" t="s">
        <v>18</v>
      </c>
      <c r="I212" s="147">
        <f>(M212-G212)*64</f>
        <v>0</v>
      </c>
      <c r="J212" s="149" t="s">
        <v>19</v>
      </c>
      <c r="K212" s="149"/>
      <c r="L212" s="149"/>
      <c r="M212" s="158">
        <f t="shared" si="48"/>
        <v>0</v>
      </c>
      <c r="N212" s="149"/>
      <c r="O212" s="149"/>
      <c r="P212" s="149"/>
      <c r="Q212" s="145" t="s">
        <v>18</v>
      </c>
      <c r="R212" s="149"/>
      <c r="S212" s="149" t="s">
        <v>19</v>
      </c>
      <c r="T212" s="153"/>
      <c r="U212" s="149"/>
      <c r="V212" s="176"/>
      <c r="W212" s="153"/>
      <c r="X212" s="149"/>
    </row>
    <row r="213" spans="1:24" s="120" customFormat="1" ht="38.25" thickBot="1" x14ac:dyDescent="0.35">
      <c r="A213" s="146"/>
      <c r="B213" s="146" t="s">
        <v>380</v>
      </c>
      <c r="C213" s="147"/>
      <c r="D213" s="148">
        <f>C213*12</f>
        <v>0</v>
      </c>
      <c r="E213" s="149">
        <f>D213*0.26</f>
        <v>0</v>
      </c>
      <c r="F213" s="156">
        <f>E213*1.03*0.99/147</f>
        <v>0</v>
      </c>
      <c r="G213" s="147">
        <f>INT(M213)</f>
        <v>0</v>
      </c>
      <c r="H213" s="151" t="s">
        <v>18</v>
      </c>
      <c r="I213" s="147">
        <f>(M213-G213)*64</f>
        <v>0</v>
      </c>
      <c r="J213" s="149" t="s">
        <v>19</v>
      </c>
      <c r="K213" s="149"/>
      <c r="L213" s="149"/>
      <c r="M213" s="158">
        <f t="shared" si="48"/>
        <v>0</v>
      </c>
      <c r="N213" s="149"/>
      <c r="O213" s="149"/>
      <c r="P213" s="149"/>
      <c r="Q213" s="145" t="s">
        <v>18</v>
      </c>
      <c r="R213" s="149"/>
      <c r="S213" s="149" t="s">
        <v>19</v>
      </c>
      <c r="T213" s="153"/>
      <c r="U213" s="149"/>
      <c r="V213" s="176"/>
      <c r="W213" s="153"/>
      <c r="X213" s="149"/>
    </row>
    <row r="214" spans="1:24" s="20" customFormat="1" ht="38.25" thickBot="1" x14ac:dyDescent="0.35">
      <c r="A214" s="41"/>
      <c r="B214" s="41" t="s">
        <v>239</v>
      </c>
      <c r="C214" s="42"/>
      <c r="D214" s="43">
        <f>C214*16</f>
        <v>0</v>
      </c>
      <c r="E214" s="40">
        <f>D214*0.34</f>
        <v>0</v>
      </c>
      <c r="F214" s="50">
        <f t="shared" si="45"/>
        <v>0</v>
      </c>
      <c r="G214" s="42">
        <f t="shared" si="46"/>
        <v>0</v>
      </c>
      <c r="H214" s="45" t="s">
        <v>18</v>
      </c>
      <c r="I214" s="42">
        <f t="shared" si="47"/>
        <v>0</v>
      </c>
      <c r="J214" s="40" t="s">
        <v>19</v>
      </c>
      <c r="K214" s="40"/>
      <c r="L214" s="40"/>
      <c r="M214" s="52">
        <f t="shared" si="48"/>
        <v>0</v>
      </c>
      <c r="N214" s="40"/>
      <c r="O214" s="40"/>
      <c r="P214" s="40"/>
      <c r="Q214" s="14" t="s">
        <v>18</v>
      </c>
      <c r="R214" s="40"/>
      <c r="S214" s="40" t="s">
        <v>19</v>
      </c>
      <c r="T214" s="47"/>
      <c r="U214" s="40"/>
      <c r="V214" s="176"/>
      <c r="W214" s="47"/>
      <c r="X214" s="40"/>
    </row>
    <row r="215" spans="1:24" s="20" customFormat="1" ht="38.25" thickBot="1" x14ac:dyDescent="0.35">
      <c r="A215" s="41"/>
      <c r="B215" s="41" t="s">
        <v>238</v>
      </c>
      <c r="C215" s="42"/>
      <c r="D215" s="43">
        <f>C215*16</f>
        <v>0</v>
      </c>
      <c r="E215" s="40">
        <f>D215*0.34</f>
        <v>0</v>
      </c>
      <c r="F215" s="50">
        <f t="shared" si="45"/>
        <v>0</v>
      </c>
      <c r="G215" s="42">
        <f t="shared" si="46"/>
        <v>0</v>
      </c>
      <c r="H215" s="45" t="s">
        <v>18</v>
      </c>
      <c r="I215" s="42">
        <f t="shared" si="47"/>
        <v>0</v>
      </c>
      <c r="J215" s="40" t="s">
        <v>19</v>
      </c>
      <c r="K215" s="40"/>
      <c r="L215" s="40"/>
      <c r="M215" s="52">
        <f t="shared" si="48"/>
        <v>0</v>
      </c>
      <c r="N215" s="40"/>
      <c r="O215" s="40"/>
      <c r="P215" s="40"/>
      <c r="Q215" s="14" t="s">
        <v>18</v>
      </c>
      <c r="R215" s="40"/>
      <c r="S215" s="40" t="s">
        <v>19</v>
      </c>
      <c r="T215" s="47"/>
      <c r="U215" s="40"/>
      <c r="V215" s="176"/>
      <c r="W215" s="47"/>
      <c r="X215" s="40"/>
    </row>
    <row r="216" spans="1:24" s="20" customFormat="1" ht="19.5" thickBot="1" x14ac:dyDescent="0.35">
      <c r="A216" s="41"/>
      <c r="B216" s="41" t="s">
        <v>374</v>
      </c>
      <c r="C216" s="42"/>
      <c r="D216" s="43">
        <f>C216*14</f>
        <v>0</v>
      </c>
      <c r="E216" s="64">
        <f>D216*0.25</f>
        <v>0</v>
      </c>
      <c r="F216" s="50">
        <f t="shared" si="45"/>
        <v>0</v>
      </c>
      <c r="G216" s="42">
        <f t="shared" si="46"/>
        <v>0</v>
      </c>
      <c r="H216" s="14" t="s">
        <v>18</v>
      </c>
      <c r="I216" s="42">
        <f t="shared" si="47"/>
        <v>0</v>
      </c>
      <c r="J216" s="14" t="s">
        <v>19</v>
      </c>
      <c r="K216" s="40"/>
      <c r="L216" s="40"/>
      <c r="M216" s="52">
        <f>(F216*7000)/2880</f>
        <v>0</v>
      </c>
      <c r="N216" s="40"/>
      <c r="O216" s="40"/>
      <c r="P216" s="40"/>
      <c r="Q216" s="14" t="s">
        <v>18</v>
      </c>
      <c r="R216" s="40"/>
      <c r="S216" s="40" t="s">
        <v>19</v>
      </c>
      <c r="T216" s="47"/>
      <c r="U216" s="40">
        <f>E216/390*60</f>
        <v>0</v>
      </c>
      <c r="V216" s="176"/>
      <c r="W216" s="47"/>
      <c r="X216" s="40"/>
    </row>
    <row r="217" spans="1:24" s="20" customFormat="1" ht="38.25" thickBot="1" x14ac:dyDescent="0.35">
      <c r="A217" s="41"/>
      <c r="B217" s="41" t="s">
        <v>375</v>
      </c>
      <c r="C217" s="42"/>
      <c r="D217" s="43">
        <f>C217*14</f>
        <v>0</v>
      </c>
      <c r="E217" s="64">
        <f>D217*0.25</f>
        <v>0</v>
      </c>
      <c r="F217" s="50">
        <f t="shared" si="45"/>
        <v>0</v>
      </c>
      <c r="G217" s="42">
        <f t="shared" si="46"/>
        <v>0</v>
      </c>
      <c r="H217" s="14" t="s">
        <v>18</v>
      </c>
      <c r="I217" s="42">
        <f t="shared" si="47"/>
        <v>0</v>
      </c>
      <c r="J217" s="14" t="s">
        <v>19</v>
      </c>
      <c r="K217" s="40"/>
      <c r="L217" s="40"/>
      <c r="M217" s="52">
        <f>(F217*7000)/2880</f>
        <v>0</v>
      </c>
      <c r="N217" s="40"/>
      <c r="O217" s="40"/>
      <c r="P217" s="40"/>
      <c r="Q217" s="14" t="s">
        <v>18</v>
      </c>
      <c r="R217" s="40"/>
      <c r="S217" s="40" t="s">
        <v>19</v>
      </c>
      <c r="T217" s="47"/>
      <c r="U217" s="40">
        <f>E217/390*60</f>
        <v>0</v>
      </c>
      <c r="V217" s="176"/>
      <c r="W217" s="47"/>
      <c r="X217" s="40"/>
    </row>
    <row r="218" spans="1:24" s="20" customFormat="1" ht="19.5" thickBot="1" x14ac:dyDescent="0.35">
      <c r="A218" s="41"/>
      <c r="B218" s="41" t="s">
        <v>378</v>
      </c>
      <c r="C218" s="42"/>
      <c r="D218" s="43">
        <f>C218*12</f>
        <v>0</v>
      </c>
      <c r="E218" s="63">
        <f>D218*0.3</f>
        <v>0</v>
      </c>
      <c r="F218" s="50">
        <f t="shared" si="45"/>
        <v>0</v>
      </c>
      <c r="G218" s="42">
        <f>INT(M218)</f>
        <v>0</v>
      </c>
      <c r="H218" s="45" t="s">
        <v>18</v>
      </c>
      <c r="I218" s="42">
        <f>(M218-G218)*64</f>
        <v>0</v>
      </c>
      <c r="J218" s="40" t="s">
        <v>19</v>
      </c>
      <c r="K218" s="40"/>
      <c r="L218" s="40"/>
      <c r="M218" s="52">
        <f>(F218*5927)/2880</f>
        <v>0</v>
      </c>
      <c r="N218" s="40"/>
      <c r="O218" s="40"/>
      <c r="P218" s="40"/>
      <c r="Q218" s="14" t="s">
        <v>18</v>
      </c>
      <c r="R218" s="40"/>
      <c r="S218" s="40" t="s">
        <v>19</v>
      </c>
      <c r="T218" s="47"/>
      <c r="U218" s="40">
        <f>E218/403*60</f>
        <v>0</v>
      </c>
      <c r="V218" s="176"/>
      <c r="W218" s="47"/>
      <c r="X218" s="40"/>
    </row>
    <row r="219" spans="1:24" s="20" customFormat="1" ht="19.5" thickBot="1" x14ac:dyDescent="0.35">
      <c r="A219" s="41"/>
      <c r="B219" s="41" t="s">
        <v>571</v>
      </c>
      <c r="C219" s="42"/>
      <c r="D219" s="43">
        <f>C219*12</f>
        <v>0</v>
      </c>
      <c r="E219" s="63">
        <f>D219*0.25</f>
        <v>0</v>
      </c>
      <c r="F219" s="50">
        <f t="shared" si="45"/>
        <v>0</v>
      </c>
      <c r="G219" s="42">
        <f>INT(M219)</f>
        <v>0</v>
      </c>
      <c r="H219" s="45" t="s">
        <v>18</v>
      </c>
      <c r="I219" s="42">
        <f>(M219-G219)*64</f>
        <v>0</v>
      </c>
      <c r="J219" s="40" t="s">
        <v>19</v>
      </c>
      <c r="K219" s="40"/>
      <c r="L219" s="40"/>
      <c r="M219" s="52">
        <f>(F219*5927)/2880</f>
        <v>0</v>
      </c>
      <c r="N219" s="40"/>
      <c r="O219" s="40"/>
      <c r="P219" s="40"/>
      <c r="Q219" s="14" t="s">
        <v>18</v>
      </c>
      <c r="R219" s="40"/>
      <c r="S219" s="40" t="s">
        <v>19</v>
      </c>
      <c r="T219" s="47"/>
      <c r="U219" s="40">
        <f>E219/403*60</f>
        <v>0</v>
      </c>
      <c r="V219" s="176"/>
      <c r="W219" s="47"/>
      <c r="X219" s="40"/>
    </row>
    <row r="220" spans="1:24" s="20" customFormat="1" ht="19.5" thickBot="1" x14ac:dyDescent="0.35">
      <c r="A220" s="41"/>
      <c r="B220" s="41"/>
      <c r="C220" s="42"/>
      <c r="D220" s="43"/>
      <c r="E220" s="63"/>
      <c r="F220" s="50"/>
      <c r="G220" s="42"/>
      <c r="H220" s="45"/>
      <c r="I220" s="42"/>
      <c r="J220" s="40"/>
      <c r="K220" s="40"/>
      <c r="L220" s="40"/>
      <c r="M220" s="52"/>
      <c r="N220" s="40"/>
      <c r="O220" s="40"/>
      <c r="P220" s="40"/>
      <c r="Q220" s="14"/>
      <c r="R220" s="40"/>
      <c r="S220" s="40"/>
      <c r="T220" s="47"/>
      <c r="U220" s="40"/>
      <c r="V220" s="176"/>
      <c r="W220" s="47"/>
      <c r="X220" s="40"/>
    </row>
    <row r="221" spans="1:24" s="20" customFormat="1" ht="19.5" thickBot="1" x14ac:dyDescent="0.35">
      <c r="A221" s="41"/>
      <c r="B221" s="41" t="s">
        <v>114</v>
      </c>
      <c r="C221" s="42"/>
      <c r="D221" s="43">
        <f t="shared" ref="D221:D229" si="49">C221*12</f>
        <v>0</v>
      </c>
      <c r="E221" s="40">
        <f>D221*0.25</f>
        <v>0</v>
      </c>
      <c r="F221" s="50">
        <f t="shared" si="45"/>
        <v>0</v>
      </c>
      <c r="G221" s="42">
        <f t="shared" ref="G221:G240" si="50">INT(M221)</f>
        <v>0</v>
      </c>
      <c r="H221" s="45" t="s">
        <v>18</v>
      </c>
      <c r="I221" s="42">
        <f t="shared" ref="I221:I240" si="51">(M221-G221)*64</f>
        <v>0</v>
      </c>
      <c r="J221" s="40" t="s">
        <v>19</v>
      </c>
      <c r="K221" s="40"/>
      <c r="L221" s="40"/>
      <c r="M221" s="52">
        <f>(F221*6966)/2880</f>
        <v>0</v>
      </c>
      <c r="N221" s="40"/>
      <c r="O221" s="40"/>
      <c r="P221" s="40"/>
      <c r="Q221" s="14" t="s">
        <v>18</v>
      </c>
      <c r="R221" s="40"/>
      <c r="S221" s="40" t="s">
        <v>19</v>
      </c>
      <c r="T221" s="47"/>
      <c r="U221" s="40">
        <f>E221/226*60</f>
        <v>0</v>
      </c>
      <c r="V221" s="176"/>
      <c r="W221" s="47"/>
      <c r="X221" s="40"/>
    </row>
    <row r="222" spans="1:24" s="299" customFormat="1" ht="26.25" customHeight="1" thickBot="1" x14ac:dyDescent="0.35">
      <c r="A222" s="41"/>
      <c r="B222" s="41" t="s">
        <v>601</v>
      </c>
      <c r="C222" s="42"/>
      <c r="D222" s="43">
        <f>C222*12</f>
        <v>0</v>
      </c>
      <c r="E222" s="40">
        <f>D222*0.25</f>
        <v>0</v>
      </c>
      <c r="F222" s="50">
        <f>E222*1.03*0.99/147</f>
        <v>0</v>
      </c>
      <c r="G222" s="42">
        <f>INT(M222)</f>
        <v>0</v>
      </c>
      <c r="H222" s="45" t="s">
        <v>18</v>
      </c>
      <c r="I222" s="42">
        <f>(M222-G222)*64</f>
        <v>0</v>
      </c>
      <c r="J222" s="40" t="s">
        <v>19</v>
      </c>
      <c r="K222" s="40"/>
      <c r="L222" s="40"/>
      <c r="M222" s="40">
        <f>(F222*6869)/2880</f>
        <v>0</v>
      </c>
      <c r="N222" s="40"/>
      <c r="O222" s="40"/>
      <c r="P222" s="40"/>
      <c r="Q222" s="14" t="s">
        <v>18</v>
      </c>
      <c r="R222" s="40"/>
      <c r="S222" s="40" t="s">
        <v>19</v>
      </c>
      <c r="T222" s="47"/>
      <c r="U222" s="40">
        <f>E222/226*60</f>
        <v>0</v>
      </c>
      <c r="V222" s="176"/>
      <c r="W222" s="47"/>
      <c r="X222" s="40"/>
    </row>
    <row r="223" spans="1:24" s="289" customFormat="1" ht="38.25" thickBot="1" x14ac:dyDescent="0.35">
      <c r="A223" s="141"/>
      <c r="B223" s="141" t="s">
        <v>366</v>
      </c>
      <c r="C223" s="282"/>
      <c r="D223" s="283">
        <f t="shared" si="49"/>
        <v>0</v>
      </c>
      <c r="E223" s="117">
        <f>D223*0.25</f>
        <v>0</v>
      </c>
      <c r="F223" s="284">
        <f>E223*1.06*0.99/140</f>
        <v>0</v>
      </c>
      <c r="G223" s="282">
        <f t="shared" si="50"/>
        <v>0</v>
      </c>
      <c r="H223" s="285" t="s">
        <v>18</v>
      </c>
      <c r="I223" s="282">
        <f t="shared" si="51"/>
        <v>0</v>
      </c>
      <c r="J223" s="117" t="s">
        <v>19</v>
      </c>
      <c r="K223" s="117"/>
      <c r="L223" s="117"/>
      <c r="M223" s="117">
        <f>(F223*6484)/2880</f>
        <v>0</v>
      </c>
      <c r="N223" s="117"/>
      <c r="O223" s="117"/>
      <c r="P223" s="117"/>
      <c r="Q223" s="286" t="s">
        <v>18</v>
      </c>
      <c r="R223" s="117"/>
      <c r="S223" s="117" t="s">
        <v>19</v>
      </c>
      <c r="T223" s="287"/>
      <c r="U223" s="117">
        <f>E223/226*60</f>
        <v>0</v>
      </c>
      <c r="V223" s="288"/>
      <c r="W223" s="287"/>
      <c r="X223" s="117"/>
    </row>
    <row r="224" spans="1:24" s="289" customFormat="1" ht="38.25" thickBot="1" x14ac:dyDescent="0.35">
      <c r="A224" s="141"/>
      <c r="B224" s="141" t="s">
        <v>367</v>
      </c>
      <c r="C224" s="282"/>
      <c r="D224" s="283">
        <f t="shared" si="49"/>
        <v>0</v>
      </c>
      <c r="E224" s="117">
        <f>D224*0.25</f>
        <v>0</v>
      </c>
      <c r="F224" s="284">
        <f>E224*1.06*0.99/140</f>
        <v>0</v>
      </c>
      <c r="G224" s="282">
        <f t="shared" si="50"/>
        <v>0</v>
      </c>
      <c r="H224" s="285" t="s">
        <v>18</v>
      </c>
      <c r="I224" s="282">
        <f t="shared" si="51"/>
        <v>0</v>
      </c>
      <c r="J224" s="117" t="s">
        <v>19</v>
      </c>
      <c r="K224" s="117"/>
      <c r="L224" s="117"/>
      <c r="M224" s="117">
        <f>(F224*6484)/2880</f>
        <v>0</v>
      </c>
      <c r="N224" s="117"/>
      <c r="O224" s="117"/>
      <c r="P224" s="117"/>
      <c r="Q224" s="286" t="s">
        <v>18</v>
      </c>
      <c r="R224" s="117"/>
      <c r="S224" s="117" t="s">
        <v>19</v>
      </c>
      <c r="T224" s="287"/>
      <c r="U224" s="117">
        <f>E224/226*60</f>
        <v>0</v>
      </c>
      <c r="V224" s="288"/>
      <c r="W224" s="287"/>
      <c r="X224" s="117"/>
    </row>
    <row r="225" spans="1:24" s="289" customFormat="1" ht="36" customHeight="1" thickBot="1" x14ac:dyDescent="0.35">
      <c r="A225" s="141"/>
      <c r="B225" s="141" t="s">
        <v>599</v>
      </c>
      <c r="C225" s="282"/>
      <c r="D225" s="283">
        <f t="shared" si="49"/>
        <v>0</v>
      </c>
      <c r="E225" s="285">
        <f>C225*4</f>
        <v>0</v>
      </c>
      <c r="F225" s="284">
        <f>E225*1.05*1/140</f>
        <v>0</v>
      </c>
      <c r="G225" s="282">
        <f t="shared" si="50"/>
        <v>0</v>
      </c>
      <c r="H225" s="285" t="s">
        <v>18</v>
      </c>
      <c r="I225" s="282">
        <f t="shared" si="51"/>
        <v>0</v>
      </c>
      <c r="J225" s="117" t="s">
        <v>19</v>
      </c>
      <c r="K225" s="117"/>
      <c r="L225" s="117"/>
      <c r="M225" s="295">
        <f>F225*5431/2880</f>
        <v>0</v>
      </c>
      <c r="N225" s="117"/>
      <c r="O225" s="117"/>
      <c r="P225" s="117"/>
      <c r="Q225" s="286" t="s">
        <v>18</v>
      </c>
      <c r="R225" s="117"/>
      <c r="S225" s="117" t="s">
        <v>19</v>
      </c>
      <c r="T225" s="287"/>
      <c r="U225" s="117">
        <f>E225/237*60</f>
        <v>0</v>
      </c>
      <c r="V225" s="288"/>
      <c r="W225" s="287"/>
      <c r="X225" s="117"/>
    </row>
    <row r="226" spans="1:24" s="20" customFormat="1" ht="19.5" thickBot="1" x14ac:dyDescent="0.35">
      <c r="A226" s="41"/>
      <c r="B226" s="41" t="s">
        <v>370</v>
      </c>
      <c r="C226" s="42"/>
      <c r="D226" s="43">
        <f t="shared" si="49"/>
        <v>0</v>
      </c>
      <c r="E226" s="40">
        <f>D226*0.26</f>
        <v>0</v>
      </c>
      <c r="F226" s="50">
        <f t="shared" ref="F226:F240" si="52">E226*1.03*0.99/147</f>
        <v>0</v>
      </c>
      <c r="G226" s="42">
        <f t="shared" si="50"/>
        <v>0</v>
      </c>
      <c r="H226" s="45" t="s">
        <v>18</v>
      </c>
      <c r="I226" s="42">
        <f t="shared" si="51"/>
        <v>0</v>
      </c>
      <c r="J226" s="40" t="s">
        <v>19</v>
      </c>
      <c r="K226" s="40"/>
      <c r="L226" s="40"/>
      <c r="M226" s="52">
        <f>(F226*6743)/2880</f>
        <v>0</v>
      </c>
      <c r="N226" s="40"/>
      <c r="O226" s="40"/>
      <c r="P226" s="40"/>
      <c r="Q226" s="14" t="s">
        <v>18</v>
      </c>
      <c r="R226" s="40"/>
      <c r="S226" s="40" t="s">
        <v>19</v>
      </c>
      <c r="T226" s="47"/>
      <c r="U226" s="40">
        <f>E226/237*60</f>
        <v>0</v>
      </c>
      <c r="V226" s="176"/>
      <c r="W226" s="47"/>
      <c r="X226" s="40"/>
    </row>
    <row r="227" spans="1:24" s="20" customFormat="1" ht="19.5" thickBot="1" x14ac:dyDescent="0.35">
      <c r="A227" s="41"/>
      <c r="B227" s="41" t="s">
        <v>371</v>
      </c>
      <c r="C227" s="42"/>
      <c r="D227" s="43">
        <f t="shared" si="49"/>
        <v>0</v>
      </c>
      <c r="E227" s="40">
        <f>D227*0.26</f>
        <v>0</v>
      </c>
      <c r="F227" s="50">
        <f t="shared" si="52"/>
        <v>0</v>
      </c>
      <c r="G227" s="42">
        <f t="shared" si="50"/>
        <v>0</v>
      </c>
      <c r="H227" s="45" t="s">
        <v>18</v>
      </c>
      <c r="I227" s="42">
        <f t="shared" si="51"/>
        <v>0</v>
      </c>
      <c r="J227" s="40" t="s">
        <v>19</v>
      </c>
      <c r="K227" s="40"/>
      <c r="L227" s="40"/>
      <c r="M227" s="52">
        <f>(F227*6743)/2880</f>
        <v>0</v>
      </c>
      <c r="N227" s="40"/>
      <c r="O227" s="40"/>
      <c r="P227" s="40"/>
      <c r="Q227" s="14" t="s">
        <v>18</v>
      </c>
      <c r="R227" s="40"/>
      <c r="S227" s="40" t="s">
        <v>19</v>
      </c>
      <c r="T227" s="47"/>
      <c r="U227" s="40">
        <f>E227/237*60</f>
        <v>0</v>
      </c>
      <c r="V227" s="176"/>
      <c r="W227" s="47"/>
      <c r="X227" s="40"/>
    </row>
    <row r="228" spans="1:24" s="20" customFormat="1" ht="19.5" thickBot="1" x14ac:dyDescent="0.35">
      <c r="A228" s="41"/>
      <c r="B228" s="41" t="s">
        <v>369</v>
      </c>
      <c r="C228" s="42"/>
      <c r="D228" s="43">
        <f t="shared" si="49"/>
        <v>0</v>
      </c>
      <c r="E228" s="40">
        <f>D228*0.26</f>
        <v>0</v>
      </c>
      <c r="F228" s="50">
        <f t="shared" si="52"/>
        <v>0</v>
      </c>
      <c r="G228" s="42">
        <f t="shared" si="50"/>
        <v>0</v>
      </c>
      <c r="H228" s="45" t="s">
        <v>18</v>
      </c>
      <c r="I228" s="42">
        <f t="shared" si="51"/>
        <v>0</v>
      </c>
      <c r="J228" s="40" t="s">
        <v>19</v>
      </c>
      <c r="K228" s="40"/>
      <c r="L228" s="40"/>
      <c r="M228" s="52">
        <f>(F228*6743)/2880</f>
        <v>0</v>
      </c>
      <c r="N228" s="40"/>
      <c r="O228" s="40"/>
      <c r="P228" s="40"/>
      <c r="Q228" s="14" t="s">
        <v>18</v>
      </c>
      <c r="R228" s="40"/>
      <c r="S228" s="40" t="s">
        <v>19</v>
      </c>
      <c r="T228" s="47"/>
      <c r="U228" s="40">
        <f>E228/237*60</f>
        <v>0</v>
      </c>
      <c r="V228" s="176"/>
      <c r="W228" s="47"/>
      <c r="X228" s="40"/>
    </row>
    <row r="229" spans="1:24" s="20" customFormat="1" ht="19.5" thickBot="1" x14ac:dyDescent="0.35">
      <c r="A229" s="41"/>
      <c r="B229" s="41" t="s">
        <v>368</v>
      </c>
      <c r="C229" s="42"/>
      <c r="D229" s="43">
        <f t="shared" si="49"/>
        <v>0</v>
      </c>
      <c r="E229" s="64">
        <f>D229*0.25</f>
        <v>0</v>
      </c>
      <c r="F229" s="50">
        <f t="shared" si="52"/>
        <v>0</v>
      </c>
      <c r="G229" s="42">
        <f t="shared" si="50"/>
        <v>0</v>
      </c>
      <c r="H229" s="14" t="s">
        <v>18</v>
      </c>
      <c r="I229" s="42">
        <f t="shared" si="51"/>
        <v>0</v>
      </c>
      <c r="J229" s="14" t="s">
        <v>19</v>
      </c>
      <c r="K229" s="40"/>
      <c r="L229" s="40"/>
      <c r="M229" s="52">
        <f>(F229*7000)/2880</f>
        <v>0</v>
      </c>
      <c r="N229" s="40"/>
      <c r="O229" s="40"/>
      <c r="P229" s="40"/>
      <c r="Q229" s="14" t="s">
        <v>18</v>
      </c>
      <c r="R229" s="40"/>
      <c r="S229" s="40" t="s">
        <v>19</v>
      </c>
      <c r="T229" s="47"/>
      <c r="U229" s="40">
        <f>E229/390*60</f>
        <v>0</v>
      </c>
      <c r="V229" s="176"/>
      <c r="W229" s="47"/>
      <c r="X229" s="40"/>
    </row>
    <row r="230" spans="1:24" s="20" customFormat="1" ht="19.5" thickBot="1" x14ac:dyDescent="0.35">
      <c r="A230" s="41"/>
      <c r="B230" s="41" t="s">
        <v>365</v>
      </c>
      <c r="C230" s="42"/>
      <c r="D230" s="43">
        <f>C230*14</f>
        <v>0</v>
      </c>
      <c r="E230" s="40">
        <f>D230*0.2</f>
        <v>0</v>
      </c>
      <c r="F230" s="50">
        <f t="shared" si="52"/>
        <v>0</v>
      </c>
      <c r="G230" s="42">
        <f t="shared" si="50"/>
        <v>0</v>
      </c>
      <c r="H230" s="45" t="s">
        <v>18</v>
      </c>
      <c r="I230" s="42">
        <f t="shared" si="51"/>
        <v>0</v>
      </c>
      <c r="J230" s="40" t="s">
        <v>19</v>
      </c>
      <c r="K230" s="40"/>
      <c r="L230" s="40"/>
      <c r="M230" s="46">
        <f>F230*8698/2880</f>
        <v>0</v>
      </c>
      <c r="N230" s="40"/>
      <c r="O230" s="40"/>
      <c r="P230" s="40"/>
      <c r="Q230" s="14" t="s">
        <v>18</v>
      </c>
      <c r="R230" s="40"/>
      <c r="S230" s="40" t="s">
        <v>19</v>
      </c>
      <c r="T230" s="47"/>
      <c r="U230" s="40">
        <f>E230/259*60</f>
        <v>0</v>
      </c>
      <c r="V230" s="176"/>
      <c r="W230" s="47"/>
      <c r="X230" s="40"/>
    </row>
    <row r="231" spans="1:24" s="20" customFormat="1" ht="19.5" thickBot="1" x14ac:dyDescent="0.35">
      <c r="A231" s="41"/>
      <c r="B231" s="41" t="s">
        <v>600</v>
      </c>
      <c r="C231" s="42"/>
      <c r="D231" s="43">
        <f t="shared" ref="D231:D237" si="53">C231*12</f>
        <v>0</v>
      </c>
      <c r="E231" s="45">
        <f>D231*0.26</f>
        <v>0</v>
      </c>
      <c r="F231" s="50">
        <f t="shared" si="52"/>
        <v>0</v>
      </c>
      <c r="G231" s="42">
        <f t="shared" si="50"/>
        <v>0</v>
      </c>
      <c r="H231" s="45" t="s">
        <v>18</v>
      </c>
      <c r="I231" s="42">
        <f t="shared" si="51"/>
        <v>0</v>
      </c>
      <c r="J231" s="40" t="s">
        <v>19</v>
      </c>
      <c r="K231" s="40"/>
      <c r="L231" s="40"/>
      <c r="M231" s="52">
        <f>(F231*6966)/2880</f>
        <v>0</v>
      </c>
      <c r="N231" s="40"/>
      <c r="O231" s="40"/>
      <c r="P231" s="40"/>
      <c r="Q231" s="14" t="s">
        <v>18</v>
      </c>
      <c r="R231" s="40"/>
      <c r="S231" s="40" t="s">
        <v>19</v>
      </c>
      <c r="T231" s="47"/>
      <c r="U231" s="40">
        <f>E231/237*60</f>
        <v>0</v>
      </c>
      <c r="V231" s="176"/>
      <c r="W231" s="47"/>
      <c r="X231" s="40"/>
    </row>
    <row r="232" spans="1:24" s="20" customFormat="1" ht="19.5" thickBot="1" x14ac:dyDescent="0.35">
      <c r="A232" s="41"/>
      <c r="B232" s="41" t="s">
        <v>111</v>
      </c>
      <c r="C232" s="42"/>
      <c r="D232" s="43">
        <f t="shared" si="53"/>
        <v>0</v>
      </c>
      <c r="E232" s="45">
        <f t="shared" ref="E232:E237" si="54">D232*0.25</f>
        <v>0</v>
      </c>
      <c r="F232" s="50">
        <f t="shared" si="52"/>
        <v>0</v>
      </c>
      <c r="G232" s="42">
        <f t="shared" si="50"/>
        <v>0</v>
      </c>
      <c r="H232" s="45" t="s">
        <v>18</v>
      </c>
      <c r="I232" s="42">
        <f t="shared" si="51"/>
        <v>0</v>
      </c>
      <c r="J232" s="40" t="s">
        <v>19</v>
      </c>
      <c r="K232" s="40"/>
      <c r="L232" s="40"/>
      <c r="M232" s="52">
        <f>(F232*6966)/2880</f>
        <v>0</v>
      </c>
      <c r="N232" s="40"/>
      <c r="O232" s="40"/>
      <c r="P232" s="40"/>
      <c r="Q232" s="14" t="s">
        <v>18</v>
      </c>
      <c r="R232" s="40"/>
      <c r="S232" s="40" t="s">
        <v>19</v>
      </c>
      <c r="T232" s="47"/>
      <c r="U232" s="40">
        <f t="shared" ref="U232:U237" si="55">E232/226*60</f>
        <v>0</v>
      </c>
      <c r="V232" s="176"/>
      <c r="W232" s="47"/>
      <c r="X232" s="40"/>
    </row>
    <row r="233" spans="1:24" s="20" customFormat="1" ht="19.5" thickBot="1" x14ac:dyDescent="0.35">
      <c r="A233" s="41"/>
      <c r="B233" s="41" t="s">
        <v>103</v>
      </c>
      <c r="C233" s="42"/>
      <c r="D233" s="43">
        <f t="shared" si="53"/>
        <v>0</v>
      </c>
      <c r="E233" s="45">
        <f t="shared" si="54"/>
        <v>0</v>
      </c>
      <c r="F233" s="50">
        <f t="shared" si="52"/>
        <v>0</v>
      </c>
      <c r="G233" s="42">
        <f t="shared" si="50"/>
        <v>0</v>
      </c>
      <c r="H233" s="14" t="s">
        <v>18</v>
      </c>
      <c r="I233" s="42">
        <f t="shared" si="51"/>
        <v>0</v>
      </c>
      <c r="J233" s="14" t="s">
        <v>19</v>
      </c>
      <c r="K233" s="40"/>
      <c r="L233" s="40"/>
      <c r="M233" s="52">
        <f>(F233*7000)/2880</f>
        <v>0</v>
      </c>
      <c r="N233" s="40"/>
      <c r="O233" s="40"/>
      <c r="P233" s="40"/>
      <c r="Q233" s="14" t="s">
        <v>18</v>
      </c>
      <c r="R233" s="40"/>
      <c r="S233" s="40" t="s">
        <v>19</v>
      </c>
      <c r="T233" s="47"/>
      <c r="U233" s="40">
        <f t="shared" si="55"/>
        <v>0</v>
      </c>
      <c r="V233" s="176"/>
      <c r="W233" s="47"/>
      <c r="X233" s="40"/>
    </row>
    <row r="234" spans="1:24" s="20" customFormat="1" ht="19.5" thickBot="1" x14ac:dyDescent="0.35">
      <c r="A234" s="41"/>
      <c r="B234" s="41" t="s">
        <v>104</v>
      </c>
      <c r="C234" s="42"/>
      <c r="D234" s="43">
        <f t="shared" si="53"/>
        <v>0</v>
      </c>
      <c r="E234" s="45">
        <f t="shared" si="54"/>
        <v>0</v>
      </c>
      <c r="F234" s="50">
        <f t="shared" si="52"/>
        <v>0</v>
      </c>
      <c r="G234" s="42">
        <f t="shared" si="50"/>
        <v>0</v>
      </c>
      <c r="H234" s="45" t="s">
        <v>18</v>
      </c>
      <c r="I234" s="42">
        <f t="shared" si="51"/>
        <v>0</v>
      </c>
      <c r="J234" s="40" t="s">
        <v>19</v>
      </c>
      <c r="K234" s="40"/>
      <c r="L234" s="40"/>
      <c r="M234" s="52">
        <f>(F234*6966)/2880</f>
        <v>0</v>
      </c>
      <c r="N234" s="40"/>
      <c r="O234" s="40"/>
      <c r="P234" s="40"/>
      <c r="Q234" s="14" t="s">
        <v>18</v>
      </c>
      <c r="R234" s="40"/>
      <c r="S234" s="40" t="s">
        <v>19</v>
      </c>
      <c r="T234" s="47"/>
      <c r="U234" s="40">
        <f t="shared" si="55"/>
        <v>0</v>
      </c>
      <c r="V234" s="176"/>
      <c r="W234" s="47"/>
      <c r="X234" s="40"/>
    </row>
    <row r="235" spans="1:24" s="20" customFormat="1" ht="19.5" thickBot="1" x14ac:dyDescent="0.35">
      <c r="A235" s="41"/>
      <c r="B235" s="41" t="s">
        <v>112</v>
      </c>
      <c r="C235" s="42"/>
      <c r="D235" s="43">
        <f t="shared" si="53"/>
        <v>0</v>
      </c>
      <c r="E235" s="45">
        <f t="shared" si="54"/>
        <v>0</v>
      </c>
      <c r="F235" s="50">
        <f t="shared" si="52"/>
        <v>0</v>
      </c>
      <c r="G235" s="42">
        <f t="shared" si="50"/>
        <v>0</v>
      </c>
      <c r="H235" s="45" t="s">
        <v>18</v>
      </c>
      <c r="I235" s="42">
        <f t="shared" si="51"/>
        <v>0</v>
      </c>
      <c r="J235" s="40" t="s">
        <v>19</v>
      </c>
      <c r="K235" s="40"/>
      <c r="L235" s="40"/>
      <c r="M235" s="52">
        <f>(F235*6966)/2880</f>
        <v>0</v>
      </c>
      <c r="N235" s="40"/>
      <c r="O235" s="40"/>
      <c r="P235" s="40"/>
      <c r="Q235" s="14" t="s">
        <v>18</v>
      </c>
      <c r="R235" s="40"/>
      <c r="S235" s="40" t="s">
        <v>19</v>
      </c>
      <c r="T235" s="47"/>
      <c r="U235" s="40">
        <f t="shared" si="55"/>
        <v>0</v>
      </c>
      <c r="V235" s="176"/>
      <c r="W235" s="47"/>
      <c r="X235" s="40"/>
    </row>
    <row r="236" spans="1:24" s="20" customFormat="1" ht="19.5" thickBot="1" x14ac:dyDescent="0.35">
      <c r="A236" s="41"/>
      <c r="B236" s="41" t="s">
        <v>105</v>
      </c>
      <c r="C236" s="42"/>
      <c r="D236" s="43">
        <f t="shared" si="53"/>
        <v>0</v>
      </c>
      <c r="E236" s="40">
        <f t="shared" si="54"/>
        <v>0</v>
      </c>
      <c r="F236" s="50">
        <f t="shared" si="52"/>
        <v>0</v>
      </c>
      <c r="G236" s="42">
        <f t="shared" si="50"/>
        <v>0</v>
      </c>
      <c r="H236" s="45" t="s">
        <v>18</v>
      </c>
      <c r="I236" s="42">
        <f t="shared" si="51"/>
        <v>0</v>
      </c>
      <c r="J236" s="40" t="s">
        <v>19</v>
      </c>
      <c r="K236" s="40"/>
      <c r="L236" s="40"/>
      <c r="M236" s="52">
        <f>(F236*6966)/2880</f>
        <v>0</v>
      </c>
      <c r="N236" s="40"/>
      <c r="O236" s="40"/>
      <c r="P236" s="40"/>
      <c r="Q236" s="14" t="s">
        <v>18</v>
      </c>
      <c r="R236" s="40"/>
      <c r="S236" s="40" t="s">
        <v>19</v>
      </c>
      <c r="T236" s="47"/>
      <c r="U236" s="40">
        <f t="shared" si="55"/>
        <v>0</v>
      </c>
      <c r="V236" s="176"/>
      <c r="W236" s="47"/>
      <c r="X236" s="40"/>
    </row>
    <row r="237" spans="1:24" s="20" customFormat="1" ht="19.5" thickBot="1" x14ac:dyDescent="0.35">
      <c r="A237" s="41"/>
      <c r="B237" s="41" t="s">
        <v>113</v>
      </c>
      <c r="C237" s="42"/>
      <c r="D237" s="43">
        <f t="shared" si="53"/>
        <v>0</v>
      </c>
      <c r="E237" s="40">
        <f t="shared" si="54"/>
        <v>0</v>
      </c>
      <c r="F237" s="50">
        <f t="shared" si="52"/>
        <v>0</v>
      </c>
      <c r="G237" s="42">
        <f t="shared" si="50"/>
        <v>0</v>
      </c>
      <c r="H237" s="45" t="s">
        <v>18</v>
      </c>
      <c r="I237" s="42">
        <f t="shared" si="51"/>
        <v>0</v>
      </c>
      <c r="J237" s="40" t="s">
        <v>19</v>
      </c>
      <c r="K237" s="40"/>
      <c r="L237" s="40"/>
      <c r="M237" s="52">
        <f>(F237*6966)/2880</f>
        <v>0</v>
      </c>
      <c r="N237" s="40"/>
      <c r="O237" s="40"/>
      <c r="P237" s="40"/>
      <c r="Q237" s="14" t="s">
        <v>18</v>
      </c>
      <c r="R237" s="40"/>
      <c r="S237" s="40" t="s">
        <v>19</v>
      </c>
      <c r="T237" s="47"/>
      <c r="U237" s="40">
        <f t="shared" si="55"/>
        <v>0</v>
      </c>
      <c r="V237" s="176"/>
      <c r="W237" s="47"/>
      <c r="X237" s="40"/>
    </row>
    <row r="238" spans="1:24" s="20" customFormat="1" ht="19.5" thickBot="1" x14ac:dyDescent="0.35">
      <c r="A238" s="41"/>
      <c r="B238" s="41" t="s">
        <v>373</v>
      </c>
      <c r="C238" s="42"/>
      <c r="D238" s="43">
        <f>C238*16</f>
        <v>0</v>
      </c>
      <c r="E238" s="40">
        <f>D238*0.34</f>
        <v>0</v>
      </c>
      <c r="F238" s="50">
        <f t="shared" si="52"/>
        <v>0</v>
      </c>
      <c r="G238" s="42">
        <f t="shared" si="50"/>
        <v>0</v>
      </c>
      <c r="H238" s="45" t="s">
        <v>18</v>
      </c>
      <c r="I238" s="42">
        <f t="shared" si="51"/>
        <v>0</v>
      </c>
      <c r="J238" s="40" t="s">
        <v>19</v>
      </c>
      <c r="K238" s="40"/>
      <c r="L238" s="40"/>
      <c r="M238" s="52">
        <f>(F238*5202)/2880</f>
        <v>0</v>
      </c>
      <c r="N238" s="40"/>
      <c r="O238" s="40"/>
      <c r="P238" s="40"/>
      <c r="Q238" s="14" t="s">
        <v>18</v>
      </c>
      <c r="R238" s="40"/>
      <c r="S238" s="40" t="s">
        <v>19</v>
      </c>
      <c r="T238" s="47"/>
      <c r="U238" s="40"/>
      <c r="V238" s="176"/>
      <c r="W238" s="47"/>
      <c r="X238" s="40"/>
    </row>
    <row r="239" spans="1:24" s="20" customFormat="1" ht="19.5" thickBot="1" x14ac:dyDescent="0.35">
      <c r="A239" s="41"/>
      <c r="B239" s="41" t="s">
        <v>372</v>
      </c>
      <c r="C239" s="42"/>
      <c r="D239" s="43">
        <f>C239*16</f>
        <v>0</v>
      </c>
      <c r="E239" s="40">
        <f>D239*0.34</f>
        <v>0</v>
      </c>
      <c r="F239" s="50">
        <f t="shared" si="52"/>
        <v>0</v>
      </c>
      <c r="G239" s="42">
        <f t="shared" si="50"/>
        <v>0</v>
      </c>
      <c r="H239" s="45" t="s">
        <v>18</v>
      </c>
      <c r="I239" s="42">
        <f t="shared" si="51"/>
        <v>0</v>
      </c>
      <c r="J239" s="40" t="s">
        <v>19</v>
      </c>
      <c r="K239" s="40"/>
      <c r="L239" s="40"/>
      <c r="M239" s="52">
        <f>(F239*5202)/2880</f>
        <v>0</v>
      </c>
      <c r="N239" s="40"/>
      <c r="O239" s="40"/>
      <c r="P239" s="40"/>
      <c r="Q239" s="14" t="s">
        <v>18</v>
      </c>
      <c r="R239" s="40"/>
      <c r="S239" s="40" t="s">
        <v>19</v>
      </c>
      <c r="T239" s="47"/>
      <c r="U239" s="40"/>
      <c r="V239" s="176"/>
      <c r="W239" s="47"/>
      <c r="X239" s="40"/>
    </row>
    <row r="240" spans="1:24" s="20" customFormat="1" ht="19.5" thickBot="1" x14ac:dyDescent="0.35">
      <c r="A240" s="41"/>
      <c r="B240" s="41" t="s">
        <v>101</v>
      </c>
      <c r="C240" s="42"/>
      <c r="D240" s="55">
        <f>C240*26</f>
        <v>0</v>
      </c>
      <c r="E240" s="56">
        <f>D240*0.13</f>
        <v>0</v>
      </c>
      <c r="F240" s="50">
        <f t="shared" si="52"/>
        <v>0</v>
      </c>
      <c r="G240" s="42">
        <f t="shared" si="50"/>
        <v>0</v>
      </c>
      <c r="H240" s="45" t="s">
        <v>18</v>
      </c>
      <c r="I240" s="42">
        <f t="shared" si="51"/>
        <v>0</v>
      </c>
      <c r="J240" s="40" t="s">
        <v>19</v>
      </c>
      <c r="K240" s="40"/>
      <c r="L240" s="40"/>
      <c r="M240" s="52">
        <f>(F240*6681)/2880</f>
        <v>0</v>
      </c>
      <c r="N240" s="40"/>
      <c r="O240" s="40"/>
      <c r="P240" s="40"/>
      <c r="Q240" s="45" t="s">
        <v>18</v>
      </c>
      <c r="R240" s="40"/>
      <c r="S240" s="40" t="s">
        <v>19</v>
      </c>
      <c r="T240" s="47"/>
      <c r="U240" s="40">
        <f>E240/237*60</f>
        <v>0</v>
      </c>
      <c r="V240" s="176"/>
      <c r="W240" s="47"/>
      <c r="X240" s="40"/>
    </row>
    <row r="241" spans="1:24" s="128" customFormat="1" ht="19.5" thickBot="1" x14ac:dyDescent="0.35">
      <c r="A241" s="129"/>
      <c r="B241" s="130" t="s">
        <v>288</v>
      </c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</row>
    <row r="242" spans="1:24" s="20" customFormat="1" ht="38.25" thickBot="1" x14ac:dyDescent="0.35">
      <c r="A242" s="41"/>
      <c r="B242" s="157" t="s">
        <v>349</v>
      </c>
      <c r="C242" s="42"/>
      <c r="D242" s="43">
        <f>C242*18</f>
        <v>0</v>
      </c>
      <c r="E242" s="40">
        <f>D242*0.2</f>
        <v>0</v>
      </c>
      <c r="F242" s="50">
        <f>E242*1.03*0.8/108</f>
        <v>0</v>
      </c>
      <c r="G242" s="42">
        <f>INT(M242)</f>
        <v>0</v>
      </c>
      <c r="H242" s="45" t="s">
        <v>18</v>
      </c>
      <c r="I242" s="42">
        <f>(M242-G242)*64</f>
        <v>0</v>
      </c>
      <c r="J242" s="40" t="s">
        <v>19</v>
      </c>
      <c r="K242" s="40"/>
      <c r="L242" s="40"/>
      <c r="M242" s="46">
        <f>F242*3949/3456</f>
        <v>0</v>
      </c>
      <c r="N242" s="40"/>
      <c r="O242" s="40"/>
      <c r="P242" s="40"/>
      <c r="Q242" s="45" t="s">
        <v>18</v>
      </c>
      <c r="R242" s="40"/>
      <c r="S242" s="40" t="s">
        <v>19</v>
      </c>
      <c r="T242" s="47"/>
      <c r="U242" s="40">
        <f>E242/220*60</f>
        <v>0</v>
      </c>
      <c r="V242" s="176"/>
      <c r="W242" s="47"/>
      <c r="X242" s="40"/>
    </row>
    <row r="243" spans="1:24" s="20" customFormat="1" ht="19.5" thickBot="1" x14ac:dyDescent="0.35">
      <c r="A243" s="41"/>
      <c r="B243" s="41" t="s">
        <v>242</v>
      </c>
      <c r="C243" s="42"/>
      <c r="D243" s="43"/>
      <c r="E243" s="63">
        <f>C243*2.4</f>
        <v>0</v>
      </c>
      <c r="F243" s="50">
        <f t="shared" ref="F243:F248" si="56">E243*1.03*0.99/147</f>
        <v>0</v>
      </c>
      <c r="G243" s="42">
        <f t="shared" ref="G243:G270" si="57">INT(M243)</f>
        <v>0</v>
      </c>
      <c r="H243" s="14" t="s">
        <v>18</v>
      </c>
      <c r="I243" s="42">
        <f t="shared" ref="I243:I270" si="58">(M243-G243)*64</f>
        <v>0</v>
      </c>
      <c r="J243" s="14" t="s">
        <v>19</v>
      </c>
      <c r="K243" s="40"/>
      <c r="L243" s="40"/>
      <c r="M243" s="46">
        <f t="shared" ref="M243:M248" si="59">F243*4983/2880</f>
        <v>0</v>
      </c>
      <c r="N243" s="40"/>
      <c r="O243" s="40"/>
      <c r="P243" s="40"/>
      <c r="Q243" s="14" t="s">
        <v>18</v>
      </c>
      <c r="R243" s="40"/>
      <c r="S243" s="40" t="s">
        <v>19</v>
      </c>
      <c r="T243" s="47"/>
      <c r="U243" s="40">
        <f>E243/420*60</f>
        <v>0</v>
      </c>
      <c r="V243" s="176"/>
      <c r="W243" s="47"/>
      <c r="X243" s="40"/>
    </row>
    <row r="244" spans="1:24" s="20" customFormat="1" ht="19.5" thickBot="1" x14ac:dyDescent="0.35">
      <c r="A244" s="41"/>
      <c r="B244" s="41" t="s">
        <v>243</v>
      </c>
      <c r="C244" s="42"/>
      <c r="D244" s="43"/>
      <c r="E244" s="63">
        <f>C244*2.4</f>
        <v>0</v>
      </c>
      <c r="F244" s="50">
        <f t="shared" si="56"/>
        <v>0</v>
      </c>
      <c r="G244" s="42">
        <f t="shared" si="57"/>
        <v>0</v>
      </c>
      <c r="H244" s="14" t="s">
        <v>18</v>
      </c>
      <c r="I244" s="42">
        <f t="shared" si="58"/>
        <v>0</v>
      </c>
      <c r="J244" s="14" t="s">
        <v>19</v>
      </c>
      <c r="K244" s="40"/>
      <c r="L244" s="40"/>
      <c r="M244" s="46">
        <f t="shared" si="59"/>
        <v>0</v>
      </c>
      <c r="N244" s="40"/>
      <c r="O244" s="40"/>
      <c r="P244" s="40"/>
      <c r="Q244" s="14" t="s">
        <v>18</v>
      </c>
      <c r="R244" s="40"/>
      <c r="S244" s="40" t="s">
        <v>19</v>
      </c>
      <c r="T244" s="47"/>
      <c r="U244" s="40">
        <f>E244/420*60</f>
        <v>0</v>
      </c>
      <c r="V244" s="176"/>
      <c r="W244" s="47"/>
      <c r="X244" s="40"/>
    </row>
    <row r="245" spans="1:24" s="54" customFormat="1" ht="19.5" thickBot="1" x14ac:dyDescent="0.35">
      <c r="A245" s="41"/>
      <c r="B245" s="41" t="s">
        <v>118</v>
      </c>
      <c r="C245" s="42"/>
      <c r="D245" s="43"/>
      <c r="E245" s="45">
        <f>C245*3.2</f>
        <v>0</v>
      </c>
      <c r="F245" s="50">
        <f t="shared" si="56"/>
        <v>0</v>
      </c>
      <c r="G245" s="42">
        <f t="shared" si="57"/>
        <v>0</v>
      </c>
      <c r="H245" s="14" t="s">
        <v>18</v>
      </c>
      <c r="I245" s="42">
        <f t="shared" si="58"/>
        <v>0</v>
      </c>
      <c r="J245" s="14" t="s">
        <v>19</v>
      </c>
      <c r="K245" s="40"/>
      <c r="L245" s="40"/>
      <c r="M245" s="46">
        <f t="shared" si="59"/>
        <v>0</v>
      </c>
      <c r="N245" s="40"/>
      <c r="O245" s="40"/>
      <c r="P245" s="40"/>
      <c r="Q245" s="14" t="s">
        <v>18</v>
      </c>
      <c r="R245" s="40"/>
      <c r="S245" s="40" t="s">
        <v>19</v>
      </c>
      <c r="T245" s="47"/>
      <c r="U245" s="40">
        <f>E245/259*60</f>
        <v>0</v>
      </c>
      <c r="V245" s="176"/>
      <c r="W245" s="47"/>
      <c r="X245" s="40"/>
    </row>
    <row r="246" spans="1:24" s="54" customFormat="1" ht="19.5" thickBot="1" x14ac:dyDescent="0.35">
      <c r="A246" s="41"/>
      <c r="B246" s="41" t="s">
        <v>236</v>
      </c>
      <c r="C246" s="42"/>
      <c r="D246" s="43"/>
      <c r="E246" s="45">
        <f>C246*3.2</f>
        <v>0</v>
      </c>
      <c r="F246" s="50">
        <f t="shared" si="56"/>
        <v>0</v>
      </c>
      <c r="G246" s="42">
        <f t="shared" si="57"/>
        <v>0</v>
      </c>
      <c r="H246" s="14" t="s">
        <v>18</v>
      </c>
      <c r="I246" s="42">
        <f t="shared" si="58"/>
        <v>0</v>
      </c>
      <c r="J246" s="14" t="s">
        <v>19</v>
      </c>
      <c r="K246" s="40"/>
      <c r="L246" s="40"/>
      <c r="M246" s="46">
        <f t="shared" si="59"/>
        <v>0</v>
      </c>
      <c r="N246" s="40"/>
      <c r="O246" s="40"/>
      <c r="P246" s="40"/>
      <c r="Q246" s="14" t="s">
        <v>18</v>
      </c>
      <c r="R246" s="40"/>
      <c r="S246" s="40" t="s">
        <v>19</v>
      </c>
      <c r="T246" s="47"/>
      <c r="U246" s="40">
        <f>E246/259*60</f>
        <v>0</v>
      </c>
      <c r="V246" s="176"/>
      <c r="W246" s="47"/>
      <c r="X246" s="40"/>
    </row>
    <row r="247" spans="1:24" s="20" customFormat="1" ht="19.5" thickBot="1" x14ac:dyDescent="0.35">
      <c r="A247" s="41"/>
      <c r="B247" s="41" t="s">
        <v>241</v>
      </c>
      <c r="C247" s="42"/>
      <c r="D247" s="43"/>
      <c r="E247" s="45">
        <f>C247*4</f>
        <v>0</v>
      </c>
      <c r="F247" s="50">
        <f t="shared" si="56"/>
        <v>0</v>
      </c>
      <c r="G247" s="42">
        <f t="shared" si="57"/>
        <v>0</v>
      </c>
      <c r="H247" s="14" t="s">
        <v>18</v>
      </c>
      <c r="I247" s="42">
        <f t="shared" si="58"/>
        <v>0</v>
      </c>
      <c r="J247" s="14" t="s">
        <v>19</v>
      </c>
      <c r="K247" s="40"/>
      <c r="L247" s="40"/>
      <c r="M247" s="46">
        <f t="shared" si="59"/>
        <v>0</v>
      </c>
      <c r="N247" s="40"/>
      <c r="O247" s="40"/>
      <c r="P247" s="40"/>
      <c r="Q247" s="14" t="s">
        <v>18</v>
      </c>
      <c r="R247" s="40"/>
      <c r="S247" s="40" t="s">
        <v>19</v>
      </c>
      <c r="T247" s="47"/>
      <c r="U247" s="40">
        <f>E247/259*60</f>
        <v>0</v>
      </c>
      <c r="V247" s="176"/>
      <c r="W247" s="47"/>
      <c r="X247" s="40"/>
    </row>
    <row r="248" spans="1:24" s="20" customFormat="1" ht="19.5" thickBot="1" x14ac:dyDescent="0.35">
      <c r="A248" s="41"/>
      <c r="B248" s="41" t="s">
        <v>240</v>
      </c>
      <c r="C248" s="42"/>
      <c r="D248" s="43"/>
      <c r="E248" s="45">
        <f>C248*4</f>
        <v>0</v>
      </c>
      <c r="F248" s="50">
        <f t="shared" si="56"/>
        <v>0</v>
      </c>
      <c r="G248" s="42">
        <f t="shared" si="57"/>
        <v>0</v>
      </c>
      <c r="H248" s="14" t="s">
        <v>18</v>
      </c>
      <c r="I248" s="42">
        <f t="shared" si="58"/>
        <v>0</v>
      </c>
      <c r="J248" s="14" t="s">
        <v>19</v>
      </c>
      <c r="K248" s="40"/>
      <c r="L248" s="40"/>
      <c r="M248" s="46">
        <f t="shared" si="59"/>
        <v>0</v>
      </c>
      <c r="N248" s="40"/>
      <c r="O248" s="40"/>
      <c r="P248" s="40"/>
      <c r="Q248" s="14" t="s">
        <v>18</v>
      </c>
      <c r="R248" s="40"/>
      <c r="S248" s="40" t="s">
        <v>19</v>
      </c>
      <c r="T248" s="47"/>
      <c r="U248" s="40">
        <f>E248/259*60</f>
        <v>0</v>
      </c>
      <c r="V248" s="176"/>
      <c r="W248" s="47"/>
      <c r="X248" s="40"/>
    </row>
    <row r="249" spans="1:24" s="120" customFormat="1" ht="38.25" thickBot="1" x14ac:dyDescent="0.35">
      <c r="A249" s="146"/>
      <c r="B249" s="146" t="s">
        <v>335</v>
      </c>
      <c r="C249" s="147"/>
      <c r="D249" s="148"/>
      <c r="E249" s="151">
        <f>C249*4</f>
        <v>0</v>
      </c>
      <c r="F249" s="156">
        <f>E249*1.2*1/147</f>
        <v>0</v>
      </c>
      <c r="G249" s="147">
        <f>INT(M249)</f>
        <v>0</v>
      </c>
      <c r="H249" s="151" t="s">
        <v>18</v>
      </c>
      <c r="I249" s="147">
        <f>(M249-G249)*64</f>
        <v>0</v>
      </c>
      <c r="J249" s="149" t="s">
        <v>19</v>
      </c>
      <c r="K249" s="149"/>
      <c r="L249" s="149"/>
      <c r="M249" s="152">
        <f>F249*5719/2880</f>
        <v>0</v>
      </c>
      <c r="N249" s="149"/>
      <c r="O249" s="149"/>
      <c r="P249" s="149"/>
      <c r="Q249" s="145" t="s">
        <v>18</v>
      </c>
      <c r="R249" s="149"/>
      <c r="S249" s="149" t="s">
        <v>19</v>
      </c>
      <c r="T249" s="153"/>
      <c r="U249" s="149">
        <f>E249/237*60</f>
        <v>0</v>
      </c>
      <c r="V249" s="176"/>
      <c r="W249" s="153"/>
      <c r="X249" s="149"/>
    </row>
    <row r="250" spans="1:24" s="120" customFormat="1" ht="38.25" thickBot="1" x14ac:dyDescent="0.35">
      <c r="A250" s="146"/>
      <c r="B250" s="146" t="s">
        <v>336</v>
      </c>
      <c r="C250" s="147"/>
      <c r="D250" s="148">
        <f>C250*150</f>
        <v>0</v>
      </c>
      <c r="E250" s="149">
        <f>D250*0.02</f>
        <v>0</v>
      </c>
      <c r="F250" s="156">
        <f>E250*1.2*1/147</f>
        <v>0</v>
      </c>
      <c r="G250" s="147">
        <f>INT(M250)</f>
        <v>0</v>
      </c>
      <c r="H250" s="151" t="s">
        <v>18</v>
      </c>
      <c r="I250" s="147">
        <f>(M250-G250)*64</f>
        <v>0</v>
      </c>
      <c r="J250" s="149" t="s">
        <v>19</v>
      </c>
      <c r="K250" s="149"/>
      <c r="L250" s="149"/>
      <c r="M250" s="152">
        <f>F250*5719/2880</f>
        <v>0</v>
      </c>
      <c r="N250" s="149"/>
      <c r="O250" s="149"/>
      <c r="P250" s="149"/>
      <c r="Q250" s="145" t="s">
        <v>18</v>
      </c>
      <c r="R250" s="149"/>
      <c r="S250" s="149" t="s">
        <v>19</v>
      </c>
      <c r="T250" s="153"/>
      <c r="U250" s="149">
        <f>E250/237*60</f>
        <v>0</v>
      </c>
      <c r="V250" s="176"/>
      <c r="W250" s="153"/>
      <c r="X250" s="149"/>
    </row>
    <row r="251" spans="1:24" s="120" customFormat="1" ht="19.5" thickBot="1" x14ac:dyDescent="0.35">
      <c r="A251" s="146"/>
      <c r="B251" s="146" t="s">
        <v>344</v>
      </c>
      <c r="C251" s="147"/>
      <c r="D251" s="148"/>
      <c r="E251" s="151">
        <f>C251*4</f>
        <v>0</v>
      </c>
      <c r="F251" s="156">
        <f>E251*1.2*0.9/147</f>
        <v>0</v>
      </c>
      <c r="G251" s="147">
        <f>INT(M251)</f>
        <v>0</v>
      </c>
      <c r="H251" s="151" t="s">
        <v>18</v>
      </c>
      <c r="I251" s="147">
        <f>(M251-G251)*64</f>
        <v>0</v>
      </c>
      <c r="J251" s="149" t="s">
        <v>19</v>
      </c>
      <c r="K251" s="149"/>
      <c r="L251" s="149"/>
      <c r="M251" s="152">
        <f>(F251*6049/3456)</f>
        <v>0</v>
      </c>
      <c r="N251" s="149"/>
      <c r="O251" s="149"/>
      <c r="P251" s="149"/>
      <c r="Q251" s="145" t="s">
        <v>18</v>
      </c>
      <c r="R251" s="149"/>
      <c r="S251" s="149" t="s">
        <v>19</v>
      </c>
      <c r="T251" s="153"/>
      <c r="U251" s="149">
        <f>E251/324*60</f>
        <v>0</v>
      </c>
      <c r="V251" s="176"/>
      <c r="W251" s="153"/>
      <c r="X251" s="149"/>
    </row>
    <row r="252" spans="1:24" s="120" customFormat="1" ht="38.25" thickBot="1" x14ac:dyDescent="0.35">
      <c r="A252" s="146"/>
      <c r="B252" s="146" t="s">
        <v>340</v>
      </c>
      <c r="C252" s="147"/>
      <c r="D252" s="148"/>
      <c r="E252" s="151">
        <f>C252*4</f>
        <v>0</v>
      </c>
      <c r="F252" s="156">
        <f>E252*1.2*0.9/147</f>
        <v>0</v>
      </c>
      <c r="G252" s="147">
        <f>INT(M252)</f>
        <v>0</v>
      </c>
      <c r="H252" s="151" t="s">
        <v>18</v>
      </c>
      <c r="I252" s="147">
        <f>(M252-G252)*64</f>
        <v>0</v>
      </c>
      <c r="J252" s="149" t="s">
        <v>19</v>
      </c>
      <c r="K252" s="149"/>
      <c r="L252" s="149"/>
      <c r="M252" s="152">
        <f>(F252*6049/3456)</f>
        <v>0</v>
      </c>
      <c r="N252" s="149"/>
      <c r="O252" s="149"/>
      <c r="P252" s="149"/>
      <c r="Q252" s="145" t="s">
        <v>18</v>
      </c>
      <c r="R252" s="149"/>
      <c r="S252" s="149" t="s">
        <v>19</v>
      </c>
      <c r="T252" s="153"/>
      <c r="U252" s="149">
        <f>E252/324*60</f>
        <v>0</v>
      </c>
      <c r="V252" s="176"/>
      <c r="W252" s="153"/>
      <c r="X252" s="149"/>
    </row>
    <row r="253" spans="1:24" s="120" customFormat="1" ht="19.5" thickBot="1" x14ac:dyDescent="0.35">
      <c r="A253" s="146"/>
      <c r="B253" s="146" t="s">
        <v>345</v>
      </c>
      <c r="C253" s="147"/>
      <c r="D253" s="148">
        <f>C253*150</f>
        <v>0</v>
      </c>
      <c r="E253" s="149">
        <f>D253*0.02</f>
        <v>0</v>
      </c>
      <c r="F253" s="156">
        <f>E253*1.2*0.9/147</f>
        <v>0</v>
      </c>
      <c r="G253" s="147">
        <f>INT(M253)</f>
        <v>0</v>
      </c>
      <c r="H253" s="151" t="s">
        <v>18</v>
      </c>
      <c r="I253" s="147">
        <f>(M253-G253)*64</f>
        <v>0</v>
      </c>
      <c r="J253" s="149" t="s">
        <v>19</v>
      </c>
      <c r="K253" s="149"/>
      <c r="L253" s="149"/>
      <c r="M253" s="152">
        <f>(F253*6049/3456)</f>
        <v>0</v>
      </c>
      <c r="N253" s="149"/>
      <c r="O253" s="149"/>
      <c r="P253" s="149"/>
      <c r="Q253" s="145" t="s">
        <v>18</v>
      </c>
      <c r="R253" s="149"/>
      <c r="S253" s="149" t="s">
        <v>19</v>
      </c>
      <c r="T253" s="153"/>
      <c r="U253" s="149">
        <f>E253/324*60</f>
        <v>0</v>
      </c>
      <c r="V253" s="176"/>
      <c r="W253" s="153"/>
      <c r="X253" s="149"/>
    </row>
    <row r="254" spans="1:24" s="20" customFormat="1" ht="19.5" thickBot="1" x14ac:dyDescent="0.35">
      <c r="A254" s="41"/>
      <c r="B254" s="41" t="s">
        <v>100</v>
      </c>
      <c r="C254" s="42"/>
      <c r="D254" s="43"/>
      <c r="E254" s="45">
        <f>C254*4</f>
        <v>0</v>
      </c>
      <c r="F254" s="50">
        <f>E254*1.2*1/147</f>
        <v>0</v>
      </c>
      <c r="G254" s="42">
        <f t="shared" si="57"/>
        <v>0</v>
      </c>
      <c r="H254" s="45" t="s">
        <v>18</v>
      </c>
      <c r="I254" s="42">
        <f t="shared" si="58"/>
        <v>0</v>
      </c>
      <c r="J254" s="40" t="s">
        <v>19</v>
      </c>
      <c r="K254" s="40"/>
      <c r="L254" s="40"/>
      <c r="M254" s="46">
        <f>F254*5719/2880</f>
        <v>0</v>
      </c>
      <c r="N254" s="40"/>
      <c r="O254" s="40"/>
      <c r="P254" s="40"/>
      <c r="Q254" s="14" t="s">
        <v>18</v>
      </c>
      <c r="R254" s="40"/>
      <c r="S254" s="40" t="s">
        <v>19</v>
      </c>
      <c r="T254" s="47"/>
      <c r="U254" s="40">
        <f>E254/237*60</f>
        <v>0</v>
      </c>
      <c r="V254" s="176"/>
      <c r="W254" s="47"/>
      <c r="X254" s="40"/>
    </row>
    <row r="255" spans="1:24" s="20" customFormat="1" ht="19.5" thickBot="1" x14ac:dyDescent="0.35">
      <c r="A255" s="41"/>
      <c r="B255" s="41" t="s">
        <v>343</v>
      </c>
      <c r="C255" s="42"/>
      <c r="D255" s="43"/>
      <c r="E255" s="63">
        <f>C255*2.4</f>
        <v>0</v>
      </c>
      <c r="F255" s="50">
        <f>E255*1.03*0.99/147</f>
        <v>0</v>
      </c>
      <c r="G255" s="42">
        <f t="shared" si="57"/>
        <v>0</v>
      </c>
      <c r="H255" s="14" t="s">
        <v>18</v>
      </c>
      <c r="I255" s="42">
        <f t="shared" si="58"/>
        <v>0</v>
      </c>
      <c r="J255" s="14" t="s">
        <v>19</v>
      </c>
      <c r="K255" s="40"/>
      <c r="L255" s="40"/>
      <c r="M255" s="46">
        <f>F255*4983/2880</f>
        <v>0</v>
      </c>
      <c r="N255" s="40"/>
      <c r="O255" s="40"/>
      <c r="P255" s="40"/>
      <c r="Q255" s="14" t="s">
        <v>18</v>
      </c>
      <c r="R255" s="40"/>
      <c r="S255" s="40" t="s">
        <v>19</v>
      </c>
      <c r="T255" s="47"/>
      <c r="U255" s="40">
        <f>E255/420*60</f>
        <v>0</v>
      </c>
      <c r="V255" s="176"/>
      <c r="W255" s="47"/>
      <c r="X255" s="40"/>
    </row>
    <row r="256" spans="1:24" s="54" customFormat="1" ht="38.25" thickBot="1" x14ac:dyDescent="0.35">
      <c r="A256" s="41"/>
      <c r="B256" s="41" t="s">
        <v>341</v>
      </c>
      <c r="C256" s="42"/>
      <c r="D256" s="43"/>
      <c r="E256" s="45">
        <f>C256*3.2</f>
        <v>0</v>
      </c>
      <c r="F256" s="50">
        <f>E256*1.03*0.99/147</f>
        <v>0</v>
      </c>
      <c r="G256" s="42">
        <f t="shared" si="57"/>
        <v>0</v>
      </c>
      <c r="H256" s="14" t="s">
        <v>18</v>
      </c>
      <c r="I256" s="42">
        <f t="shared" si="58"/>
        <v>0</v>
      </c>
      <c r="J256" s="14" t="s">
        <v>19</v>
      </c>
      <c r="K256" s="40"/>
      <c r="L256" s="40"/>
      <c r="M256" s="46">
        <f>F256*4983/2880</f>
        <v>0</v>
      </c>
      <c r="N256" s="40"/>
      <c r="O256" s="40"/>
      <c r="P256" s="40"/>
      <c r="Q256" s="14" t="s">
        <v>18</v>
      </c>
      <c r="R256" s="40"/>
      <c r="S256" s="40" t="s">
        <v>19</v>
      </c>
      <c r="T256" s="47"/>
      <c r="U256" s="40">
        <f>E256/259*60</f>
        <v>0</v>
      </c>
      <c r="V256" s="176"/>
      <c r="W256" s="47"/>
      <c r="X256" s="40"/>
    </row>
    <row r="257" spans="1:26" s="54" customFormat="1" ht="38.25" thickBot="1" x14ac:dyDescent="0.35">
      <c r="A257" s="41"/>
      <c r="B257" s="41" t="s">
        <v>342</v>
      </c>
      <c r="C257" s="42"/>
      <c r="D257" s="43"/>
      <c r="E257" s="45">
        <f>C257*3.2</f>
        <v>0</v>
      </c>
      <c r="F257" s="50">
        <f>E257*1.03*0.99/147</f>
        <v>0</v>
      </c>
      <c r="G257" s="42">
        <f t="shared" si="57"/>
        <v>0</v>
      </c>
      <c r="H257" s="14" t="s">
        <v>18</v>
      </c>
      <c r="I257" s="42">
        <f t="shared" si="58"/>
        <v>0</v>
      </c>
      <c r="J257" s="14" t="s">
        <v>19</v>
      </c>
      <c r="K257" s="40"/>
      <c r="L257" s="40"/>
      <c r="M257" s="46">
        <f>F257*4983/2880</f>
        <v>0</v>
      </c>
      <c r="N257" s="40"/>
      <c r="O257" s="40"/>
      <c r="P257" s="40"/>
      <c r="Q257" s="14" t="s">
        <v>18</v>
      </c>
      <c r="R257" s="40"/>
      <c r="S257" s="40" t="s">
        <v>19</v>
      </c>
      <c r="T257" s="47"/>
      <c r="U257" s="40">
        <f>E257/259*60</f>
        <v>0</v>
      </c>
      <c r="V257" s="176"/>
      <c r="W257" s="47"/>
      <c r="X257" s="40"/>
    </row>
    <row r="258" spans="1:26" s="20" customFormat="1" ht="19.5" thickBot="1" x14ac:dyDescent="0.35">
      <c r="A258" s="41"/>
      <c r="B258" s="41" t="s">
        <v>337</v>
      </c>
      <c r="C258" s="42"/>
      <c r="D258" s="43"/>
      <c r="E258" s="45">
        <f>C258*4</f>
        <v>0</v>
      </c>
      <c r="F258" s="50">
        <f>E258*1.03*0.99/147</f>
        <v>0</v>
      </c>
      <c r="G258" s="42">
        <f t="shared" si="57"/>
        <v>0</v>
      </c>
      <c r="H258" s="14" t="s">
        <v>18</v>
      </c>
      <c r="I258" s="42">
        <f t="shared" si="58"/>
        <v>0</v>
      </c>
      <c r="J258" s="14" t="s">
        <v>19</v>
      </c>
      <c r="K258" s="40"/>
      <c r="L258" s="40"/>
      <c r="M258" s="46">
        <f>F258*4983/2880</f>
        <v>0</v>
      </c>
      <c r="N258" s="40"/>
      <c r="O258" s="40"/>
      <c r="P258" s="40"/>
      <c r="Q258" s="14" t="s">
        <v>18</v>
      </c>
      <c r="R258" s="40"/>
      <c r="S258" s="40" t="s">
        <v>19</v>
      </c>
      <c r="T258" s="47"/>
      <c r="U258" s="40">
        <f>E258/259*60</f>
        <v>0</v>
      </c>
      <c r="V258" s="176"/>
      <c r="W258" s="47"/>
      <c r="X258" s="40"/>
    </row>
    <row r="259" spans="1:26" s="20" customFormat="1" ht="19.5" thickBot="1" x14ac:dyDescent="0.35">
      <c r="A259" s="41"/>
      <c r="B259" s="41" t="s">
        <v>338</v>
      </c>
      <c r="C259" s="42"/>
      <c r="D259" s="43"/>
      <c r="E259" s="45">
        <f>C259*4</f>
        <v>0</v>
      </c>
      <c r="F259" s="50">
        <f>E259*1.03*0.99/147</f>
        <v>0</v>
      </c>
      <c r="G259" s="42">
        <f t="shared" si="57"/>
        <v>0</v>
      </c>
      <c r="H259" s="14" t="s">
        <v>18</v>
      </c>
      <c r="I259" s="42">
        <f t="shared" si="58"/>
        <v>0</v>
      </c>
      <c r="J259" s="14" t="s">
        <v>19</v>
      </c>
      <c r="K259" s="40"/>
      <c r="L259" s="40"/>
      <c r="M259" s="46">
        <f>F259*4983/2880</f>
        <v>0</v>
      </c>
      <c r="N259" s="40"/>
      <c r="O259" s="40"/>
      <c r="P259" s="40"/>
      <c r="Q259" s="14" t="s">
        <v>18</v>
      </c>
      <c r="R259" s="40"/>
      <c r="S259" s="40" t="s">
        <v>19</v>
      </c>
      <c r="T259" s="47"/>
      <c r="U259" s="40">
        <f>E259/259*60</f>
        <v>0</v>
      </c>
      <c r="V259" s="176"/>
      <c r="W259" s="47"/>
      <c r="X259" s="40"/>
    </row>
    <row r="260" spans="1:26" s="20" customFormat="1" ht="38.25" thickBot="1" x14ac:dyDescent="0.35">
      <c r="A260" s="41"/>
      <c r="B260" s="41" t="s">
        <v>339</v>
      </c>
      <c r="C260" s="42"/>
      <c r="D260" s="43"/>
      <c r="E260" s="45">
        <f>C260*4</f>
        <v>0</v>
      </c>
      <c r="F260" s="50">
        <f>E260*1.2*0.9/147</f>
        <v>0</v>
      </c>
      <c r="G260" s="42">
        <f t="shared" si="57"/>
        <v>0</v>
      </c>
      <c r="H260" s="45" t="s">
        <v>18</v>
      </c>
      <c r="I260" s="42">
        <f t="shared" si="58"/>
        <v>0</v>
      </c>
      <c r="J260" s="40" t="s">
        <v>19</v>
      </c>
      <c r="K260" s="40"/>
      <c r="L260" s="40"/>
      <c r="M260" s="46">
        <f>(F260*6049/3456)</f>
        <v>0</v>
      </c>
      <c r="N260" s="40"/>
      <c r="O260" s="40"/>
      <c r="P260" s="40"/>
      <c r="Q260" s="14" t="s">
        <v>18</v>
      </c>
      <c r="R260" s="40"/>
      <c r="S260" s="40" t="s">
        <v>19</v>
      </c>
      <c r="T260" s="47"/>
      <c r="U260" s="40">
        <f>E260/324*60</f>
        <v>0</v>
      </c>
      <c r="V260" s="176"/>
      <c r="W260" s="47"/>
      <c r="X260" s="40"/>
    </row>
    <row r="261" spans="1:26" s="20" customFormat="1" ht="19.5" thickBot="1" x14ac:dyDescent="0.35">
      <c r="A261" s="41"/>
      <c r="B261" s="41" t="s">
        <v>90</v>
      </c>
      <c r="C261" s="42"/>
      <c r="D261" s="43"/>
      <c r="E261" s="45">
        <f>C261*3</f>
        <v>0</v>
      </c>
      <c r="F261" s="50">
        <f>E261*1.2*0.9/147</f>
        <v>0</v>
      </c>
      <c r="G261" s="42">
        <f t="shared" si="57"/>
        <v>0</v>
      </c>
      <c r="H261" s="45" t="s">
        <v>18</v>
      </c>
      <c r="I261" s="42">
        <f t="shared" si="58"/>
        <v>0</v>
      </c>
      <c r="J261" s="40" t="s">
        <v>19</v>
      </c>
      <c r="K261" s="40"/>
      <c r="L261" s="40"/>
      <c r="M261" s="46">
        <f>(F261*6049/3456)</f>
        <v>0</v>
      </c>
      <c r="N261" s="40"/>
      <c r="O261" s="40"/>
      <c r="P261" s="40"/>
      <c r="Q261" s="14" t="s">
        <v>18</v>
      </c>
      <c r="R261" s="40"/>
      <c r="S261" s="40" t="s">
        <v>19</v>
      </c>
      <c r="T261" s="47"/>
      <c r="U261" s="40">
        <f>E261/324*60</f>
        <v>0</v>
      </c>
      <c r="V261" s="176"/>
      <c r="W261" s="47"/>
      <c r="X261" s="40"/>
    </row>
    <row r="262" spans="1:26" s="128" customFormat="1" ht="19.5" thickBot="1" x14ac:dyDescent="0.35">
      <c r="A262" s="117"/>
      <c r="B262" s="917" t="s">
        <v>289</v>
      </c>
      <c r="C262" s="917"/>
      <c r="D262" s="917"/>
      <c r="E262" s="917"/>
      <c r="F262" s="917"/>
      <c r="G262" s="917"/>
      <c r="H262" s="917"/>
      <c r="I262" s="917"/>
      <c r="J262" s="917"/>
      <c r="K262" s="917"/>
      <c r="L262" s="917"/>
      <c r="M262" s="917"/>
      <c r="N262" s="917"/>
      <c r="O262" s="917"/>
      <c r="P262" s="917"/>
      <c r="Q262" s="917"/>
      <c r="R262" s="917"/>
      <c r="S262" s="917"/>
      <c r="T262" s="917"/>
      <c r="U262" s="917"/>
      <c r="V262" s="917"/>
      <c r="W262" s="917"/>
      <c r="X262" s="917"/>
    </row>
    <row r="263" spans="1:26" s="20" customFormat="1" ht="33.75" customHeight="1" thickBot="1" x14ac:dyDescent="0.35">
      <c r="A263" s="141"/>
      <c r="B263" s="231" t="s">
        <v>555</v>
      </c>
      <c r="C263" s="232"/>
      <c r="D263" s="154"/>
      <c r="E263" s="233">
        <f>C263*3</f>
        <v>0</v>
      </c>
      <c r="F263" s="156">
        <f>E263*1.034*0.8/19.3</f>
        <v>0</v>
      </c>
      <c r="G263" s="232">
        <f>INT(M263)</f>
        <v>0</v>
      </c>
      <c r="H263" s="233" t="s">
        <v>18</v>
      </c>
      <c r="I263" s="232">
        <f>(M263-G263)*64</f>
        <v>0</v>
      </c>
      <c r="J263" s="234" t="s">
        <v>19</v>
      </c>
      <c r="K263" s="234"/>
      <c r="L263" s="234"/>
      <c r="M263" s="235">
        <f>(F263*918/3456)</f>
        <v>0</v>
      </c>
      <c r="N263" s="234"/>
      <c r="O263" s="40"/>
      <c r="P263" s="40"/>
      <c r="Q263" s="14" t="s">
        <v>18</v>
      </c>
      <c r="R263" s="40"/>
      <c r="S263" s="40" t="s">
        <v>19</v>
      </c>
      <c r="T263" s="47"/>
      <c r="U263" s="40">
        <f>E263/324*60</f>
        <v>0</v>
      </c>
      <c r="V263" s="40"/>
      <c r="W263" s="47"/>
      <c r="X263" s="40"/>
      <c r="Y263" s="236"/>
      <c r="Z263" s="236"/>
    </row>
    <row r="264" spans="1:26" s="20" customFormat="1" ht="33.75" customHeight="1" thickBot="1" x14ac:dyDescent="0.35">
      <c r="A264" s="141"/>
      <c r="B264" s="231" t="s">
        <v>598</v>
      </c>
      <c r="C264" s="232"/>
      <c r="D264" s="154"/>
      <c r="E264" s="233">
        <f>C264*3</f>
        <v>0</v>
      </c>
      <c r="F264" s="156">
        <f>E264*1.034*0.8/19.3</f>
        <v>0</v>
      </c>
      <c r="G264" s="232">
        <f>INT(M264)</f>
        <v>0</v>
      </c>
      <c r="H264" s="233" t="s">
        <v>18</v>
      </c>
      <c r="I264" s="232">
        <f>(M264-G264)*64</f>
        <v>0</v>
      </c>
      <c r="J264" s="234" t="s">
        <v>19</v>
      </c>
      <c r="K264" s="234"/>
      <c r="L264" s="234"/>
      <c r="M264" s="235">
        <f>(F264*972/3456)</f>
        <v>0</v>
      </c>
      <c r="N264" s="234"/>
      <c r="O264" s="40"/>
      <c r="P264" s="40"/>
      <c r="Q264" s="14" t="s">
        <v>18</v>
      </c>
      <c r="R264" s="40"/>
      <c r="S264" s="40" t="s">
        <v>19</v>
      </c>
      <c r="T264" s="47"/>
      <c r="U264" s="40">
        <f>E264/324*60</f>
        <v>0</v>
      </c>
      <c r="V264" s="40"/>
      <c r="W264" s="47"/>
      <c r="X264" s="40"/>
      <c r="Y264" s="236"/>
      <c r="Z264" s="236"/>
    </row>
    <row r="265" spans="1:26" s="249" customFormat="1" ht="39" customHeight="1" thickBot="1" x14ac:dyDescent="0.35">
      <c r="A265" s="237"/>
      <c r="B265" s="238" t="s">
        <v>556</v>
      </c>
      <c r="C265" s="239"/>
      <c r="D265" s="240">
        <f>C265*10</f>
        <v>0</v>
      </c>
      <c r="E265" s="241">
        <f>D265*0.2</f>
        <v>0</v>
      </c>
      <c r="F265" s="242">
        <f>E265*0.97*0.8/19.6</f>
        <v>0</v>
      </c>
      <c r="G265" s="239">
        <f>INT(M265)</f>
        <v>0</v>
      </c>
      <c r="H265" s="241" t="s">
        <v>18</v>
      </c>
      <c r="I265" s="239">
        <f>(M265-G265)*64</f>
        <v>0</v>
      </c>
      <c r="J265" s="243" t="s">
        <v>19</v>
      </c>
      <c r="K265" s="243"/>
      <c r="L265" s="243"/>
      <c r="M265" s="244">
        <f>(F265*1087/3456)</f>
        <v>0</v>
      </c>
      <c r="N265" s="243"/>
      <c r="O265" s="245"/>
      <c r="P265" s="245"/>
      <c r="Q265" s="246" t="s">
        <v>18</v>
      </c>
      <c r="R265" s="245"/>
      <c r="S265" s="245" t="s">
        <v>19</v>
      </c>
      <c r="T265" s="247"/>
      <c r="U265" s="245">
        <f>E265/259*60</f>
        <v>0</v>
      </c>
      <c r="V265" s="245"/>
      <c r="W265" s="247"/>
      <c r="X265" s="245"/>
      <c r="Y265" s="248"/>
      <c r="Z265" s="248"/>
    </row>
    <row r="266" spans="1:26" s="249" customFormat="1" ht="39" customHeight="1" thickBot="1" x14ac:dyDescent="0.35">
      <c r="A266" s="237"/>
      <c r="B266" s="250"/>
      <c r="C266" s="251"/>
      <c r="D266" s="252"/>
      <c r="E266" s="253"/>
      <c r="F266" s="254"/>
      <c r="G266" s="251"/>
      <c r="H266" s="253"/>
      <c r="I266" s="251"/>
      <c r="J266" s="255"/>
      <c r="K266" s="255"/>
      <c r="L266" s="255"/>
      <c r="M266" s="256"/>
      <c r="N266" s="255"/>
      <c r="O266" s="245"/>
      <c r="P266" s="245"/>
      <c r="Q266" s="246"/>
      <c r="R266" s="245"/>
      <c r="S266" s="245"/>
      <c r="T266" s="247"/>
      <c r="U266" s="245"/>
      <c r="V266" s="245"/>
      <c r="W266" s="247"/>
      <c r="X266" s="245"/>
      <c r="Y266" s="248"/>
      <c r="Z266" s="248"/>
    </row>
    <row r="267" spans="1:26" s="249" customFormat="1" ht="37.5" customHeight="1" thickBot="1" x14ac:dyDescent="0.35">
      <c r="A267" s="237"/>
      <c r="B267" s="238" t="s">
        <v>557</v>
      </c>
      <c r="C267" s="239"/>
      <c r="D267" s="240">
        <f>C267*10</f>
        <v>0</v>
      </c>
      <c r="E267" s="241">
        <f>D267*0.2</f>
        <v>0</v>
      </c>
      <c r="F267" s="242">
        <f>E267*0.97*0.8/19.6</f>
        <v>0</v>
      </c>
      <c r="G267" s="239">
        <f>INT(M267)</f>
        <v>0</v>
      </c>
      <c r="H267" s="241" t="s">
        <v>18</v>
      </c>
      <c r="I267" s="239">
        <f>(M267-G267)*64</f>
        <v>0</v>
      </c>
      <c r="J267" s="243" t="s">
        <v>19</v>
      </c>
      <c r="K267" s="243"/>
      <c r="L267" s="243"/>
      <c r="M267" s="244">
        <f>(F267*1087/3456)</f>
        <v>0</v>
      </c>
      <c r="N267" s="243"/>
      <c r="O267" s="245"/>
      <c r="P267" s="245"/>
      <c r="Q267" s="246" t="s">
        <v>18</v>
      </c>
      <c r="R267" s="245"/>
      <c r="S267" s="245" t="s">
        <v>19</v>
      </c>
      <c r="T267" s="247"/>
      <c r="U267" s="245">
        <f>E267/259*60</f>
        <v>0</v>
      </c>
      <c r="V267" s="245"/>
      <c r="W267" s="247"/>
      <c r="X267" s="245"/>
      <c r="Y267" s="248"/>
      <c r="Z267" s="248"/>
    </row>
    <row r="268" spans="1:26" s="249" customFormat="1" ht="37.5" customHeight="1" thickBot="1" x14ac:dyDescent="0.35">
      <c r="A268" s="237"/>
      <c r="B268" s="250"/>
      <c r="C268" s="251"/>
      <c r="D268" s="252"/>
      <c r="E268" s="253"/>
      <c r="F268" s="254"/>
      <c r="G268" s="251"/>
      <c r="H268" s="253"/>
      <c r="I268" s="251"/>
      <c r="J268" s="255"/>
      <c r="K268" s="255"/>
      <c r="L268" s="255"/>
      <c r="M268" s="256"/>
      <c r="N268" s="255"/>
      <c r="O268" s="257"/>
      <c r="P268" s="257"/>
      <c r="Q268" s="258"/>
      <c r="R268" s="257"/>
      <c r="S268" s="257"/>
      <c r="T268" s="259"/>
      <c r="U268" s="257"/>
      <c r="V268" s="257"/>
      <c r="W268" s="247"/>
      <c r="X268" s="245"/>
      <c r="Y268" s="248"/>
      <c r="Z268" s="248"/>
    </row>
    <row r="269" spans="1:26" s="249" customFormat="1" ht="49.5" customHeight="1" thickBot="1" x14ac:dyDescent="0.35">
      <c r="A269" s="237"/>
      <c r="B269" s="238" t="s">
        <v>558</v>
      </c>
      <c r="C269" s="239"/>
      <c r="D269" s="240">
        <f>C269*10</f>
        <v>0</v>
      </c>
      <c r="E269" s="241">
        <f>D269*0.2</f>
        <v>0</v>
      </c>
      <c r="F269" s="242">
        <f>E269*0.97*0.8/19.6</f>
        <v>0</v>
      </c>
      <c r="G269" s="239">
        <f>INT(M269)</f>
        <v>0</v>
      </c>
      <c r="H269" s="241" t="s">
        <v>18</v>
      </c>
      <c r="I269" s="239">
        <f>(M269-G269)*64</f>
        <v>0</v>
      </c>
      <c r="J269" s="243" t="s">
        <v>19</v>
      </c>
      <c r="K269" s="243"/>
      <c r="L269" s="243"/>
      <c r="M269" s="244">
        <f>(F269*1087/3456)</f>
        <v>0</v>
      </c>
      <c r="N269" s="243"/>
      <c r="O269" s="245"/>
      <c r="P269" s="245"/>
      <c r="Q269" s="246" t="s">
        <v>18</v>
      </c>
      <c r="R269" s="245"/>
      <c r="S269" s="245" t="s">
        <v>19</v>
      </c>
      <c r="T269" s="247"/>
      <c r="U269" s="245">
        <f>E269/259*60</f>
        <v>0</v>
      </c>
      <c r="V269" s="245"/>
      <c r="W269" s="247"/>
      <c r="X269" s="245"/>
      <c r="Y269" s="248"/>
      <c r="Z269" s="248"/>
    </row>
    <row r="270" spans="1:26" s="20" customFormat="1" ht="19.5" thickBot="1" x14ac:dyDescent="0.35">
      <c r="A270" s="41"/>
      <c r="B270" s="41" t="s">
        <v>108</v>
      </c>
      <c r="C270" s="42"/>
      <c r="D270" s="43"/>
      <c r="E270" s="45">
        <f>C270*3</f>
        <v>0</v>
      </c>
      <c r="F270" s="50">
        <f>E270*1.2*1/147</f>
        <v>0</v>
      </c>
      <c r="G270" s="42">
        <f t="shared" si="57"/>
        <v>0</v>
      </c>
      <c r="H270" s="45" t="s">
        <v>18</v>
      </c>
      <c r="I270" s="42">
        <f t="shared" si="58"/>
        <v>0</v>
      </c>
      <c r="J270" s="40" t="s">
        <v>19</v>
      </c>
      <c r="K270" s="40"/>
      <c r="L270" s="40"/>
      <c r="M270" s="46">
        <f>F270*5719/2880</f>
        <v>0</v>
      </c>
      <c r="N270" s="40"/>
      <c r="O270" s="40"/>
      <c r="P270" s="40"/>
      <c r="Q270" s="14" t="s">
        <v>18</v>
      </c>
      <c r="R270" s="40"/>
      <c r="S270" s="40" t="s">
        <v>19</v>
      </c>
      <c r="T270" s="47"/>
      <c r="U270" s="40">
        <f>E270/237*60</f>
        <v>0</v>
      </c>
      <c r="V270" s="176"/>
      <c r="W270" s="47"/>
      <c r="X270" s="40"/>
    </row>
    <row r="271" spans="1:26" s="20" customFormat="1" ht="19.5" thickBot="1" x14ac:dyDescent="0.35">
      <c r="A271" s="52"/>
      <c r="B271" s="57" t="s">
        <v>119</v>
      </c>
      <c r="C271" s="42"/>
      <c r="D271" s="58"/>
      <c r="E271" s="59"/>
      <c r="F271" s="50"/>
      <c r="G271" s="48"/>
      <c r="H271" s="59"/>
      <c r="I271" s="48"/>
      <c r="J271" s="46"/>
      <c r="K271" s="52"/>
      <c r="L271" s="52"/>
      <c r="M271" s="52"/>
      <c r="N271" s="52"/>
      <c r="O271" s="52"/>
      <c r="P271" s="52"/>
      <c r="Q271" s="52"/>
      <c r="R271" s="52"/>
      <c r="S271" s="52"/>
      <c r="T271" s="60"/>
      <c r="U271" s="52"/>
      <c r="V271" s="52"/>
      <c r="W271" s="60"/>
      <c r="X271" s="52"/>
    </row>
    <row r="272" spans="1:26" s="20" customFormat="1" ht="19.5" thickBot="1" x14ac:dyDescent="0.35">
      <c r="A272" s="52"/>
      <c r="B272" s="57" t="s">
        <v>120</v>
      </c>
      <c r="C272" s="42"/>
      <c r="D272" s="61"/>
      <c r="E272" s="52">
        <f>SUM(E133:E271)</f>
        <v>0</v>
      </c>
      <c r="F272" s="52">
        <f>SUM(F133:F271)</f>
        <v>0</v>
      </c>
      <c r="G272" s="48"/>
      <c r="H272" s="59"/>
      <c r="I272" s="62"/>
      <c r="J272" s="46"/>
      <c r="K272" s="52"/>
      <c r="L272" s="52"/>
      <c r="M272" s="52"/>
      <c r="N272" s="52"/>
      <c r="O272" s="52"/>
      <c r="P272" s="52"/>
      <c r="Q272" s="52"/>
      <c r="R272" s="52"/>
      <c r="S272" s="52"/>
      <c r="T272" s="60"/>
      <c r="U272" s="52"/>
      <c r="V272" s="52"/>
      <c r="W272" s="60"/>
      <c r="X272" s="52"/>
    </row>
    <row r="273" spans="1:25" s="20" customFormat="1" ht="19.5" thickBot="1" x14ac:dyDescent="0.35">
      <c r="A273" s="52"/>
      <c r="B273" s="57" t="s">
        <v>121</v>
      </c>
      <c r="C273" s="42"/>
      <c r="D273" s="61"/>
      <c r="E273" s="52">
        <f>E272+E132</f>
        <v>0</v>
      </c>
      <c r="F273" s="52"/>
      <c r="G273" s="48"/>
      <c r="H273" s="59"/>
      <c r="I273" s="62"/>
      <c r="J273" s="46"/>
      <c r="K273" s="52"/>
      <c r="L273" s="52"/>
      <c r="M273" s="52"/>
      <c r="N273" s="52"/>
      <c r="O273" s="52"/>
      <c r="P273" s="52"/>
      <c r="Q273" s="52"/>
      <c r="R273" s="52"/>
      <c r="S273" s="52"/>
      <c r="T273" s="60"/>
      <c r="U273" s="52"/>
      <c r="V273" s="52"/>
      <c r="W273" s="60"/>
      <c r="X273" s="52"/>
    </row>
    <row r="274" spans="1:25" ht="19.5" thickBot="1" x14ac:dyDescent="0.35">
      <c r="A274" s="3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spans="1:25" s="120" customFormat="1" ht="19.5" thickBot="1" x14ac:dyDescent="0.35">
      <c r="A275" s="118"/>
      <c r="B275" s="935" t="s">
        <v>603</v>
      </c>
      <c r="C275" s="936"/>
      <c r="D275" s="936"/>
      <c r="E275" s="936"/>
      <c r="F275" s="936"/>
      <c r="G275" s="936"/>
      <c r="H275" s="936"/>
      <c r="I275" s="936"/>
      <c r="J275" s="936"/>
      <c r="K275" s="936"/>
      <c r="L275" s="936"/>
      <c r="M275" s="936"/>
      <c r="N275" s="936"/>
      <c r="O275" s="936"/>
      <c r="P275" s="936"/>
      <c r="Q275" s="936"/>
      <c r="R275" s="936"/>
      <c r="S275" s="936"/>
      <c r="T275" s="936"/>
      <c r="U275" s="936"/>
      <c r="V275" s="936"/>
      <c r="W275" s="936"/>
      <c r="X275" s="936"/>
      <c r="Y275" s="119"/>
    </row>
    <row r="276" spans="1:25" s="20" customFormat="1" ht="19.5" thickBot="1" x14ac:dyDescent="0.35">
      <c r="A276" s="117"/>
      <c r="B276" s="937" t="s">
        <v>60</v>
      </c>
      <c r="C276" s="938"/>
      <c r="D276" s="938"/>
      <c r="E276" s="938"/>
      <c r="F276" s="938"/>
      <c r="G276" s="938"/>
      <c r="H276" s="938"/>
      <c r="I276" s="938"/>
      <c r="J276" s="938"/>
      <c r="K276" s="938"/>
      <c r="L276" s="938"/>
      <c r="M276" s="938"/>
      <c r="N276" s="938"/>
      <c r="O276" s="938"/>
      <c r="P276" s="938"/>
      <c r="Q276" s="938"/>
      <c r="R276" s="938"/>
      <c r="S276" s="938"/>
      <c r="T276" s="938"/>
      <c r="U276" s="938"/>
      <c r="V276" s="938"/>
      <c r="W276" s="938"/>
      <c r="X276" s="939"/>
    </row>
    <row r="277" spans="1:25" s="20" customFormat="1" ht="19.5" thickBot="1" x14ac:dyDescent="0.35">
      <c r="A277" s="41"/>
      <c r="B277" s="41" t="s">
        <v>61</v>
      </c>
      <c r="C277" s="42"/>
      <c r="D277" s="43"/>
      <c r="E277" s="40">
        <f>C277*2.8</f>
        <v>0</v>
      </c>
      <c r="F277" s="44">
        <f t="shared" ref="F277:F287" si="60">E277*1.03*0.82/173</f>
        <v>0</v>
      </c>
      <c r="G277" s="42">
        <f t="shared" ref="G277:G287" si="61">INT(M277)</f>
        <v>0</v>
      </c>
      <c r="H277" s="45" t="s">
        <v>18</v>
      </c>
      <c r="I277" s="42">
        <f t="shared" ref="I277:I287" si="62">(M277-G277)*64</f>
        <v>0</v>
      </c>
      <c r="J277" s="40" t="s">
        <v>19</v>
      </c>
      <c r="K277" s="40"/>
      <c r="L277" s="40"/>
      <c r="M277" s="46">
        <f>F277*13307/3456</f>
        <v>0</v>
      </c>
      <c r="N277" s="40"/>
      <c r="O277" s="40"/>
      <c r="P277" s="40"/>
      <c r="Q277" s="45" t="s">
        <v>18</v>
      </c>
      <c r="R277" s="40"/>
      <c r="S277" s="40" t="s">
        <v>19</v>
      </c>
      <c r="T277" s="47"/>
      <c r="U277" s="40">
        <f>E277/166*60</f>
        <v>0</v>
      </c>
      <c r="V277" s="176"/>
      <c r="W277" s="47"/>
      <c r="X277" s="40"/>
    </row>
    <row r="278" spans="1:25" s="20" customFormat="1" ht="38.25" thickBot="1" x14ac:dyDescent="0.35">
      <c r="A278" s="41"/>
      <c r="B278" s="41" t="s">
        <v>347</v>
      </c>
      <c r="C278" s="42"/>
      <c r="D278" s="43">
        <f t="shared" ref="D278:D284" si="63">C278*10</f>
        <v>0</v>
      </c>
      <c r="E278" s="40">
        <f>D278*0.18</f>
        <v>0</v>
      </c>
      <c r="F278" s="44">
        <f t="shared" si="60"/>
        <v>0</v>
      </c>
      <c r="G278" s="42">
        <f t="shared" si="61"/>
        <v>0</v>
      </c>
      <c r="H278" s="45" t="s">
        <v>18</v>
      </c>
      <c r="I278" s="42">
        <f t="shared" si="62"/>
        <v>0</v>
      </c>
      <c r="J278" s="40" t="s">
        <v>19</v>
      </c>
      <c r="K278" s="40"/>
      <c r="L278" s="40"/>
      <c r="M278" s="46">
        <f>(F278*11610)/3456</f>
        <v>0</v>
      </c>
      <c r="N278" s="40"/>
      <c r="O278" s="40"/>
      <c r="P278" s="40"/>
      <c r="Q278" s="45" t="s">
        <v>18</v>
      </c>
      <c r="R278" s="40"/>
      <c r="S278" s="40" t="s">
        <v>19</v>
      </c>
      <c r="T278" s="47"/>
      <c r="U278" s="40">
        <f>E278/207*60</f>
        <v>0</v>
      </c>
      <c r="V278" s="176"/>
      <c r="W278" s="47"/>
      <c r="X278" s="40"/>
    </row>
    <row r="279" spans="1:25" s="20" customFormat="1" ht="19.5" thickBot="1" x14ac:dyDescent="0.35">
      <c r="A279" s="41"/>
      <c r="B279" s="41" t="s">
        <v>70</v>
      </c>
      <c r="C279" s="42"/>
      <c r="D279" s="43">
        <f t="shared" si="63"/>
        <v>0</v>
      </c>
      <c r="E279" s="40">
        <f>D279*0.25</f>
        <v>0</v>
      </c>
      <c r="F279" s="44">
        <f t="shared" si="60"/>
        <v>0</v>
      </c>
      <c r="G279" s="42">
        <f t="shared" si="61"/>
        <v>0</v>
      </c>
      <c r="H279" s="45" t="s">
        <v>18</v>
      </c>
      <c r="I279" s="42">
        <f t="shared" si="62"/>
        <v>0</v>
      </c>
      <c r="J279" s="40" t="s">
        <v>19</v>
      </c>
      <c r="K279" s="40"/>
      <c r="L279" s="40"/>
      <c r="M279" s="46">
        <f>(F279*8480)/3456</f>
        <v>0</v>
      </c>
      <c r="N279" s="40"/>
      <c r="O279" s="40"/>
      <c r="P279" s="40"/>
      <c r="Q279" s="45" t="s">
        <v>18</v>
      </c>
      <c r="R279" s="40"/>
      <c r="S279" s="40" t="s">
        <v>19</v>
      </c>
      <c r="T279" s="47"/>
      <c r="U279" s="40">
        <f>E279/272*60</f>
        <v>0</v>
      </c>
      <c r="V279" s="176"/>
      <c r="W279" s="47"/>
      <c r="X279" s="40"/>
    </row>
    <row r="280" spans="1:25" s="20" customFormat="1" ht="38.25" thickBot="1" x14ac:dyDescent="0.35">
      <c r="A280" s="41"/>
      <c r="B280" s="41" t="s">
        <v>350</v>
      </c>
      <c r="C280" s="42"/>
      <c r="D280" s="43">
        <f t="shared" si="63"/>
        <v>0</v>
      </c>
      <c r="E280" s="40">
        <f>D280*0.25</f>
        <v>0</v>
      </c>
      <c r="F280" s="44">
        <f t="shared" si="60"/>
        <v>0</v>
      </c>
      <c r="G280" s="42">
        <f t="shared" si="61"/>
        <v>0</v>
      </c>
      <c r="H280" s="45" t="s">
        <v>18</v>
      </c>
      <c r="I280" s="42">
        <f t="shared" si="62"/>
        <v>0</v>
      </c>
      <c r="J280" s="40" t="s">
        <v>19</v>
      </c>
      <c r="K280" s="40"/>
      <c r="L280" s="40"/>
      <c r="M280" s="46">
        <f>(F280*8480)/3456</f>
        <v>0</v>
      </c>
      <c r="N280" s="40"/>
      <c r="O280" s="40"/>
      <c r="P280" s="40"/>
      <c r="Q280" s="45" t="s">
        <v>18</v>
      </c>
      <c r="R280" s="40"/>
      <c r="S280" s="40" t="s">
        <v>19</v>
      </c>
      <c r="T280" s="47"/>
      <c r="U280" s="40">
        <f>E280/272*60</f>
        <v>0</v>
      </c>
      <c r="V280" s="176"/>
      <c r="W280" s="47"/>
      <c r="X280" s="40"/>
    </row>
    <row r="281" spans="1:25" s="20" customFormat="1" ht="38.25" thickBot="1" x14ac:dyDescent="0.35">
      <c r="A281" s="41"/>
      <c r="B281" s="41" t="s">
        <v>568</v>
      </c>
      <c r="C281" s="42"/>
      <c r="D281" s="43">
        <f t="shared" si="63"/>
        <v>0</v>
      </c>
      <c r="E281" s="40">
        <f>D281*0.25</f>
        <v>0</v>
      </c>
      <c r="F281" s="44">
        <f t="shared" si="60"/>
        <v>0</v>
      </c>
      <c r="G281" s="42">
        <f t="shared" si="61"/>
        <v>0</v>
      </c>
      <c r="H281" s="45" t="s">
        <v>18</v>
      </c>
      <c r="I281" s="42">
        <f t="shared" si="62"/>
        <v>0</v>
      </c>
      <c r="J281" s="40" t="s">
        <v>19</v>
      </c>
      <c r="K281" s="40"/>
      <c r="L281" s="40"/>
      <c r="M281" s="46">
        <f>(F281*8480)/3456</f>
        <v>0</v>
      </c>
      <c r="N281" s="40"/>
      <c r="O281" s="40"/>
      <c r="P281" s="40"/>
      <c r="Q281" s="45" t="s">
        <v>18</v>
      </c>
      <c r="R281" s="40"/>
      <c r="S281" s="40" t="s">
        <v>19</v>
      </c>
      <c r="T281" s="47"/>
      <c r="U281" s="40">
        <f>E281/272*60</f>
        <v>0</v>
      </c>
      <c r="V281" s="176"/>
      <c r="W281" s="47"/>
      <c r="X281" s="40"/>
    </row>
    <row r="282" spans="1:25" s="20" customFormat="1" ht="38.25" thickBot="1" x14ac:dyDescent="0.35">
      <c r="A282" s="41"/>
      <c r="B282" s="41" t="s">
        <v>353</v>
      </c>
      <c r="C282" s="42"/>
      <c r="D282" s="43">
        <f t="shared" si="63"/>
        <v>0</v>
      </c>
      <c r="E282" s="40">
        <f>D282*0.25</f>
        <v>0</v>
      </c>
      <c r="F282" s="44">
        <f t="shared" si="60"/>
        <v>0</v>
      </c>
      <c r="G282" s="42">
        <f t="shared" si="61"/>
        <v>0</v>
      </c>
      <c r="H282" s="45" t="s">
        <v>18</v>
      </c>
      <c r="I282" s="42">
        <f t="shared" si="62"/>
        <v>0</v>
      </c>
      <c r="J282" s="40" t="s">
        <v>19</v>
      </c>
      <c r="K282" s="40"/>
      <c r="L282" s="40"/>
      <c r="M282" s="46">
        <f>(F282*8480)/3456</f>
        <v>0</v>
      </c>
      <c r="N282" s="40"/>
      <c r="O282" s="40"/>
      <c r="P282" s="40"/>
      <c r="Q282" s="45" t="s">
        <v>18</v>
      </c>
      <c r="R282" s="40"/>
      <c r="S282" s="40" t="s">
        <v>19</v>
      </c>
      <c r="T282" s="47"/>
      <c r="U282" s="40">
        <f>E282/272*60</f>
        <v>0</v>
      </c>
      <c r="V282" s="176"/>
      <c r="W282" s="47"/>
      <c r="X282" s="40"/>
    </row>
    <row r="283" spans="1:25" s="20" customFormat="1" ht="38.25" thickBot="1" x14ac:dyDescent="0.35">
      <c r="A283" s="41"/>
      <c r="B283" s="41" t="s">
        <v>346</v>
      </c>
      <c r="C283" s="42"/>
      <c r="D283" s="43">
        <f t="shared" si="63"/>
        <v>0</v>
      </c>
      <c r="E283" s="40">
        <f>D283*0.18</f>
        <v>0</v>
      </c>
      <c r="F283" s="44">
        <f t="shared" si="60"/>
        <v>0</v>
      </c>
      <c r="G283" s="42">
        <f t="shared" si="61"/>
        <v>0</v>
      </c>
      <c r="H283" s="45" t="s">
        <v>18</v>
      </c>
      <c r="I283" s="42">
        <f t="shared" si="62"/>
        <v>0</v>
      </c>
      <c r="J283" s="40" t="s">
        <v>19</v>
      </c>
      <c r="K283" s="40"/>
      <c r="L283" s="40"/>
      <c r="M283" s="46">
        <f>(F283*11610)/3456</f>
        <v>0</v>
      </c>
      <c r="N283" s="40"/>
      <c r="O283" s="40"/>
      <c r="P283" s="40"/>
      <c r="Q283" s="45" t="s">
        <v>18</v>
      </c>
      <c r="R283" s="40"/>
      <c r="S283" s="40" t="s">
        <v>19</v>
      </c>
      <c r="T283" s="47"/>
      <c r="U283" s="40">
        <f>E283/207*60</f>
        <v>0</v>
      </c>
      <c r="V283" s="176"/>
      <c r="W283" s="47"/>
      <c r="X283" s="40"/>
    </row>
    <row r="284" spans="1:25" s="20" customFormat="1" ht="19.5" thickBot="1" x14ac:dyDescent="0.35">
      <c r="A284" s="41"/>
      <c r="B284" s="41" t="s">
        <v>64</v>
      </c>
      <c r="C284" s="42"/>
      <c r="D284" s="43">
        <f t="shared" si="63"/>
        <v>0</v>
      </c>
      <c r="E284" s="40">
        <f>D284*0.18</f>
        <v>0</v>
      </c>
      <c r="F284" s="44">
        <f t="shared" si="60"/>
        <v>0</v>
      </c>
      <c r="G284" s="42">
        <f t="shared" si="61"/>
        <v>0</v>
      </c>
      <c r="H284" s="45" t="s">
        <v>18</v>
      </c>
      <c r="I284" s="42">
        <f t="shared" si="62"/>
        <v>0</v>
      </c>
      <c r="J284" s="40" t="s">
        <v>19</v>
      </c>
      <c r="K284" s="40"/>
      <c r="L284" s="40"/>
      <c r="M284" s="46">
        <f>(F284*11610)/3456</f>
        <v>0</v>
      </c>
      <c r="N284" s="40"/>
      <c r="O284" s="40"/>
      <c r="P284" s="40"/>
      <c r="Q284" s="45" t="s">
        <v>18</v>
      </c>
      <c r="R284" s="40"/>
      <c r="S284" s="40" t="s">
        <v>19</v>
      </c>
      <c r="T284" s="47"/>
      <c r="U284" s="40">
        <f>E284/207*60</f>
        <v>0</v>
      </c>
      <c r="V284" s="176"/>
      <c r="W284" s="47"/>
      <c r="X284" s="40"/>
    </row>
    <row r="285" spans="1:25" s="20" customFormat="1" ht="19.5" thickBot="1" x14ac:dyDescent="0.35">
      <c r="A285" s="41"/>
      <c r="B285" s="41" t="s">
        <v>65</v>
      </c>
      <c r="C285" s="42"/>
      <c r="D285" s="43">
        <f>C285*26</f>
        <v>0</v>
      </c>
      <c r="E285" s="40">
        <f>D285*0.15</f>
        <v>0</v>
      </c>
      <c r="F285" s="44">
        <f t="shared" si="60"/>
        <v>0</v>
      </c>
      <c r="G285" s="42">
        <f t="shared" si="61"/>
        <v>0</v>
      </c>
      <c r="H285" s="45" t="s">
        <v>18</v>
      </c>
      <c r="I285" s="42">
        <f t="shared" si="62"/>
        <v>0</v>
      </c>
      <c r="J285" s="40" t="s">
        <v>19</v>
      </c>
      <c r="K285" s="40"/>
      <c r="L285" s="40"/>
      <c r="M285" s="46">
        <f t="shared" ref="M285:M295" si="64">(F285*8480)/3456</f>
        <v>0</v>
      </c>
      <c r="N285" s="40"/>
      <c r="O285" s="40"/>
      <c r="P285" s="40"/>
      <c r="Q285" s="45" t="s">
        <v>18</v>
      </c>
      <c r="R285" s="40"/>
      <c r="S285" s="40" t="s">
        <v>19</v>
      </c>
      <c r="T285" s="47"/>
      <c r="U285" s="40">
        <f>E285/259*60</f>
        <v>0</v>
      </c>
      <c r="V285" s="176"/>
      <c r="W285" s="47"/>
      <c r="X285" s="40"/>
    </row>
    <row r="286" spans="1:25" s="20" customFormat="1" ht="38.25" thickBot="1" x14ac:dyDescent="0.35">
      <c r="A286" s="41"/>
      <c r="B286" s="41" t="s">
        <v>352</v>
      </c>
      <c r="C286" s="42"/>
      <c r="D286" s="43">
        <f t="shared" ref="D286:D295" si="65">C286*10</f>
        <v>0</v>
      </c>
      <c r="E286" s="40">
        <f>D286*0.25</f>
        <v>0</v>
      </c>
      <c r="F286" s="44">
        <f t="shared" si="60"/>
        <v>0</v>
      </c>
      <c r="G286" s="42">
        <f t="shared" si="61"/>
        <v>0</v>
      </c>
      <c r="H286" s="45" t="s">
        <v>18</v>
      </c>
      <c r="I286" s="42">
        <f t="shared" si="62"/>
        <v>0</v>
      </c>
      <c r="J286" s="40" t="s">
        <v>19</v>
      </c>
      <c r="K286" s="40"/>
      <c r="L286" s="40"/>
      <c r="M286" s="46">
        <f t="shared" si="64"/>
        <v>0</v>
      </c>
      <c r="N286" s="40"/>
      <c r="O286" s="40"/>
      <c r="P286" s="40"/>
      <c r="Q286" s="45" t="s">
        <v>18</v>
      </c>
      <c r="R286" s="40"/>
      <c r="S286" s="40" t="s">
        <v>19</v>
      </c>
      <c r="T286" s="47"/>
      <c r="U286" s="40">
        <f t="shared" ref="U286:U295" si="66">E286/272*60</f>
        <v>0</v>
      </c>
      <c r="V286" s="176"/>
      <c r="W286" s="47"/>
      <c r="X286" s="40"/>
    </row>
    <row r="287" spans="1:25" s="20" customFormat="1" ht="19.5" thickBot="1" x14ac:dyDescent="0.35">
      <c r="A287" s="41"/>
      <c r="B287" s="41" t="s">
        <v>69</v>
      </c>
      <c r="C287" s="42"/>
      <c r="D287" s="43">
        <f t="shared" si="65"/>
        <v>0</v>
      </c>
      <c r="E287" s="40">
        <f>D287*0.25</f>
        <v>0</v>
      </c>
      <c r="F287" s="44">
        <f t="shared" si="60"/>
        <v>0</v>
      </c>
      <c r="G287" s="42">
        <f t="shared" si="61"/>
        <v>0</v>
      </c>
      <c r="H287" s="45" t="s">
        <v>18</v>
      </c>
      <c r="I287" s="42">
        <f t="shared" si="62"/>
        <v>0</v>
      </c>
      <c r="J287" s="40" t="s">
        <v>19</v>
      </c>
      <c r="K287" s="40"/>
      <c r="L287" s="40"/>
      <c r="M287" s="46">
        <f t="shared" si="64"/>
        <v>0</v>
      </c>
      <c r="N287" s="40"/>
      <c r="O287" s="40"/>
      <c r="P287" s="40"/>
      <c r="Q287" s="45" t="s">
        <v>18</v>
      </c>
      <c r="R287" s="40"/>
      <c r="S287" s="40" t="s">
        <v>19</v>
      </c>
      <c r="T287" s="47"/>
      <c r="U287" s="40">
        <f t="shared" si="66"/>
        <v>0</v>
      </c>
      <c r="V287" s="176"/>
      <c r="W287" s="47"/>
      <c r="X287" s="40"/>
    </row>
    <row r="288" spans="1:25" s="120" customFormat="1" ht="38.25" thickBot="1" x14ac:dyDescent="0.35">
      <c r="A288" s="146"/>
      <c r="B288" s="146" t="s">
        <v>362</v>
      </c>
      <c r="C288" s="147"/>
      <c r="D288" s="148">
        <f t="shared" si="65"/>
        <v>0</v>
      </c>
      <c r="E288" s="149">
        <f>D288*0.36</f>
        <v>0</v>
      </c>
      <c r="F288" s="150">
        <f t="shared" ref="F288:F295" si="67">E288*1.03*0.82/173</f>
        <v>0</v>
      </c>
      <c r="G288" s="147">
        <f t="shared" ref="G288:G296" si="68">INT(M288)</f>
        <v>0</v>
      </c>
      <c r="H288" s="151" t="s">
        <v>18</v>
      </c>
      <c r="I288" s="147">
        <f t="shared" ref="I288:I296" si="69">(M288-G288)*64</f>
        <v>0</v>
      </c>
      <c r="J288" s="149" t="s">
        <v>19</v>
      </c>
      <c r="K288" s="149"/>
      <c r="L288" s="149"/>
      <c r="M288" s="152">
        <f t="shared" si="64"/>
        <v>0</v>
      </c>
      <c r="N288" s="149"/>
      <c r="O288" s="149"/>
      <c r="P288" s="149"/>
      <c r="Q288" s="151" t="s">
        <v>18</v>
      </c>
      <c r="R288" s="149"/>
      <c r="S288" s="149" t="s">
        <v>19</v>
      </c>
      <c r="T288" s="153"/>
      <c r="U288" s="149">
        <f t="shared" si="66"/>
        <v>0</v>
      </c>
      <c r="V288" s="176"/>
      <c r="W288" s="153"/>
      <c r="X288" s="149"/>
    </row>
    <row r="289" spans="1:24" s="120" customFormat="1" ht="38.25" thickBot="1" x14ac:dyDescent="0.35">
      <c r="A289" s="146"/>
      <c r="B289" s="146" t="s">
        <v>360</v>
      </c>
      <c r="C289" s="147"/>
      <c r="D289" s="148">
        <f t="shared" si="65"/>
        <v>0</v>
      </c>
      <c r="E289" s="149">
        <f>D289*0.2</f>
        <v>0</v>
      </c>
      <c r="F289" s="150">
        <f t="shared" si="67"/>
        <v>0</v>
      </c>
      <c r="G289" s="147">
        <f t="shared" si="68"/>
        <v>0</v>
      </c>
      <c r="H289" s="151" t="s">
        <v>18</v>
      </c>
      <c r="I289" s="147">
        <f t="shared" si="69"/>
        <v>0</v>
      </c>
      <c r="J289" s="149" t="s">
        <v>19</v>
      </c>
      <c r="K289" s="149"/>
      <c r="L289" s="149"/>
      <c r="M289" s="152">
        <f t="shared" si="64"/>
        <v>0</v>
      </c>
      <c r="N289" s="149"/>
      <c r="O289" s="149"/>
      <c r="P289" s="149"/>
      <c r="Q289" s="151" t="s">
        <v>18</v>
      </c>
      <c r="R289" s="149"/>
      <c r="S289" s="149" t="s">
        <v>19</v>
      </c>
      <c r="T289" s="153"/>
      <c r="U289" s="149">
        <f t="shared" si="66"/>
        <v>0</v>
      </c>
      <c r="V289" s="176"/>
      <c r="W289" s="153"/>
      <c r="X289" s="149"/>
    </row>
    <row r="290" spans="1:24" s="120" customFormat="1" ht="38.25" thickBot="1" x14ac:dyDescent="0.35">
      <c r="A290" s="146"/>
      <c r="B290" s="146" t="s">
        <v>361</v>
      </c>
      <c r="C290" s="147"/>
      <c r="D290" s="148">
        <f t="shared" si="65"/>
        <v>0</v>
      </c>
      <c r="E290" s="149">
        <f>D290*0.2</f>
        <v>0</v>
      </c>
      <c r="F290" s="150">
        <f t="shared" si="67"/>
        <v>0</v>
      </c>
      <c r="G290" s="147">
        <f t="shared" si="68"/>
        <v>0</v>
      </c>
      <c r="H290" s="151" t="s">
        <v>18</v>
      </c>
      <c r="I290" s="147">
        <f t="shared" si="69"/>
        <v>0</v>
      </c>
      <c r="J290" s="149" t="s">
        <v>19</v>
      </c>
      <c r="K290" s="149"/>
      <c r="L290" s="149"/>
      <c r="M290" s="152">
        <f t="shared" si="64"/>
        <v>0</v>
      </c>
      <c r="N290" s="149"/>
      <c r="O290" s="149"/>
      <c r="P290" s="149"/>
      <c r="Q290" s="151" t="s">
        <v>18</v>
      </c>
      <c r="R290" s="149"/>
      <c r="S290" s="149" t="s">
        <v>19</v>
      </c>
      <c r="T290" s="153"/>
      <c r="U290" s="149">
        <f t="shared" si="66"/>
        <v>0</v>
      </c>
      <c r="V290" s="176"/>
      <c r="W290" s="153"/>
      <c r="X290" s="149"/>
    </row>
    <row r="291" spans="1:24" s="20" customFormat="1" ht="19.5" thickBot="1" x14ac:dyDescent="0.35">
      <c r="A291" s="41"/>
      <c r="B291" s="41" t="s">
        <v>71</v>
      </c>
      <c r="C291" s="42"/>
      <c r="D291" s="43">
        <f t="shared" si="65"/>
        <v>0</v>
      </c>
      <c r="E291" s="40">
        <f>D291*0.25</f>
        <v>0</v>
      </c>
      <c r="F291" s="44">
        <f t="shared" si="67"/>
        <v>0</v>
      </c>
      <c r="G291" s="42">
        <f t="shared" si="68"/>
        <v>0</v>
      </c>
      <c r="H291" s="45" t="s">
        <v>18</v>
      </c>
      <c r="I291" s="42">
        <f t="shared" si="69"/>
        <v>0</v>
      </c>
      <c r="J291" s="40" t="s">
        <v>19</v>
      </c>
      <c r="K291" s="40"/>
      <c r="L291" s="40"/>
      <c r="M291" s="46">
        <f t="shared" si="64"/>
        <v>0</v>
      </c>
      <c r="N291" s="40"/>
      <c r="O291" s="40"/>
      <c r="P291" s="40"/>
      <c r="Q291" s="45" t="s">
        <v>18</v>
      </c>
      <c r="R291" s="40"/>
      <c r="S291" s="40" t="s">
        <v>19</v>
      </c>
      <c r="T291" s="47"/>
      <c r="U291" s="40">
        <f t="shared" si="66"/>
        <v>0</v>
      </c>
      <c r="V291" s="176"/>
      <c r="W291" s="47"/>
      <c r="X291" s="40"/>
    </row>
    <row r="292" spans="1:24" s="20" customFormat="1" ht="38.25" thickBot="1" x14ac:dyDescent="0.35">
      <c r="A292" s="41"/>
      <c r="B292" s="41" t="s">
        <v>351</v>
      </c>
      <c r="C292" s="42"/>
      <c r="D292" s="43">
        <f t="shared" si="65"/>
        <v>0</v>
      </c>
      <c r="E292" s="40">
        <f>D292*0.25</f>
        <v>0</v>
      </c>
      <c r="F292" s="44">
        <f t="shared" si="67"/>
        <v>0</v>
      </c>
      <c r="G292" s="42">
        <f t="shared" si="68"/>
        <v>0</v>
      </c>
      <c r="H292" s="45" t="s">
        <v>18</v>
      </c>
      <c r="I292" s="42">
        <f t="shared" si="69"/>
        <v>0</v>
      </c>
      <c r="J292" s="40" t="s">
        <v>19</v>
      </c>
      <c r="K292" s="40"/>
      <c r="L292" s="40"/>
      <c r="M292" s="46">
        <f t="shared" si="64"/>
        <v>0</v>
      </c>
      <c r="N292" s="40"/>
      <c r="O292" s="40"/>
      <c r="P292" s="40"/>
      <c r="Q292" s="45" t="s">
        <v>18</v>
      </c>
      <c r="R292" s="40"/>
      <c r="S292" s="40" t="s">
        <v>19</v>
      </c>
      <c r="T292" s="47"/>
      <c r="U292" s="40">
        <f t="shared" si="66"/>
        <v>0</v>
      </c>
      <c r="V292" s="176"/>
      <c r="W292" s="47"/>
      <c r="X292" s="40"/>
    </row>
    <row r="293" spans="1:24" s="20" customFormat="1" ht="19.5" thickBot="1" x14ac:dyDescent="0.35">
      <c r="A293" s="41"/>
      <c r="B293" s="41" t="s">
        <v>73</v>
      </c>
      <c r="C293" s="42"/>
      <c r="D293" s="43">
        <f t="shared" si="65"/>
        <v>0</v>
      </c>
      <c r="E293" s="40">
        <f>D293*0.25</f>
        <v>0</v>
      </c>
      <c r="F293" s="44">
        <f t="shared" si="67"/>
        <v>0</v>
      </c>
      <c r="G293" s="42">
        <f t="shared" si="68"/>
        <v>0</v>
      </c>
      <c r="H293" s="45" t="s">
        <v>18</v>
      </c>
      <c r="I293" s="42">
        <f t="shared" si="69"/>
        <v>0</v>
      </c>
      <c r="J293" s="40" t="s">
        <v>19</v>
      </c>
      <c r="K293" s="40"/>
      <c r="L293" s="40"/>
      <c r="M293" s="46">
        <f t="shared" si="64"/>
        <v>0</v>
      </c>
      <c r="N293" s="40"/>
      <c r="O293" s="40"/>
      <c r="P293" s="40"/>
      <c r="Q293" s="45" t="s">
        <v>18</v>
      </c>
      <c r="R293" s="40"/>
      <c r="S293" s="40" t="s">
        <v>19</v>
      </c>
      <c r="T293" s="47"/>
      <c r="U293" s="40">
        <f t="shared" si="66"/>
        <v>0</v>
      </c>
      <c r="V293" s="176"/>
      <c r="W293" s="47"/>
      <c r="X293" s="40"/>
    </row>
    <row r="294" spans="1:24" s="20" customFormat="1" ht="19.5" thickBot="1" x14ac:dyDescent="0.35">
      <c r="A294" s="41"/>
      <c r="B294" s="41" t="s">
        <v>74</v>
      </c>
      <c r="C294" s="42"/>
      <c r="D294" s="43">
        <f t="shared" si="65"/>
        <v>0</v>
      </c>
      <c r="E294" s="40">
        <f>D294*0.2</f>
        <v>0</v>
      </c>
      <c r="F294" s="44">
        <f t="shared" si="67"/>
        <v>0</v>
      </c>
      <c r="G294" s="42">
        <f t="shared" si="68"/>
        <v>0</v>
      </c>
      <c r="H294" s="45" t="s">
        <v>18</v>
      </c>
      <c r="I294" s="42">
        <f t="shared" si="69"/>
        <v>0</v>
      </c>
      <c r="J294" s="40" t="s">
        <v>19</v>
      </c>
      <c r="K294" s="40"/>
      <c r="L294" s="40"/>
      <c r="M294" s="46">
        <f t="shared" si="64"/>
        <v>0</v>
      </c>
      <c r="N294" s="40"/>
      <c r="O294" s="40"/>
      <c r="P294" s="40"/>
      <c r="Q294" s="45" t="s">
        <v>18</v>
      </c>
      <c r="R294" s="40"/>
      <c r="S294" s="40" t="s">
        <v>19</v>
      </c>
      <c r="T294" s="47"/>
      <c r="U294" s="40">
        <f t="shared" si="66"/>
        <v>0</v>
      </c>
      <c r="V294" s="176"/>
      <c r="W294" s="47"/>
      <c r="X294" s="40"/>
    </row>
    <row r="295" spans="1:24" s="20" customFormat="1" ht="19.5" thickBot="1" x14ac:dyDescent="0.35">
      <c r="A295" s="41"/>
      <c r="B295" s="41" t="s">
        <v>75</v>
      </c>
      <c r="C295" s="42"/>
      <c r="D295" s="43">
        <f t="shared" si="65"/>
        <v>0</v>
      </c>
      <c r="E295" s="40">
        <f>D295*0.25</f>
        <v>0</v>
      </c>
      <c r="F295" s="44">
        <f t="shared" si="67"/>
        <v>0</v>
      </c>
      <c r="G295" s="42">
        <f t="shared" si="68"/>
        <v>0</v>
      </c>
      <c r="H295" s="45" t="s">
        <v>18</v>
      </c>
      <c r="I295" s="42">
        <f t="shared" si="69"/>
        <v>0</v>
      </c>
      <c r="J295" s="40" t="s">
        <v>19</v>
      </c>
      <c r="K295" s="40"/>
      <c r="L295" s="40"/>
      <c r="M295" s="46">
        <f t="shared" si="64"/>
        <v>0</v>
      </c>
      <c r="N295" s="40"/>
      <c r="O295" s="40"/>
      <c r="P295" s="40"/>
      <c r="Q295" s="45" t="s">
        <v>18</v>
      </c>
      <c r="R295" s="40"/>
      <c r="S295" s="40" t="s">
        <v>19</v>
      </c>
      <c r="T295" s="47"/>
      <c r="U295" s="40">
        <f t="shared" si="66"/>
        <v>0</v>
      </c>
      <c r="V295" s="176"/>
      <c r="W295" s="47"/>
      <c r="X295" s="40"/>
    </row>
    <row r="296" spans="1:24" s="20" customFormat="1" ht="33.75" customHeight="1" thickBot="1" x14ac:dyDescent="0.35">
      <c r="A296" s="41"/>
      <c r="B296" s="271" t="s">
        <v>562</v>
      </c>
      <c r="C296" s="272"/>
      <c r="D296" s="273">
        <f>C296*20</f>
        <v>0</v>
      </c>
      <c r="E296" s="274">
        <f>D296*0.25</f>
        <v>0</v>
      </c>
      <c r="F296" s="275">
        <f>E296*1.03*0.82*0.9/165</f>
        <v>0</v>
      </c>
      <c r="G296" s="272">
        <f t="shared" si="68"/>
        <v>0</v>
      </c>
      <c r="H296" s="274" t="s">
        <v>18</v>
      </c>
      <c r="I296" s="272">
        <f t="shared" si="69"/>
        <v>0</v>
      </c>
      <c r="J296" s="276" t="s">
        <v>19</v>
      </c>
      <c r="K296" s="276"/>
      <c r="L296" s="276"/>
      <c r="M296" s="277">
        <f>(F296*8333/3456)</f>
        <v>0</v>
      </c>
      <c r="N296" s="40"/>
      <c r="O296" s="40"/>
      <c r="P296" s="40"/>
      <c r="Q296" s="14" t="s">
        <v>18</v>
      </c>
      <c r="R296" s="40"/>
      <c r="S296" s="40" t="s">
        <v>19</v>
      </c>
      <c r="T296" s="47"/>
      <c r="U296" s="40">
        <f t="shared" ref="U296:U302" si="70">E296/259*60</f>
        <v>0</v>
      </c>
      <c r="V296" s="40"/>
      <c r="W296" s="47"/>
      <c r="X296" s="40"/>
    </row>
    <row r="297" spans="1:24" s="20" customFormat="1" ht="26.25" customHeight="1" thickBot="1" x14ac:dyDescent="0.35">
      <c r="A297" s="41"/>
      <c r="B297" s="41" t="s">
        <v>282</v>
      </c>
      <c r="C297" s="42"/>
      <c r="D297" s="43">
        <f>C297*20</f>
        <v>0</v>
      </c>
      <c r="E297" s="45">
        <f>D297*0.25</f>
        <v>0</v>
      </c>
      <c r="F297" s="50">
        <f>E297*1.001*0.72/147</f>
        <v>0</v>
      </c>
      <c r="G297" s="42">
        <f t="shared" ref="G297:G303" si="71">INT(M297)</f>
        <v>0</v>
      </c>
      <c r="H297" s="45" t="s">
        <v>18</v>
      </c>
      <c r="I297" s="42">
        <f t="shared" ref="I297:I303" si="72">(M297-G297)*64</f>
        <v>0</v>
      </c>
      <c r="J297" s="40" t="s">
        <v>19</v>
      </c>
      <c r="K297" s="40"/>
      <c r="L297" s="40"/>
      <c r="M297" s="46">
        <f>(F297*7177/3456)</f>
        <v>0</v>
      </c>
      <c r="N297" s="40"/>
      <c r="O297" s="40"/>
      <c r="P297" s="40"/>
      <c r="Q297" s="14" t="s">
        <v>18</v>
      </c>
      <c r="R297" s="40"/>
      <c r="S297" s="40" t="s">
        <v>19</v>
      </c>
      <c r="T297" s="47"/>
      <c r="U297" s="40">
        <f t="shared" si="70"/>
        <v>0</v>
      </c>
      <c r="V297" s="40"/>
      <c r="W297" s="47"/>
      <c r="X297" s="40"/>
    </row>
    <row r="298" spans="1:24" s="20" customFormat="1" ht="26.25" customHeight="1" thickBot="1" x14ac:dyDescent="0.35">
      <c r="A298" s="41"/>
      <c r="B298" s="271" t="s">
        <v>563</v>
      </c>
      <c r="C298" s="272"/>
      <c r="D298" s="273">
        <f>C298*20</f>
        <v>0</v>
      </c>
      <c r="E298" s="274">
        <f>D298*0.25</f>
        <v>0</v>
      </c>
      <c r="F298" s="275">
        <f>E298*1.03*0.82*0.9/165</f>
        <v>0</v>
      </c>
      <c r="G298" s="272">
        <f t="shared" si="71"/>
        <v>0</v>
      </c>
      <c r="H298" s="274" t="s">
        <v>18</v>
      </c>
      <c r="I298" s="272">
        <f t="shared" si="72"/>
        <v>0</v>
      </c>
      <c r="J298" s="276" t="s">
        <v>19</v>
      </c>
      <c r="K298" s="276"/>
      <c r="L298" s="276"/>
      <c r="M298" s="277">
        <f>(F298*8333/3456)</f>
        <v>0</v>
      </c>
      <c r="N298" s="40"/>
      <c r="O298" s="40"/>
      <c r="P298" s="40"/>
      <c r="Q298" s="14" t="s">
        <v>18</v>
      </c>
      <c r="R298" s="40"/>
      <c r="S298" s="40" t="s">
        <v>19</v>
      </c>
      <c r="T298" s="47"/>
      <c r="U298" s="40">
        <f t="shared" si="70"/>
        <v>0</v>
      </c>
      <c r="V298" s="40"/>
      <c r="W298" s="47"/>
      <c r="X298" s="40"/>
    </row>
    <row r="299" spans="1:24" s="20" customFormat="1" ht="26.25" customHeight="1" thickBot="1" x14ac:dyDescent="0.35">
      <c r="A299" s="41"/>
      <c r="B299" s="41" t="s">
        <v>283</v>
      </c>
      <c r="C299" s="42"/>
      <c r="D299" s="43">
        <f>C299*20</f>
        <v>0</v>
      </c>
      <c r="E299" s="45">
        <f>D299*0.25</f>
        <v>0</v>
      </c>
      <c r="F299" s="50">
        <f>E299*1.001*0.72/147</f>
        <v>0</v>
      </c>
      <c r="G299" s="42">
        <f t="shared" si="71"/>
        <v>0</v>
      </c>
      <c r="H299" s="45" t="s">
        <v>18</v>
      </c>
      <c r="I299" s="42">
        <f t="shared" si="72"/>
        <v>0</v>
      </c>
      <c r="J299" s="40" t="s">
        <v>19</v>
      </c>
      <c r="K299" s="40"/>
      <c r="L299" s="40"/>
      <c r="M299" s="46">
        <f>(F299*7177/3456)</f>
        <v>0</v>
      </c>
      <c r="N299" s="40"/>
      <c r="O299" s="40"/>
      <c r="P299" s="40"/>
      <c r="Q299" s="14" t="s">
        <v>18</v>
      </c>
      <c r="R299" s="40"/>
      <c r="S299" s="40" t="s">
        <v>19</v>
      </c>
      <c r="T299" s="47"/>
      <c r="U299" s="40">
        <f t="shared" si="70"/>
        <v>0</v>
      </c>
      <c r="V299" s="40"/>
      <c r="W299" s="47"/>
      <c r="X299" s="40"/>
    </row>
    <row r="300" spans="1:24" s="20" customFormat="1" ht="21.75" customHeight="1" thickBot="1" x14ac:dyDescent="0.35">
      <c r="A300" s="41"/>
      <c r="B300" s="41" t="s">
        <v>89</v>
      </c>
      <c r="C300" s="42"/>
      <c r="D300" s="43">
        <f>C300*144</f>
        <v>0</v>
      </c>
      <c r="E300" s="45">
        <f>D300*0.025</f>
        <v>0</v>
      </c>
      <c r="F300" s="50">
        <f>E300*1.03*0.72/147</f>
        <v>0</v>
      </c>
      <c r="G300" s="42">
        <f t="shared" si="71"/>
        <v>0</v>
      </c>
      <c r="H300" s="45" t="s">
        <v>18</v>
      </c>
      <c r="I300" s="42">
        <f t="shared" si="72"/>
        <v>0</v>
      </c>
      <c r="J300" s="40" t="s">
        <v>19</v>
      </c>
      <c r="K300" s="40"/>
      <c r="L300" s="40"/>
      <c r="M300" s="46">
        <f>(F300*8448/3456)</f>
        <v>0</v>
      </c>
      <c r="N300" s="40"/>
      <c r="O300" s="40"/>
      <c r="P300" s="40"/>
      <c r="Q300" s="14" t="s">
        <v>18</v>
      </c>
      <c r="R300" s="40"/>
      <c r="S300" s="40" t="s">
        <v>19</v>
      </c>
      <c r="T300" s="47"/>
      <c r="U300" s="40">
        <f t="shared" si="70"/>
        <v>0</v>
      </c>
      <c r="V300" s="40"/>
      <c r="W300" s="47"/>
      <c r="X300" s="40"/>
    </row>
    <row r="301" spans="1:24" s="20" customFormat="1" ht="21.75" customHeight="1" thickBot="1" x14ac:dyDescent="0.35">
      <c r="A301" s="41"/>
      <c r="B301" s="41" t="s">
        <v>219</v>
      </c>
      <c r="C301" s="42"/>
      <c r="D301" s="43">
        <f>C301*10</f>
        <v>0</v>
      </c>
      <c r="E301" s="45">
        <f>D301*0.2</f>
        <v>0</v>
      </c>
      <c r="F301" s="50">
        <f>E301*1.03*0.72/147</f>
        <v>0</v>
      </c>
      <c r="G301" s="42">
        <f t="shared" si="71"/>
        <v>0</v>
      </c>
      <c r="H301" s="45" t="s">
        <v>18</v>
      </c>
      <c r="I301" s="42">
        <f t="shared" si="72"/>
        <v>0</v>
      </c>
      <c r="J301" s="40" t="s">
        <v>19</v>
      </c>
      <c r="K301" s="40"/>
      <c r="L301" s="40"/>
      <c r="M301" s="46">
        <f>(F301*8400/3456)</f>
        <v>0</v>
      </c>
      <c r="N301" s="40"/>
      <c r="O301" s="40"/>
      <c r="P301" s="40"/>
      <c r="Q301" s="14" t="s">
        <v>18</v>
      </c>
      <c r="R301" s="40"/>
      <c r="S301" s="40" t="s">
        <v>19</v>
      </c>
      <c r="T301" s="47"/>
      <c r="U301" s="40">
        <f t="shared" si="70"/>
        <v>0</v>
      </c>
      <c r="V301" s="40"/>
      <c r="W301" s="47"/>
      <c r="X301" s="40"/>
    </row>
    <row r="302" spans="1:24" s="20" customFormat="1" ht="27.75" customHeight="1" thickBot="1" x14ac:dyDescent="0.35">
      <c r="A302" s="41"/>
      <c r="B302" s="41" t="s">
        <v>86</v>
      </c>
      <c r="C302" s="42"/>
      <c r="D302" s="43">
        <f>C302*10</f>
        <v>0</v>
      </c>
      <c r="E302" s="45">
        <f>D302*0.2</f>
        <v>0</v>
      </c>
      <c r="F302" s="50">
        <f>E302*1.03*0.72/147</f>
        <v>0</v>
      </c>
      <c r="G302" s="42">
        <f t="shared" si="71"/>
        <v>0</v>
      </c>
      <c r="H302" s="45" t="s">
        <v>18</v>
      </c>
      <c r="I302" s="42">
        <f t="shared" si="72"/>
        <v>0</v>
      </c>
      <c r="J302" s="40" t="s">
        <v>19</v>
      </c>
      <c r="K302" s="40"/>
      <c r="L302" s="40"/>
      <c r="M302" s="46">
        <f>(F302*8400/3456)</f>
        <v>0</v>
      </c>
      <c r="N302" s="40"/>
      <c r="O302" s="40"/>
      <c r="P302" s="40"/>
      <c r="Q302" s="14" t="s">
        <v>18</v>
      </c>
      <c r="R302" s="40"/>
      <c r="S302" s="40" t="s">
        <v>19</v>
      </c>
      <c r="T302" s="47"/>
      <c r="U302" s="40">
        <f t="shared" si="70"/>
        <v>0</v>
      </c>
      <c r="V302" s="40"/>
      <c r="W302" s="47"/>
      <c r="X302" s="40"/>
    </row>
    <row r="303" spans="1:24" s="20" customFormat="1" ht="33.75" customHeight="1" thickBot="1" x14ac:dyDescent="0.35">
      <c r="A303" s="41"/>
      <c r="B303" s="41" t="s">
        <v>98</v>
      </c>
      <c r="C303" s="42"/>
      <c r="D303" s="43">
        <f>C303*10</f>
        <v>0</v>
      </c>
      <c r="E303" s="40">
        <f>D303*0.2</f>
        <v>0</v>
      </c>
      <c r="F303" s="50">
        <f>E303*1.03*0.8/147</f>
        <v>0</v>
      </c>
      <c r="G303" s="42">
        <f t="shared" si="71"/>
        <v>0</v>
      </c>
      <c r="H303" s="45" t="s">
        <v>18</v>
      </c>
      <c r="I303" s="42">
        <f t="shared" si="72"/>
        <v>0</v>
      </c>
      <c r="J303" s="40" t="s">
        <v>19</v>
      </c>
      <c r="K303" s="40"/>
      <c r="L303" s="40"/>
      <c r="M303" s="46">
        <f>(F303*9483)/3456</f>
        <v>0</v>
      </c>
      <c r="N303" s="40"/>
      <c r="O303" s="40"/>
      <c r="P303" s="40"/>
      <c r="Q303" s="14" t="s">
        <v>18</v>
      </c>
      <c r="R303" s="40"/>
      <c r="S303" s="40" t="s">
        <v>19</v>
      </c>
      <c r="T303" s="47"/>
      <c r="U303" s="40">
        <f>E303/220*60</f>
        <v>0</v>
      </c>
      <c r="V303" s="40"/>
      <c r="W303" s="47"/>
      <c r="X303" s="40"/>
    </row>
    <row r="304" spans="1:24" s="128" customFormat="1" ht="33" customHeight="1" thickBot="1" x14ac:dyDescent="0.35">
      <c r="A304" s="129"/>
      <c r="B304" s="130" t="s">
        <v>288</v>
      </c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</row>
    <row r="305" spans="1:26" s="20" customFormat="1" ht="21.75" customHeight="1" thickBot="1" x14ac:dyDescent="0.35">
      <c r="A305" s="41"/>
      <c r="B305" s="41" t="s">
        <v>93</v>
      </c>
      <c r="C305" s="42"/>
      <c r="D305" s="43"/>
      <c r="E305" s="45">
        <f>C305*2.5</f>
        <v>0</v>
      </c>
      <c r="F305" s="50">
        <f>E305*1.03*0.8/147</f>
        <v>0</v>
      </c>
      <c r="G305" s="42">
        <f t="shared" ref="G305:G313" si="73">INT(M305)</f>
        <v>0</v>
      </c>
      <c r="H305" s="45" t="s">
        <v>18</v>
      </c>
      <c r="I305" s="42">
        <f t="shared" ref="I305:I313" si="74">(M305-G305)*64</f>
        <v>0</v>
      </c>
      <c r="J305" s="40" t="s">
        <v>19</v>
      </c>
      <c r="K305" s="40"/>
      <c r="L305" s="40"/>
      <c r="M305" s="46">
        <f>(F305*5444/3456)</f>
        <v>0</v>
      </c>
      <c r="N305" s="40"/>
      <c r="O305" s="40"/>
      <c r="P305" s="40"/>
      <c r="Q305" s="14" t="s">
        <v>18</v>
      </c>
      <c r="R305" s="40"/>
      <c r="S305" s="40" t="s">
        <v>19</v>
      </c>
      <c r="T305" s="47"/>
      <c r="U305" s="40">
        <f t="shared" ref="U305:U310" si="75">E305/324*60</f>
        <v>0</v>
      </c>
      <c r="V305" s="40"/>
      <c r="W305" s="47"/>
      <c r="X305" s="40"/>
    </row>
    <row r="306" spans="1:26" s="20" customFormat="1" ht="21.75" customHeight="1" thickBot="1" x14ac:dyDescent="0.35">
      <c r="A306" s="53"/>
      <c r="B306" s="53" t="s">
        <v>91</v>
      </c>
      <c r="C306" s="42"/>
      <c r="D306" s="43"/>
      <c r="E306" s="45">
        <f>C306*2.5</f>
        <v>0</v>
      </c>
      <c r="F306" s="50">
        <f>E306*1.03*0.72/147</f>
        <v>0</v>
      </c>
      <c r="G306" s="42">
        <f t="shared" si="73"/>
        <v>0</v>
      </c>
      <c r="H306" s="45" t="s">
        <v>18</v>
      </c>
      <c r="I306" s="42">
        <f t="shared" si="74"/>
        <v>0</v>
      </c>
      <c r="J306" s="40" t="s">
        <v>19</v>
      </c>
      <c r="K306" s="40"/>
      <c r="L306" s="40"/>
      <c r="M306" s="46">
        <f>(F306*6049/3456)</f>
        <v>0</v>
      </c>
      <c r="N306" s="40"/>
      <c r="O306" s="40"/>
      <c r="P306" s="40"/>
      <c r="Q306" s="14" t="s">
        <v>18</v>
      </c>
      <c r="R306" s="40"/>
      <c r="S306" s="40" t="s">
        <v>19</v>
      </c>
      <c r="T306" s="47"/>
      <c r="U306" s="40">
        <f t="shared" si="75"/>
        <v>0</v>
      </c>
      <c r="V306" s="40"/>
      <c r="W306" s="47"/>
      <c r="X306" s="40"/>
    </row>
    <row r="307" spans="1:26" s="20" customFormat="1" ht="21.75" customHeight="1" thickBot="1" x14ac:dyDescent="0.35">
      <c r="A307" s="53"/>
      <c r="B307" s="53" t="s">
        <v>81</v>
      </c>
      <c r="C307" s="42"/>
      <c r="D307" s="43"/>
      <c r="E307" s="45">
        <f>C307*2.5</f>
        <v>0</v>
      </c>
      <c r="F307" s="50">
        <f>E307*1.03*0.72/147</f>
        <v>0</v>
      </c>
      <c r="G307" s="42">
        <f t="shared" si="73"/>
        <v>0</v>
      </c>
      <c r="H307" s="45" t="s">
        <v>18</v>
      </c>
      <c r="I307" s="42">
        <f t="shared" si="74"/>
        <v>0</v>
      </c>
      <c r="J307" s="40" t="s">
        <v>19</v>
      </c>
      <c r="K307" s="40"/>
      <c r="L307" s="40"/>
      <c r="M307" s="46">
        <f>(F307*6049/3456)</f>
        <v>0</v>
      </c>
      <c r="N307" s="40"/>
      <c r="O307" s="40"/>
      <c r="P307" s="40"/>
      <c r="Q307" s="14" t="s">
        <v>18</v>
      </c>
      <c r="R307" s="40"/>
      <c r="S307" s="40" t="s">
        <v>19</v>
      </c>
      <c r="T307" s="47"/>
      <c r="U307" s="40">
        <f t="shared" si="75"/>
        <v>0</v>
      </c>
      <c r="V307" s="40"/>
      <c r="W307" s="47"/>
      <c r="X307" s="40"/>
    </row>
    <row r="308" spans="1:26" s="20" customFormat="1" ht="41.25" customHeight="1" thickBot="1" x14ac:dyDescent="0.35">
      <c r="A308" s="41"/>
      <c r="B308" s="41" t="s">
        <v>564</v>
      </c>
      <c r="C308" s="42"/>
      <c r="D308" s="43"/>
      <c r="E308" s="45">
        <f>C308*4</f>
        <v>0</v>
      </c>
      <c r="F308" s="50">
        <f>E308*1.03*0.72/147</f>
        <v>0</v>
      </c>
      <c r="G308" s="42">
        <f t="shared" si="73"/>
        <v>0</v>
      </c>
      <c r="H308" s="45" t="s">
        <v>18</v>
      </c>
      <c r="I308" s="42">
        <f t="shared" si="74"/>
        <v>0</v>
      </c>
      <c r="J308" s="40" t="s">
        <v>19</v>
      </c>
      <c r="K308" s="40"/>
      <c r="L308" s="40"/>
      <c r="M308" s="46">
        <f>(F308*6049/3456)</f>
        <v>0</v>
      </c>
      <c r="N308" s="40"/>
      <c r="O308" s="40"/>
      <c r="P308" s="40"/>
      <c r="Q308" s="14" t="s">
        <v>18</v>
      </c>
      <c r="R308" s="40"/>
      <c r="S308" s="40" t="s">
        <v>19</v>
      </c>
      <c r="T308" s="47"/>
      <c r="U308" s="40">
        <f t="shared" si="75"/>
        <v>0</v>
      </c>
      <c r="V308" s="40"/>
      <c r="W308" s="47"/>
      <c r="X308" s="40"/>
    </row>
    <row r="309" spans="1:26" s="20" customFormat="1" ht="21.75" customHeight="1" thickBot="1" x14ac:dyDescent="0.35">
      <c r="A309" s="41"/>
      <c r="B309" s="41" t="s">
        <v>565</v>
      </c>
      <c r="C309" s="42"/>
      <c r="D309" s="43"/>
      <c r="E309" s="45">
        <f>C309*4</f>
        <v>0</v>
      </c>
      <c r="F309" s="50">
        <f>E309*1.03*0.8/147</f>
        <v>0</v>
      </c>
      <c r="G309" s="42">
        <f t="shared" si="73"/>
        <v>0</v>
      </c>
      <c r="H309" s="45" t="s">
        <v>18</v>
      </c>
      <c r="I309" s="42">
        <f t="shared" si="74"/>
        <v>0</v>
      </c>
      <c r="J309" s="40" t="s">
        <v>19</v>
      </c>
      <c r="K309" s="40"/>
      <c r="L309" s="40"/>
      <c r="M309" s="46">
        <f>(F309*5444/3456)</f>
        <v>0</v>
      </c>
      <c r="N309" s="40"/>
      <c r="O309" s="40"/>
      <c r="P309" s="40"/>
      <c r="Q309" s="14" t="s">
        <v>18</v>
      </c>
      <c r="R309" s="40"/>
      <c r="S309" s="40" t="s">
        <v>19</v>
      </c>
      <c r="T309" s="47"/>
      <c r="U309" s="40">
        <f t="shared" si="75"/>
        <v>0</v>
      </c>
      <c r="V309" s="40"/>
      <c r="W309" s="47"/>
      <c r="X309" s="40"/>
    </row>
    <row r="310" spans="1:26" s="20" customFormat="1" ht="23.25" customHeight="1" thickBot="1" x14ac:dyDescent="0.35">
      <c r="A310" s="41"/>
      <c r="B310" s="271" t="s">
        <v>566</v>
      </c>
      <c r="C310" s="272"/>
      <c r="D310" s="273"/>
      <c r="E310" s="274">
        <f>C310*4</f>
        <v>0</v>
      </c>
      <c r="F310" s="275">
        <f>E310*1.03*0.8/165</f>
        <v>0</v>
      </c>
      <c r="G310" s="272">
        <f t="shared" si="73"/>
        <v>0</v>
      </c>
      <c r="H310" s="274" t="s">
        <v>18</v>
      </c>
      <c r="I310" s="272">
        <f t="shared" si="74"/>
        <v>0</v>
      </c>
      <c r="J310" s="276" t="s">
        <v>19</v>
      </c>
      <c r="K310" s="276"/>
      <c r="L310" s="276"/>
      <c r="M310" s="277">
        <f>(F310*6800/3456)</f>
        <v>0</v>
      </c>
      <c r="N310" s="40"/>
      <c r="O310" s="40"/>
      <c r="P310" s="40"/>
      <c r="Q310" s="14" t="s">
        <v>18</v>
      </c>
      <c r="R310" s="40"/>
      <c r="S310" s="40" t="s">
        <v>19</v>
      </c>
      <c r="T310" s="47"/>
      <c r="U310" s="40">
        <f t="shared" si="75"/>
        <v>0</v>
      </c>
      <c r="V310" s="40"/>
      <c r="W310" s="47"/>
      <c r="X310" s="40"/>
    </row>
    <row r="311" spans="1:26" s="269" customFormat="1" ht="32.25" customHeight="1" thickBot="1" x14ac:dyDescent="0.35">
      <c r="A311" s="260"/>
      <c r="B311" s="260" t="s">
        <v>559</v>
      </c>
      <c r="C311" s="261"/>
      <c r="D311" s="262">
        <f>C311*12</f>
        <v>0</v>
      </c>
      <c r="E311" s="263">
        <f>D311*0.255</f>
        <v>0</v>
      </c>
      <c r="F311" s="264">
        <f>E311*1.03*1.05/173</f>
        <v>0</v>
      </c>
      <c r="G311" s="261">
        <f t="shared" si="73"/>
        <v>0</v>
      </c>
      <c r="H311" s="265" t="s">
        <v>18</v>
      </c>
      <c r="I311" s="261">
        <f t="shared" si="74"/>
        <v>0</v>
      </c>
      <c r="J311" s="263" t="s">
        <v>19</v>
      </c>
      <c r="K311" s="263"/>
      <c r="L311" s="263"/>
      <c r="M311" s="266">
        <f>(F311*7673)/2880</f>
        <v>0</v>
      </c>
      <c r="N311" s="263"/>
      <c r="O311" s="263"/>
      <c r="P311" s="263"/>
      <c r="Q311" s="265" t="s">
        <v>18</v>
      </c>
      <c r="R311" s="263"/>
      <c r="S311" s="263" t="s">
        <v>19</v>
      </c>
      <c r="T311" s="267"/>
      <c r="U311" s="263">
        <f>E311/272*60</f>
        <v>0</v>
      </c>
      <c r="V311" s="263"/>
      <c r="W311" s="267"/>
      <c r="X311" s="263"/>
      <c r="Y311" s="268"/>
      <c r="Z311" s="268"/>
    </row>
    <row r="312" spans="1:26" s="269" customFormat="1" ht="38.25" customHeight="1" thickBot="1" x14ac:dyDescent="0.35">
      <c r="A312" s="260"/>
      <c r="B312" s="260" t="s">
        <v>560</v>
      </c>
      <c r="C312" s="261"/>
      <c r="D312" s="262">
        <f>C312*12</f>
        <v>0</v>
      </c>
      <c r="E312" s="263">
        <f>D312*0.255</f>
        <v>0</v>
      </c>
      <c r="F312" s="264">
        <f>E312*1.03*1.05/173</f>
        <v>0</v>
      </c>
      <c r="G312" s="261">
        <f t="shared" si="73"/>
        <v>0</v>
      </c>
      <c r="H312" s="265" t="s">
        <v>18</v>
      </c>
      <c r="I312" s="261">
        <f t="shared" si="74"/>
        <v>0</v>
      </c>
      <c r="J312" s="263" t="s">
        <v>19</v>
      </c>
      <c r="K312" s="263"/>
      <c r="L312" s="263"/>
      <c r="M312" s="266">
        <f>(F312*7673)/2880</f>
        <v>0</v>
      </c>
      <c r="N312" s="263"/>
      <c r="O312" s="263"/>
      <c r="P312" s="263"/>
      <c r="Q312" s="265" t="s">
        <v>18</v>
      </c>
      <c r="R312" s="263"/>
      <c r="S312" s="263" t="s">
        <v>19</v>
      </c>
      <c r="T312" s="267"/>
      <c r="U312" s="263">
        <f>E312/272*60</f>
        <v>0</v>
      </c>
      <c r="V312" s="263"/>
      <c r="W312" s="267"/>
      <c r="X312" s="263"/>
      <c r="Y312" s="268"/>
      <c r="Z312" s="268"/>
    </row>
    <row r="313" spans="1:26" s="269" customFormat="1" ht="41.25" customHeight="1" thickBot="1" x14ac:dyDescent="0.35">
      <c r="A313" s="260"/>
      <c r="B313" s="260" t="s">
        <v>561</v>
      </c>
      <c r="C313" s="261"/>
      <c r="D313" s="262">
        <f>C313*12</f>
        <v>0</v>
      </c>
      <c r="E313" s="263">
        <f>D313*0.255</f>
        <v>0</v>
      </c>
      <c r="F313" s="264">
        <f>E313*1.03*1.05/173</f>
        <v>0</v>
      </c>
      <c r="G313" s="261">
        <f t="shared" si="73"/>
        <v>0</v>
      </c>
      <c r="H313" s="265" t="s">
        <v>18</v>
      </c>
      <c r="I313" s="261">
        <f t="shared" si="74"/>
        <v>0</v>
      </c>
      <c r="J313" s="263" t="s">
        <v>19</v>
      </c>
      <c r="K313" s="263"/>
      <c r="L313" s="263"/>
      <c r="M313" s="266">
        <f>(F313*7673)/2880</f>
        <v>0</v>
      </c>
      <c r="N313" s="263"/>
      <c r="O313" s="263"/>
      <c r="P313" s="263"/>
      <c r="Q313" s="265" t="s">
        <v>18</v>
      </c>
      <c r="R313" s="263"/>
      <c r="S313" s="263" t="s">
        <v>19</v>
      </c>
      <c r="T313" s="267"/>
      <c r="U313" s="263">
        <f>E313/272*60</f>
        <v>0</v>
      </c>
      <c r="V313" s="263"/>
      <c r="W313" s="267"/>
      <c r="X313" s="263"/>
      <c r="Y313" s="268"/>
      <c r="Z313" s="268"/>
    </row>
    <row r="314" spans="1:26" s="20" customFormat="1" ht="19.5" thickBot="1" x14ac:dyDescent="0.35">
      <c r="A314" s="40"/>
      <c r="B314" s="41" t="s">
        <v>76</v>
      </c>
      <c r="C314" s="42"/>
      <c r="D314" s="43"/>
      <c r="E314" s="45"/>
      <c r="F314" s="44"/>
      <c r="G314" s="48"/>
      <c r="H314" s="49"/>
      <c r="I314" s="48"/>
      <c r="J314" s="49"/>
      <c r="K314" s="46"/>
      <c r="L314" s="46"/>
      <c r="M314" s="46"/>
      <c r="N314" s="40"/>
      <c r="O314" s="40"/>
      <c r="P314" s="40"/>
      <c r="Q314" s="14"/>
      <c r="R314" s="40"/>
      <c r="S314" s="14"/>
      <c r="T314" s="47"/>
      <c r="U314" s="40"/>
      <c r="V314" s="40"/>
      <c r="W314" s="47"/>
      <c r="X314" s="40"/>
    </row>
    <row r="315" spans="1:26" s="20" customFormat="1" ht="19.5" thickBot="1" x14ac:dyDescent="0.35">
      <c r="A315" s="40"/>
      <c r="B315" s="41" t="s">
        <v>77</v>
      </c>
      <c r="C315" s="42"/>
      <c r="D315" s="43"/>
      <c r="E315" s="40">
        <f>SUM(E277:E295)</f>
        <v>0</v>
      </c>
      <c r="F315" s="50">
        <f>SUM(F277:F314)</f>
        <v>0</v>
      </c>
      <c r="G315" s="42"/>
      <c r="H315" s="14"/>
      <c r="I315" s="42"/>
      <c r="J315" s="14"/>
      <c r="K315" s="40"/>
      <c r="L315" s="40"/>
      <c r="M315" s="40"/>
      <c r="N315" s="40"/>
      <c r="O315" s="40"/>
      <c r="P315" s="40"/>
      <c r="Q315" s="45"/>
      <c r="R315" s="40"/>
      <c r="S315" s="40"/>
      <c r="T315" s="47"/>
      <c r="U315" s="40"/>
      <c r="V315" s="40"/>
      <c r="W315" s="47"/>
      <c r="X315" s="40"/>
    </row>
    <row r="316" spans="1:26" s="128" customFormat="1" ht="19.5" thickBot="1" x14ac:dyDescent="0.35">
      <c r="A316" s="117"/>
      <c r="B316" s="917" t="s">
        <v>289</v>
      </c>
      <c r="C316" s="917"/>
      <c r="D316" s="917"/>
      <c r="E316" s="917"/>
      <c r="F316" s="917"/>
      <c r="G316" s="917"/>
      <c r="H316" s="917"/>
      <c r="I316" s="917"/>
      <c r="J316" s="917"/>
      <c r="K316" s="917"/>
      <c r="L316" s="917"/>
      <c r="M316" s="917"/>
      <c r="N316" s="917"/>
      <c r="O316" s="917"/>
      <c r="P316" s="917"/>
      <c r="Q316" s="917"/>
      <c r="R316" s="917"/>
      <c r="S316" s="917"/>
      <c r="T316" s="917"/>
      <c r="U316" s="917"/>
      <c r="V316" s="917"/>
      <c r="W316" s="917"/>
      <c r="X316" s="917"/>
    </row>
    <row r="317" spans="1:26" s="128" customFormat="1" ht="19.5" thickBot="1" x14ac:dyDescent="0.35">
      <c r="A317" s="129"/>
      <c r="B317" s="130" t="s">
        <v>285</v>
      </c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</row>
    <row r="318" spans="1:26" s="128" customFormat="1" ht="19.5" thickBot="1" x14ac:dyDescent="0.35">
      <c r="A318" s="129"/>
      <c r="B318" s="130" t="s">
        <v>286</v>
      </c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</row>
    <row r="319" spans="1:26" s="20" customFormat="1" ht="19.5" thickBot="1" x14ac:dyDescent="0.35">
      <c r="A319" s="41"/>
      <c r="B319" s="116" t="s">
        <v>231</v>
      </c>
      <c r="C319" s="42"/>
      <c r="D319" s="43">
        <f>C319*10</f>
        <v>0</v>
      </c>
      <c r="E319" s="45">
        <f>D319*0.25</f>
        <v>0</v>
      </c>
      <c r="F319" s="50">
        <f>E319*1.03*0.8/147</f>
        <v>0</v>
      </c>
      <c r="G319" s="42">
        <f t="shared" ref="G319:G325" si="76">INT(M319)</f>
        <v>0</v>
      </c>
      <c r="H319" s="45" t="s">
        <v>18</v>
      </c>
      <c r="I319" s="42">
        <f t="shared" ref="I319:I325" si="77">(M319-G319)*64</f>
        <v>0</v>
      </c>
      <c r="J319" s="40" t="s">
        <v>19</v>
      </c>
      <c r="K319" s="40"/>
      <c r="L319" s="40"/>
      <c r="M319" s="46">
        <f>(F319*7461/3456)</f>
        <v>0</v>
      </c>
      <c r="N319" s="40"/>
      <c r="O319" s="40"/>
      <c r="P319" s="40"/>
      <c r="Q319" s="14" t="s">
        <v>18</v>
      </c>
      <c r="R319" s="40"/>
      <c r="S319" s="40" t="s">
        <v>19</v>
      </c>
      <c r="T319" s="47"/>
      <c r="U319" s="40">
        <f>E319/259*60</f>
        <v>0</v>
      </c>
      <c r="V319" s="176"/>
      <c r="W319" s="47"/>
      <c r="X319" s="40"/>
    </row>
    <row r="320" spans="1:26" s="20" customFormat="1" ht="19.5" thickBot="1" x14ac:dyDescent="0.35">
      <c r="A320" s="41"/>
      <c r="B320" s="116" t="s">
        <v>232</v>
      </c>
      <c r="C320" s="42"/>
      <c r="D320" s="42">
        <f>C320*10</f>
        <v>0</v>
      </c>
      <c r="E320" s="45">
        <f>D320*0.25</f>
        <v>0</v>
      </c>
      <c r="F320" s="50">
        <f>E320*1.03*0.8/147</f>
        <v>0</v>
      </c>
      <c r="G320" s="42">
        <f t="shared" si="76"/>
        <v>0</v>
      </c>
      <c r="H320" s="45" t="s">
        <v>18</v>
      </c>
      <c r="I320" s="42">
        <f t="shared" si="77"/>
        <v>0</v>
      </c>
      <c r="J320" s="40" t="s">
        <v>19</v>
      </c>
      <c r="K320" s="40"/>
      <c r="L320" s="40"/>
      <c r="M320" s="46">
        <f>(F320*7461/3456)</f>
        <v>0</v>
      </c>
      <c r="N320" s="40"/>
      <c r="O320" s="40"/>
      <c r="P320" s="40"/>
      <c r="Q320" s="14" t="s">
        <v>18</v>
      </c>
      <c r="R320" s="40"/>
      <c r="S320" s="40" t="s">
        <v>19</v>
      </c>
      <c r="T320" s="47"/>
      <c r="U320" s="40">
        <f>E320/259*60</f>
        <v>0</v>
      </c>
      <c r="V320" s="176"/>
      <c r="W320" s="47"/>
      <c r="X320" s="40"/>
    </row>
    <row r="321" spans="1:24" s="20" customFormat="1" ht="19.5" thickBot="1" x14ac:dyDescent="0.35">
      <c r="A321" s="41"/>
      <c r="B321" s="116" t="s">
        <v>227</v>
      </c>
      <c r="C321" s="42"/>
      <c r="D321" s="43">
        <f>C321*10</f>
        <v>0</v>
      </c>
      <c r="E321" s="40">
        <f>D321*0.18</f>
        <v>0</v>
      </c>
      <c r="F321" s="50">
        <f>E321*1.03*0.8/147</f>
        <v>0</v>
      </c>
      <c r="G321" s="42">
        <f t="shared" si="76"/>
        <v>0</v>
      </c>
      <c r="H321" s="45" t="s">
        <v>18</v>
      </c>
      <c r="I321" s="42">
        <f t="shared" si="77"/>
        <v>0</v>
      </c>
      <c r="J321" s="40" t="s">
        <v>19</v>
      </c>
      <c r="K321" s="40"/>
      <c r="L321" s="40"/>
      <c r="M321" s="291">
        <f>(F321*10000)/3456</f>
        <v>0</v>
      </c>
      <c r="N321" s="40"/>
      <c r="O321" s="40"/>
      <c r="P321" s="40"/>
      <c r="Q321" s="45" t="s">
        <v>18</v>
      </c>
      <c r="R321" s="40"/>
      <c r="S321" s="40" t="s">
        <v>19</v>
      </c>
      <c r="T321" s="47"/>
      <c r="U321" s="40">
        <f>E321/207*60</f>
        <v>0</v>
      </c>
      <c r="V321" s="176"/>
      <c r="W321" s="47"/>
      <c r="X321" s="40"/>
    </row>
    <row r="322" spans="1:24" s="20" customFormat="1" ht="38.25" thickBot="1" x14ac:dyDescent="0.35">
      <c r="A322" s="41"/>
      <c r="B322" s="116" t="s">
        <v>234</v>
      </c>
      <c r="C322" s="42"/>
      <c r="D322" s="43">
        <f>C322*10</f>
        <v>0</v>
      </c>
      <c r="E322" s="45">
        <f>D322*0.25</f>
        <v>0</v>
      </c>
      <c r="F322" s="50">
        <f>E322*1.03*0.8/147</f>
        <v>0</v>
      </c>
      <c r="G322" s="42">
        <f t="shared" si="76"/>
        <v>0</v>
      </c>
      <c r="H322" s="45" t="s">
        <v>18</v>
      </c>
      <c r="I322" s="42">
        <f t="shared" si="77"/>
        <v>0</v>
      </c>
      <c r="J322" s="40" t="s">
        <v>19</v>
      </c>
      <c r="K322" s="40"/>
      <c r="L322" s="40"/>
      <c r="M322" s="46">
        <f>(F322*7461/3456)</f>
        <v>0</v>
      </c>
      <c r="N322" s="40"/>
      <c r="O322" s="40"/>
      <c r="P322" s="40"/>
      <c r="Q322" s="14" t="s">
        <v>18</v>
      </c>
      <c r="R322" s="40"/>
      <c r="S322" s="40" t="s">
        <v>19</v>
      </c>
      <c r="T322" s="47"/>
      <c r="U322" s="40">
        <f>E322/259*60</f>
        <v>0</v>
      </c>
      <c r="V322" s="176"/>
      <c r="W322" s="47"/>
      <c r="X322" s="40"/>
    </row>
    <row r="323" spans="1:24" s="20" customFormat="1" ht="38.25" thickBot="1" x14ac:dyDescent="0.35">
      <c r="A323" s="41"/>
      <c r="B323" s="41" t="s">
        <v>348</v>
      </c>
      <c r="C323" s="42"/>
      <c r="D323" s="43">
        <f>C323*18</f>
        <v>0</v>
      </c>
      <c r="E323" s="40">
        <f>D323*0.2</f>
        <v>0</v>
      </c>
      <c r="F323" s="290">
        <f>E323*1.0001*0.8/147</f>
        <v>0</v>
      </c>
      <c r="G323" s="42">
        <f t="shared" si="76"/>
        <v>0</v>
      </c>
      <c r="H323" s="45" t="s">
        <v>18</v>
      </c>
      <c r="I323" s="42">
        <f t="shared" si="77"/>
        <v>0</v>
      </c>
      <c r="J323" s="40" t="s">
        <v>19</v>
      </c>
      <c r="K323" s="40"/>
      <c r="L323" s="40"/>
      <c r="M323" s="291">
        <f>(F323*5653)/3456</f>
        <v>0</v>
      </c>
      <c r="N323" s="40"/>
      <c r="O323" s="40"/>
      <c r="P323" s="40"/>
      <c r="Q323" s="45" t="s">
        <v>18</v>
      </c>
      <c r="R323" s="40"/>
      <c r="S323" s="40" t="s">
        <v>19</v>
      </c>
      <c r="T323" s="47"/>
      <c r="U323" s="40">
        <f t="shared" ref="U323:U328" si="78">E323/220*60</f>
        <v>0</v>
      </c>
      <c r="V323" s="176"/>
      <c r="W323" s="47"/>
      <c r="X323" s="40"/>
    </row>
    <row r="324" spans="1:24" s="20" customFormat="1" ht="38.25" thickBot="1" x14ac:dyDescent="0.35">
      <c r="A324" s="41"/>
      <c r="B324" s="157" t="s">
        <v>349</v>
      </c>
      <c r="C324" s="42"/>
      <c r="D324" s="43">
        <f>C324*18</f>
        <v>0</v>
      </c>
      <c r="E324" s="40">
        <f>D324*0.2</f>
        <v>0</v>
      </c>
      <c r="F324" s="50">
        <f>E324*1.03*0.8/108</f>
        <v>0</v>
      </c>
      <c r="G324" s="42">
        <f t="shared" si="76"/>
        <v>0</v>
      </c>
      <c r="H324" s="45" t="s">
        <v>18</v>
      </c>
      <c r="I324" s="42">
        <f t="shared" si="77"/>
        <v>0</v>
      </c>
      <c r="J324" s="40" t="s">
        <v>19</v>
      </c>
      <c r="K324" s="40"/>
      <c r="L324" s="40"/>
      <c r="M324" s="46">
        <f>F324*3949/3456</f>
        <v>0</v>
      </c>
      <c r="N324" s="40"/>
      <c r="O324" s="40"/>
      <c r="P324" s="40"/>
      <c r="Q324" s="45" t="s">
        <v>18</v>
      </c>
      <c r="R324" s="40"/>
      <c r="S324" s="40" t="s">
        <v>19</v>
      </c>
      <c r="T324" s="47"/>
      <c r="U324" s="40">
        <f t="shared" si="78"/>
        <v>0</v>
      </c>
      <c r="V324" s="176"/>
      <c r="W324" s="47"/>
      <c r="X324" s="40"/>
    </row>
    <row r="325" spans="1:24" s="20" customFormat="1" ht="38.25" thickBot="1" x14ac:dyDescent="0.35">
      <c r="A325" s="41"/>
      <c r="B325" s="41" t="s">
        <v>354</v>
      </c>
      <c r="C325" s="42"/>
      <c r="D325" s="43">
        <f>C325*18</f>
        <v>0</v>
      </c>
      <c r="E325" s="40">
        <f>D325*0.2</f>
        <v>0</v>
      </c>
      <c r="F325" s="290">
        <f>E325*1.0001*0.8/147</f>
        <v>0</v>
      </c>
      <c r="G325" s="42">
        <f t="shared" si="76"/>
        <v>0</v>
      </c>
      <c r="H325" s="45" t="s">
        <v>18</v>
      </c>
      <c r="I325" s="42">
        <f t="shared" si="77"/>
        <v>0</v>
      </c>
      <c r="J325" s="40" t="s">
        <v>19</v>
      </c>
      <c r="K325" s="40"/>
      <c r="L325" s="40"/>
      <c r="M325" s="291">
        <f>(F325*5653)/3456</f>
        <v>0</v>
      </c>
      <c r="N325" s="40"/>
      <c r="O325" s="40"/>
      <c r="P325" s="40"/>
      <c r="Q325" s="45" t="s">
        <v>18</v>
      </c>
      <c r="R325" s="40"/>
      <c r="S325" s="40" t="s">
        <v>19</v>
      </c>
      <c r="T325" s="47"/>
      <c r="U325" s="40">
        <f t="shared" si="78"/>
        <v>0</v>
      </c>
      <c r="V325" s="176"/>
      <c r="W325" s="47"/>
      <c r="X325" s="40"/>
    </row>
    <row r="326" spans="1:24" s="20" customFormat="1" ht="38.25" thickBot="1" x14ac:dyDescent="0.35">
      <c r="A326" s="41"/>
      <c r="B326" s="41" t="s">
        <v>570</v>
      </c>
      <c r="C326" s="42"/>
      <c r="D326" s="43">
        <f>C326*18</f>
        <v>0</v>
      </c>
      <c r="E326" s="40">
        <f>D326*0.2</f>
        <v>0</v>
      </c>
      <c r="F326" s="290">
        <f>E326*1.0001*0.8/147</f>
        <v>0</v>
      </c>
      <c r="G326" s="42">
        <f t="shared" ref="G326:G357" si="79">INT(M326)</f>
        <v>0</v>
      </c>
      <c r="H326" s="45" t="s">
        <v>18</v>
      </c>
      <c r="I326" s="42">
        <f t="shared" ref="I326:I357" si="80">(M326-G326)*64</f>
        <v>0</v>
      </c>
      <c r="J326" s="40" t="s">
        <v>19</v>
      </c>
      <c r="K326" s="40"/>
      <c r="L326" s="40"/>
      <c r="M326" s="291">
        <f>(F326*5653)/3456</f>
        <v>0</v>
      </c>
      <c r="N326" s="40"/>
      <c r="O326" s="40"/>
      <c r="P326" s="40"/>
      <c r="Q326" s="45" t="s">
        <v>18</v>
      </c>
      <c r="R326" s="40"/>
      <c r="S326" s="40" t="s">
        <v>19</v>
      </c>
      <c r="T326" s="47"/>
      <c r="U326" s="40">
        <f t="shared" si="78"/>
        <v>0</v>
      </c>
      <c r="V326" s="176"/>
      <c r="W326" s="47"/>
      <c r="X326" s="40"/>
    </row>
    <row r="327" spans="1:24" s="20" customFormat="1" ht="38.25" thickBot="1" x14ac:dyDescent="0.35">
      <c r="A327" s="41"/>
      <c r="B327" s="41" t="s">
        <v>359</v>
      </c>
      <c r="C327" s="42"/>
      <c r="D327" s="43">
        <f>C327*10</f>
        <v>0</v>
      </c>
      <c r="E327" s="40">
        <f>D327*0.36</f>
        <v>0</v>
      </c>
      <c r="F327" s="290">
        <f>E327*1.01*0.8/147</f>
        <v>0</v>
      </c>
      <c r="G327" s="42">
        <f t="shared" si="79"/>
        <v>0</v>
      </c>
      <c r="H327" s="45" t="s">
        <v>18</v>
      </c>
      <c r="I327" s="42">
        <f t="shared" si="80"/>
        <v>0</v>
      </c>
      <c r="J327" s="40" t="s">
        <v>19</v>
      </c>
      <c r="K327" s="40"/>
      <c r="L327" s="40"/>
      <c r="M327" s="291">
        <f>(F327*6125)/3456</f>
        <v>0</v>
      </c>
      <c r="N327" s="40"/>
      <c r="O327" s="40"/>
      <c r="P327" s="40"/>
      <c r="Q327" s="45" t="s">
        <v>18</v>
      </c>
      <c r="R327" s="40"/>
      <c r="S327" s="40" t="s">
        <v>19</v>
      </c>
      <c r="T327" s="47"/>
      <c r="U327" s="40">
        <f t="shared" si="78"/>
        <v>0</v>
      </c>
      <c r="V327" s="176"/>
      <c r="W327" s="47"/>
      <c r="X327" s="40"/>
    </row>
    <row r="328" spans="1:24" s="20" customFormat="1" ht="19.5" thickBot="1" x14ac:dyDescent="0.35">
      <c r="A328" s="41"/>
      <c r="B328" s="41" t="s">
        <v>290</v>
      </c>
      <c r="C328" s="42"/>
      <c r="D328" s="43">
        <f>C328*10</f>
        <v>0</v>
      </c>
      <c r="E328" s="40">
        <f>D328*0.36</f>
        <v>0</v>
      </c>
      <c r="F328" s="290">
        <f>E328*1.01*0.8/147</f>
        <v>0</v>
      </c>
      <c r="G328" s="42">
        <f t="shared" si="79"/>
        <v>0</v>
      </c>
      <c r="H328" s="45" t="s">
        <v>18</v>
      </c>
      <c r="I328" s="42">
        <f t="shared" si="80"/>
        <v>0</v>
      </c>
      <c r="J328" s="40" t="s">
        <v>19</v>
      </c>
      <c r="K328" s="40"/>
      <c r="L328" s="40"/>
      <c r="M328" s="291">
        <f>(F328*6125)/3456</f>
        <v>0</v>
      </c>
      <c r="N328" s="40"/>
      <c r="O328" s="40"/>
      <c r="P328" s="40"/>
      <c r="Q328" s="45" t="s">
        <v>18</v>
      </c>
      <c r="R328" s="40"/>
      <c r="S328" s="40" t="s">
        <v>19</v>
      </c>
      <c r="T328" s="47"/>
      <c r="U328" s="40">
        <f t="shared" si="78"/>
        <v>0</v>
      </c>
      <c r="V328" s="176"/>
      <c r="W328" s="47"/>
      <c r="X328" s="40"/>
    </row>
    <row r="329" spans="1:24" s="20" customFormat="1" ht="19.5" thickBot="1" x14ac:dyDescent="0.35">
      <c r="A329" s="41"/>
      <c r="B329" s="41" t="s">
        <v>84</v>
      </c>
      <c r="C329" s="42"/>
      <c r="D329" s="43">
        <f>C329*10</f>
        <v>0</v>
      </c>
      <c r="E329" s="45">
        <f>D329*0.25</f>
        <v>0</v>
      </c>
      <c r="F329" s="50">
        <f>E329*1.03*0.72/147</f>
        <v>0</v>
      </c>
      <c r="G329" s="42">
        <f t="shared" si="79"/>
        <v>0</v>
      </c>
      <c r="H329" s="45" t="s">
        <v>18</v>
      </c>
      <c r="I329" s="42">
        <f t="shared" si="80"/>
        <v>0</v>
      </c>
      <c r="J329" s="40" t="s">
        <v>19</v>
      </c>
      <c r="K329" s="40"/>
      <c r="L329" s="40"/>
      <c r="M329" s="46">
        <f>(F329*7177/3456)</f>
        <v>0</v>
      </c>
      <c r="N329" s="40"/>
      <c r="O329" s="40"/>
      <c r="P329" s="40"/>
      <c r="Q329" s="14" t="s">
        <v>18</v>
      </c>
      <c r="R329" s="40"/>
      <c r="S329" s="40" t="s">
        <v>19</v>
      </c>
      <c r="T329" s="47"/>
      <c r="U329" s="40">
        <f>E329/259*60</f>
        <v>0</v>
      </c>
      <c r="V329" s="176"/>
      <c r="W329" s="47"/>
      <c r="X329" s="40"/>
    </row>
    <row r="330" spans="1:24" s="20" customFormat="1" ht="38.25" thickBot="1" x14ac:dyDescent="0.35">
      <c r="A330" s="41"/>
      <c r="B330" s="41" t="s">
        <v>358</v>
      </c>
      <c r="C330" s="42"/>
      <c r="D330" s="43">
        <f>C330*10</f>
        <v>0</v>
      </c>
      <c r="E330" s="45">
        <f>D330*0.25</f>
        <v>0</v>
      </c>
      <c r="F330" s="50">
        <f>E330*1.03*0.72/147</f>
        <v>0</v>
      </c>
      <c r="G330" s="42">
        <f t="shared" si="79"/>
        <v>0</v>
      </c>
      <c r="H330" s="45" t="s">
        <v>18</v>
      </c>
      <c r="I330" s="42">
        <f t="shared" si="80"/>
        <v>0</v>
      </c>
      <c r="J330" s="40" t="s">
        <v>19</v>
      </c>
      <c r="K330" s="40"/>
      <c r="L330" s="40"/>
      <c r="M330" s="46">
        <f>(F330*8448/3456)</f>
        <v>0</v>
      </c>
      <c r="N330" s="40"/>
      <c r="O330" s="40"/>
      <c r="P330" s="40"/>
      <c r="Q330" s="14" t="s">
        <v>18</v>
      </c>
      <c r="R330" s="40"/>
      <c r="S330" s="40" t="s">
        <v>19</v>
      </c>
      <c r="T330" s="47"/>
      <c r="U330" s="40">
        <f>E330/259*60</f>
        <v>0</v>
      </c>
      <c r="V330" s="176"/>
      <c r="W330" s="47"/>
      <c r="X330" s="40"/>
    </row>
    <row r="331" spans="1:24" s="20" customFormat="1" ht="19.5" thickBot="1" x14ac:dyDescent="0.35">
      <c r="A331" s="53"/>
      <c r="B331" s="53" t="s">
        <v>91</v>
      </c>
      <c r="C331" s="42"/>
      <c r="D331" s="43"/>
      <c r="E331" s="45">
        <f>C331*2.5</f>
        <v>0</v>
      </c>
      <c r="F331" s="290">
        <f>E331*1.05*0.72/147</f>
        <v>0</v>
      </c>
      <c r="G331" s="42">
        <f t="shared" si="79"/>
        <v>0</v>
      </c>
      <c r="H331" s="45" t="s">
        <v>18</v>
      </c>
      <c r="I331" s="42">
        <f t="shared" si="80"/>
        <v>0</v>
      </c>
      <c r="J331" s="40" t="s">
        <v>19</v>
      </c>
      <c r="K331" s="40"/>
      <c r="L331" s="40"/>
      <c r="M331" s="291">
        <f>(F331*5989/3456)</f>
        <v>0</v>
      </c>
      <c r="N331" s="40"/>
      <c r="O331" s="40"/>
      <c r="P331" s="40"/>
      <c r="Q331" s="14" t="s">
        <v>18</v>
      </c>
      <c r="R331" s="40"/>
      <c r="S331" s="40" t="s">
        <v>19</v>
      </c>
      <c r="T331" s="47"/>
      <c r="U331" s="40">
        <f>E331/324*60</f>
        <v>0</v>
      </c>
      <c r="V331" s="176"/>
      <c r="W331" s="47"/>
      <c r="X331" s="40"/>
    </row>
    <row r="332" spans="1:24" s="20" customFormat="1" ht="38.25" thickBot="1" x14ac:dyDescent="0.35">
      <c r="A332" s="53"/>
      <c r="B332" s="41" t="s">
        <v>332</v>
      </c>
      <c r="C332" s="42"/>
      <c r="D332" s="43"/>
      <c r="E332" s="45">
        <f>C332*2.5</f>
        <v>0</v>
      </c>
      <c r="F332" s="290">
        <f>E332*1.05*0.72/147</f>
        <v>0</v>
      </c>
      <c r="G332" s="42">
        <f t="shared" si="79"/>
        <v>0</v>
      </c>
      <c r="H332" s="45" t="s">
        <v>18</v>
      </c>
      <c r="I332" s="42">
        <f t="shared" si="80"/>
        <v>0</v>
      </c>
      <c r="J332" s="40" t="s">
        <v>19</v>
      </c>
      <c r="K332" s="40"/>
      <c r="L332" s="40"/>
      <c r="M332" s="291">
        <f>(F332*5989/3456)</f>
        <v>0</v>
      </c>
      <c r="N332" s="40"/>
      <c r="O332" s="40"/>
      <c r="P332" s="40"/>
      <c r="Q332" s="14" t="s">
        <v>18</v>
      </c>
      <c r="R332" s="40"/>
      <c r="S332" s="40" t="s">
        <v>19</v>
      </c>
      <c r="T332" s="47"/>
      <c r="U332" s="40">
        <f>E332/324*60</f>
        <v>0</v>
      </c>
      <c r="V332" s="176"/>
      <c r="W332" s="47"/>
      <c r="X332" s="40"/>
    </row>
    <row r="333" spans="1:24" s="20" customFormat="1" ht="57" thickBot="1" x14ac:dyDescent="0.35">
      <c r="A333" s="41"/>
      <c r="B333" s="41" t="s">
        <v>333</v>
      </c>
      <c r="C333" s="42"/>
      <c r="D333" s="43"/>
      <c r="E333" s="45">
        <f>C333*4</f>
        <v>0</v>
      </c>
      <c r="F333" s="290">
        <f>E333*1.05*0.72/147</f>
        <v>0</v>
      </c>
      <c r="G333" s="42">
        <f t="shared" si="79"/>
        <v>0</v>
      </c>
      <c r="H333" s="45" t="s">
        <v>18</v>
      </c>
      <c r="I333" s="42">
        <f t="shared" si="80"/>
        <v>0</v>
      </c>
      <c r="J333" s="40" t="s">
        <v>19</v>
      </c>
      <c r="K333" s="40"/>
      <c r="L333" s="40"/>
      <c r="M333" s="291">
        <f>(F333*5989/3456)</f>
        <v>0</v>
      </c>
      <c r="N333" s="40"/>
      <c r="O333" s="40"/>
      <c r="P333" s="40"/>
      <c r="Q333" s="14" t="s">
        <v>18</v>
      </c>
      <c r="R333" s="40"/>
      <c r="S333" s="40" t="s">
        <v>19</v>
      </c>
      <c r="T333" s="47"/>
      <c r="U333" s="40">
        <f>E333/324*60</f>
        <v>0</v>
      </c>
      <c r="V333" s="176"/>
      <c r="W333" s="47"/>
      <c r="X333" s="40"/>
    </row>
    <row r="334" spans="1:24" s="20" customFormat="1" ht="38.25" thickBot="1" x14ac:dyDescent="0.35">
      <c r="A334" s="41"/>
      <c r="B334" s="41" t="s">
        <v>364</v>
      </c>
      <c r="C334" s="42"/>
      <c r="D334" s="43">
        <f>C334*20</f>
        <v>0</v>
      </c>
      <c r="E334" s="45">
        <f>D334*0.25</f>
        <v>0</v>
      </c>
      <c r="F334" s="290">
        <f>E334*1.055*0.72/147</f>
        <v>0</v>
      </c>
      <c r="G334" s="42">
        <f t="shared" si="79"/>
        <v>0</v>
      </c>
      <c r="H334" s="45" t="s">
        <v>18</v>
      </c>
      <c r="I334" s="42">
        <f t="shared" si="80"/>
        <v>0</v>
      </c>
      <c r="J334" s="40" t="s">
        <v>19</v>
      </c>
      <c r="K334" s="40"/>
      <c r="L334" s="40"/>
      <c r="M334" s="291">
        <f>(F334*6313/3456)</f>
        <v>0</v>
      </c>
      <c r="N334" s="40"/>
      <c r="O334" s="40"/>
      <c r="P334" s="40"/>
      <c r="Q334" s="14" t="s">
        <v>18</v>
      </c>
      <c r="R334" s="40"/>
      <c r="S334" s="40" t="s">
        <v>19</v>
      </c>
      <c r="T334" s="47"/>
      <c r="U334" s="40">
        <f>E334/259*60</f>
        <v>0</v>
      </c>
      <c r="V334" s="176"/>
      <c r="W334" s="47"/>
      <c r="X334" s="40"/>
    </row>
    <row r="335" spans="1:24" s="20" customFormat="1" ht="38.25" thickBot="1" x14ac:dyDescent="0.35">
      <c r="A335" s="41"/>
      <c r="B335" s="41" t="s">
        <v>363</v>
      </c>
      <c r="C335" s="42"/>
      <c r="D335" s="43">
        <f>C335*20</f>
        <v>0</v>
      </c>
      <c r="E335" s="45">
        <f>D335*0.25</f>
        <v>0</v>
      </c>
      <c r="F335" s="290">
        <f>E335*1.055*0.72/147</f>
        <v>0</v>
      </c>
      <c r="G335" s="42">
        <f t="shared" si="79"/>
        <v>0</v>
      </c>
      <c r="H335" s="45" t="s">
        <v>18</v>
      </c>
      <c r="I335" s="42">
        <f t="shared" si="80"/>
        <v>0</v>
      </c>
      <c r="J335" s="40" t="s">
        <v>19</v>
      </c>
      <c r="K335" s="40"/>
      <c r="L335" s="40"/>
      <c r="M335" s="291">
        <f>(F335*6313/3456)</f>
        <v>0</v>
      </c>
      <c r="N335" s="40"/>
      <c r="O335" s="40"/>
      <c r="P335" s="40"/>
      <c r="Q335" s="14" t="s">
        <v>18</v>
      </c>
      <c r="R335" s="40"/>
      <c r="S335" s="40" t="s">
        <v>19</v>
      </c>
      <c r="T335" s="47"/>
      <c r="U335" s="40">
        <f>E335/259*60</f>
        <v>0</v>
      </c>
      <c r="V335" s="176"/>
      <c r="W335" s="47"/>
      <c r="X335" s="40"/>
    </row>
    <row r="336" spans="1:24" s="20" customFormat="1" ht="19.5" thickBot="1" x14ac:dyDescent="0.35">
      <c r="A336" s="41"/>
      <c r="B336" s="41" t="s">
        <v>89</v>
      </c>
      <c r="C336" s="42"/>
      <c r="D336" s="43">
        <f>C336*144</f>
        <v>0</v>
      </c>
      <c r="E336" s="45">
        <f>D336*0.025</f>
        <v>0</v>
      </c>
      <c r="F336" s="290">
        <f>E336*1.001*0.72/147</f>
        <v>0</v>
      </c>
      <c r="G336" s="42">
        <f t="shared" si="79"/>
        <v>0</v>
      </c>
      <c r="H336" s="45" t="s">
        <v>18</v>
      </c>
      <c r="I336" s="42">
        <f t="shared" si="80"/>
        <v>0</v>
      </c>
      <c r="J336" s="40" t="s">
        <v>19</v>
      </c>
      <c r="K336" s="40"/>
      <c r="L336" s="40"/>
      <c r="M336" s="291">
        <f>(F336*8292/3456)</f>
        <v>0</v>
      </c>
      <c r="N336" s="40"/>
      <c r="O336" s="40"/>
      <c r="P336" s="40"/>
      <c r="Q336" s="14" t="s">
        <v>18</v>
      </c>
      <c r="R336" s="40"/>
      <c r="S336" s="40" t="s">
        <v>19</v>
      </c>
      <c r="T336" s="47"/>
      <c r="U336" s="40">
        <f>E336/259*60</f>
        <v>0</v>
      </c>
      <c r="V336" s="176"/>
      <c r="W336" s="47"/>
      <c r="X336" s="40"/>
    </row>
    <row r="337" spans="1:24" s="20" customFormat="1" ht="38.25" thickBot="1" x14ac:dyDescent="0.35">
      <c r="A337" s="41"/>
      <c r="B337" s="41" t="s">
        <v>356</v>
      </c>
      <c r="C337" s="42"/>
      <c r="D337" s="43">
        <f>C337*10</f>
        <v>0</v>
      </c>
      <c r="E337" s="45">
        <f>D337*0.2</f>
        <v>0</v>
      </c>
      <c r="F337" s="290">
        <f>E337*1.001*0.72/147</f>
        <v>0</v>
      </c>
      <c r="G337" s="42">
        <f t="shared" si="79"/>
        <v>0</v>
      </c>
      <c r="H337" s="45" t="s">
        <v>18</v>
      </c>
      <c r="I337" s="42">
        <f t="shared" si="80"/>
        <v>0</v>
      </c>
      <c r="J337" s="40" t="s">
        <v>19</v>
      </c>
      <c r="K337" s="40"/>
      <c r="L337" s="40"/>
      <c r="M337" s="291">
        <f>(F337*8335/3456)</f>
        <v>0</v>
      </c>
      <c r="N337" s="40"/>
      <c r="O337" s="40"/>
      <c r="P337" s="40"/>
      <c r="Q337" s="14" t="s">
        <v>18</v>
      </c>
      <c r="R337" s="40"/>
      <c r="S337" s="40" t="s">
        <v>19</v>
      </c>
      <c r="T337" s="47"/>
      <c r="U337" s="40">
        <f>E337/259*60</f>
        <v>0</v>
      </c>
      <c r="V337" s="176"/>
      <c r="W337" s="47"/>
      <c r="X337" s="40"/>
    </row>
    <row r="338" spans="1:24" s="20" customFormat="1" ht="38.25" thickBot="1" x14ac:dyDescent="0.35">
      <c r="A338" s="41"/>
      <c r="B338" s="41" t="s">
        <v>357</v>
      </c>
      <c r="C338" s="42"/>
      <c r="D338" s="43">
        <f>C338*10</f>
        <v>0</v>
      </c>
      <c r="E338" s="45">
        <f>D338*0.2</f>
        <v>0</v>
      </c>
      <c r="F338" s="290">
        <f>E338*1.001*0.72/147</f>
        <v>0</v>
      </c>
      <c r="G338" s="42">
        <f t="shared" si="79"/>
        <v>0</v>
      </c>
      <c r="H338" s="45" t="s">
        <v>18</v>
      </c>
      <c r="I338" s="42">
        <f t="shared" si="80"/>
        <v>0</v>
      </c>
      <c r="J338" s="40" t="s">
        <v>19</v>
      </c>
      <c r="K338" s="40"/>
      <c r="L338" s="40"/>
      <c r="M338" s="291">
        <f>(F338*8400/3456)</f>
        <v>0</v>
      </c>
      <c r="N338" s="40"/>
      <c r="O338" s="40"/>
      <c r="P338" s="40"/>
      <c r="Q338" s="14" t="s">
        <v>18</v>
      </c>
      <c r="R338" s="40"/>
      <c r="S338" s="40" t="s">
        <v>19</v>
      </c>
      <c r="T338" s="47"/>
      <c r="U338" s="40">
        <f>E338/259*60</f>
        <v>0</v>
      </c>
      <c r="V338" s="176"/>
      <c r="W338" s="47"/>
      <c r="X338" s="40"/>
    </row>
    <row r="339" spans="1:24" s="120" customFormat="1" ht="38.25" thickBot="1" x14ac:dyDescent="0.35">
      <c r="A339" s="146"/>
      <c r="B339" s="146" t="s">
        <v>328</v>
      </c>
      <c r="C339" s="147"/>
      <c r="D339" s="148"/>
      <c r="E339" s="151">
        <f>C339*2.5</f>
        <v>0</v>
      </c>
      <c r="F339" s="292">
        <f>E339*1.03*0.8/147</f>
        <v>0</v>
      </c>
      <c r="G339" s="147">
        <f t="shared" si="79"/>
        <v>0</v>
      </c>
      <c r="H339" s="151" t="s">
        <v>18</v>
      </c>
      <c r="I339" s="147">
        <f t="shared" si="80"/>
        <v>0</v>
      </c>
      <c r="J339" s="149" t="s">
        <v>19</v>
      </c>
      <c r="K339" s="149"/>
      <c r="L339" s="149"/>
      <c r="M339" s="152">
        <f>(F339*5444/3456)</f>
        <v>0</v>
      </c>
      <c r="N339" s="149"/>
      <c r="O339" s="149"/>
      <c r="P339" s="149"/>
      <c r="Q339" s="294" t="s">
        <v>18</v>
      </c>
      <c r="R339" s="149"/>
      <c r="S339" s="149" t="s">
        <v>19</v>
      </c>
      <c r="T339" s="153"/>
      <c r="U339" s="149">
        <f>E339/324*60</f>
        <v>0</v>
      </c>
      <c r="V339" s="176"/>
      <c r="W339" s="153"/>
      <c r="X339" s="149"/>
    </row>
    <row r="340" spans="1:24" s="120" customFormat="1" ht="57" thickBot="1" x14ac:dyDescent="0.35">
      <c r="A340" s="146"/>
      <c r="B340" s="146" t="s">
        <v>329</v>
      </c>
      <c r="C340" s="147"/>
      <c r="D340" s="148"/>
      <c r="E340" s="151">
        <f>C340*4</f>
        <v>0</v>
      </c>
      <c r="F340" s="290">
        <f>E340*1.05*0.72/147</f>
        <v>0</v>
      </c>
      <c r="G340" s="147">
        <f t="shared" si="79"/>
        <v>0</v>
      </c>
      <c r="H340" s="151" t="s">
        <v>18</v>
      </c>
      <c r="I340" s="147">
        <f t="shared" si="80"/>
        <v>0</v>
      </c>
      <c r="J340" s="149" t="s">
        <v>19</v>
      </c>
      <c r="K340" s="149"/>
      <c r="L340" s="149"/>
      <c r="M340" s="291">
        <f>(F340*5989/3456)</f>
        <v>0</v>
      </c>
      <c r="N340" s="149"/>
      <c r="O340" s="149"/>
      <c r="P340" s="149"/>
      <c r="Q340" s="294" t="s">
        <v>18</v>
      </c>
      <c r="R340" s="149"/>
      <c r="S340" s="149" t="s">
        <v>19</v>
      </c>
      <c r="T340" s="153"/>
      <c r="U340" s="149">
        <f>E340/324*60</f>
        <v>0</v>
      </c>
      <c r="V340" s="176"/>
      <c r="W340" s="153"/>
      <c r="X340" s="149"/>
    </row>
    <row r="341" spans="1:24" s="20" customFormat="1" ht="38.25" thickBot="1" x14ac:dyDescent="0.35">
      <c r="A341" s="41"/>
      <c r="B341" s="41" t="s">
        <v>355</v>
      </c>
      <c r="C341" s="42"/>
      <c r="D341" s="43">
        <f>C341*10</f>
        <v>0</v>
      </c>
      <c r="E341" s="40">
        <f>D341*0.2</f>
        <v>0</v>
      </c>
      <c r="F341" s="290">
        <f>E341*1.001*0.8/147</f>
        <v>0</v>
      </c>
      <c r="G341" s="42">
        <f t="shared" si="79"/>
        <v>0</v>
      </c>
      <c r="H341" s="45" t="s">
        <v>18</v>
      </c>
      <c r="I341" s="42">
        <f t="shared" si="80"/>
        <v>0</v>
      </c>
      <c r="J341" s="40" t="s">
        <v>19</v>
      </c>
      <c r="K341" s="40"/>
      <c r="L341" s="40"/>
      <c r="M341" s="291">
        <f>(F341*9303)/3456</f>
        <v>0</v>
      </c>
      <c r="N341" s="40"/>
      <c r="O341" s="40"/>
      <c r="P341" s="40"/>
      <c r="Q341" s="14" t="s">
        <v>18</v>
      </c>
      <c r="R341" s="40"/>
      <c r="S341" s="40" t="s">
        <v>19</v>
      </c>
      <c r="T341" s="47"/>
      <c r="U341" s="40">
        <f>E341/220*60</f>
        <v>0</v>
      </c>
      <c r="V341" s="176"/>
      <c r="W341" s="47"/>
      <c r="X341" s="40"/>
    </row>
    <row r="342" spans="1:24" s="20" customFormat="1" ht="38.25" thickBot="1" x14ac:dyDescent="0.35">
      <c r="A342" s="41"/>
      <c r="B342" s="41" t="s">
        <v>354</v>
      </c>
      <c r="C342" s="42"/>
      <c r="D342" s="43">
        <f>C342*18</f>
        <v>0</v>
      </c>
      <c r="E342" s="40">
        <f>D342*0.2</f>
        <v>0</v>
      </c>
      <c r="F342" s="290">
        <f>E342*1.0001*0.8/147</f>
        <v>0</v>
      </c>
      <c r="G342" s="42">
        <f t="shared" si="79"/>
        <v>0</v>
      </c>
      <c r="H342" s="45" t="s">
        <v>18</v>
      </c>
      <c r="I342" s="42">
        <f t="shared" si="80"/>
        <v>0</v>
      </c>
      <c r="J342" s="40" t="s">
        <v>19</v>
      </c>
      <c r="K342" s="40"/>
      <c r="L342" s="40"/>
      <c r="M342" s="291">
        <f>(F342*5653)/3456</f>
        <v>0</v>
      </c>
      <c r="N342" s="40"/>
      <c r="O342" s="40"/>
      <c r="P342" s="40"/>
      <c r="Q342" s="45" t="s">
        <v>18</v>
      </c>
      <c r="R342" s="40"/>
      <c r="S342" s="40" t="s">
        <v>19</v>
      </c>
      <c r="T342" s="47"/>
      <c r="U342" s="40">
        <f>E342/220*60</f>
        <v>0</v>
      </c>
      <c r="V342" s="176"/>
      <c r="W342" s="47"/>
      <c r="X342" s="40"/>
    </row>
    <row r="343" spans="1:24" s="20" customFormat="1" ht="57" thickBot="1" x14ac:dyDescent="0.35">
      <c r="A343" s="41"/>
      <c r="B343" s="41" t="s">
        <v>323</v>
      </c>
      <c r="C343" s="42"/>
      <c r="D343" s="43"/>
      <c r="E343" s="45">
        <f>C343*4</f>
        <v>0</v>
      </c>
      <c r="F343" s="290">
        <f>E343*1.05*0.72/147</f>
        <v>0</v>
      </c>
      <c r="G343" s="42">
        <f t="shared" si="79"/>
        <v>0</v>
      </c>
      <c r="H343" s="45" t="s">
        <v>18</v>
      </c>
      <c r="I343" s="42">
        <f t="shared" si="80"/>
        <v>0</v>
      </c>
      <c r="J343" s="40" t="s">
        <v>19</v>
      </c>
      <c r="K343" s="40"/>
      <c r="L343" s="40"/>
      <c r="M343" s="291">
        <f>(F343*5989/3456)</f>
        <v>0</v>
      </c>
      <c r="N343" s="40"/>
      <c r="O343" s="40"/>
      <c r="P343" s="40"/>
      <c r="Q343" s="14" t="s">
        <v>18</v>
      </c>
      <c r="R343" s="40"/>
      <c r="S343" s="40" t="s">
        <v>19</v>
      </c>
      <c r="T343" s="47"/>
      <c r="U343" s="40">
        <f>E343/324*60</f>
        <v>0</v>
      </c>
      <c r="V343" s="176"/>
      <c r="W343" s="47"/>
      <c r="X343" s="40"/>
    </row>
    <row r="344" spans="1:24" s="20" customFormat="1" ht="38.25" thickBot="1" x14ac:dyDescent="0.35">
      <c r="A344" s="41"/>
      <c r="B344" s="41" t="s">
        <v>570</v>
      </c>
      <c r="C344" s="42"/>
      <c r="D344" s="43">
        <f>C344*18</f>
        <v>0</v>
      </c>
      <c r="E344" s="40">
        <f>D344*0.2</f>
        <v>0</v>
      </c>
      <c r="F344" s="290">
        <f>E344*1.0001*0.8/147</f>
        <v>0</v>
      </c>
      <c r="G344" s="42">
        <f t="shared" si="79"/>
        <v>0</v>
      </c>
      <c r="H344" s="45" t="s">
        <v>18</v>
      </c>
      <c r="I344" s="42">
        <f t="shared" si="80"/>
        <v>0</v>
      </c>
      <c r="J344" s="40" t="s">
        <v>19</v>
      </c>
      <c r="K344" s="40"/>
      <c r="L344" s="40"/>
      <c r="M344" s="291">
        <f>(F344*5653)/3456</f>
        <v>0</v>
      </c>
      <c r="N344" s="40"/>
      <c r="O344" s="40"/>
      <c r="P344" s="40"/>
      <c r="Q344" s="45" t="s">
        <v>18</v>
      </c>
      <c r="R344" s="40"/>
      <c r="S344" s="40" t="s">
        <v>19</v>
      </c>
      <c r="T344" s="47"/>
      <c r="U344" s="40">
        <f>E344/220*60</f>
        <v>0</v>
      </c>
      <c r="V344" s="176"/>
      <c r="W344" s="47"/>
      <c r="X344" s="40"/>
    </row>
    <row r="345" spans="1:24" s="20" customFormat="1" ht="38.25" thickBot="1" x14ac:dyDescent="0.35">
      <c r="A345" s="41"/>
      <c r="B345" s="41" t="s">
        <v>359</v>
      </c>
      <c r="C345" s="42"/>
      <c r="D345" s="43">
        <f>C345*10</f>
        <v>0</v>
      </c>
      <c r="E345" s="40">
        <f>D345*0.36</f>
        <v>0</v>
      </c>
      <c r="F345" s="290">
        <f>E345*1.01*0.8/147</f>
        <v>0</v>
      </c>
      <c r="G345" s="42">
        <f t="shared" si="79"/>
        <v>0</v>
      </c>
      <c r="H345" s="45" t="s">
        <v>18</v>
      </c>
      <c r="I345" s="42">
        <f t="shared" si="80"/>
        <v>0</v>
      </c>
      <c r="J345" s="40" t="s">
        <v>19</v>
      </c>
      <c r="K345" s="40"/>
      <c r="L345" s="40"/>
      <c r="M345" s="291">
        <f>(F345*6125)/3456</f>
        <v>0</v>
      </c>
      <c r="N345" s="40"/>
      <c r="O345" s="40"/>
      <c r="P345" s="40"/>
      <c r="Q345" s="45" t="s">
        <v>18</v>
      </c>
      <c r="R345" s="40"/>
      <c r="S345" s="40" t="s">
        <v>19</v>
      </c>
      <c r="T345" s="47"/>
      <c r="U345" s="40">
        <f>E345/220*60</f>
        <v>0</v>
      </c>
      <c r="V345" s="176"/>
      <c r="W345" s="47"/>
      <c r="X345" s="40"/>
    </row>
    <row r="346" spans="1:24" s="20" customFormat="1" ht="38.25" thickBot="1" x14ac:dyDescent="0.35">
      <c r="A346" s="41"/>
      <c r="B346" s="41" t="s">
        <v>325</v>
      </c>
      <c r="C346" s="42"/>
      <c r="D346" s="43"/>
      <c r="E346" s="45">
        <f>C346*2.5</f>
        <v>0</v>
      </c>
      <c r="F346" s="290">
        <f>E346*1.05*0.72/147</f>
        <v>0</v>
      </c>
      <c r="G346" s="42">
        <f t="shared" si="79"/>
        <v>0</v>
      </c>
      <c r="H346" s="45" t="s">
        <v>18</v>
      </c>
      <c r="I346" s="42">
        <f t="shared" si="80"/>
        <v>0</v>
      </c>
      <c r="J346" s="40" t="s">
        <v>19</v>
      </c>
      <c r="K346" s="40"/>
      <c r="L346" s="40"/>
      <c r="M346" s="291">
        <f>(F346*5989/3456)</f>
        <v>0</v>
      </c>
      <c r="N346" s="40"/>
      <c r="O346" s="40"/>
      <c r="P346" s="40"/>
      <c r="Q346" s="14" t="s">
        <v>18</v>
      </c>
      <c r="R346" s="40"/>
      <c r="S346" s="40" t="s">
        <v>19</v>
      </c>
      <c r="T346" s="47"/>
      <c r="U346" s="40">
        <f>E346/324*60</f>
        <v>0</v>
      </c>
      <c r="V346" s="176"/>
      <c r="W346" s="47"/>
      <c r="X346" s="40"/>
    </row>
    <row r="347" spans="1:24" s="20" customFormat="1" ht="38.25" thickBot="1" x14ac:dyDescent="0.35">
      <c r="A347" s="41"/>
      <c r="B347" s="41" t="s">
        <v>348</v>
      </c>
      <c r="C347" s="42"/>
      <c r="D347" s="43">
        <f>C347*18</f>
        <v>0</v>
      </c>
      <c r="E347" s="40">
        <f>D347*0.2</f>
        <v>0</v>
      </c>
      <c r="F347" s="290">
        <f>E347*1.0001*0.8/147</f>
        <v>0</v>
      </c>
      <c r="G347" s="42">
        <f t="shared" si="79"/>
        <v>0</v>
      </c>
      <c r="H347" s="45" t="s">
        <v>18</v>
      </c>
      <c r="I347" s="42">
        <f t="shared" si="80"/>
        <v>0</v>
      </c>
      <c r="J347" s="40" t="s">
        <v>19</v>
      </c>
      <c r="K347" s="40"/>
      <c r="L347" s="40"/>
      <c r="M347" s="291">
        <f>(F347*5653)/3456</f>
        <v>0</v>
      </c>
      <c r="N347" s="40"/>
      <c r="O347" s="40"/>
      <c r="P347" s="40"/>
      <c r="Q347" s="45" t="s">
        <v>18</v>
      </c>
      <c r="R347" s="40"/>
      <c r="S347" s="40" t="s">
        <v>19</v>
      </c>
      <c r="T347" s="47"/>
      <c r="U347" s="40">
        <f>E347/220*60</f>
        <v>0</v>
      </c>
      <c r="V347" s="176"/>
      <c r="W347" s="47"/>
      <c r="X347" s="40"/>
    </row>
    <row r="348" spans="1:24" s="20" customFormat="1" ht="38.25" thickBot="1" x14ac:dyDescent="0.35">
      <c r="A348" s="41"/>
      <c r="B348" s="41" t="s">
        <v>324</v>
      </c>
      <c r="C348" s="42"/>
      <c r="D348" s="43"/>
      <c r="E348" s="45">
        <f>C348*2.5</f>
        <v>0</v>
      </c>
      <c r="F348" s="290">
        <f>E348*1.05*0.72/147</f>
        <v>0</v>
      </c>
      <c r="G348" s="42">
        <f t="shared" si="79"/>
        <v>0</v>
      </c>
      <c r="H348" s="45" t="s">
        <v>18</v>
      </c>
      <c r="I348" s="42">
        <f t="shared" si="80"/>
        <v>0</v>
      </c>
      <c r="J348" s="40" t="s">
        <v>19</v>
      </c>
      <c r="K348" s="40"/>
      <c r="L348" s="40"/>
      <c r="M348" s="291">
        <f>(F348*5989/3456)</f>
        <v>0</v>
      </c>
      <c r="N348" s="40"/>
      <c r="O348" s="40"/>
      <c r="P348" s="40"/>
      <c r="Q348" s="14" t="s">
        <v>18</v>
      </c>
      <c r="R348" s="40"/>
      <c r="S348" s="40" t="s">
        <v>19</v>
      </c>
      <c r="T348" s="47"/>
      <c r="U348" s="40">
        <f>E348/324*60</f>
        <v>0</v>
      </c>
      <c r="V348" s="176"/>
      <c r="W348" s="47"/>
      <c r="X348" s="40"/>
    </row>
    <row r="349" spans="1:24" s="120" customFormat="1" ht="38.25" thickBot="1" x14ac:dyDescent="0.35">
      <c r="A349" s="146"/>
      <c r="B349" s="146" t="s">
        <v>326</v>
      </c>
      <c r="C349" s="147"/>
      <c r="D349" s="148">
        <f>C349*144</f>
        <v>0</v>
      </c>
      <c r="E349" s="149">
        <f>D349*0.025</f>
        <v>0</v>
      </c>
      <c r="F349" s="292">
        <f>E349*1.0001*0.8/161.7</f>
        <v>0</v>
      </c>
      <c r="G349" s="147">
        <f t="shared" si="79"/>
        <v>0</v>
      </c>
      <c r="H349" s="151" t="s">
        <v>18</v>
      </c>
      <c r="I349" s="147">
        <f t="shared" si="80"/>
        <v>0</v>
      </c>
      <c r="J349" s="149" t="s">
        <v>19</v>
      </c>
      <c r="K349" s="149"/>
      <c r="L349" s="149"/>
      <c r="M349" s="293">
        <f>(F349*8208)/3456</f>
        <v>0</v>
      </c>
      <c r="N349" s="149"/>
      <c r="O349" s="149"/>
      <c r="P349" s="149"/>
      <c r="Q349" s="294" t="s">
        <v>18</v>
      </c>
      <c r="R349" s="149"/>
      <c r="S349" s="149" t="s">
        <v>19</v>
      </c>
      <c r="T349" s="153"/>
      <c r="U349" s="149">
        <f>E349/220*60</f>
        <v>0</v>
      </c>
      <c r="V349" s="176"/>
      <c r="W349" s="153"/>
      <c r="X349" s="149"/>
    </row>
    <row r="350" spans="1:24" s="20" customFormat="1" ht="19.5" thickBot="1" x14ac:dyDescent="0.35">
      <c r="A350" s="41"/>
      <c r="B350" s="41" t="s">
        <v>290</v>
      </c>
      <c r="C350" s="42"/>
      <c r="D350" s="43">
        <f>C350*10</f>
        <v>0</v>
      </c>
      <c r="E350" s="40">
        <f>D350*0.36</f>
        <v>0</v>
      </c>
      <c r="F350" s="290">
        <f>E350*1.01*0.8/147</f>
        <v>0</v>
      </c>
      <c r="G350" s="42">
        <f t="shared" si="79"/>
        <v>0</v>
      </c>
      <c r="H350" s="45" t="s">
        <v>18</v>
      </c>
      <c r="I350" s="42">
        <f t="shared" si="80"/>
        <v>0</v>
      </c>
      <c r="J350" s="40" t="s">
        <v>19</v>
      </c>
      <c r="K350" s="40"/>
      <c r="L350" s="40"/>
      <c r="M350" s="291">
        <f>(F350*6125)/3456</f>
        <v>0</v>
      </c>
      <c r="N350" s="40"/>
      <c r="O350" s="40"/>
      <c r="P350" s="40"/>
      <c r="Q350" s="45" t="s">
        <v>18</v>
      </c>
      <c r="R350" s="40"/>
      <c r="S350" s="40" t="s">
        <v>19</v>
      </c>
      <c r="T350" s="47"/>
      <c r="U350" s="40">
        <f>E350/220*60</f>
        <v>0</v>
      </c>
      <c r="V350" s="176"/>
      <c r="W350" s="47"/>
      <c r="X350" s="40"/>
    </row>
    <row r="351" spans="1:24" s="20" customFormat="1" ht="57" thickBot="1" x14ac:dyDescent="0.35">
      <c r="A351" s="41"/>
      <c r="B351" s="41" t="s">
        <v>597</v>
      </c>
      <c r="C351" s="42"/>
      <c r="D351" s="43"/>
      <c r="E351" s="45">
        <f>C351*4</f>
        <v>0</v>
      </c>
      <c r="F351" s="290">
        <f>E351*1.05*0.72/147</f>
        <v>0</v>
      </c>
      <c r="G351" s="147">
        <f t="shared" si="79"/>
        <v>0</v>
      </c>
      <c r="H351" s="151" t="s">
        <v>18</v>
      </c>
      <c r="I351" s="147">
        <f t="shared" si="80"/>
        <v>0</v>
      </c>
      <c r="J351" s="149" t="s">
        <v>19</v>
      </c>
      <c r="K351" s="149"/>
      <c r="L351" s="149"/>
      <c r="M351" s="291">
        <f>(F351*5989/3456)</f>
        <v>0</v>
      </c>
      <c r="N351" s="40"/>
      <c r="O351" s="40"/>
      <c r="P351" s="40"/>
      <c r="Q351" s="14" t="s">
        <v>18</v>
      </c>
      <c r="R351" s="40"/>
      <c r="S351" s="40" t="s">
        <v>19</v>
      </c>
      <c r="T351" s="47"/>
      <c r="U351" s="40">
        <f>E351/324*60</f>
        <v>0</v>
      </c>
      <c r="V351" s="176"/>
      <c r="W351" s="47"/>
      <c r="X351" s="40"/>
    </row>
    <row r="352" spans="1:24" s="20" customFormat="1" ht="38.25" thickBot="1" x14ac:dyDescent="0.35">
      <c r="A352" s="41"/>
      <c r="B352" s="41" t="s">
        <v>364</v>
      </c>
      <c r="C352" s="42"/>
      <c r="D352" s="43">
        <f>C352*20</f>
        <v>0</v>
      </c>
      <c r="E352" s="45">
        <f>D352*0.25</f>
        <v>0</v>
      </c>
      <c r="F352" s="290">
        <f>E352*1.055*0.72/147</f>
        <v>0</v>
      </c>
      <c r="G352" s="42">
        <f t="shared" si="79"/>
        <v>0</v>
      </c>
      <c r="H352" s="45" t="s">
        <v>18</v>
      </c>
      <c r="I352" s="42">
        <f t="shared" si="80"/>
        <v>0</v>
      </c>
      <c r="J352" s="40" t="s">
        <v>19</v>
      </c>
      <c r="K352" s="40"/>
      <c r="L352" s="40"/>
      <c r="M352" s="291">
        <f>(F352*6313/3456)</f>
        <v>0</v>
      </c>
      <c r="N352" s="40"/>
      <c r="O352" s="40"/>
      <c r="P352" s="40"/>
      <c r="Q352" s="14" t="s">
        <v>18</v>
      </c>
      <c r="R352" s="40"/>
      <c r="S352" s="40" t="s">
        <v>19</v>
      </c>
      <c r="T352" s="47"/>
      <c r="U352" s="40">
        <f>E352/259*60</f>
        <v>0</v>
      </c>
      <c r="V352" s="176"/>
      <c r="W352" s="47"/>
      <c r="X352" s="40"/>
    </row>
    <row r="353" spans="1:24" s="20" customFormat="1" ht="38.25" thickBot="1" x14ac:dyDescent="0.35">
      <c r="A353" s="41"/>
      <c r="B353" s="41" t="s">
        <v>363</v>
      </c>
      <c r="C353" s="42"/>
      <c r="D353" s="43">
        <f>C353*20</f>
        <v>0</v>
      </c>
      <c r="E353" s="45">
        <f>D353*0.25</f>
        <v>0</v>
      </c>
      <c r="F353" s="290">
        <f>E353*1.055*0.72/147</f>
        <v>0</v>
      </c>
      <c r="G353" s="42">
        <f t="shared" si="79"/>
        <v>0</v>
      </c>
      <c r="H353" s="45" t="s">
        <v>18</v>
      </c>
      <c r="I353" s="42">
        <f t="shared" si="80"/>
        <v>0</v>
      </c>
      <c r="J353" s="40" t="s">
        <v>19</v>
      </c>
      <c r="K353" s="40"/>
      <c r="L353" s="40"/>
      <c r="M353" s="291">
        <f>(F353*6313/3456)</f>
        <v>0</v>
      </c>
      <c r="N353" s="40"/>
      <c r="O353" s="40"/>
      <c r="P353" s="40"/>
      <c r="Q353" s="14" t="s">
        <v>18</v>
      </c>
      <c r="R353" s="40"/>
      <c r="S353" s="40" t="s">
        <v>19</v>
      </c>
      <c r="T353" s="47"/>
      <c r="U353" s="40">
        <f>E353/259*60</f>
        <v>0</v>
      </c>
      <c r="V353" s="176"/>
      <c r="W353" s="47"/>
      <c r="X353" s="40"/>
    </row>
    <row r="354" spans="1:24" s="20" customFormat="1" ht="19.5" thickBot="1" x14ac:dyDescent="0.35">
      <c r="A354" s="41"/>
      <c r="B354" s="41" t="s">
        <v>89</v>
      </c>
      <c r="C354" s="42"/>
      <c r="D354" s="43">
        <f>C354*144</f>
        <v>0</v>
      </c>
      <c r="E354" s="45">
        <f>D354*0.025</f>
        <v>0</v>
      </c>
      <c r="F354" s="290">
        <f>E354*1.001*0.72/147</f>
        <v>0</v>
      </c>
      <c r="G354" s="42">
        <f t="shared" si="79"/>
        <v>0</v>
      </c>
      <c r="H354" s="45" t="s">
        <v>18</v>
      </c>
      <c r="I354" s="42">
        <f t="shared" si="80"/>
        <v>0</v>
      </c>
      <c r="J354" s="40" t="s">
        <v>19</v>
      </c>
      <c r="K354" s="40"/>
      <c r="L354" s="40"/>
      <c r="M354" s="291">
        <f>(F354*8292/3456)</f>
        <v>0</v>
      </c>
      <c r="N354" s="40"/>
      <c r="O354" s="40"/>
      <c r="P354" s="40"/>
      <c r="Q354" s="14" t="s">
        <v>18</v>
      </c>
      <c r="R354" s="40"/>
      <c r="S354" s="40" t="s">
        <v>19</v>
      </c>
      <c r="T354" s="47"/>
      <c r="U354" s="40">
        <f>E354/259*60</f>
        <v>0</v>
      </c>
      <c r="V354" s="176"/>
      <c r="W354" s="47"/>
      <c r="X354" s="40"/>
    </row>
    <row r="355" spans="1:24" s="20" customFormat="1" ht="38.25" thickBot="1" x14ac:dyDescent="0.35">
      <c r="A355" s="41"/>
      <c r="B355" s="41" t="s">
        <v>356</v>
      </c>
      <c r="C355" s="42"/>
      <c r="D355" s="43">
        <f>C355*10</f>
        <v>0</v>
      </c>
      <c r="E355" s="45">
        <f>D355*0.2</f>
        <v>0</v>
      </c>
      <c r="F355" s="290">
        <f>E355*1.001*0.72/147</f>
        <v>0</v>
      </c>
      <c r="G355" s="42">
        <f t="shared" si="79"/>
        <v>0</v>
      </c>
      <c r="H355" s="45" t="s">
        <v>18</v>
      </c>
      <c r="I355" s="42">
        <f t="shared" si="80"/>
        <v>0</v>
      </c>
      <c r="J355" s="40" t="s">
        <v>19</v>
      </c>
      <c r="K355" s="40"/>
      <c r="L355" s="40"/>
      <c r="M355" s="291">
        <f>(F355*8335/3456)</f>
        <v>0</v>
      </c>
      <c r="N355" s="40"/>
      <c r="O355" s="40"/>
      <c r="P355" s="40"/>
      <c r="Q355" s="14" t="s">
        <v>18</v>
      </c>
      <c r="R355" s="40"/>
      <c r="S355" s="40" t="s">
        <v>19</v>
      </c>
      <c r="T355" s="47"/>
      <c r="U355" s="40">
        <f>E355/259*60</f>
        <v>0</v>
      </c>
      <c r="V355" s="176"/>
      <c r="W355" s="47"/>
      <c r="X355" s="40"/>
    </row>
    <row r="356" spans="1:24" s="20" customFormat="1" ht="38.25" thickBot="1" x14ac:dyDescent="0.35">
      <c r="A356" s="41"/>
      <c r="B356" s="41" t="s">
        <v>357</v>
      </c>
      <c r="C356" s="42"/>
      <c r="D356" s="43">
        <f>C356*10</f>
        <v>0</v>
      </c>
      <c r="E356" s="45">
        <f>D356*0.2</f>
        <v>0</v>
      </c>
      <c r="F356" s="290">
        <f>E356*1.001*0.72/147</f>
        <v>0</v>
      </c>
      <c r="G356" s="42">
        <f t="shared" si="79"/>
        <v>0</v>
      </c>
      <c r="H356" s="45" t="s">
        <v>18</v>
      </c>
      <c r="I356" s="42">
        <f t="shared" si="80"/>
        <v>0</v>
      </c>
      <c r="J356" s="40" t="s">
        <v>19</v>
      </c>
      <c r="K356" s="40"/>
      <c r="L356" s="40"/>
      <c r="M356" s="291">
        <f>(F356*8400/3456)</f>
        <v>0</v>
      </c>
      <c r="N356" s="40"/>
      <c r="O356" s="40"/>
      <c r="P356" s="40"/>
      <c r="Q356" s="14" t="s">
        <v>18</v>
      </c>
      <c r="R356" s="40"/>
      <c r="S356" s="40" t="s">
        <v>19</v>
      </c>
      <c r="T356" s="47"/>
      <c r="U356" s="40">
        <f>E356/259*60</f>
        <v>0</v>
      </c>
      <c r="V356" s="176"/>
      <c r="W356" s="47"/>
      <c r="X356" s="40"/>
    </row>
    <row r="357" spans="1:24" s="20" customFormat="1" ht="38.25" thickBot="1" x14ac:dyDescent="0.35">
      <c r="A357" s="41"/>
      <c r="B357" s="41" t="s">
        <v>355</v>
      </c>
      <c r="C357" s="42"/>
      <c r="D357" s="43">
        <f>C357*10</f>
        <v>0</v>
      </c>
      <c r="E357" s="40">
        <f>D357*0.2</f>
        <v>0</v>
      </c>
      <c r="F357" s="290">
        <f>E357*1.001*0.8/147</f>
        <v>0</v>
      </c>
      <c r="G357" s="42">
        <f t="shared" si="79"/>
        <v>0</v>
      </c>
      <c r="H357" s="45" t="s">
        <v>18</v>
      </c>
      <c r="I357" s="42">
        <f t="shared" si="80"/>
        <v>0</v>
      </c>
      <c r="J357" s="40" t="s">
        <v>19</v>
      </c>
      <c r="K357" s="40"/>
      <c r="L357" s="40"/>
      <c r="M357" s="291">
        <f>(F357*9303)/3456</f>
        <v>0</v>
      </c>
      <c r="N357" s="40"/>
      <c r="O357" s="40"/>
      <c r="P357" s="40"/>
      <c r="Q357" s="14" t="s">
        <v>18</v>
      </c>
      <c r="R357" s="40"/>
      <c r="S357" s="40" t="s">
        <v>19</v>
      </c>
      <c r="T357" s="47"/>
      <c r="U357" s="40">
        <f>E357/220*60</f>
        <v>0</v>
      </c>
      <c r="V357" s="176"/>
      <c r="W357" s="47"/>
      <c r="X357" s="40"/>
    </row>
    <row r="358" spans="1:24" s="20" customFormat="1" ht="19.5" thickBot="1" x14ac:dyDescent="0.35">
      <c r="A358" s="41"/>
      <c r="B358" s="41" t="s">
        <v>87</v>
      </c>
      <c r="C358" s="42"/>
      <c r="D358" s="43">
        <f>C358*10</f>
        <v>0</v>
      </c>
      <c r="E358" s="45">
        <f>D358*0.25</f>
        <v>0</v>
      </c>
      <c r="F358" s="50">
        <f>E358*1.03*0.72/147</f>
        <v>0</v>
      </c>
      <c r="G358" s="42">
        <f t="shared" ref="G358:G365" si="81">INT(M358)</f>
        <v>0</v>
      </c>
      <c r="H358" s="45" t="s">
        <v>18</v>
      </c>
      <c r="I358" s="42">
        <f t="shared" ref="I358:I365" si="82">(M358-G358)*64</f>
        <v>0</v>
      </c>
      <c r="J358" s="40" t="s">
        <v>19</v>
      </c>
      <c r="K358" s="40"/>
      <c r="L358" s="40"/>
      <c r="M358" s="46">
        <f>(F358*8448/3456)</f>
        <v>0</v>
      </c>
      <c r="N358" s="40"/>
      <c r="O358" s="40"/>
      <c r="P358" s="40"/>
      <c r="Q358" s="14" t="s">
        <v>18</v>
      </c>
      <c r="R358" s="40"/>
      <c r="S358" s="40" t="s">
        <v>19</v>
      </c>
      <c r="T358" s="47"/>
      <c r="U358" s="40">
        <f t="shared" ref="U358:U364" si="83">E358/259*60</f>
        <v>0</v>
      </c>
      <c r="V358" s="176"/>
      <c r="W358" s="47"/>
      <c r="X358" s="40"/>
    </row>
    <row r="359" spans="1:24" s="20" customFormat="1" ht="38.25" thickBot="1" x14ac:dyDescent="0.35">
      <c r="A359" s="41"/>
      <c r="B359" s="41" t="s">
        <v>284</v>
      </c>
      <c r="C359" s="42"/>
      <c r="D359" s="43">
        <f>C359*10</f>
        <v>0</v>
      </c>
      <c r="E359" s="45">
        <f>D359*0.25</f>
        <v>0</v>
      </c>
      <c r="F359" s="50">
        <f>E359*1.03*0.72/147</f>
        <v>0</v>
      </c>
      <c r="G359" s="42">
        <f t="shared" si="81"/>
        <v>0</v>
      </c>
      <c r="H359" s="45" t="s">
        <v>18</v>
      </c>
      <c r="I359" s="42">
        <f t="shared" si="82"/>
        <v>0</v>
      </c>
      <c r="J359" s="40" t="s">
        <v>19</v>
      </c>
      <c r="K359" s="40"/>
      <c r="L359" s="40"/>
      <c r="M359" s="46">
        <f>(F359*7177/3456)</f>
        <v>0</v>
      </c>
      <c r="N359" s="40"/>
      <c r="O359" s="40"/>
      <c r="P359" s="40"/>
      <c r="Q359" s="14" t="s">
        <v>18</v>
      </c>
      <c r="R359" s="40"/>
      <c r="S359" s="40" t="s">
        <v>19</v>
      </c>
      <c r="T359" s="47"/>
      <c r="U359" s="40">
        <f t="shared" si="83"/>
        <v>0</v>
      </c>
      <c r="V359" s="176"/>
      <c r="W359" s="47"/>
      <c r="X359" s="40"/>
    </row>
    <row r="360" spans="1:24" s="20" customFormat="1" ht="38.25" thickBot="1" x14ac:dyDescent="0.35">
      <c r="A360" s="41"/>
      <c r="B360" s="41" t="s">
        <v>364</v>
      </c>
      <c r="C360" s="42"/>
      <c r="D360" s="43">
        <f>C360*20</f>
        <v>0</v>
      </c>
      <c r="E360" s="45">
        <f>D360*0.25</f>
        <v>0</v>
      </c>
      <c r="F360" s="290">
        <f>E360*1.055*0.72/147</f>
        <v>0</v>
      </c>
      <c r="G360" s="42">
        <f t="shared" si="81"/>
        <v>0</v>
      </c>
      <c r="H360" s="45" t="s">
        <v>18</v>
      </c>
      <c r="I360" s="42">
        <f t="shared" si="82"/>
        <v>0</v>
      </c>
      <c r="J360" s="40" t="s">
        <v>19</v>
      </c>
      <c r="K360" s="40"/>
      <c r="L360" s="40"/>
      <c r="M360" s="291">
        <f>(F360*6313/3456)</f>
        <v>0</v>
      </c>
      <c r="N360" s="40"/>
      <c r="O360" s="40"/>
      <c r="P360" s="40"/>
      <c r="Q360" s="14" t="s">
        <v>18</v>
      </c>
      <c r="R360" s="40"/>
      <c r="S360" s="40" t="s">
        <v>19</v>
      </c>
      <c r="T360" s="47"/>
      <c r="U360" s="40">
        <f t="shared" si="83"/>
        <v>0</v>
      </c>
      <c r="V360" s="176"/>
      <c r="W360" s="47"/>
      <c r="X360" s="40"/>
    </row>
    <row r="361" spans="1:24" s="20" customFormat="1" ht="38.25" thickBot="1" x14ac:dyDescent="0.35">
      <c r="A361" s="41"/>
      <c r="B361" s="41" t="s">
        <v>363</v>
      </c>
      <c r="C361" s="42"/>
      <c r="D361" s="43">
        <f>C361*20</f>
        <v>0</v>
      </c>
      <c r="E361" s="45">
        <f>D361*0.25</f>
        <v>0</v>
      </c>
      <c r="F361" s="290">
        <f>E361*1.055*0.72/147</f>
        <v>0</v>
      </c>
      <c r="G361" s="42">
        <f t="shared" si="81"/>
        <v>0</v>
      </c>
      <c r="H361" s="45" t="s">
        <v>18</v>
      </c>
      <c r="I361" s="42">
        <f t="shared" si="82"/>
        <v>0</v>
      </c>
      <c r="J361" s="40" t="s">
        <v>19</v>
      </c>
      <c r="K361" s="40"/>
      <c r="L361" s="40"/>
      <c r="M361" s="291">
        <f>(F361*6313/3456)</f>
        <v>0</v>
      </c>
      <c r="N361" s="40"/>
      <c r="O361" s="40"/>
      <c r="P361" s="40"/>
      <c r="Q361" s="14" t="s">
        <v>18</v>
      </c>
      <c r="R361" s="40"/>
      <c r="S361" s="40" t="s">
        <v>19</v>
      </c>
      <c r="T361" s="47"/>
      <c r="U361" s="40">
        <f t="shared" si="83"/>
        <v>0</v>
      </c>
      <c r="V361" s="176"/>
      <c r="W361" s="47"/>
      <c r="X361" s="40"/>
    </row>
    <row r="362" spans="1:24" s="20" customFormat="1" ht="19.5" thickBot="1" x14ac:dyDescent="0.35">
      <c r="A362" s="41"/>
      <c r="B362" s="41" t="s">
        <v>89</v>
      </c>
      <c r="C362" s="42"/>
      <c r="D362" s="43">
        <f>C362*144</f>
        <v>0</v>
      </c>
      <c r="E362" s="45">
        <f>D362*0.025</f>
        <v>0</v>
      </c>
      <c r="F362" s="290">
        <f>E362*1.001*0.72/147</f>
        <v>0</v>
      </c>
      <c r="G362" s="42">
        <f t="shared" si="81"/>
        <v>0</v>
      </c>
      <c r="H362" s="45" t="s">
        <v>18</v>
      </c>
      <c r="I362" s="42">
        <f t="shared" si="82"/>
        <v>0</v>
      </c>
      <c r="J362" s="40" t="s">
        <v>19</v>
      </c>
      <c r="K362" s="40"/>
      <c r="L362" s="40"/>
      <c r="M362" s="291">
        <f>(F362*8292/3456)</f>
        <v>0</v>
      </c>
      <c r="N362" s="40"/>
      <c r="O362" s="40"/>
      <c r="P362" s="40"/>
      <c r="Q362" s="14" t="s">
        <v>18</v>
      </c>
      <c r="R362" s="40"/>
      <c r="S362" s="40" t="s">
        <v>19</v>
      </c>
      <c r="T362" s="47"/>
      <c r="U362" s="40">
        <f t="shared" si="83"/>
        <v>0</v>
      </c>
      <c r="V362" s="176"/>
      <c r="W362" s="47"/>
      <c r="X362" s="40"/>
    </row>
    <row r="363" spans="1:24" s="20" customFormat="1" ht="38.25" thickBot="1" x14ac:dyDescent="0.35">
      <c r="A363" s="41"/>
      <c r="B363" s="41" t="s">
        <v>356</v>
      </c>
      <c r="C363" s="42"/>
      <c r="D363" s="43">
        <f>C363*10</f>
        <v>0</v>
      </c>
      <c r="E363" s="45">
        <f>D363*0.2</f>
        <v>0</v>
      </c>
      <c r="F363" s="290">
        <f>E363*1.001*0.72/147</f>
        <v>0</v>
      </c>
      <c r="G363" s="42">
        <f t="shared" si="81"/>
        <v>0</v>
      </c>
      <c r="H363" s="45" t="s">
        <v>18</v>
      </c>
      <c r="I363" s="42">
        <f t="shared" si="82"/>
        <v>0</v>
      </c>
      <c r="J363" s="40" t="s">
        <v>19</v>
      </c>
      <c r="K363" s="40"/>
      <c r="L363" s="40"/>
      <c r="M363" s="291">
        <f>(F363*8335/3456)</f>
        <v>0</v>
      </c>
      <c r="N363" s="40"/>
      <c r="O363" s="40"/>
      <c r="P363" s="40"/>
      <c r="Q363" s="14" t="s">
        <v>18</v>
      </c>
      <c r="R363" s="40"/>
      <c r="S363" s="40" t="s">
        <v>19</v>
      </c>
      <c r="T363" s="47"/>
      <c r="U363" s="40">
        <f t="shared" si="83"/>
        <v>0</v>
      </c>
      <c r="V363" s="176"/>
      <c r="W363" s="47"/>
      <c r="X363" s="40"/>
    </row>
    <row r="364" spans="1:24" s="20" customFormat="1" ht="38.25" thickBot="1" x14ac:dyDescent="0.35">
      <c r="A364" s="41"/>
      <c r="B364" s="41" t="s">
        <v>357</v>
      </c>
      <c r="C364" s="42"/>
      <c r="D364" s="43">
        <f>C364*10</f>
        <v>0</v>
      </c>
      <c r="E364" s="45">
        <f>D364*0.2</f>
        <v>0</v>
      </c>
      <c r="F364" s="290">
        <f>E364*1.001*0.72/147</f>
        <v>0</v>
      </c>
      <c r="G364" s="42">
        <f t="shared" si="81"/>
        <v>0</v>
      </c>
      <c r="H364" s="45" t="s">
        <v>18</v>
      </c>
      <c r="I364" s="42">
        <f t="shared" si="82"/>
        <v>0</v>
      </c>
      <c r="J364" s="40" t="s">
        <v>19</v>
      </c>
      <c r="K364" s="40"/>
      <c r="L364" s="40"/>
      <c r="M364" s="291">
        <f>(F364*8400/3456)</f>
        <v>0</v>
      </c>
      <c r="N364" s="40"/>
      <c r="O364" s="40"/>
      <c r="P364" s="40"/>
      <c r="Q364" s="14" t="s">
        <v>18</v>
      </c>
      <c r="R364" s="40"/>
      <c r="S364" s="40" t="s">
        <v>19</v>
      </c>
      <c r="T364" s="47"/>
      <c r="U364" s="40">
        <f t="shared" si="83"/>
        <v>0</v>
      </c>
      <c r="V364" s="176"/>
      <c r="W364" s="47"/>
      <c r="X364" s="40"/>
    </row>
    <row r="365" spans="1:24" s="20" customFormat="1" ht="38.25" thickBot="1" x14ac:dyDescent="0.35">
      <c r="A365" s="41"/>
      <c r="B365" s="41" t="s">
        <v>355</v>
      </c>
      <c r="C365" s="42"/>
      <c r="D365" s="43">
        <f>C365*10</f>
        <v>0</v>
      </c>
      <c r="E365" s="40">
        <f>D365*0.2</f>
        <v>0</v>
      </c>
      <c r="F365" s="290">
        <f>E365*1.001*0.8/147</f>
        <v>0</v>
      </c>
      <c r="G365" s="42">
        <f t="shared" si="81"/>
        <v>0</v>
      </c>
      <c r="H365" s="45" t="s">
        <v>18</v>
      </c>
      <c r="I365" s="42">
        <f t="shared" si="82"/>
        <v>0</v>
      </c>
      <c r="J365" s="40" t="s">
        <v>19</v>
      </c>
      <c r="K365" s="40"/>
      <c r="L365" s="40"/>
      <c r="M365" s="291">
        <f>(F365*9303)/3456</f>
        <v>0</v>
      </c>
      <c r="N365" s="40"/>
      <c r="O365" s="40"/>
      <c r="P365" s="40"/>
      <c r="Q365" s="14" t="s">
        <v>18</v>
      </c>
      <c r="R365" s="40"/>
      <c r="S365" s="40" t="s">
        <v>19</v>
      </c>
      <c r="T365" s="47"/>
      <c r="U365" s="40">
        <f>E365/220*60</f>
        <v>0</v>
      </c>
      <c r="V365" s="176"/>
      <c r="W365" s="47"/>
      <c r="X365" s="40"/>
    </row>
    <row r="366" spans="1:24" s="128" customFormat="1" ht="19.5" thickBot="1" x14ac:dyDescent="0.35">
      <c r="A366" s="129"/>
      <c r="B366" s="130" t="s">
        <v>288</v>
      </c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</row>
    <row r="367" spans="1:24" s="20" customFormat="1" ht="57" thickBot="1" x14ac:dyDescent="0.35">
      <c r="A367" s="41"/>
      <c r="B367" s="41" t="s">
        <v>597</v>
      </c>
      <c r="C367" s="42"/>
      <c r="D367" s="43"/>
      <c r="E367" s="45">
        <f>C367*4</f>
        <v>0</v>
      </c>
      <c r="F367" s="290">
        <f>E367*1.05*0.72/147</f>
        <v>0</v>
      </c>
      <c r="G367" s="147">
        <f>INT(M367)</f>
        <v>0</v>
      </c>
      <c r="H367" s="151" t="s">
        <v>18</v>
      </c>
      <c r="I367" s="147">
        <f>(M367-G367)*64</f>
        <v>0</v>
      </c>
      <c r="J367" s="149" t="s">
        <v>19</v>
      </c>
      <c r="K367" s="149"/>
      <c r="L367" s="149"/>
      <c r="M367" s="291">
        <f>(F367*5989/3456)</f>
        <v>0</v>
      </c>
      <c r="N367" s="40"/>
      <c r="O367" s="40"/>
      <c r="P367" s="40"/>
      <c r="Q367" s="14" t="s">
        <v>18</v>
      </c>
      <c r="R367" s="40"/>
      <c r="S367" s="40" t="s">
        <v>19</v>
      </c>
      <c r="T367" s="47"/>
      <c r="U367" s="40">
        <f>E367/324*60</f>
        <v>0</v>
      </c>
      <c r="V367" s="176"/>
      <c r="W367" s="47"/>
      <c r="X367" s="40"/>
    </row>
    <row r="368" spans="1:24" s="20" customFormat="1" ht="38.25" thickBot="1" x14ac:dyDescent="0.35">
      <c r="A368" s="41"/>
      <c r="B368" s="41" t="s">
        <v>348</v>
      </c>
      <c r="C368" s="42"/>
      <c r="D368" s="43">
        <f>C368*18</f>
        <v>0</v>
      </c>
      <c r="E368" s="40">
        <f>D368*0.2</f>
        <v>0</v>
      </c>
      <c r="F368" s="290">
        <f>E368*1.0001*0.8/147</f>
        <v>0</v>
      </c>
      <c r="G368" s="42">
        <f>INT(M368)</f>
        <v>0</v>
      </c>
      <c r="H368" s="45" t="s">
        <v>18</v>
      </c>
      <c r="I368" s="42">
        <f>(M368-G368)*64</f>
        <v>0</v>
      </c>
      <c r="J368" s="40" t="s">
        <v>19</v>
      </c>
      <c r="K368" s="40"/>
      <c r="L368" s="40"/>
      <c r="M368" s="291">
        <f>(F368*5653)/3456</f>
        <v>0</v>
      </c>
      <c r="N368" s="40"/>
      <c r="O368" s="40"/>
      <c r="P368" s="40"/>
      <c r="Q368" s="45" t="s">
        <v>18</v>
      </c>
      <c r="R368" s="40"/>
      <c r="S368" s="40" t="s">
        <v>19</v>
      </c>
      <c r="T368" s="47"/>
      <c r="U368" s="40">
        <f>E368/220*60</f>
        <v>0</v>
      </c>
      <c r="V368" s="176"/>
      <c r="W368" s="47"/>
      <c r="X368" s="40"/>
    </row>
    <row r="369" spans="1:24" s="20" customFormat="1" ht="38.25" thickBot="1" x14ac:dyDescent="0.35">
      <c r="A369" s="41"/>
      <c r="B369" s="41" t="s">
        <v>330</v>
      </c>
      <c r="C369" s="42"/>
      <c r="D369" s="43"/>
      <c r="E369" s="45">
        <f>C369*2.5</f>
        <v>0</v>
      </c>
      <c r="F369" s="50">
        <f>E369*1.03*0.8/147</f>
        <v>0</v>
      </c>
      <c r="G369" s="42">
        <f t="shared" ref="G369:G378" si="84">INT(M369)</f>
        <v>0</v>
      </c>
      <c r="H369" s="45" t="s">
        <v>18</v>
      </c>
      <c r="I369" s="42">
        <f t="shared" ref="I369:I378" si="85">(M369-G369)*64</f>
        <v>0</v>
      </c>
      <c r="J369" s="40" t="s">
        <v>19</v>
      </c>
      <c r="K369" s="40"/>
      <c r="L369" s="40"/>
      <c r="M369" s="46">
        <f>(F369*5444/3456)</f>
        <v>0</v>
      </c>
      <c r="N369" s="40"/>
      <c r="O369" s="40"/>
      <c r="P369" s="40"/>
      <c r="Q369" s="14" t="s">
        <v>18</v>
      </c>
      <c r="R369" s="40"/>
      <c r="S369" s="40" t="s">
        <v>19</v>
      </c>
      <c r="T369" s="47"/>
      <c r="U369" s="40">
        <f t="shared" ref="U369:U376" si="86">E369/324*60</f>
        <v>0</v>
      </c>
      <c r="V369" s="176"/>
      <c r="W369" s="47"/>
      <c r="X369" s="40"/>
    </row>
    <row r="370" spans="1:24" s="20" customFormat="1" ht="19.5" thickBot="1" x14ac:dyDescent="0.35">
      <c r="A370" s="53"/>
      <c r="B370" s="53" t="s">
        <v>91</v>
      </c>
      <c r="C370" s="42"/>
      <c r="D370" s="43"/>
      <c r="E370" s="45">
        <f>C370*2.5</f>
        <v>0</v>
      </c>
      <c r="F370" s="290">
        <f>E370*1.05*0.72/147</f>
        <v>0</v>
      </c>
      <c r="G370" s="42">
        <f t="shared" si="84"/>
        <v>0</v>
      </c>
      <c r="H370" s="45" t="s">
        <v>18</v>
      </c>
      <c r="I370" s="42">
        <f t="shared" si="85"/>
        <v>0</v>
      </c>
      <c r="J370" s="40" t="s">
        <v>19</v>
      </c>
      <c r="K370" s="40"/>
      <c r="L370" s="40"/>
      <c r="M370" s="291">
        <f>(F370*5989/3456)</f>
        <v>0</v>
      </c>
      <c r="N370" s="40"/>
      <c r="O370" s="40"/>
      <c r="P370" s="40"/>
      <c r="Q370" s="14" t="s">
        <v>18</v>
      </c>
      <c r="R370" s="40"/>
      <c r="S370" s="40" t="s">
        <v>19</v>
      </c>
      <c r="T370" s="47"/>
      <c r="U370" s="40">
        <f t="shared" si="86"/>
        <v>0</v>
      </c>
      <c r="V370" s="176"/>
      <c r="W370" s="47"/>
      <c r="X370" s="40"/>
    </row>
    <row r="371" spans="1:24" s="20" customFormat="1" ht="38.25" thickBot="1" x14ac:dyDescent="0.35">
      <c r="A371" s="53"/>
      <c r="B371" s="41" t="s">
        <v>332</v>
      </c>
      <c r="C371" s="42"/>
      <c r="D371" s="43"/>
      <c r="E371" s="45">
        <f>C371*2.5</f>
        <v>0</v>
      </c>
      <c r="F371" s="290">
        <f>E371*1.05*0.72/147</f>
        <v>0</v>
      </c>
      <c r="G371" s="42">
        <f t="shared" si="84"/>
        <v>0</v>
      </c>
      <c r="H371" s="45" t="s">
        <v>18</v>
      </c>
      <c r="I371" s="42">
        <f t="shared" si="85"/>
        <v>0</v>
      </c>
      <c r="J371" s="40" t="s">
        <v>19</v>
      </c>
      <c r="K371" s="40"/>
      <c r="L371" s="40"/>
      <c r="M371" s="291">
        <f>(F371*5989/3456)</f>
        <v>0</v>
      </c>
      <c r="N371" s="40"/>
      <c r="O371" s="40"/>
      <c r="P371" s="40"/>
      <c r="Q371" s="14" t="s">
        <v>18</v>
      </c>
      <c r="R371" s="40"/>
      <c r="S371" s="40" t="s">
        <v>19</v>
      </c>
      <c r="T371" s="47"/>
      <c r="U371" s="40">
        <f t="shared" si="86"/>
        <v>0</v>
      </c>
      <c r="V371" s="176"/>
      <c r="W371" s="47"/>
      <c r="X371" s="40"/>
    </row>
    <row r="372" spans="1:24" s="20" customFormat="1" ht="57" thickBot="1" x14ac:dyDescent="0.35">
      <c r="A372" s="41"/>
      <c r="B372" s="41" t="s">
        <v>333</v>
      </c>
      <c r="C372" s="42"/>
      <c r="D372" s="43"/>
      <c r="E372" s="45">
        <f>C372*4</f>
        <v>0</v>
      </c>
      <c r="F372" s="290">
        <f>E372*1.05*0.72/147</f>
        <v>0</v>
      </c>
      <c r="G372" s="42">
        <f t="shared" si="84"/>
        <v>0</v>
      </c>
      <c r="H372" s="45" t="s">
        <v>18</v>
      </c>
      <c r="I372" s="42">
        <f t="shared" si="85"/>
        <v>0</v>
      </c>
      <c r="J372" s="40" t="s">
        <v>19</v>
      </c>
      <c r="K372" s="40"/>
      <c r="L372" s="40"/>
      <c r="M372" s="291">
        <f>(F372*5989/3456)</f>
        <v>0</v>
      </c>
      <c r="N372" s="40"/>
      <c r="O372" s="40"/>
      <c r="P372" s="40"/>
      <c r="Q372" s="14" t="s">
        <v>18</v>
      </c>
      <c r="R372" s="40"/>
      <c r="S372" s="40" t="s">
        <v>19</v>
      </c>
      <c r="T372" s="47"/>
      <c r="U372" s="40">
        <f t="shared" si="86"/>
        <v>0</v>
      </c>
      <c r="V372" s="176"/>
      <c r="W372" s="47"/>
      <c r="X372" s="40"/>
    </row>
    <row r="373" spans="1:24" s="20" customFormat="1" ht="38.25" thickBot="1" x14ac:dyDescent="0.35">
      <c r="A373" s="41"/>
      <c r="B373" s="41" t="s">
        <v>331</v>
      </c>
      <c r="C373" s="42"/>
      <c r="D373" s="43"/>
      <c r="E373" s="45">
        <f>C373*4</f>
        <v>0</v>
      </c>
      <c r="F373" s="50">
        <f>E373*1.03*0.8/147</f>
        <v>0</v>
      </c>
      <c r="G373" s="42">
        <f t="shared" si="84"/>
        <v>0</v>
      </c>
      <c r="H373" s="45" t="s">
        <v>18</v>
      </c>
      <c r="I373" s="42">
        <f t="shared" si="85"/>
        <v>0</v>
      </c>
      <c r="J373" s="40" t="s">
        <v>19</v>
      </c>
      <c r="K373" s="40"/>
      <c r="L373" s="40"/>
      <c r="M373" s="46">
        <f>(F373*5444/3456)</f>
        <v>0</v>
      </c>
      <c r="N373" s="40"/>
      <c r="O373" s="40"/>
      <c r="P373" s="40"/>
      <c r="Q373" s="14" t="s">
        <v>18</v>
      </c>
      <c r="R373" s="40"/>
      <c r="S373" s="40" t="s">
        <v>19</v>
      </c>
      <c r="T373" s="47"/>
      <c r="U373" s="40">
        <f t="shared" si="86"/>
        <v>0</v>
      </c>
      <c r="V373" s="176"/>
      <c r="W373" s="47"/>
      <c r="X373" s="40"/>
    </row>
    <row r="374" spans="1:24" s="20" customFormat="1" ht="38.25" thickBot="1" x14ac:dyDescent="0.35">
      <c r="A374" s="41"/>
      <c r="B374" s="41" t="s">
        <v>322</v>
      </c>
      <c r="C374" s="42"/>
      <c r="D374" s="43"/>
      <c r="E374" s="45">
        <f>C374*4</f>
        <v>0</v>
      </c>
      <c r="F374" s="50">
        <f>E374*1.03*0.8/147</f>
        <v>0</v>
      </c>
      <c r="G374" s="42">
        <f t="shared" si="84"/>
        <v>0</v>
      </c>
      <c r="H374" s="45" t="s">
        <v>18</v>
      </c>
      <c r="I374" s="42">
        <f t="shared" si="85"/>
        <v>0</v>
      </c>
      <c r="J374" s="40" t="s">
        <v>19</v>
      </c>
      <c r="K374" s="40"/>
      <c r="L374" s="40"/>
      <c r="M374" s="46">
        <f>(F374*5444/3456)</f>
        <v>0</v>
      </c>
      <c r="N374" s="40"/>
      <c r="O374" s="40"/>
      <c r="P374" s="40"/>
      <c r="Q374" s="14" t="s">
        <v>18</v>
      </c>
      <c r="R374" s="40"/>
      <c r="S374" s="40" t="s">
        <v>19</v>
      </c>
      <c r="T374" s="47"/>
      <c r="U374" s="40">
        <f t="shared" si="86"/>
        <v>0</v>
      </c>
      <c r="V374" s="176"/>
      <c r="W374" s="47"/>
      <c r="X374" s="40"/>
    </row>
    <row r="375" spans="1:24" s="20" customFormat="1" ht="38.25" thickBot="1" x14ac:dyDescent="0.35">
      <c r="A375" s="41"/>
      <c r="B375" s="41" t="s">
        <v>325</v>
      </c>
      <c r="C375" s="42"/>
      <c r="D375" s="43"/>
      <c r="E375" s="45">
        <f>C375*2.5</f>
        <v>0</v>
      </c>
      <c r="F375" s="290">
        <f>E375*1.05*0.72/147</f>
        <v>0</v>
      </c>
      <c r="G375" s="42">
        <f t="shared" si="84"/>
        <v>0</v>
      </c>
      <c r="H375" s="45" t="s">
        <v>18</v>
      </c>
      <c r="I375" s="42">
        <f t="shared" si="85"/>
        <v>0</v>
      </c>
      <c r="J375" s="40" t="s">
        <v>19</v>
      </c>
      <c r="K375" s="40"/>
      <c r="L375" s="40"/>
      <c r="M375" s="291">
        <f>(F375*5989/3456)</f>
        <v>0</v>
      </c>
      <c r="N375" s="40"/>
      <c r="O375" s="40"/>
      <c r="P375" s="40"/>
      <c r="Q375" s="14" t="s">
        <v>18</v>
      </c>
      <c r="R375" s="40"/>
      <c r="S375" s="40" t="s">
        <v>19</v>
      </c>
      <c r="T375" s="47"/>
      <c r="U375" s="40">
        <f t="shared" si="86"/>
        <v>0</v>
      </c>
      <c r="V375" s="176"/>
      <c r="W375" s="47"/>
      <c r="X375" s="40"/>
    </row>
    <row r="376" spans="1:24" s="20" customFormat="1" ht="38.25" thickBot="1" x14ac:dyDescent="0.35">
      <c r="A376" s="41"/>
      <c r="B376" s="41" t="s">
        <v>324</v>
      </c>
      <c r="C376" s="42"/>
      <c r="D376" s="43"/>
      <c r="E376" s="45">
        <f>C376*2.5</f>
        <v>0</v>
      </c>
      <c r="F376" s="290">
        <f>E376*1.05*0.72/147</f>
        <v>0</v>
      </c>
      <c r="G376" s="42">
        <f t="shared" si="84"/>
        <v>0</v>
      </c>
      <c r="H376" s="45" t="s">
        <v>18</v>
      </c>
      <c r="I376" s="42">
        <f t="shared" si="85"/>
        <v>0</v>
      </c>
      <c r="J376" s="40" t="s">
        <v>19</v>
      </c>
      <c r="K376" s="40"/>
      <c r="L376" s="40"/>
      <c r="M376" s="291">
        <f>(F376*5989/3456)</f>
        <v>0</v>
      </c>
      <c r="N376" s="40"/>
      <c r="O376" s="40"/>
      <c r="P376" s="40"/>
      <c r="Q376" s="14" t="s">
        <v>18</v>
      </c>
      <c r="R376" s="40"/>
      <c r="S376" s="40" t="s">
        <v>19</v>
      </c>
      <c r="T376" s="47"/>
      <c r="U376" s="40">
        <f t="shared" si="86"/>
        <v>0</v>
      </c>
      <c r="V376" s="176"/>
      <c r="W376" s="47"/>
      <c r="X376" s="40"/>
    </row>
    <row r="377" spans="1:24" s="120" customFormat="1" ht="38.25" thickBot="1" x14ac:dyDescent="0.35">
      <c r="A377" s="146"/>
      <c r="B377" s="146" t="s">
        <v>326</v>
      </c>
      <c r="C377" s="147"/>
      <c r="D377" s="148">
        <f>C377*144</f>
        <v>0</v>
      </c>
      <c r="E377" s="149">
        <f>D377*0.025</f>
        <v>0</v>
      </c>
      <c r="F377" s="292">
        <f>E377*1.0001*0.8/161.7</f>
        <v>0</v>
      </c>
      <c r="G377" s="147">
        <f t="shared" si="84"/>
        <v>0</v>
      </c>
      <c r="H377" s="151" t="s">
        <v>18</v>
      </c>
      <c r="I377" s="147">
        <f t="shared" si="85"/>
        <v>0</v>
      </c>
      <c r="J377" s="149" t="s">
        <v>19</v>
      </c>
      <c r="K377" s="149"/>
      <c r="L377" s="149"/>
      <c r="M377" s="293">
        <f>(F377*8208)/3456</f>
        <v>0</v>
      </c>
      <c r="N377" s="149"/>
      <c r="O377" s="149"/>
      <c r="P377" s="149"/>
      <c r="Q377" s="294" t="s">
        <v>18</v>
      </c>
      <c r="R377" s="149"/>
      <c r="S377" s="149" t="s">
        <v>19</v>
      </c>
      <c r="T377" s="153"/>
      <c r="U377" s="149">
        <f>E377/220*60</f>
        <v>0</v>
      </c>
      <c r="V377" s="176"/>
      <c r="W377" s="153"/>
      <c r="X377" s="149"/>
    </row>
    <row r="378" spans="1:24" s="120" customFormat="1" ht="38.25" thickBot="1" x14ac:dyDescent="0.35">
      <c r="A378" s="146"/>
      <c r="B378" s="146" t="s">
        <v>334</v>
      </c>
      <c r="C378" s="147"/>
      <c r="D378" s="148"/>
      <c r="E378" s="151">
        <f>C378*3</f>
        <v>0</v>
      </c>
      <c r="F378" s="155">
        <f>E378*1.03*0.8/147</f>
        <v>0</v>
      </c>
      <c r="G378" s="147">
        <f t="shared" si="84"/>
        <v>0</v>
      </c>
      <c r="H378" s="151" t="s">
        <v>18</v>
      </c>
      <c r="I378" s="147">
        <f t="shared" si="85"/>
        <v>0</v>
      </c>
      <c r="J378" s="149" t="s">
        <v>19</v>
      </c>
      <c r="K378" s="149"/>
      <c r="L378" s="149"/>
      <c r="M378" s="152">
        <f>(F378*5444/3456)</f>
        <v>0</v>
      </c>
      <c r="N378" s="149"/>
      <c r="O378" s="149"/>
      <c r="P378" s="149"/>
      <c r="Q378" s="294" t="s">
        <v>18</v>
      </c>
      <c r="R378" s="149"/>
      <c r="S378" s="149" t="s">
        <v>19</v>
      </c>
      <c r="T378" s="153"/>
      <c r="U378" s="149">
        <f t="shared" ref="U378:U383" si="87">E378/324*60</f>
        <v>0</v>
      </c>
      <c r="V378" s="176"/>
      <c r="W378" s="153"/>
      <c r="X378" s="149"/>
    </row>
    <row r="379" spans="1:24" s="120" customFormat="1" ht="38.25" thickBot="1" x14ac:dyDescent="0.35">
      <c r="A379" s="146"/>
      <c r="B379" s="146" t="s">
        <v>328</v>
      </c>
      <c r="C379" s="147"/>
      <c r="D379" s="148"/>
      <c r="E379" s="151">
        <f>C379*2.5</f>
        <v>0</v>
      </c>
      <c r="F379" s="292">
        <f>E379*1.03*0.8/147</f>
        <v>0</v>
      </c>
      <c r="G379" s="147">
        <f>INT(M379)</f>
        <v>0</v>
      </c>
      <c r="H379" s="151" t="s">
        <v>18</v>
      </c>
      <c r="I379" s="147">
        <f>(M379-G379)*64</f>
        <v>0</v>
      </c>
      <c r="J379" s="149" t="s">
        <v>19</v>
      </c>
      <c r="K379" s="149"/>
      <c r="L379" s="149"/>
      <c r="M379" s="152">
        <f>(F379*5444/3456)</f>
        <v>0</v>
      </c>
      <c r="N379" s="149"/>
      <c r="O379" s="149"/>
      <c r="P379" s="149"/>
      <c r="Q379" s="294" t="s">
        <v>18</v>
      </c>
      <c r="R379" s="149"/>
      <c r="S379" s="149" t="s">
        <v>19</v>
      </c>
      <c r="T379" s="153"/>
      <c r="U379" s="149">
        <f t="shared" si="87"/>
        <v>0</v>
      </c>
      <c r="V379" s="176"/>
      <c r="W379" s="153"/>
      <c r="X379" s="149"/>
    </row>
    <row r="380" spans="1:24" s="120" customFormat="1" ht="57" thickBot="1" x14ac:dyDescent="0.35">
      <c r="A380" s="146"/>
      <c r="B380" s="146" t="s">
        <v>329</v>
      </c>
      <c r="C380" s="147"/>
      <c r="D380" s="148"/>
      <c r="E380" s="151">
        <f>C380*4</f>
        <v>0</v>
      </c>
      <c r="F380" s="290">
        <f>E380*1.05*0.72/147</f>
        <v>0</v>
      </c>
      <c r="G380" s="147">
        <f>INT(M380)</f>
        <v>0</v>
      </c>
      <c r="H380" s="151" t="s">
        <v>18</v>
      </c>
      <c r="I380" s="147">
        <f>(M380-G380)*64</f>
        <v>0</v>
      </c>
      <c r="J380" s="149" t="s">
        <v>19</v>
      </c>
      <c r="K380" s="149"/>
      <c r="L380" s="149"/>
      <c r="M380" s="291">
        <f>(F380*5989/3456)</f>
        <v>0</v>
      </c>
      <c r="N380" s="149"/>
      <c r="O380" s="149"/>
      <c r="P380" s="149"/>
      <c r="Q380" s="294" t="s">
        <v>18</v>
      </c>
      <c r="R380" s="149"/>
      <c r="S380" s="149" t="s">
        <v>19</v>
      </c>
      <c r="T380" s="153"/>
      <c r="U380" s="149">
        <f t="shared" si="87"/>
        <v>0</v>
      </c>
      <c r="V380" s="176"/>
      <c r="W380" s="153"/>
      <c r="X380" s="149"/>
    </row>
    <row r="381" spans="1:24" s="20" customFormat="1" ht="19.5" thickBot="1" x14ac:dyDescent="0.35">
      <c r="A381" s="41"/>
      <c r="B381" s="41" t="s">
        <v>321</v>
      </c>
      <c r="C381" s="42"/>
      <c r="D381" s="43"/>
      <c r="E381" s="45">
        <f>C381*2.5</f>
        <v>0</v>
      </c>
      <c r="F381" s="50">
        <f>E381*1.03*0.8/147</f>
        <v>0</v>
      </c>
      <c r="G381" s="42">
        <f>INT(M381)</f>
        <v>0</v>
      </c>
      <c r="H381" s="45" t="s">
        <v>18</v>
      </c>
      <c r="I381" s="42">
        <f>(M381-G381)*64</f>
        <v>0</v>
      </c>
      <c r="J381" s="40" t="s">
        <v>19</v>
      </c>
      <c r="K381" s="40"/>
      <c r="L381" s="40"/>
      <c r="M381" s="46">
        <f>(F381*5444/3456)</f>
        <v>0</v>
      </c>
      <c r="N381" s="40"/>
      <c r="O381" s="40"/>
      <c r="P381" s="40"/>
      <c r="Q381" s="14" t="s">
        <v>18</v>
      </c>
      <c r="R381" s="40"/>
      <c r="S381" s="40" t="s">
        <v>19</v>
      </c>
      <c r="T381" s="47"/>
      <c r="U381" s="40">
        <f t="shared" si="87"/>
        <v>0</v>
      </c>
      <c r="V381" s="176"/>
      <c r="W381" s="47"/>
      <c r="X381" s="40"/>
    </row>
    <row r="382" spans="1:24" s="54" customFormat="1" ht="38.25" thickBot="1" x14ac:dyDescent="0.35">
      <c r="A382" s="41"/>
      <c r="B382" s="41" t="s">
        <v>327</v>
      </c>
      <c r="C382" s="42"/>
      <c r="D382" s="43"/>
      <c r="E382" s="45">
        <f>C382*3</f>
        <v>0</v>
      </c>
      <c r="F382" s="50">
        <f>E382*1.03*0.8/147</f>
        <v>0</v>
      </c>
      <c r="G382" s="42">
        <f>INT(M382)</f>
        <v>0</v>
      </c>
      <c r="H382" s="45" t="s">
        <v>18</v>
      </c>
      <c r="I382" s="42">
        <f>(M382-G382)*64</f>
        <v>0</v>
      </c>
      <c r="J382" s="40" t="s">
        <v>19</v>
      </c>
      <c r="K382" s="40"/>
      <c r="L382" s="40"/>
      <c r="M382" s="46">
        <f>(F382*5444/3456)</f>
        <v>0</v>
      </c>
      <c r="N382" s="40"/>
      <c r="O382" s="40"/>
      <c r="P382" s="40"/>
      <c r="Q382" s="14" t="s">
        <v>18</v>
      </c>
      <c r="R382" s="40"/>
      <c r="S382" s="40" t="s">
        <v>19</v>
      </c>
      <c r="T382" s="47"/>
      <c r="U382" s="40">
        <f t="shared" si="87"/>
        <v>0</v>
      </c>
      <c r="V382" s="176"/>
      <c r="W382" s="47"/>
      <c r="X382" s="40"/>
    </row>
    <row r="383" spans="1:24" s="20" customFormat="1" ht="57" thickBot="1" x14ac:dyDescent="0.35">
      <c r="A383" s="41"/>
      <c r="B383" s="41" t="s">
        <v>323</v>
      </c>
      <c r="C383" s="42"/>
      <c r="D383" s="43"/>
      <c r="E383" s="45">
        <f>C383*4</f>
        <v>0</v>
      </c>
      <c r="F383" s="290">
        <f>E383*1.05*0.72/147</f>
        <v>0</v>
      </c>
      <c r="G383" s="42">
        <f>INT(M383)</f>
        <v>0</v>
      </c>
      <c r="H383" s="45" t="s">
        <v>18</v>
      </c>
      <c r="I383" s="42">
        <f>(M383-G383)*64</f>
        <v>0</v>
      </c>
      <c r="J383" s="40" t="s">
        <v>19</v>
      </c>
      <c r="K383" s="40"/>
      <c r="L383" s="40"/>
      <c r="M383" s="291">
        <f>(F383*5989/3456)</f>
        <v>0</v>
      </c>
      <c r="N383" s="40"/>
      <c r="O383" s="40"/>
      <c r="P383" s="40"/>
      <c r="Q383" s="14" t="s">
        <v>18</v>
      </c>
      <c r="R383" s="40"/>
      <c r="S383" s="40" t="s">
        <v>19</v>
      </c>
      <c r="T383" s="47"/>
      <c r="U383" s="40">
        <f t="shared" si="87"/>
        <v>0</v>
      </c>
      <c r="V383" s="176"/>
      <c r="W383" s="47"/>
      <c r="X383" s="40"/>
    </row>
    <row r="384" spans="1:24" s="128" customFormat="1" ht="19.5" thickBot="1" x14ac:dyDescent="0.35">
      <c r="A384" s="129"/>
      <c r="B384" s="130" t="s">
        <v>287</v>
      </c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</row>
    <row r="385" spans="1:24" s="128" customFormat="1" ht="19.5" thickBot="1" x14ac:dyDescent="0.35">
      <c r="A385" s="129"/>
      <c r="B385" s="130" t="s">
        <v>286</v>
      </c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</row>
    <row r="386" spans="1:24" s="20" customFormat="1" ht="38.25" thickBot="1" x14ac:dyDescent="0.35">
      <c r="A386" s="41"/>
      <c r="B386" s="41" t="s">
        <v>235</v>
      </c>
      <c r="C386" s="42"/>
      <c r="D386" s="43">
        <f>C386*14</f>
        <v>0</v>
      </c>
      <c r="E386" s="64">
        <f t="shared" ref="E386:E391" si="88">D386*0.25</f>
        <v>0</v>
      </c>
      <c r="F386" s="50">
        <f t="shared" ref="F386:F393" si="89">E386*1.03*0.99/147</f>
        <v>0</v>
      </c>
      <c r="G386" s="42">
        <f t="shared" ref="G386:G399" si="90">INT(M386)</f>
        <v>0</v>
      </c>
      <c r="H386" s="14" t="s">
        <v>18</v>
      </c>
      <c r="I386" s="42">
        <f t="shared" ref="I386:I399" si="91">(M386-G386)*64</f>
        <v>0</v>
      </c>
      <c r="J386" s="14" t="s">
        <v>19</v>
      </c>
      <c r="K386" s="40"/>
      <c r="L386" s="40"/>
      <c r="M386" s="52">
        <f>(F386*7000)/2880</f>
        <v>0</v>
      </c>
      <c r="N386" s="40"/>
      <c r="O386" s="40"/>
      <c r="P386" s="40"/>
      <c r="Q386" s="14" t="s">
        <v>18</v>
      </c>
      <c r="R386" s="40"/>
      <c r="S386" s="40" t="s">
        <v>19</v>
      </c>
      <c r="T386" s="47"/>
      <c r="U386" s="40">
        <f>E386/390*60</f>
        <v>0</v>
      </c>
      <c r="V386" s="176"/>
      <c r="W386" s="47"/>
      <c r="X386" s="40"/>
    </row>
    <row r="387" spans="1:24" s="20" customFormat="1" ht="38.25" thickBot="1" x14ac:dyDescent="0.35">
      <c r="A387" s="41"/>
      <c r="B387" s="41" t="s">
        <v>237</v>
      </c>
      <c r="C387" s="42"/>
      <c r="D387" s="43">
        <f>C387*14</f>
        <v>0</v>
      </c>
      <c r="E387" s="64">
        <f t="shared" si="88"/>
        <v>0</v>
      </c>
      <c r="F387" s="50">
        <f t="shared" si="89"/>
        <v>0</v>
      </c>
      <c r="G387" s="42">
        <f t="shared" si="90"/>
        <v>0</v>
      </c>
      <c r="H387" s="14" t="s">
        <v>18</v>
      </c>
      <c r="I387" s="42">
        <f t="shared" si="91"/>
        <v>0</v>
      </c>
      <c r="J387" s="14" t="s">
        <v>19</v>
      </c>
      <c r="K387" s="40"/>
      <c r="L387" s="40"/>
      <c r="M387" s="52">
        <f>(F387*7000)/2880</f>
        <v>0</v>
      </c>
      <c r="N387" s="40"/>
      <c r="O387" s="40"/>
      <c r="P387" s="40"/>
      <c r="Q387" s="14" t="s">
        <v>18</v>
      </c>
      <c r="R387" s="40"/>
      <c r="S387" s="40" t="s">
        <v>19</v>
      </c>
      <c r="T387" s="47"/>
      <c r="U387" s="40">
        <f>E387/390*60</f>
        <v>0</v>
      </c>
      <c r="V387" s="176"/>
      <c r="W387" s="47"/>
      <c r="X387" s="40"/>
    </row>
    <row r="388" spans="1:24" s="120" customFormat="1" ht="38.25" thickBot="1" x14ac:dyDescent="0.35">
      <c r="A388" s="146"/>
      <c r="B388" s="146" t="s">
        <v>381</v>
      </c>
      <c r="C388" s="147"/>
      <c r="D388" s="148">
        <f>C388*12</f>
        <v>0</v>
      </c>
      <c r="E388" s="149">
        <f t="shared" si="88"/>
        <v>0</v>
      </c>
      <c r="F388" s="156">
        <f t="shared" si="89"/>
        <v>0</v>
      </c>
      <c r="G388" s="147">
        <f t="shared" si="90"/>
        <v>0</v>
      </c>
      <c r="H388" s="151" t="s">
        <v>18</v>
      </c>
      <c r="I388" s="147">
        <f t="shared" si="91"/>
        <v>0</v>
      </c>
      <c r="J388" s="149" t="s">
        <v>19</v>
      </c>
      <c r="K388" s="149"/>
      <c r="L388" s="149"/>
      <c r="M388" s="158">
        <f t="shared" ref="M388:M395" si="92">(F388*5202)/2880</f>
        <v>0</v>
      </c>
      <c r="N388" s="149"/>
      <c r="O388" s="149"/>
      <c r="P388" s="149"/>
      <c r="Q388" s="294" t="s">
        <v>18</v>
      </c>
      <c r="R388" s="149"/>
      <c r="S388" s="149" t="s">
        <v>19</v>
      </c>
      <c r="T388" s="153"/>
      <c r="U388" s="149"/>
      <c r="V388" s="176"/>
      <c r="W388" s="153"/>
      <c r="X388" s="149"/>
    </row>
    <row r="389" spans="1:24" s="120" customFormat="1" ht="38.25" thickBot="1" x14ac:dyDescent="0.35">
      <c r="A389" s="146"/>
      <c r="B389" s="146" t="s">
        <v>382</v>
      </c>
      <c r="C389" s="147"/>
      <c r="D389" s="148">
        <f>C389*12</f>
        <v>0</v>
      </c>
      <c r="E389" s="149">
        <f t="shared" si="88"/>
        <v>0</v>
      </c>
      <c r="F389" s="156">
        <f t="shared" si="89"/>
        <v>0</v>
      </c>
      <c r="G389" s="147">
        <f t="shared" si="90"/>
        <v>0</v>
      </c>
      <c r="H389" s="151" t="s">
        <v>18</v>
      </c>
      <c r="I389" s="147">
        <f t="shared" si="91"/>
        <v>0</v>
      </c>
      <c r="J389" s="149" t="s">
        <v>19</v>
      </c>
      <c r="K389" s="149"/>
      <c r="L389" s="149"/>
      <c r="M389" s="158">
        <f t="shared" si="92"/>
        <v>0</v>
      </c>
      <c r="N389" s="149"/>
      <c r="O389" s="149"/>
      <c r="P389" s="149"/>
      <c r="Q389" s="294" t="s">
        <v>18</v>
      </c>
      <c r="R389" s="149"/>
      <c r="S389" s="149" t="s">
        <v>19</v>
      </c>
      <c r="T389" s="153"/>
      <c r="U389" s="149"/>
      <c r="V389" s="176"/>
      <c r="W389" s="153"/>
      <c r="X389" s="149"/>
    </row>
    <row r="390" spans="1:24" s="120" customFormat="1" ht="38.25" thickBot="1" x14ac:dyDescent="0.35">
      <c r="A390" s="146"/>
      <c r="B390" s="146" t="s">
        <v>376</v>
      </c>
      <c r="C390" s="147"/>
      <c r="D390" s="148">
        <f>C390*14</f>
        <v>0</v>
      </c>
      <c r="E390" s="149">
        <f t="shared" si="88"/>
        <v>0</v>
      </c>
      <c r="F390" s="156">
        <f t="shared" si="89"/>
        <v>0</v>
      </c>
      <c r="G390" s="147">
        <f t="shared" si="90"/>
        <v>0</v>
      </c>
      <c r="H390" s="151" t="s">
        <v>18</v>
      </c>
      <c r="I390" s="147">
        <f t="shared" si="91"/>
        <v>0</v>
      </c>
      <c r="J390" s="149" t="s">
        <v>19</v>
      </c>
      <c r="K390" s="149"/>
      <c r="L390" s="149"/>
      <c r="M390" s="158">
        <f t="shared" si="92"/>
        <v>0</v>
      </c>
      <c r="N390" s="149"/>
      <c r="O390" s="149"/>
      <c r="P390" s="149"/>
      <c r="Q390" s="294" t="s">
        <v>18</v>
      </c>
      <c r="R390" s="149"/>
      <c r="S390" s="149" t="s">
        <v>19</v>
      </c>
      <c r="T390" s="153"/>
      <c r="U390" s="149"/>
      <c r="V390" s="176"/>
      <c r="W390" s="153"/>
      <c r="X390" s="149"/>
    </row>
    <row r="391" spans="1:24" s="120" customFormat="1" ht="38.25" thickBot="1" x14ac:dyDescent="0.35">
      <c r="A391" s="146"/>
      <c r="B391" s="146" t="s">
        <v>377</v>
      </c>
      <c r="C391" s="147"/>
      <c r="D391" s="148">
        <f>C391*14</f>
        <v>0</v>
      </c>
      <c r="E391" s="149">
        <f t="shared" si="88"/>
        <v>0</v>
      </c>
      <c r="F391" s="156">
        <f t="shared" si="89"/>
        <v>0</v>
      </c>
      <c r="G391" s="147">
        <f t="shared" si="90"/>
        <v>0</v>
      </c>
      <c r="H391" s="151" t="s">
        <v>18</v>
      </c>
      <c r="I391" s="147">
        <f t="shared" si="91"/>
        <v>0</v>
      </c>
      <c r="J391" s="149" t="s">
        <v>19</v>
      </c>
      <c r="K391" s="149"/>
      <c r="L391" s="149"/>
      <c r="M391" s="158">
        <f t="shared" si="92"/>
        <v>0</v>
      </c>
      <c r="N391" s="149"/>
      <c r="O391" s="149"/>
      <c r="P391" s="149"/>
      <c r="Q391" s="294" t="s">
        <v>18</v>
      </c>
      <c r="R391" s="149"/>
      <c r="S391" s="149" t="s">
        <v>19</v>
      </c>
      <c r="T391" s="153"/>
      <c r="U391" s="149"/>
      <c r="V391" s="176"/>
      <c r="W391" s="153"/>
      <c r="X391" s="149"/>
    </row>
    <row r="392" spans="1:24" s="120" customFormat="1" ht="38.25" thickBot="1" x14ac:dyDescent="0.35">
      <c r="A392" s="146"/>
      <c r="B392" s="146" t="s">
        <v>379</v>
      </c>
      <c r="C392" s="147"/>
      <c r="D392" s="148">
        <f>C392*12</f>
        <v>0</v>
      </c>
      <c r="E392" s="149">
        <f>D392*0.26</f>
        <v>0</v>
      </c>
      <c r="F392" s="156">
        <f t="shared" si="89"/>
        <v>0</v>
      </c>
      <c r="G392" s="147">
        <f t="shared" si="90"/>
        <v>0</v>
      </c>
      <c r="H392" s="151" t="s">
        <v>18</v>
      </c>
      <c r="I392" s="147">
        <f t="shared" si="91"/>
        <v>0</v>
      </c>
      <c r="J392" s="149" t="s">
        <v>19</v>
      </c>
      <c r="K392" s="149"/>
      <c r="L392" s="149"/>
      <c r="M392" s="158">
        <f t="shared" si="92"/>
        <v>0</v>
      </c>
      <c r="N392" s="149"/>
      <c r="O392" s="149"/>
      <c r="P392" s="149"/>
      <c r="Q392" s="294" t="s">
        <v>18</v>
      </c>
      <c r="R392" s="149"/>
      <c r="S392" s="149" t="s">
        <v>19</v>
      </c>
      <c r="T392" s="153"/>
      <c r="U392" s="149"/>
      <c r="V392" s="176"/>
      <c r="W392" s="153"/>
      <c r="X392" s="149"/>
    </row>
    <row r="393" spans="1:24" s="120" customFormat="1" ht="38.25" thickBot="1" x14ac:dyDescent="0.35">
      <c r="A393" s="146"/>
      <c r="B393" s="146" t="s">
        <v>380</v>
      </c>
      <c r="C393" s="147"/>
      <c r="D393" s="148">
        <f>C393*12</f>
        <v>0</v>
      </c>
      <c r="E393" s="149">
        <f>D393*0.26</f>
        <v>0</v>
      </c>
      <c r="F393" s="156">
        <f t="shared" si="89"/>
        <v>0</v>
      </c>
      <c r="G393" s="147">
        <f t="shared" si="90"/>
        <v>0</v>
      </c>
      <c r="H393" s="151" t="s">
        <v>18</v>
      </c>
      <c r="I393" s="147">
        <f t="shared" si="91"/>
        <v>0</v>
      </c>
      <c r="J393" s="149" t="s">
        <v>19</v>
      </c>
      <c r="K393" s="149"/>
      <c r="L393" s="149"/>
      <c r="M393" s="158">
        <f t="shared" si="92"/>
        <v>0</v>
      </c>
      <c r="N393" s="149"/>
      <c r="O393" s="149"/>
      <c r="P393" s="149"/>
      <c r="Q393" s="294" t="s">
        <v>18</v>
      </c>
      <c r="R393" s="149"/>
      <c r="S393" s="149" t="s">
        <v>19</v>
      </c>
      <c r="T393" s="153"/>
      <c r="U393" s="149"/>
      <c r="V393" s="176"/>
      <c r="W393" s="153"/>
      <c r="X393" s="149"/>
    </row>
    <row r="394" spans="1:24" s="20" customFormat="1" ht="38.25" thickBot="1" x14ac:dyDescent="0.35">
      <c r="A394" s="41"/>
      <c r="B394" s="41" t="s">
        <v>239</v>
      </c>
      <c r="C394" s="42"/>
      <c r="D394" s="43">
        <f>C394*16</f>
        <v>0</v>
      </c>
      <c r="E394" s="40">
        <f>D394*0.34</f>
        <v>0</v>
      </c>
      <c r="F394" s="50">
        <f t="shared" ref="F394:F399" si="93">E394*1.03*0.99/147</f>
        <v>0</v>
      </c>
      <c r="G394" s="42">
        <f t="shared" si="90"/>
        <v>0</v>
      </c>
      <c r="H394" s="45" t="s">
        <v>18</v>
      </c>
      <c r="I394" s="42">
        <f t="shared" si="91"/>
        <v>0</v>
      </c>
      <c r="J394" s="40" t="s">
        <v>19</v>
      </c>
      <c r="K394" s="40"/>
      <c r="L394" s="40"/>
      <c r="M394" s="52">
        <f t="shared" si="92"/>
        <v>0</v>
      </c>
      <c r="N394" s="40"/>
      <c r="O394" s="40"/>
      <c r="P394" s="40"/>
      <c r="Q394" s="14" t="s">
        <v>18</v>
      </c>
      <c r="R394" s="40"/>
      <c r="S394" s="40" t="s">
        <v>19</v>
      </c>
      <c r="T394" s="47"/>
      <c r="U394" s="40"/>
      <c r="V394" s="176"/>
      <c r="W394" s="47"/>
      <c r="X394" s="40"/>
    </row>
    <row r="395" spans="1:24" s="20" customFormat="1" ht="38.25" thickBot="1" x14ac:dyDescent="0.35">
      <c r="A395" s="41"/>
      <c r="B395" s="41" t="s">
        <v>238</v>
      </c>
      <c r="C395" s="42"/>
      <c r="D395" s="43">
        <f>C395*16</f>
        <v>0</v>
      </c>
      <c r="E395" s="40">
        <f>D395*0.34</f>
        <v>0</v>
      </c>
      <c r="F395" s="50">
        <f t="shared" si="93"/>
        <v>0</v>
      </c>
      <c r="G395" s="42">
        <f t="shared" si="90"/>
        <v>0</v>
      </c>
      <c r="H395" s="45" t="s">
        <v>18</v>
      </c>
      <c r="I395" s="42">
        <f t="shared" si="91"/>
        <v>0</v>
      </c>
      <c r="J395" s="40" t="s">
        <v>19</v>
      </c>
      <c r="K395" s="40"/>
      <c r="L395" s="40"/>
      <c r="M395" s="52">
        <f t="shared" si="92"/>
        <v>0</v>
      </c>
      <c r="N395" s="40"/>
      <c r="O395" s="40"/>
      <c r="P395" s="40"/>
      <c r="Q395" s="14" t="s">
        <v>18</v>
      </c>
      <c r="R395" s="40"/>
      <c r="S395" s="40" t="s">
        <v>19</v>
      </c>
      <c r="T395" s="47"/>
      <c r="U395" s="40"/>
      <c r="V395" s="176"/>
      <c r="W395" s="47"/>
      <c r="X395" s="40"/>
    </row>
    <row r="396" spans="1:24" s="20" customFormat="1" ht="19.5" thickBot="1" x14ac:dyDescent="0.35">
      <c r="A396" s="41"/>
      <c r="B396" s="41" t="s">
        <v>374</v>
      </c>
      <c r="C396" s="42"/>
      <c r="D396" s="43">
        <f>C396*14</f>
        <v>0</v>
      </c>
      <c r="E396" s="64">
        <f>D396*0.25</f>
        <v>0</v>
      </c>
      <c r="F396" s="50">
        <f t="shared" si="93"/>
        <v>0</v>
      </c>
      <c r="G396" s="42">
        <f t="shared" si="90"/>
        <v>0</v>
      </c>
      <c r="H396" s="14" t="s">
        <v>18</v>
      </c>
      <c r="I396" s="42">
        <f t="shared" si="91"/>
        <v>0</v>
      </c>
      <c r="J396" s="14" t="s">
        <v>19</v>
      </c>
      <c r="K396" s="40"/>
      <c r="L396" s="40"/>
      <c r="M396" s="52">
        <f>(F396*7000)/2880</f>
        <v>0</v>
      </c>
      <c r="N396" s="40"/>
      <c r="O396" s="40"/>
      <c r="P396" s="40"/>
      <c r="Q396" s="14" t="s">
        <v>18</v>
      </c>
      <c r="R396" s="40"/>
      <c r="S396" s="40" t="s">
        <v>19</v>
      </c>
      <c r="T396" s="47"/>
      <c r="U396" s="40">
        <f>E396/390*60</f>
        <v>0</v>
      </c>
      <c r="V396" s="176"/>
      <c r="W396" s="47"/>
      <c r="X396" s="40"/>
    </row>
    <row r="397" spans="1:24" s="20" customFormat="1" ht="38.25" thickBot="1" x14ac:dyDescent="0.35">
      <c r="A397" s="41"/>
      <c r="B397" s="41" t="s">
        <v>375</v>
      </c>
      <c r="C397" s="42"/>
      <c r="D397" s="43">
        <f>C397*14</f>
        <v>0</v>
      </c>
      <c r="E397" s="64">
        <f>D397*0.25</f>
        <v>0</v>
      </c>
      <c r="F397" s="50">
        <f t="shared" si="93"/>
        <v>0</v>
      </c>
      <c r="G397" s="42">
        <f t="shared" si="90"/>
        <v>0</v>
      </c>
      <c r="H397" s="14" t="s">
        <v>18</v>
      </c>
      <c r="I397" s="42">
        <f t="shared" si="91"/>
        <v>0</v>
      </c>
      <c r="J397" s="14" t="s">
        <v>19</v>
      </c>
      <c r="K397" s="40"/>
      <c r="L397" s="40"/>
      <c r="M397" s="52">
        <f>(F397*7000)/2880</f>
        <v>0</v>
      </c>
      <c r="N397" s="40"/>
      <c r="O397" s="40"/>
      <c r="P397" s="40"/>
      <c r="Q397" s="14" t="s">
        <v>18</v>
      </c>
      <c r="R397" s="40"/>
      <c r="S397" s="40" t="s">
        <v>19</v>
      </c>
      <c r="T397" s="47"/>
      <c r="U397" s="40">
        <f>E397/390*60</f>
        <v>0</v>
      </c>
      <c r="V397" s="176"/>
      <c r="W397" s="47"/>
      <c r="X397" s="40"/>
    </row>
    <row r="398" spans="1:24" s="20" customFormat="1" ht="19.5" thickBot="1" x14ac:dyDescent="0.35">
      <c r="A398" s="41"/>
      <c r="B398" s="41" t="s">
        <v>378</v>
      </c>
      <c r="C398" s="42"/>
      <c r="D398" s="43">
        <f>C398*12</f>
        <v>0</v>
      </c>
      <c r="E398" s="63">
        <f>D398*0.3</f>
        <v>0</v>
      </c>
      <c r="F398" s="50">
        <f t="shared" si="93"/>
        <v>0</v>
      </c>
      <c r="G398" s="42">
        <f t="shared" si="90"/>
        <v>0</v>
      </c>
      <c r="H398" s="45" t="s">
        <v>18</v>
      </c>
      <c r="I398" s="42">
        <f t="shared" si="91"/>
        <v>0</v>
      </c>
      <c r="J398" s="40" t="s">
        <v>19</v>
      </c>
      <c r="K398" s="40"/>
      <c r="L398" s="40"/>
      <c r="M398" s="52">
        <f>(F398*5927)/2880</f>
        <v>0</v>
      </c>
      <c r="N398" s="40"/>
      <c r="O398" s="40"/>
      <c r="P398" s="40"/>
      <c r="Q398" s="14" t="s">
        <v>18</v>
      </c>
      <c r="R398" s="40"/>
      <c r="S398" s="40" t="s">
        <v>19</v>
      </c>
      <c r="T398" s="47"/>
      <c r="U398" s="40">
        <f>E398/403*60</f>
        <v>0</v>
      </c>
      <c r="V398" s="176"/>
      <c r="W398" s="47"/>
      <c r="X398" s="40"/>
    </row>
    <row r="399" spans="1:24" s="20" customFormat="1" ht="19.5" thickBot="1" x14ac:dyDescent="0.35">
      <c r="A399" s="41"/>
      <c r="B399" s="41" t="s">
        <v>571</v>
      </c>
      <c r="C399" s="42"/>
      <c r="D399" s="43">
        <f>C399*12</f>
        <v>0</v>
      </c>
      <c r="E399" s="63">
        <f>D399*0.25</f>
        <v>0</v>
      </c>
      <c r="F399" s="50">
        <f t="shared" si="93"/>
        <v>0</v>
      </c>
      <c r="G399" s="42">
        <f t="shared" si="90"/>
        <v>0</v>
      </c>
      <c r="H399" s="45" t="s">
        <v>18</v>
      </c>
      <c r="I399" s="42">
        <f t="shared" si="91"/>
        <v>0</v>
      </c>
      <c r="J399" s="40" t="s">
        <v>19</v>
      </c>
      <c r="K399" s="40"/>
      <c r="L399" s="40"/>
      <c r="M399" s="52">
        <f>(F399*5927)/2880</f>
        <v>0</v>
      </c>
      <c r="N399" s="40"/>
      <c r="O399" s="40"/>
      <c r="P399" s="40"/>
      <c r="Q399" s="14" t="s">
        <v>18</v>
      </c>
      <c r="R399" s="40"/>
      <c r="S399" s="40" t="s">
        <v>19</v>
      </c>
      <c r="T399" s="47"/>
      <c r="U399" s="40">
        <f>E399/403*60</f>
        <v>0</v>
      </c>
      <c r="V399" s="176"/>
      <c r="W399" s="47"/>
      <c r="X399" s="40"/>
    </row>
    <row r="400" spans="1:24" s="20" customFormat="1" ht="19.5" thickBot="1" x14ac:dyDescent="0.35">
      <c r="A400" s="41"/>
      <c r="B400" s="41"/>
      <c r="C400" s="42"/>
      <c r="D400" s="43"/>
      <c r="E400" s="63"/>
      <c r="F400" s="50"/>
      <c r="G400" s="42"/>
      <c r="H400" s="45"/>
      <c r="I400" s="42"/>
      <c r="J400" s="40"/>
      <c r="K400" s="40"/>
      <c r="L400" s="40"/>
      <c r="M400" s="52"/>
      <c r="N400" s="40"/>
      <c r="O400" s="40"/>
      <c r="P400" s="40"/>
      <c r="Q400" s="14"/>
      <c r="R400" s="40"/>
      <c r="S400" s="40"/>
      <c r="T400" s="47"/>
      <c r="U400" s="40"/>
      <c r="V400" s="176"/>
      <c r="W400" s="47"/>
      <c r="X400" s="40"/>
    </row>
    <row r="401" spans="1:24" s="20" customFormat="1" ht="19.5" thickBot="1" x14ac:dyDescent="0.35">
      <c r="A401" s="41"/>
      <c r="B401" s="41" t="s">
        <v>114</v>
      </c>
      <c r="C401" s="42"/>
      <c r="D401" s="43">
        <f>C401*12</f>
        <v>0</v>
      </c>
      <c r="E401" s="40">
        <f>D401*0.25</f>
        <v>0</v>
      </c>
      <c r="F401" s="50">
        <f>E401*1.03*0.99/147</f>
        <v>0</v>
      </c>
      <c r="G401" s="42">
        <f>INT(M401)</f>
        <v>0</v>
      </c>
      <c r="H401" s="45" t="s">
        <v>18</v>
      </c>
      <c r="I401" s="42">
        <f>(M401-G401)*64</f>
        <v>0</v>
      </c>
      <c r="J401" s="40" t="s">
        <v>19</v>
      </c>
      <c r="K401" s="40"/>
      <c r="L401" s="40"/>
      <c r="M401" s="52">
        <f>(F401*6966)/2880</f>
        <v>0</v>
      </c>
      <c r="N401" s="40"/>
      <c r="O401" s="40"/>
      <c r="P401" s="40"/>
      <c r="Q401" s="14" t="s">
        <v>18</v>
      </c>
      <c r="R401" s="40"/>
      <c r="S401" s="40" t="s">
        <v>19</v>
      </c>
      <c r="T401" s="47"/>
      <c r="U401" s="40">
        <f>E401/226*60</f>
        <v>0</v>
      </c>
      <c r="V401" s="176"/>
      <c r="W401" s="47"/>
      <c r="X401" s="40"/>
    </row>
    <row r="402" spans="1:24" s="289" customFormat="1" ht="26.25" customHeight="1" thickBot="1" x14ac:dyDescent="0.35">
      <c r="A402" s="141"/>
      <c r="B402" s="141" t="s">
        <v>601</v>
      </c>
      <c r="C402" s="282"/>
      <c r="D402" s="283">
        <f>C402*12</f>
        <v>0</v>
      </c>
      <c r="E402" s="117">
        <f>D402*0.25</f>
        <v>0</v>
      </c>
      <c r="F402" s="284">
        <f>E402*1.03*0.99/147</f>
        <v>0</v>
      </c>
      <c r="G402" s="282">
        <f>INT(M402)</f>
        <v>0</v>
      </c>
      <c r="H402" s="285" t="s">
        <v>18</v>
      </c>
      <c r="I402" s="282">
        <f>(M402-G402)*64</f>
        <v>0</v>
      </c>
      <c r="J402" s="117" t="s">
        <v>19</v>
      </c>
      <c r="K402" s="117"/>
      <c r="L402" s="117"/>
      <c r="M402" s="117">
        <f>(F402*6869)/2880</f>
        <v>0</v>
      </c>
      <c r="N402" s="117"/>
      <c r="O402" s="117"/>
      <c r="P402" s="117"/>
      <c r="Q402" s="286" t="s">
        <v>18</v>
      </c>
      <c r="R402" s="117"/>
      <c r="S402" s="117" t="s">
        <v>19</v>
      </c>
      <c r="T402" s="287"/>
      <c r="U402" s="117">
        <f>E402/226*60</f>
        <v>0</v>
      </c>
      <c r="V402" s="288"/>
      <c r="W402" s="287"/>
      <c r="X402" s="117"/>
    </row>
    <row r="403" spans="1:24" s="20" customFormat="1" ht="38.25" thickBot="1" x14ac:dyDescent="0.35">
      <c r="A403" s="41"/>
      <c r="B403" s="157" t="s">
        <v>366</v>
      </c>
      <c r="C403" s="42"/>
      <c r="D403" s="43">
        <f>C403*12</f>
        <v>0</v>
      </c>
      <c r="E403" s="40">
        <f>D403*0.25</f>
        <v>0</v>
      </c>
      <c r="F403" s="50">
        <f>E403*1.03*0.99/107</f>
        <v>0</v>
      </c>
      <c r="G403" s="42">
        <f t="shared" ref="G403:G420" si="94">INT(M403)</f>
        <v>0</v>
      </c>
      <c r="H403" s="45" t="s">
        <v>18</v>
      </c>
      <c r="I403" s="42">
        <f t="shared" ref="I403:I420" si="95">(M403-G403)*64</f>
        <v>0</v>
      </c>
      <c r="J403" s="40" t="s">
        <v>19</v>
      </c>
      <c r="K403" s="40"/>
      <c r="L403" s="40"/>
      <c r="M403" s="52">
        <f>(F403*5085)/2880</f>
        <v>0</v>
      </c>
      <c r="N403" s="40"/>
      <c r="O403" s="40"/>
      <c r="P403" s="40"/>
      <c r="Q403" s="14" t="s">
        <v>18</v>
      </c>
      <c r="R403" s="40"/>
      <c r="S403" s="40" t="s">
        <v>19</v>
      </c>
      <c r="T403" s="47"/>
      <c r="U403" s="40">
        <f>E403/226*60</f>
        <v>0</v>
      </c>
      <c r="V403" s="176"/>
      <c r="W403" s="47"/>
      <c r="X403" s="40"/>
    </row>
    <row r="404" spans="1:24" s="20" customFormat="1" ht="38.25" thickBot="1" x14ac:dyDescent="0.35">
      <c r="A404" s="41"/>
      <c r="B404" s="157" t="s">
        <v>367</v>
      </c>
      <c r="C404" s="42"/>
      <c r="D404" s="43">
        <f>C404*12</f>
        <v>0</v>
      </c>
      <c r="E404" s="40">
        <f>D404*0.25</f>
        <v>0</v>
      </c>
      <c r="F404" s="50">
        <f>E404*1.03*0.99/107</f>
        <v>0</v>
      </c>
      <c r="G404" s="42">
        <f t="shared" si="94"/>
        <v>0</v>
      </c>
      <c r="H404" s="45" t="s">
        <v>18</v>
      </c>
      <c r="I404" s="42">
        <f t="shared" si="95"/>
        <v>0</v>
      </c>
      <c r="J404" s="40" t="s">
        <v>19</v>
      </c>
      <c r="K404" s="40"/>
      <c r="L404" s="40"/>
      <c r="M404" s="52">
        <f>(F404*5085)/2880</f>
        <v>0</v>
      </c>
      <c r="N404" s="40"/>
      <c r="O404" s="40"/>
      <c r="P404" s="40"/>
      <c r="Q404" s="14" t="s">
        <v>18</v>
      </c>
      <c r="R404" s="40"/>
      <c r="S404" s="40" t="s">
        <v>19</v>
      </c>
      <c r="T404" s="47"/>
      <c r="U404" s="40">
        <f>E404/226*60</f>
        <v>0</v>
      </c>
      <c r="V404" s="176"/>
      <c r="W404" s="47"/>
      <c r="X404" s="40"/>
    </row>
    <row r="405" spans="1:24" s="20" customFormat="1" ht="36" customHeight="1" thickBot="1" x14ac:dyDescent="0.35">
      <c r="A405" s="41"/>
      <c r="B405" s="281" t="s">
        <v>599</v>
      </c>
      <c r="C405" s="42"/>
      <c r="D405" s="43"/>
      <c r="E405" s="45">
        <f>C405*4</f>
        <v>0</v>
      </c>
      <c r="F405" s="50">
        <f>E405*1.2*1/147</f>
        <v>0</v>
      </c>
      <c r="G405" s="42">
        <f t="shared" si="94"/>
        <v>0</v>
      </c>
      <c r="H405" s="45" t="s">
        <v>18</v>
      </c>
      <c r="I405" s="42">
        <f t="shared" si="95"/>
        <v>0</v>
      </c>
      <c r="J405" s="40" t="s">
        <v>19</v>
      </c>
      <c r="K405" s="40"/>
      <c r="L405" s="40"/>
      <c r="M405" s="46">
        <f>F405*5719/2880</f>
        <v>0</v>
      </c>
      <c r="N405" s="40"/>
      <c r="O405" s="40"/>
      <c r="P405" s="40"/>
      <c r="Q405" s="14" t="s">
        <v>18</v>
      </c>
      <c r="R405" s="40"/>
      <c r="S405" s="40" t="s">
        <v>19</v>
      </c>
      <c r="T405" s="47"/>
      <c r="U405" s="40">
        <f>E405/237*60</f>
        <v>0</v>
      </c>
      <c r="V405" s="176"/>
      <c r="W405" s="47"/>
      <c r="X405" s="40"/>
    </row>
    <row r="406" spans="1:24" s="20" customFormat="1" ht="19.5" thickBot="1" x14ac:dyDescent="0.35">
      <c r="A406" s="41"/>
      <c r="B406" s="41" t="s">
        <v>370</v>
      </c>
      <c r="C406" s="42"/>
      <c r="D406" s="43">
        <f>C406*12</f>
        <v>0</v>
      </c>
      <c r="E406" s="40">
        <f>D406*0.26</f>
        <v>0</v>
      </c>
      <c r="F406" s="50">
        <f t="shared" ref="F406:F420" si="96">E406*1.03*0.99/147</f>
        <v>0</v>
      </c>
      <c r="G406" s="42">
        <f t="shared" si="94"/>
        <v>0</v>
      </c>
      <c r="H406" s="45" t="s">
        <v>18</v>
      </c>
      <c r="I406" s="42">
        <f t="shared" si="95"/>
        <v>0</v>
      </c>
      <c r="J406" s="40" t="s">
        <v>19</v>
      </c>
      <c r="K406" s="40"/>
      <c r="L406" s="40"/>
      <c r="M406" s="52">
        <f>(F406*6743)/2880</f>
        <v>0</v>
      </c>
      <c r="N406" s="40"/>
      <c r="O406" s="40"/>
      <c r="P406" s="40"/>
      <c r="Q406" s="14" t="s">
        <v>18</v>
      </c>
      <c r="R406" s="40"/>
      <c r="S406" s="40" t="s">
        <v>19</v>
      </c>
      <c r="T406" s="47"/>
      <c r="U406" s="40">
        <f>E406/237*60</f>
        <v>0</v>
      </c>
      <c r="V406" s="176"/>
      <c r="W406" s="47"/>
      <c r="X406" s="40"/>
    </row>
    <row r="407" spans="1:24" s="20" customFormat="1" ht="19.5" thickBot="1" x14ac:dyDescent="0.35">
      <c r="A407" s="41"/>
      <c r="B407" s="41" t="s">
        <v>371</v>
      </c>
      <c r="C407" s="42"/>
      <c r="D407" s="43">
        <f>C407*12</f>
        <v>0</v>
      </c>
      <c r="E407" s="40">
        <f>D407*0.26</f>
        <v>0</v>
      </c>
      <c r="F407" s="50">
        <f t="shared" si="96"/>
        <v>0</v>
      </c>
      <c r="G407" s="42">
        <f t="shared" si="94"/>
        <v>0</v>
      </c>
      <c r="H407" s="45" t="s">
        <v>18</v>
      </c>
      <c r="I407" s="42">
        <f t="shared" si="95"/>
        <v>0</v>
      </c>
      <c r="J407" s="40" t="s">
        <v>19</v>
      </c>
      <c r="K407" s="40"/>
      <c r="L407" s="40"/>
      <c r="M407" s="52">
        <f>(F407*6743)/2880</f>
        <v>0</v>
      </c>
      <c r="N407" s="40"/>
      <c r="O407" s="40"/>
      <c r="P407" s="40"/>
      <c r="Q407" s="14" t="s">
        <v>18</v>
      </c>
      <c r="R407" s="40"/>
      <c r="S407" s="40" t="s">
        <v>19</v>
      </c>
      <c r="T407" s="47"/>
      <c r="U407" s="40">
        <f>E407/237*60</f>
        <v>0</v>
      </c>
      <c r="V407" s="176"/>
      <c r="W407" s="47"/>
      <c r="X407" s="40"/>
    </row>
    <row r="408" spans="1:24" s="20" customFormat="1" ht="19.5" thickBot="1" x14ac:dyDescent="0.35">
      <c r="A408" s="41"/>
      <c r="B408" s="41" t="s">
        <v>369</v>
      </c>
      <c r="C408" s="42"/>
      <c r="D408" s="43">
        <f>C408*12</f>
        <v>0</v>
      </c>
      <c r="E408" s="40">
        <f>D408*0.26</f>
        <v>0</v>
      </c>
      <c r="F408" s="50">
        <f t="shared" si="96"/>
        <v>0</v>
      </c>
      <c r="G408" s="42">
        <f t="shared" si="94"/>
        <v>0</v>
      </c>
      <c r="H408" s="45" t="s">
        <v>18</v>
      </c>
      <c r="I408" s="42">
        <f t="shared" si="95"/>
        <v>0</v>
      </c>
      <c r="J408" s="40" t="s">
        <v>19</v>
      </c>
      <c r="K408" s="40"/>
      <c r="L408" s="40"/>
      <c r="M408" s="52">
        <f>(F408*6743)/2880</f>
        <v>0</v>
      </c>
      <c r="N408" s="40"/>
      <c r="O408" s="40"/>
      <c r="P408" s="40"/>
      <c r="Q408" s="14" t="s">
        <v>18</v>
      </c>
      <c r="R408" s="40"/>
      <c r="S408" s="40" t="s">
        <v>19</v>
      </c>
      <c r="T408" s="47"/>
      <c r="U408" s="40">
        <f>E408/237*60</f>
        <v>0</v>
      </c>
      <c r="V408" s="176"/>
      <c r="W408" s="47"/>
      <c r="X408" s="40"/>
    </row>
    <row r="409" spans="1:24" s="20" customFormat="1" ht="19.5" thickBot="1" x14ac:dyDescent="0.35">
      <c r="A409" s="41"/>
      <c r="B409" s="41" t="s">
        <v>368</v>
      </c>
      <c r="C409" s="42"/>
      <c r="D409" s="43">
        <f>C409*12</f>
        <v>0</v>
      </c>
      <c r="E409" s="64">
        <f>D409*0.25</f>
        <v>0</v>
      </c>
      <c r="F409" s="50">
        <f t="shared" si="96"/>
        <v>0</v>
      </c>
      <c r="G409" s="42">
        <f t="shared" si="94"/>
        <v>0</v>
      </c>
      <c r="H409" s="14" t="s">
        <v>18</v>
      </c>
      <c r="I409" s="42">
        <f t="shared" si="95"/>
        <v>0</v>
      </c>
      <c r="J409" s="14" t="s">
        <v>19</v>
      </c>
      <c r="K409" s="40"/>
      <c r="L409" s="40"/>
      <c r="M409" s="52">
        <f>(F409*7000)/2880</f>
        <v>0</v>
      </c>
      <c r="N409" s="40"/>
      <c r="O409" s="40"/>
      <c r="P409" s="40"/>
      <c r="Q409" s="14" t="s">
        <v>18</v>
      </c>
      <c r="R409" s="40"/>
      <c r="S409" s="40" t="s">
        <v>19</v>
      </c>
      <c r="T409" s="47"/>
      <c r="U409" s="40">
        <f>E409/390*60</f>
        <v>0</v>
      </c>
      <c r="V409" s="176"/>
      <c r="W409" s="47"/>
      <c r="X409" s="40"/>
    </row>
    <row r="410" spans="1:24" s="20" customFormat="1" ht="19.5" thickBot="1" x14ac:dyDescent="0.35">
      <c r="A410" s="41"/>
      <c r="B410" s="41" t="s">
        <v>365</v>
      </c>
      <c r="C410" s="42"/>
      <c r="D410" s="43">
        <f>C410*14</f>
        <v>0</v>
      </c>
      <c r="E410" s="40">
        <f>D410*0.2</f>
        <v>0</v>
      </c>
      <c r="F410" s="50">
        <f t="shared" si="96"/>
        <v>0</v>
      </c>
      <c r="G410" s="42">
        <f t="shared" si="94"/>
        <v>0</v>
      </c>
      <c r="H410" s="45" t="s">
        <v>18</v>
      </c>
      <c r="I410" s="42">
        <f t="shared" si="95"/>
        <v>0</v>
      </c>
      <c r="J410" s="40" t="s">
        <v>19</v>
      </c>
      <c r="K410" s="40"/>
      <c r="L410" s="40"/>
      <c r="M410" s="46">
        <f>F410*8698/2880</f>
        <v>0</v>
      </c>
      <c r="N410" s="40"/>
      <c r="O410" s="40"/>
      <c r="P410" s="40"/>
      <c r="Q410" s="14" t="s">
        <v>18</v>
      </c>
      <c r="R410" s="40"/>
      <c r="S410" s="40" t="s">
        <v>19</v>
      </c>
      <c r="T410" s="47"/>
      <c r="U410" s="40">
        <f>E410/259*60</f>
        <v>0</v>
      </c>
      <c r="V410" s="176"/>
      <c r="W410" s="47"/>
      <c r="X410" s="40"/>
    </row>
    <row r="411" spans="1:24" s="20" customFormat="1" ht="19.5" thickBot="1" x14ac:dyDescent="0.35">
      <c r="A411" s="41"/>
      <c r="B411" s="41" t="s">
        <v>600</v>
      </c>
      <c r="C411" s="42"/>
      <c r="D411" s="43">
        <f t="shared" ref="D411:D417" si="97">C411*12</f>
        <v>0</v>
      </c>
      <c r="E411" s="45">
        <f>D411*0.26</f>
        <v>0</v>
      </c>
      <c r="F411" s="50">
        <f t="shared" si="96"/>
        <v>0</v>
      </c>
      <c r="G411" s="42">
        <f t="shared" si="94"/>
        <v>0</v>
      </c>
      <c r="H411" s="45" t="s">
        <v>18</v>
      </c>
      <c r="I411" s="42">
        <f t="shared" si="95"/>
        <v>0</v>
      </c>
      <c r="J411" s="40" t="s">
        <v>19</v>
      </c>
      <c r="K411" s="40"/>
      <c r="L411" s="40"/>
      <c r="M411" s="52">
        <f>(F411*6966)/2880</f>
        <v>0</v>
      </c>
      <c r="N411" s="40"/>
      <c r="O411" s="40"/>
      <c r="P411" s="40"/>
      <c r="Q411" s="14" t="s">
        <v>18</v>
      </c>
      <c r="R411" s="40"/>
      <c r="S411" s="40" t="s">
        <v>19</v>
      </c>
      <c r="T411" s="47"/>
      <c r="U411" s="40">
        <f>E411/237*60</f>
        <v>0</v>
      </c>
      <c r="V411" s="176"/>
      <c r="W411" s="47"/>
      <c r="X411" s="40"/>
    </row>
    <row r="412" spans="1:24" s="20" customFormat="1" ht="19.5" thickBot="1" x14ac:dyDescent="0.35">
      <c r="A412" s="41"/>
      <c r="B412" s="41" t="s">
        <v>111</v>
      </c>
      <c r="C412" s="42"/>
      <c r="D412" s="43">
        <f t="shared" si="97"/>
        <v>0</v>
      </c>
      <c r="E412" s="45">
        <f t="shared" ref="E412:E417" si="98">D412*0.25</f>
        <v>0</v>
      </c>
      <c r="F412" s="50">
        <f t="shared" si="96"/>
        <v>0</v>
      </c>
      <c r="G412" s="42">
        <f t="shared" si="94"/>
        <v>0</v>
      </c>
      <c r="H412" s="45" t="s">
        <v>18</v>
      </c>
      <c r="I412" s="42">
        <f t="shared" si="95"/>
        <v>0</v>
      </c>
      <c r="J412" s="40" t="s">
        <v>19</v>
      </c>
      <c r="K412" s="40"/>
      <c r="L412" s="40"/>
      <c r="M412" s="52">
        <f>(F412*6966)/2880</f>
        <v>0</v>
      </c>
      <c r="N412" s="40"/>
      <c r="O412" s="40"/>
      <c r="P412" s="40"/>
      <c r="Q412" s="14" t="s">
        <v>18</v>
      </c>
      <c r="R412" s="40"/>
      <c r="S412" s="40" t="s">
        <v>19</v>
      </c>
      <c r="T412" s="47"/>
      <c r="U412" s="40">
        <f t="shared" ref="U412:U417" si="99">E412/226*60</f>
        <v>0</v>
      </c>
      <c r="V412" s="176"/>
      <c r="W412" s="47"/>
      <c r="X412" s="40"/>
    </row>
    <row r="413" spans="1:24" s="20" customFormat="1" ht="19.5" thickBot="1" x14ac:dyDescent="0.35">
      <c r="A413" s="41"/>
      <c r="B413" s="41" t="s">
        <v>103</v>
      </c>
      <c r="C413" s="42"/>
      <c r="D413" s="43">
        <f t="shared" si="97"/>
        <v>0</v>
      </c>
      <c r="E413" s="45">
        <f t="shared" si="98"/>
        <v>0</v>
      </c>
      <c r="F413" s="50">
        <f t="shared" si="96"/>
        <v>0</v>
      </c>
      <c r="G413" s="42">
        <f t="shared" si="94"/>
        <v>0</v>
      </c>
      <c r="H413" s="14" t="s">
        <v>18</v>
      </c>
      <c r="I413" s="42">
        <f t="shared" si="95"/>
        <v>0</v>
      </c>
      <c r="J413" s="14" t="s">
        <v>19</v>
      </c>
      <c r="K413" s="40"/>
      <c r="L413" s="40"/>
      <c r="M413" s="52">
        <f>(F413*7000)/2880</f>
        <v>0</v>
      </c>
      <c r="N413" s="40"/>
      <c r="O413" s="40"/>
      <c r="P413" s="40"/>
      <c r="Q413" s="14" t="s">
        <v>18</v>
      </c>
      <c r="R413" s="40"/>
      <c r="S413" s="40" t="s">
        <v>19</v>
      </c>
      <c r="T413" s="47"/>
      <c r="U413" s="40">
        <f t="shared" si="99"/>
        <v>0</v>
      </c>
      <c r="V413" s="176"/>
      <c r="W413" s="47"/>
      <c r="X413" s="40"/>
    </row>
    <row r="414" spans="1:24" s="20" customFormat="1" ht="19.5" thickBot="1" x14ac:dyDescent="0.35">
      <c r="A414" s="41"/>
      <c r="B414" s="41" t="s">
        <v>104</v>
      </c>
      <c r="C414" s="42"/>
      <c r="D414" s="43">
        <f t="shared" si="97"/>
        <v>0</v>
      </c>
      <c r="E414" s="45">
        <f t="shared" si="98"/>
        <v>0</v>
      </c>
      <c r="F414" s="50">
        <f t="shared" si="96"/>
        <v>0</v>
      </c>
      <c r="G414" s="42">
        <f t="shared" si="94"/>
        <v>0</v>
      </c>
      <c r="H414" s="45" t="s">
        <v>18</v>
      </c>
      <c r="I414" s="42">
        <f t="shared" si="95"/>
        <v>0</v>
      </c>
      <c r="J414" s="40" t="s">
        <v>19</v>
      </c>
      <c r="K414" s="40"/>
      <c r="L414" s="40"/>
      <c r="M414" s="52">
        <f>(F414*6966)/2880</f>
        <v>0</v>
      </c>
      <c r="N414" s="40"/>
      <c r="O414" s="40"/>
      <c r="P414" s="40"/>
      <c r="Q414" s="14" t="s">
        <v>18</v>
      </c>
      <c r="R414" s="40"/>
      <c r="S414" s="40" t="s">
        <v>19</v>
      </c>
      <c r="T414" s="47"/>
      <c r="U414" s="40">
        <f t="shared" si="99"/>
        <v>0</v>
      </c>
      <c r="V414" s="176"/>
      <c r="W414" s="47"/>
      <c r="X414" s="40"/>
    </row>
    <row r="415" spans="1:24" s="20" customFormat="1" ht="19.5" thickBot="1" x14ac:dyDescent="0.35">
      <c r="A415" s="41"/>
      <c r="B415" s="41" t="s">
        <v>112</v>
      </c>
      <c r="C415" s="42"/>
      <c r="D415" s="43">
        <f t="shared" si="97"/>
        <v>0</v>
      </c>
      <c r="E415" s="45">
        <f t="shared" si="98"/>
        <v>0</v>
      </c>
      <c r="F415" s="50">
        <f t="shared" si="96"/>
        <v>0</v>
      </c>
      <c r="G415" s="42">
        <f t="shared" si="94"/>
        <v>0</v>
      </c>
      <c r="H415" s="45" t="s">
        <v>18</v>
      </c>
      <c r="I415" s="42">
        <f t="shared" si="95"/>
        <v>0</v>
      </c>
      <c r="J415" s="40" t="s">
        <v>19</v>
      </c>
      <c r="K415" s="40"/>
      <c r="L415" s="40"/>
      <c r="M415" s="52">
        <f>(F415*6966)/2880</f>
        <v>0</v>
      </c>
      <c r="N415" s="40"/>
      <c r="O415" s="40"/>
      <c r="P415" s="40"/>
      <c r="Q415" s="14" t="s">
        <v>18</v>
      </c>
      <c r="R415" s="40"/>
      <c r="S415" s="40" t="s">
        <v>19</v>
      </c>
      <c r="T415" s="47"/>
      <c r="U415" s="40">
        <f t="shared" si="99"/>
        <v>0</v>
      </c>
      <c r="V415" s="176"/>
      <c r="W415" s="47"/>
      <c r="X415" s="40"/>
    </row>
    <row r="416" spans="1:24" s="20" customFormat="1" ht="19.5" thickBot="1" x14ac:dyDescent="0.35">
      <c r="A416" s="41"/>
      <c r="B416" s="41" t="s">
        <v>105</v>
      </c>
      <c r="C416" s="42"/>
      <c r="D416" s="43">
        <f t="shared" si="97"/>
        <v>0</v>
      </c>
      <c r="E416" s="40">
        <f t="shared" si="98"/>
        <v>0</v>
      </c>
      <c r="F416" s="50">
        <f t="shared" si="96"/>
        <v>0</v>
      </c>
      <c r="G416" s="42">
        <f t="shared" si="94"/>
        <v>0</v>
      </c>
      <c r="H416" s="45" t="s">
        <v>18</v>
      </c>
      <c r="I416" s="42">
        <f t="shared" si="95"/>
        <v>0</v>
      </c>
      <c r="J416" s="40" t="s">
        <v>19</v>
      </c>
      <c r="K416" s="40"/>
      <c r="L416" s="40"/>
      <c r="M416" s="52">
        <f>(F416*6966)/2880</f>
        <v>0</v>
      </c>
      <c r="N416" s="40"/>
      <c r="O416" s="40"/>
      <c r="P416" s="40"/>
      <c r="Q416" s="14" t="s">
        <v>18</v>
      </c>
      <c r="R416" s="40"/>
      <c r="S416" s="40" t="s">
        <v>19</v>
      </c>
      <c r="T416" s="47"/>
      <c r="U416" s="40">
        <f t="shared" si="99"/>
        <v>0</v>
      </c>
      <c r="V416" s="176"/>
      <c r="W416" s="47"/>
      <c r="X416" s="40"/>
    </row>
    <row r="417" spans="1:24" s="20" customFormat="1" ht="19.5" thickBot="1" x14ac:dyDescent="0.35">
      <c r="A417" s="41"/>
      <c r="B417" s="41" t="s">
        <v>113</v>
      </c>
      <c r="C417" s="42"/>
      <c r="D417" s="43">
        <f t="shared" si="97"/>
        <v>0</v>
      </c>
      <c r="E417" s="40">
        <f t="shared" si="98"/>
        <v>0</v>
      </c>
      <c r="F417" s="50">
        <f t="shared" si="96"/>
        <v>0</v>
      </c>
      <c r="G417" s="42">
        <f t="shared" si="94"/>
        <v>0</v>
      </c>
      <c r="H417" s="45" t="s">
        <v>18</v>
      </c>
      <c r="I417" s="42">
        <f t="shared" si="95"/>
        <v>0</v>
      </c>
      <c r="J417" s="40" t="s">
        <v>19</v>
      </c>
      <c r="K417" s="40"/>
      <c r="L417" s="40"/>
      <c r="M417" s="52">
        <f>(F417*6966)/2880</f>
        <v>0</v>
      </c>
      <c r="N417" s="40"/>
      <c r="O417" s="40"/>
      <c r="P417" s="40"/>
      <c r="Q417" s="14" t="s">
        <v>18</v>
      </c>
      <c r="R417" s="40"/>
      <c r="S417" s="40" t="s">
        <v>19</v>
      </c>
      <c r="T417" s="47"/>
      <c r="U417" s="40">
        <f t="shared" si="99"/>
        <v>0</v>
      </c>
      <c r="V417" s="176"/>
      <c r="W417" s="47"/>
      <c r="X417" s="40"/>
    </row>
    <row r="418" spans="1:24" s="20" customFormat="1" ht="19.5" thickBot="1" x14ac:dyDescent="0.35">
      <c r="A418" s="41"/>
      <c r="B418" s="41" t="s">
        <v>373</v>
      </c>
      <c r="C418" s="42"/>
      <c r="D418" s="43">
        <f>C418*16</f>
        <v>0</v>
      </c>
      <c r="E418" s="40">
        <f>D418*0.34</f>
        <v>0</v>
      </c>
      <c r="F418" s="50">
        <f t="shared" si="96"/>
        <v>0</v>
      </c>
      <c r="G418" s="42">
        <f t="shared" si="94"/>
        <v>0</v>
      </c>
      <c r="H418" s="45" t="s">
        <v>18</v>
      </c>
      <c r="I418" s="42">
        <f t="shared" si="95"/>
        <v>0</v>
      </c>
      <c r="J418" s="40" t="s">
        <v>19</v>
      </c>
      <c r="K418" s="40"/>
      <c r="L418" s="40"/>
      <c r="M418" s="52">
        <f>(F418*5202)/2880</f>
        <v>0</v>
      </c>
      <c r="N418" s="40"/>
      <c r="O418" s="40"/>
      <c r="P418" s="40"/>
      <c r="Q418" s="14" t="s">
        <v>18</v>
      </c>
      <c r="R418" s="40"/>
      <c r="S418" s="40" t="s">
        <v>19</v>
      </c>
      <c r="T418" s="47"/>
      <c r="U418" s="40"/>
      <c r="V418" s="176"/>
      <c r="W418" s="47"/>
      <c r="X418" s="40"/>
    </row>
    <row r="419" spans="1:24" s="20" customFormat="1" ht="19.5" thickBot="1" x14ac:dyDescent="0.35">
      <c r="A419" s="41"/>
      <c r="B419" s="41" t="s">
        <v>372</v>
      </c>
      <c r="C419" s="42"/>
      <c r="D419" s="43">
        <f>C419*16</f>
        <v>0</v>
      </c>
      <c r="E419" s="40">
        <f>D419*0.34</f>
        <v>0</v>
      </c>
      <c r="F419" s="50">
        <f t="shared" si="96"/>
        <v>0</v>
      </c>
      <c r="G419" s="42">
        <f t="shared" si="94"/>
        <v>0</v>
      </c>
      <c r="H419" s="45" t="s">
        <v>18</v>
      </c>
      <c r="I419" s="42">
        <f t="shared" si="95"/>
        <v>0</v>
      </c>
      <c r="J419" s="40" t="s">
        <v>19</v>
      </c>
      <c r="K419" s="40"/>
      <c r="L419" s="40"/>
      <c r="M419" s="52">
        <f>(F419*5202)/2880</f>
        <v>0</v>
      </c>
      <c r="N419" s="40"/>
      <c r="O419" s="40"/>
      <c r="P419" s="40"/>
      <c r="Q419" s="14" t="s">
        <v>18</v>
      </c>
      <c r="R419" s="40"/>
      <c r="S419" s="40" t="s">
        <v>19</v>
      </c>
      <c r="T419" s="47"/>
      <c r="U419" s="40"/>
      <c r="V419" s="176"/>
      <c r="W419" s="47"/>
      <c r="X419" s="40"/>
    </row>
    <row r="420" spans="1:24" s="20" customFormat="1" ht="19.5" thickBot="1" x14ac:dyDescent="0.35">
      <c r="A420" s="41"/>
      <c r="B420" s="41" t="s">
        <v>101</v>
      </c>
      <c r="C420" s="42"/>
      <c r="D420" s="55">
        <f>C420*26</f>
        <v>0</v>
      </c>
      <c r="E420" s="56">
        <f>D420*0.13</f>
        <v>0</v>
      </c>
      <c r="F420" s="50">
        <f t="shared" si="96"/>
        <v>0</v>
      </c>
      <c r="G420" s="42">
        <f t="shared" si="94"/>
        <v>0</v>
      </c>
      <c r="H420" s="45" t="s">
        <v>18</v>
      </c>
      <c r="I420" s="42">
        <f t="shared" si="95"/>
        <v>0</v>
      </c>
      <c r="J420" s="40" t="s">
        <v>19</v>
      </c>
      <c r="K420" s="40"/>
      <c r="L420" s="40"/>
      <c r="M420" s="52">
        <f>(F420*6681)/2880</f>
        <v>0</v>
      </c>
      <c r="N420" s="40"/>
      <c r="O420" s="40"/>
      <c r="P420" s="40"/>
      <c r="Q420" s="45" t="s">
        <v>18</v>
      </c>
      <c r="R420" s="40"/>
      <c r="S420" s="40" t="s">
        <v>19</v>
      </c>
      <c r="T420" s="47"/>
      <c r="U420" s="40">
        <f>E420/237*60</f>
        <v>0</v>
      </c>
      <c r="V420" s="176"/>
      <c r="W420" s="47"/>
      <c r="X420" s="40"/>
    </row>
    <row r="421" spans="1:24" s="128" customFormat="1" ht="19.5" thickBot="1" x14ac:dyDescent="0.35">
      <c r="A421" s="129"/>
      <c r="B421" s="130" t="s">
        <v>288</v>
      </c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</row>
    <row r="422" spans="1:24" s="20" customFormat="1" ht="38.25" thickBot="1" x14ac:dyDescent="0.35">
      <c r="A422" s="41"/>
      <c r="B422" s="157" t="s">
        <v>349</v>
      </c>
      <c r="C422" s="42"/>
      <c r="D422" s="43">
        <f>C422*18</f>
        <v>0</v>
      </c>
      <c r="E422" s="40">
        <f>D422*0.2</f>
        <v>0</v>
      </c>
      <c r="F422" s="50">
        <f>E422*1.03*0.8/108</f>
        <v>0</v>
      </c>
      <c r="G422" s="42">
        <f>INT(M422)</f>
        <v>0</v>
      </c>
      <c r="H422" s="45" t="s">
        <v>18</v>
      </c>
      <c r="I422" s="42">
        <f>(M422-G422)*64</f>
        <v>0</v>
      </c>
      <c r="J422" s="40" t="s">
        <v>19</v>
      </c>
      <c r="K422" s="40"/>
      <c r="L422" s="40"/>
      <c r="M422" s="46">
        <f>F422*3949/3456</f>
        <v>0</v>
      </c>
      <c r="N422" s="40"/>
      <c r="O422" s="40"/>
      <c r="P422" s="40"/>
      <c r="Q422" s="45" t="s">
        <v>18</v>
      </c>
      <c r="R422" s="40"/>
      <c r="S422" s="40" t="s">
        <v>19</v>
      </c>
      <c r="T422" s="47"/>
      <c r="U422" s="40">
        <f>E422/220*60</f>
        <v>0</v>
      </c>
      <c r="V422" s="176"/>
      <c r="W422" s="47"/>
      <c r="X422" s="40"/>
    </row>
    <row r="423" spans="1:24" s="20" customFormat="1" ht="19.5" thickBot="1" x14ac:dyDescent="0.35">
      <c r="A423" s="41"/>
      <c r="B423" s="41" t="s">
        <v>242</v>
      </c>
      <c r="C423" s="42"/>
      <c r="D423" s="43"/>
      <c r="E423" s="63">
        <f>C423*2.4</f>
        <v>0</v>
      </c>
      <c r="F423" s="50">
        <f t="shared" ref="F423:F428" si="100">E423*1.03*0.99/147</f>
        <v>0</v>
      </c>
      <c r="G423" s="42">
        <f t="shared" ref="G423:G428" si="101">INT(M423)</f>
        <v>0</v>
      </c>
      <c r="H423" s="14" t="s">
        <v>18</v>
      </c>
      <c r="I423" s="42">
        <f t="shared" ref="I423:I428" si="102">(M423-G423)*64</f>
        <v>0</v>
      </c>
      <c r="J423" s="14" t="s">
        <v>19</v>
      </c>
      <c r="K423" s="40"/>
      <c r="L423" s="40"/>
      <c r="M423" s="46">
        <f t="shared" ref="M423:M428" si="103">F423*4983/2880</f>
        <v>0</v>
      </c>
      <c r="N423" s="40"/>
      <c r="O423" s="40"/>
      <c r="P423" s="40"/>
      <c r="Q423" s="14" t="s">
        <v>18</v>
      </c>
      <c r="R423" s="40"/>
      <c r="S423" s="40" t="s">
        <v>19</v>
      </c>
      <c r="T423" s="47"/>
      <c r="U423" s="40">
        <f>E423/420*60</f>
        <v>0</v>
      </c>
      <c r="V423" s="176"/>
      <c r="W423" s="47"/>
      <c r="X423" s="40"/>
    </row>
    <row r="424" spans="1:24" s="20" customFormat="1" ht="19.5" thickBot="1" x14ac:dyDescent="0.35">
      <c r="A424" s="41"/>
      <c r="B424" s="41" t="s">
        <v>243</v>
      </c>
      <c r="C424" s="42"/>
      <c r="D424" s="43"/>
      <c r="E424" s="63">
        <f>C424*2.4</f>
        <v>0</v>
      </c>
      <c r="F424" s="50">
        <f t="shared" si="100"/>
        <v>0</v>
      </c>
      <c r="G424" s="42">
        <f t="shared" si="101"/>
        <v>0</v>
      </c>
      <c r="H424" s="14" t="s">
        <v>18</v>
      </c>
      <c r="I424" s="42">
        <f t="shared" si="102"/>
        <v>0</v>
      </c>
      <c r="J424" s="14" t="s">
        <v>19</v>
      </c>
      <c r="K424" s="40"/>
      <c r="L424" s="40"/>
      <c r="M424" s="46">
        <f t="shared" si="103"/>
        <v>0</v>
      </c>
      <c r="N424" s="40"/>
      <c r="O424" s="40"/>
      <c r="P424" s="40"/>
      <c r="Q424" s="14" t="s">
        <v>18</v>
      </c>
      <c r="R424" s="40"/>
      <c r="S424" s="40" t="s">
        <v>19</v>
      </c>
      <c r="T424" s="47"/>
      <c r="U424" s="40">
        <f>E424/420*60</f>
        <v>0</v>
      </c>
      <c r="V424" s="176"/>
      <c r="W424" s="47"/>
      <c r="X424" s="40"/>
    </row>
    <row r="425" spans="1:24" s="54" customFormat="1" ht="19.5" thickBot="1" x14ac:dyDescent="0.35">
      <c r="A425" s="41"/>
      <c r="B425" s="41" t="s">
        <v>118</v>
      </c>
      <c r="C425" s="42"/>
      <c r="D425" s="43"/>
      <c r="E425" s="45">
        <f>C425*3.2</f>
        <v>0</v>
      </c>
      <c r="F425" s="50">
        <f t="shared" si="100"/>
        <v>0</v>
      </c>
      <c r="G425" s="42">
        <f t="shared" si="101"/>
        <v>0</v>
      </c>
      <c r="H425" s="14" t="s">
        <v>18</v>
      </c>
      <c r="I425" s="42">
        <f t="shared" si="102"/>
        <v>0</v>
      </c>
      <c r="J425" s="14" t="s">
        <v>19</v>
      </c>
      <c r="K425" s="40"/>
      <c r="L425" s="40"/>
      <c r="M425" s="46">
        <f t="shared" si="103"/>
        <v>0</v>
      </c>
      <c r="N425" s="40"/>
      <c r="O425" s="40"/>
      <c r="P425" s="40"/>
      <c r="Q425" s="14" t="s">
        <v>18</v>
      </c>
      <c r="R425" s="40"/>
      <c r="S425" s="40" t="s">
        <v>19</v>
      </c>
      <c r="T425" s="47"/>
      <c r="U425" s="40">
        <f>E425/259*60</f>
        <v>0</v>
      </c>
      <c r="V425" s="176"/>
      <c r="W425" s="47"/>
      <c r="X425" s="40"/>
    </row>
    <row r="426" spans="1:24" s="54" customFormat="1" ht="19.5" thickBot="1" x14ac:dyDescent="0.35">
      <c r="A426" s="41"/>
      <c r="B426" s="41" t="s">
        <v>236</v>
      </c>
      <c r="C426" s="42"/>
      <c r="D426" s="43"/>
      <c r="E426" s="45">
        <f>C426*3.2</f>
        <v>0</v>
      </c>
      <c r="F426" s="50">
        <f t="shared" si="100"/>
        <v>0</v>
      </c>
      <c r="G426" s="42">
        <f t="shared" si="101"/>
        <v>0</v>
      </c>
      <c r="H426" s="14" t="s">
        <v>18</v>
      </c>
      <c r="I426" s="42">
        <f t="shared" si="102"/>
        <v>0</v>
      </c>
      <c r="J426" s="14" t="s">
        <v>19</v>
      </c>
      <c r="K426" s="40"/>
      <c r="L426" s="40"/>
      <c r="M426" s="46">
        <f t="shared" si="103"/>
        <v>0</v>
      </c>
      <c r="N426" s="40"/>
      <c r="O426" s="40"/>
      <c r="P426" s="40"/>
      <c r="Q426" s="14" t="s">
        <v>18</v>
      </c>
      <c r="R426" s="40"/>
      <c r="S426" s="40" t="s">
        <v>19</v>
      </c>
      <c r="T426" s="47"/>
      <c r="U426" s="40">
        <f>E426/259*60</f>
        <v>0</v>
      </c>
      <c r="V426" s="176"/>
      <c r="W426" s="47"/>
      <c r="X426" s="40"/>
    </row>
    <row r="427" spans="1:24" s="20" customFormat="1" ht="19.5" thickBot="1" x14ac:dyDescent="0.35">
      <c r="A427" s="41"/>
      <c r="B427" s="41" t="s">
        <v>241</v>
      </c>
      <c r="C427" s="42"/>
      <c r="D427" s="43"/>
      <c r="E427" s="45">
        <f>C427*4</f>
        <v>0</v>
      </c>
      <c r="F427" s="50">
        <f t="shared" si="100"/>
        <v>0</v>
      </c>
      <c r="G427" s="42">
        <f t="shared" si="101"/>
        <v>0</v>
      </c>
      <c r="H427" s="14" t="s">
        <v>18</v>
      </c>
      <c r="I427" s="42">
        <f t="shared" si="102"/>
        <v>0</v>
      </c>
      <c r="J427" s="14" t="s">
        <v>19</v>
      </c>
      <c r="K427" s="40"/>
      <c r="L427" s="40"/>
      <c r="M427" s="46">
        <f t="shared" si="103"/>
        <v>0</v>
      </c>
      <c r="N427" s="40"/>
      <c r="O427" s="40"/>
      <c r="P427" s="40"/>
      <c r="Q427" s="14" t="s">
        <v>18</v>
      </c>
      <c r="R427" s="40"/>
      <c r="S427" s="40" t="s">
        <v>19</v>
      </c>
      <c r="T427" s="47"/>
      <c r="U427" s="40">
        <f>E427/259*60</f>
        <v>0</v>
      </c>
      <c r="V427" s="176"/>
      <c r="W427" s="47"/>
      <c r="X427" s="40"/>
    </row>
    <row r="428" spans="1:24" s="20" customFormat="1" ht="19.5" thickBot="1" x14ac:dyDescent="0.35">
      <c r="A428" s="41"/>
      <c r="B428" s="41" t="s">
        <v>240</v>
      </c>
      <c r="C428" s="42"/>
      <c r="D428" s="43"/>
      <c r="E428" s="45">
        <f>C428*4</f>
        <v>0</v>
      </c>
      <c r="F428" s="50">
        <f t="shared" si="100"/>
        <v>0</v>
      </c>
      <c r="G428" s="42">
        <f t="shared" si="101"/>
        <v>0</v>
      </c>
      <c r="H428" s="14" t="s">
        <v>18</v>
      </c>
      <c r="I428" s="42">
        <f t="shared" si="102"/>
        <v>0</v>
      </c>
      <c r="J428" s="14" t="s">
        <v>19</v>
      </c>
      <c r="K428" s="40"/>
      <c r="L428" s="40"/>
      <c r="M428" s="46">
        <f t="shared" si="103"/>
        <v>0</v>
      </c>
      <c r="N428" s="40"/>
      <c r="O428" s="40"/>
      <c r="P428" s="40"/>
      <c r="Q428" s="14" t="s">
        <v>18</v>
      </c>
      <c r="R428" s="40"/>
      <c r="S428" s="40" t="s">
        <v>19</v>
      </c>
      <c r="T428" s="47"/>
      <c r="U428" s="40">
        <f>E428/259*60</f>
        <v>0</v>
      </c>
      <c r="V428" s="176"/>
      <c r="W428" s="47"/>
      <c r="X428" s="40"/>
    </row>
    <row r="429" spans="1:24" s="120" customFormat="1" ht="38.25" thickBot="1" x14ac:dyDescent="0.35">
      <c r="A429" s="146"/>
      <c r="B429" s="146" t="s">
        <v>335</v>
      </c>
      <c r="C429" s="147"/>
      <c r="D429" s="148"/>
      <c r="E429" s="151">
        <f>C429*4</f>
        <v>0</v>
      </c>
      <c r="F429" s="156">
        <f>E429*1.2*1/147</f>
        <v>0</v>
      </c>
      <c r="G429" s="147">
        <f>INT(M429)</f>
        <v>0</v>
      </c>
      <c r="H429" s="151" t="s">
        <v>18</v>
      </c>
      <c r="I429" s="147">
        <f>(M429-G429)*64</f>
        <v>0</v>
      </c>
      <c r="J429" s="149" t="s">
        <v>19</v>
      </c>
      <c r="K429" s="149"/>
      <c r="L429" s="149"/>
      <c r="M429" s="152">
        <f>F429*5719/2880</f>
        <v>0</v>
      </c>
      <c r="N429" s="149"/>
      <c r="O429" s="149"/>
      <c r="P429" s="149"/>
      <c r="Q429" s="294" t="s">
        <v>18</v>
      </c>
      <c r="R429" s="149"/>
      <c r="S429" s="149" t="s">
        <v>19</v>
      </c>
      <c r="T429" s="153"/>
      <c r="U429" s="149">
        <f>E429/237*60</f>
        <v>0</v>
      </c>
      <c r="V429" s="176"/>
      <c r="W429" s="153"/>
      <c r="X429" s="149"/>
    </row>
    <row r="430" spans="1:24" s="120" customFormat="1" ht="38.25" thickBot="1" x14ac:dyDescent="0.35">
      <c r="A430" s="146"/>
      <c r="B430" s="146" t="s">
        <v>336</v>
      </c>
      <c r="C430" s="147"/>
      <c r="D430" s="148">
        <f>C430*150</f>
        <v>0</v>
      </c>
      <c r="E430" s="149">
        <f>D430*0.02</f>
        <v>0</v>
      </c>
      <c r="F430" s="156">
        <f>E430*1.2*1/147</f>
        <v>0</v>
      </c>
      <c r="G430" s="147">
        <f>INT(M430)</f>
        <v>0</v>
      </c>
      <c r="H430" s="151" t="s">
        <v>18</v>
      </c>
      <c r="I430" s="147">
        <f>(M430-G430)*64</f>
        <v>0</v>
      </c>
      <c r="J430" s="149" t="s">
        <v>19</v>
      </c>
      <c r="K430" s="149"/>
      <c r="L430" s="149"/>
      <c r="M430" s="152">
        <f>F430*5719/2880</f>
        <v>0</v>
      </c>
      <c r="N430" s="149"/>
      <c r="O430" s="149"/>
      <c r="P430" s="149"/>
      <c r="Q430" s="294" t="s">
        <v>18</v>
      </c>
      <c r="R430" s="149"/>
      <c r="S430" s="149" t="s">
        <v>19</v>
      </c>
      <c r="T430" s="153"/>
      <c r="U430" s="149">
        <f>E430/237*60</f>
        <v>0</v>
      </c>
      <c r="V430" s="176"/>
      <c r="W430" s="153"/>
      <c r="X430" s="149"/>
    </row>
    <row r="431" spans="1:24" s="120" customFormat="1" ht="19.5" thickBot="1" x14ac:dyDescent="0.35">
      <c r="A431" s="146"/>
      <c r="B431" s="146" t="s">
        <v>344</v>
      </c>
      <c r="C431" s="147"/>
      <c r="D431" s="148"/>
      <c r="E431" s="151">
        <f>C431*4</f>
        <v>0</v>
      </c>
      <c r="F431" s="156">
        <f>E431*1.2*0.9/147</f>
        <v>0</v>
      </c>
      <c r="G431" s="147">
        <f>INT(M431)</f>
        <v>0</v>
      </c>
      <c r="H431" s="151" t="s">
        <v>18</v>
      </c>
      <c r="I431" s="147">
        <f>(M431-G431)*64</f>
        <v>0</v>
      </c>
      <c r="J431" s="149" t="s">
        <v>19</v>
      </c>
      <c r="K431" s="149"/>
      <c r="L431" s="149"/>
      <c r="M431" s="152">
        <f>(F431*6049/3456)</f>
        <v>0</v>
      </c>
      <c r="N431" s="149"/>
      <c r="O431" s="149"/>
      <c r="P431" s="149"/>
      <c r="Q431" s="294" t="s">
        <v>18</v>
      </c>
      <c r="R431" s="149"/>
      <c r="S431" s="149" t="s">
        <v>19</v>
      </c>
      <c r="T431" s="153"/>
      <c r="U431" s="149">
        <f>E431/324*60</f>
        <v>0</v>
      </c>
      <c r="V431" s="176"/>
      <c r="W431" s="153"/>
      <c r="X431" s="149"/>
    </row>
    <row r="432" spans="1:24" s="120" customFormat="1" ht="38.25" thickBot="1" x14ac:dyDescent="0.35">
      <c r="A432" s="146"/>
      <c r="B432" s="146" t="s">
        <v>340</v>
      </c>
      <c r="C432" s="147"/>
      <c r="D432" s="148"/>
      <c r="E432" s="151">
        <f>C432*4</f>
        <v>0</v>
      </c>
      <c r="F432" s="156">
        <f>E432*1.2*0.9/147</f>
        <v>0</v>
      </c>
      <c r="G432" s="147">
        <f>INT(M432)</f>
        <v>0</v>
      </c>
      <c r="H432" s="151" t="s">
        <v>18</v>
      </c>
      <c r="I432" s="147">
        <f>(M432-G432)*64</f>
        <v>0</v>
      </c>
      <c r="J432" s="149" t="s">
        <v>19</v>
      </c>
      <c r="K432" s="149"/>
      <c r="L432" s="149"/>
      <c r="M432" s="152">
        <f>(F432*6049/3456)</f>
        <v>0</v>
      </c>
      <c r="N432" s="149"/>
      <c r="O432" s="149"/>
      <c r="P432" s="149"/>
      <c r="Q432" s="294" t="s">
        <v>18</v>
      </c>
      <c r="R432" s="149"/>
      <c r="S432" s="149" t="s">
        <v>19</v>
      </c>
      <c r="T432" s="153"/>
      <c r="U432" s="149">
        <f>E432/324*60</f>
        <v>0</v>
      </c>
      <c r="V432" s="176"/>
      <c r="W432" s="153"/>
      <c r="X432" s="149"/>
    </row>
    <row r="433" spans="1:26" s="120" customFormat="1" ht="19.5" thickBot="1" x14ac:dyDescent="0.35">
      <c r="A433" s="146"/>
      <c r="B433" s="146" t="s">
        <v>345</v>
      </c>
      <c r="C433" s="147"/>
      <c r="D433" s="148">
        <f>C433*150</f>
        <v>0</v>
      </c>
      <c r="E433" s="149">
        <f>D433*0.02</f>
        <v>0</v>
      </c>
      <c r="F433" s="156">
        <f>E433*1.2*0.9/147</f>
        <v>0</v>
      </c>
      <c r="G433" s="147">
        <f>INT(M433)</f>
        <v>0</v>
      </c>
      <c r="H433" s="151" t="s">
        <v>18</v>
      </c>
      <c r="I433" s="147">
        <f>(M433-G433)*64</f>
        <v>0</v>
      </c>
      <c r="J433" s="149" t="s">
        <v>19</v>
      </c>
      <c r="K433" s="149"/>
      <c r="L433" s="149"/>
      <c r="M433" s="152">
        <f>(F433*6049/3456)</f>
        <v>0</v>
      </c>
      <c r="N433" s="149"/>
      <c r="O433" s="149"/>
      <c r="P433" s="149"/>
      <c r="Q433" s="294" t="s">
        <v>18</v>
      </c>
      <c r="R433" s="149"/>
      <c r="S433" s="149" t="s">
        <v>19</v>
      </c>
      <c r="T433" s="153"/>
      <c r="U433" s="149">
        <f>E433/324*60</f>
        <v>0</v>
      </c>
      <c r="V433" s="176"/>
      <c r="W433" s="153"/>
      <c r="X433" s="149"/>
    </row>
    <row r="434" spans="1:26" s="20" customFormat="1" ht="19.5" thickBot="1" x14ac:dyDescent="0.35">
      <c r="A434" s="41"/>
      <c r="B434" s="41" t="s">
        <v>100</v>
      </c>
      <c r="C434" s="42"/>
      <c r="D434" s="43"/>
      <c r="E434" s="45">
        <f>C434*4</f>
        <v>0</v>
      </c>
      <c r="F434" s="50">
        <f>E434*1.2*1/147</f>
        <v>0</v>
      </c>
      <c r="G434" s="42">
        <f t="shared" ref="G434:G441" si="104">INT(M434)</f>
        <v>0</v>
      </c>
      <c r="H434" s="45" t="s">
        <v>18</v>
      </c>
      <c r="I434" s="42">
        <f t="shared" ref="I434:I441" si="105">(M434-G434)*64</f>
        <v>0</v>
      </c>
      <c r="J434" s="40" t="s">
        <v>19</v>
      </c>
      <c r="K434" s="40"/>
      <c r="L434" s="40"/>
      <c r="M434" s="46">
        <f>F434*5719/2880</f>
        <v>0</v>
      </c>
      <c r="N434" s="40"/>
      <c r="O434" s="40"/>
      <c r="P434" s="40"/>
      <c r="Q434" s="14" t="s">
        <v>18</v>
      </c>
      <c r="R434" s="40"/>
      <c r="S434" s="40" t="s">
        <v>19</v>
      </c>
      <c r="T434" s="47"/>
      <c r="U434" s="40">
        <f>E434/237*60</f>
        <v>0</v>
      </c>
      <c r="V434" s="176"/>
      <c r="W434" s="47"/>
      <c r="X434" s="40"/>
    </row>
    <row r="435" spans="1:26" s="20" customFormat="1" ht="19.5" thickBot="1" x14ac:dyDescent="0.35">
      <c r="A435" s="41"/>
      <c r="B435" s="41" t="s">
        <v>343</v>
      </c>
      <c r="C435" s="42"/>
      <c r="D435" s="43"/>
      <c r="E435" s="63">
        <f>C435*2.4</f>
        <v>0</v>
      </c>
      <c r="F435" s="50">
        <f>E435*1.03*0.99/147</f>
        <v>0</v>
      </c>
      <c r="G435" s="42">
        <f t="shared" si="104"/>
        <v>0</v>
      </c>
      <c r="H435" s="14" t="s">
        <v>18</v>
      </c>
      <c r="I435" s="42">
        <f t="shared" si="105"/>
        <v>0</v>
      </c>
      <c r="J435" s="14" t="s">
        <v>19</v>
      </c>
      <c r="K435" s="40"/>
      <c r="L435" s="40"/>
      <c r="M435" s="46">
        <f>F435*4983/2880</f>
        <v>0</v>
      </c>
      <c r="N435" s="40"/>
      <c r="O435" s="40"/>
      <c r="P435" s="40"/>
      <c r="Q435" s="14" t="s">
        <v>18</v>
      </c>
      <c r="R435" s="40"/>
      <c r="S435" s="40" t="s">
        <v>19</v>
      </c>
      <c r="T435" s="47"/>
      <c r="U435" s="40">
        <f>E435/420*60</f>
        <v>0</v>
      </c>
      <c r="V435" s="176"/>
      <c r="W435" s="47"/>
      <c r="X435" s="40"/>
    </row>
    <row r="436" spans="1:26" s="54" customFormat="1" ht="38.25" thickBot="1" x14ac:dyDescent="0.35">
      <c r="A436" s="41"/>
      <c r="B436" s="41" t="s">
        <v>341</v>
      </c>
      <c r="C436" s="42"/>
      <c r="D436" s="43"/>
      <c r="E436" s="45">
        <f>C436*3.2</f>
        <v>0</v>
      </c>
      <c r="F436" s="50">
        <f>E436*1.03*0.99/147</f>
        <v>0</v>
      </c>
      <c r="G436" s="42">
        <f t="shared" si="104"/>
        <v>0</v>
      </c>
      <c r="H436" s="14" t="s">
        <v>18</v>
      </c>
      <c r="I436" s="42">
        <f t="shared" si="105"/>
        <v>0</v>
      </c>
      <c r="J436" s="14" t="s">
        <v>19</v>
      </c>
      <c r="K436" s="40"/>
      <c r="L436" s="40"/>
      <c r="M436" s="46">
        <f>F436*4983/2880</f>
        <v>0</v>
      </c>
      <c r="N436" s="40"/>
      <c r="O436" s="40"/>
      <c r="P436" s="40"/>
      <c r="Q436" s="14" t="s">
        <v>18</v>
      </c>
      <c r="R436" s="40"/>
      <c r="S436" s="40" t="s">
        <v>19</v>
      </c>
      <c r="T436" s="47"/>
      <c r="U436" s="40">
        <f>E436/259*60</f>
        <v>0</v>
      </c>
      <c r="V436" s="176"/>
      <c r="W436" s="47"/>
      <c r="X436" s="40"/>
    </row>
    <row r="437" spans="1:26" s="54" customFormat="1" ht="38.25" thickBot="1" x14ac:dyDescent="0.35">
      <c r="A437" s="41"/>
      <c r="B437" s="41" t="s">
        <v>342</v>
      </c>
      <c r="C437" s="42"/>
      <c r="D437" s="43"/>
      <c r="E437" s="45">
        <f>C437*3.2</f>
        <v>0</v>
      </c>
      <c r="F437" s="50">
        <f>E437*1.03*0.99/147</f>
        <v>0</v>
      </c>
      <c r="G437" s="42">
        <f t="shared" si="104"/>
        <v>0</v>
      </c>
      <c r="H437" s="14" t="s">
        <v>18</v>
      </c>
      <c r="I437" s="42">
        <f t="shared" si="105"/>
        <v>0</v>
      </c>
      <c r="J437" s="14" t="s">
        <v>19</v>
      </c>
      <c r="K437" s="40"/>
      <c r="L437" s="40"/>
      <c r="M437" s="46">
        <f>F437*4983/2880</f>
        <v>0</v>
      </c>
      <c r="N437" s="40"/>
      <c r="O437" s="40"/>
      <c r="P437" s="40"/>
      <c r="Q437" s="14" t="s">
        <v>18</v>
      </c>
      <c r="R437" s="40"/>
      <c r="S437" s="40" t="s">
        <v>19</v>
      </c>
      <c r="T437" s="47"/>
      <c r="U437" s="40">
        <f>E437/259*60</f>
        <v>0</v>
      </c>
      <c r="V437" s="176"/>
      <c r="W437" s="47"/>
      <c r="X437" s="40"/>
    </row>
    <row r="438" spans="1:26" s="20" customFormat="1" ht="19.5" thickBot="1" x14ac:dyDescent="0.35">
      <c r="A438" s="41"/>
      <c r="B438" s="41" t="s">
        <v>337</v>
      </c>
      <c r="C438" s="42"/>
      <c r="D438" s="43"/>
      <c r="E438" s="45">
        <f>C438*4</f>
        <v>0</v>
      </c>
      <c r="F438" s="50">
        <f>E438*1.03*0.99/147</f>
        <v>0</v>
      </c>
      <c r="G438" s="42">
        <f t="shared" si="104"/>
        <v>0</v>
      </c>
      <c r="H438" s="14" t="s">
        <v>18</v>
      </c>
      <c r="I438" s="42">
        <f t="shared" si="105"/>
        <v>0</v>
      </c>
      <c r="J438" s="14" t="s">
        <v>19</v>
      </c>
      <c r="K438" s="40"/>
      <c r="L438" s="40"/>
      <c r="M438" s="46">
        <f>F438*4983/2880</f>
        <v>0</v>
      </c>
      <c r="N438" s="40"/>
      <c r="O438" s="40"/>
      <c r="P438" s="40"/>
      <c r="Q438" s="14" t="s">
        <v>18</v>
      </c>
      <c r="R438" s="40"/>
      <c r="S438" s="40" t="s">
        <v>19</v>
      </c>
      <c r="T438" s="47"/>
      <c r="U438" s="40">
        <f>E438/259*60</f>
        <v>0</v>
      </c>
      <c r="V438" s="176"/>
      <c r="W438" s="47"/>
      <c r="X438" s="40"/>
    </row>
    <row r="439" spans="1:26" s="20" customFormat="1" ht="19.5" thickBot="1" x14ac:dyDescent="0.35">
      <c r="A439" s="41"/>
      <c r="B439" s="41" t="s">
        <v>338</v>
      </c>
      <c r="C439" s="42"/>
      <c r="D439" s="43"/>
      <c r="E439" s="45">
        <f>C439*4</f>
        <v>0</v>
      </c>
      <c r="F439" s="50">
        <f>E439*1.03*0.99/147</f>
        <v>0</v>
      </c>
      <c r="G439" s="42">
        <f t="shared" si="104"/>
        <v>0</v>
      </c>
      <c r="H439" s="14" t="s">
        <v>18</v>
      </c>
      <c r="I439" s="42">
        <f t="shared" si="105"/>
        <v>0</v>
      </c>
      <c r="J439" s="14" t="s">
        <v>19</v>
      </c>
      <c r="K439" s="40"/>
      <c r="L439" s="40"/>
      <c r="M439" s="46">
        <f>F439*4983/2880</f>
        <v>0</v>
      </c>
      <c r="N439" s="40"/>
      <c r="O439" s="40"/>
      <c r="P439" s="40"/>
      <c r="Q439" s="14" t="s">
        <v>18</v>
      </c>
      <c r="R439" s="40"/>
      <c r="S439" s="40" t="s">
        <v>19</v>
      </c>
      <c r="T439" s="47"/>
      <c r="U439" s="40">
        <f>E439/259*60</f>
        <v>0</v>
      </c>
      <c r="V439" s="176"/>
      <c r="W439" s="47"/>
      <c r="X439" s="40"/>
    </row>
    <row r="440" spans="1:26" s="20" customFormat="1" ht="38.25" thickBot="1" x14ac:dyDescent="0.35">
      <c r="A440" s="41"/>
      <c r="B440" s="41" t="s">
        <v>339</v>
      </c>
      <c r="C440" s="42"/>
      <c r="D440" s="43"/>
      <c r="E440" s="45">
        <f>C440*4</f>
        <v>0</v>
      </c>
      <c r="F440" s="50">
        <f>E440*1.2*0.9/147</f>
        <v>0</v>
      </c>
      <c r="G440" s="42">
        <f t="shared" si="104"/>
        <v>0</v>
      </c>
      <c r="H440" s="45" t="s">
        <v>18</v>
      </c>
      <c r="I440" s="42">
        <f t="shared" si="105"/>
        <v>0</v>
      </c>
      <c r="J440" s="40" t="s">
        <v>19</v>
      </c>
      <c r="K440" s="40"/>
      <c r="L440" s="40"/>
      <c r="M440" s="46">
        <f>(F440*6049/3456)</f>
        <v>0</v>
      </c>
      <c r="N440" s="40"/>
      <c r="O440" s="40"/>
      <c r="P440" s="40"/>
      <c r="Q440" s="14" t="s">
        <v>18</v>
      </c>
      <c r="R440" s="40"/>
      <c r="S440" s="40" t="s">
        <v>19</v>
      </c>
      <c r="T440" s="47"/>
      <c r="U440" s="40">
        <f>E440/324*60</f>
        <v>0</v>
      </c>
      <c r="V440" s="176"/>
      <c r="W440" s="47"/>
      <c r="X440" s="40"/>
    </row>
    <row r="441" spans="1:26" s="20" customFormat="1" ht="19.5" thickBot="1" x14ac:dyDescent="0.35">
      <c r="A441" s="41"/>
      <c r="B441" s="41" t="s">
        <v>90</v>
      </c>
      <c r="C441" s="42"/>
      <c r="D441" s="43"/>
      <c r="E441" s="45">
        <f>C441*3</f>
        <v>0</v>
      </c>
      <c r="F441" s="50">
        <f>E441*1.2*0.9/147</f>
        <v>0</v>
      </c>
      <c r="G441" s="42">
        <f t="shared" si="104"/>
        <v>0</v>
      </c>
      <c r="H441" s="45" t="s">
        <v>18</v>
      </c>
      <c r="I441" s="42">
        <f t="shared" si="105"/>
        <v>0</v>
      </c>
      <c r="J441" s="40" t="s">
        <v>19</v>
      </c>
      <c r="K441" s="40"/>
      <c r="L441" s="40"/>
      <c r="M441" s="46">
        <f>(F441*6049/3456)</f>
        <v>0</v>
      </c>
      <c r="N441" s="40"/>
      <c r="O441" s="40"/>
      <c r="P441" s="40"/>
      <c r="Q441" s="14" t="s">
        <v>18</v>
      </c>
      <c r="R441" s="40"/>
      <c r="S441" s="40" t="s">
        <v>19</v>
      </c>
      <c r="T441" s="47"/>
      <c r="U441" s="40">
        <f>E441/324*60</f>
        <v>0</v>
      </c>
      <c r="V441" s="176"/>
      <c r="W441" s="47"/>
      <c r="X441" s="40"/>
    </row>
    <row r="442" spans="1:26" s="128" customFormat="1" ht="19.5" thickBot="1" x14ac:dyDescent="0.35">
      <c r="A442" s="117"/>
      <c r="B442" s="917" t="s">
        <v>289</v>
      </c>
      <c r="C442" s="917"/>
      <c r="D442" s="917"/>
      <c r="E442" s="917"/>
      <c r="F442" s="917"/>
      <c r="G442" s="917"/>
      <c r="H442" s="917"/>
      <c r="I442" s="917"/>
      <c r="J442" s="917"/>
      <c r="K442" s="917"/>
      <c r="L442" s="917"/>
      <c r="M442" s="917"/>
      <c r="N442" s="917"/>
      <c r="O442" s="917"/>
      <c r="P442" s="917"/>
      <c r="Q442" s="917"/>
      <c r="R442" s="917"/>
      <c r="S442" s="917"/>
      <c r="T442" s="917"/>
      <c r="U442" s="917"/>
      <c r="V442" s="917"/>
      <c r="W442" s="917"/>
      <c r="X442" s="917"/>
    </row>
    <row r="443" spans="1:26" s="20" customFormat="1" ht="33.75" customHeight="1" thickBot="1" x14ac:dyDescent="0.35">
      <c r="A443" s="141"/>
      <c r="B443" s="231" t="s">
        <v>555</v>
      </c>
      <c r="C443" s="232"/>
      <c r="D443" s="154"/>
      <c r="E443" s="233">
        <f>C443*3</f>
        <v>0</v>
      </c>
      <c r="F443" s="156">
        <f>E443*1.034*0.8/19.3</f>
        <v>0</v>
      </c>
      <c r="G443" s="232">
        <f>INT(M443)</f>
        <v>0</v>
      </c>
      <c r="H443" s="233" t="s">
        <v>18</v>
      </c>
      <c r="I443" s="232">
        <f>(M443-G443)*64</f>
        <v>0</v>
      </c>
      <c r="J443" s="234" t="s">
        <v>19</v>
      </c>
      <c r="K443" s="234"/>
      <c r="L443" s="234"/>
      <c r="M443" s="235">
        <f>(F443*918/3456)</f>
        <v>0</v>
      </c>
      <c r="N443" s="234"/>
      <c r="O443" s="40"/>
      <c r="P443" s="40"/>
      <c r="Q443" s="14" t="s">
        <v>18</v>
      </c>
      <c r="R443" s="40"/>
      <c r="S443" s="40" t="s">
        <v>19</v>
      </c>
      <c r="T443" s="47"/>
      <c r="U443" s="40">
        <f>E443/324*60</f>
        <v>0</v>
      </c>
      <c r="V443" s="40"/>
      <c r="W443" s="47"/>
      <c r="X443" s="40"/>
      <c r="Y443" s="236"/>
      <c r="Z443" s="236"/>
    </row>
    <row r="444" spans="1:26" s="20" customFormat="1" ht="33.75" customHeight="1" thickBot="1" x14ac:dyDescent="0.35">
      <c r="A444" s="141"/>
      <c r="B444" s="231" t="s">
        <v>598</v>
      </c>
      <c r="C444" s="232"/>
      <c r="D444" s="154"/>
      <c r="E444" s="233">
        <f>C444*3</f>
        <v>0</v>
      </c>
      <c r="F444" s="156">
        <f>E444*1.034*0.8/19.3</f>
        <v>0</v>
      </c>
      <c r="G444" s="232">
        <f>INT(M444)</f>
        <v>0</v>
      </c>
      <c r="H444" s="233" t="s">
        <v>18</v>
      </c>
      <c r="I444" s="232">
        <f>(M444-G444)*64</f>
        <v>0</v>
      </c>
      <c r="J444" s="234" t="s">
        <v>19</v>
      </c>
      <c r="K444" s="234"/>
      <c r="L444" s="234"/>
      <c r="M444" s="235">
        <f>(F444*972/3456)</f>
        <v>0</v>
      </c>
      <c r="N444" s="234"/>
      <c r="O444" s="40"/>
      <c r="P444" s="40"/>
      <c r="Q444" s="14" t="s">
        <v>18</v>
      </c>
      <c r="R444" s="40"/>
      <c r="S444" s="40" t="s">
        <v>19</v>
      </c>
      <c r="T444" s="47"/>
      <c r="U444" s="40">
        <f>E444/324*60</f>
        <v>0</v>
      </c>
      <c r="V444" s="40"/>
      <c r="W444" s="47"/>
      <c r="X444" s="40"/>
      <c r="Y444" s="236"/>
      <c r="Z444" s="236"/>
    </row>
    <row r="445" spans="1:26" s="249" customFormat="1" ht="39" customHeight="1" thickBot="1" x14ac:dyDescent="0.35">
      <c r="A445" s="237"/>
      <c r="B445" s="238" t="s">
        <v>556</v>
      </c>
      <c r="C445" s="239"/>
      <c r="D445" s="240">
        <f>C445*10</f>
        <v>0</v>
      </c>
      <c r="E445" s="241">
        <f>D445*0.2</f>
        <v>0</v>
      </c>
      <c r="F445" s="242">
        <f>E445*0.97*0.8/19.6</f>
        <v>0</v>
      </c>
      <c r="G445" s="239">
        <f>INT(M445)</f>
        <v>0</v>
      </c>
      <c r="H445" s="241" t="s">
        <v>18</v>
      </c>
      <c r="I445" s="239">
        <f>(M445-G445)*64</f>
        <v>0</v>
      </c>
      <c r="J445" s="243" t="s">
        <v>19</v>
      </c>
      <c r="K445" s="243"/>
      <c r="L445" s="243"/>
      <c r="M445" s="244">
        <f>(F445*1087/3456)</f>
        <v>0</v>
      </c>
      <c r="N445" s="243"/>
      <c r="O445" s="245"/>
      <c r="P445" s="245"/>
      <c r="Q445" s="246" t="s">
        <v>18</v>
      </c>
      <c r="R445" s="245"/>
      <c r="S445" s="245" t="s">
        <v>19</v>
      </c>
      <c r="T445" s="247"/>
      <c r="U445" s="245">
        <f>E445/259*60</f>
        <v>0</v>
      </c>
      <c r="V445" s="245"/>
      <c r="W445" s="247"/>
      <c r="X445" s="245"/>
      <c r="Y445" s="248"/>
      <c r="Z445" s="248"/>
    </row>
    <row r="446" spans="1:26" s="249" customFormat="1" ht="39" customHeight="1" thickBot="1" x14ac:dyDescent="0.35">
      <c r="A446" s="237"/>
      <c r="B446" s="250"/>
      <c r="C446" s="251"/>
      <c r="D446" s="252"/>
      <c r="E446" s="253"/>
      <c r="F446" s="254"/>
      <c r="G446" s="251"/>
      <c r="H446" s="253"/>
      <c r="I446" s="251"/>
      <c r="J446" s="255"/>
      <c r="K446" s="255"/>
      <c r="L446" s="255"/>
      <c r="M446" s="256"/>
      <c r="N446" s="255"/>
      <c r="O446" s="245"/>
      <c r="P446" s="245"/>
      <c r="Q446" s="246"/>
      <c r="R446" s="245"/>
      <c r="S446" s="245"/>
      <c r="T446" s="247"/>
      <c r="U446" s="245"/>
      <c r="V446" s="245"/>
      <c r="W446" s="247"/>
      <c r="X446" s="245"/>
      <c r="Y446" s="248"/>
      <c r="Z446" s="248"/>
    </row>
    <row r="447" spans="1:26" s="249" customFormat="1" ht="37.5" customHeight="1" thickBot="1" x14ac:dyDescent="0.35">
      <c r="A447" s="237"/>
      <c r="B447" s="238" t="s">
        <v>557</v>
      </c>
      <c r="C447" s="239"/>
      <c r="D447" s="240">
        <f>C447*10</f>
        <v>0</v>
      </c>
      <c r="E447" s="241">
        <f>D447*0.2</f>
        <v>0</v>
      </c>
      <c r="F447" s="242">
        <f>E447*0.97*0.8/19.6</f>
        <v>0</v>
      </c>
      <c r="G447" s="239">
        <f>INT(M447)</f>
        <v>0</v>
      </c>
      <c r="H447" s="241" t="s">
        <v>18</v>
      </c>
      <c r="I447" s="239">
        <f>(M447-G447)*64</f>
        <v>0</v>
      </c>
      <c r="J447" s="243" t="s">
        <v>19</v>
      </c>
      <c r="K447" s="243"/>
      <c r="L447" s="243"/>
      <c r="M447" s="244">
        <f>(F447*1087/3456)</f>
        <v>0</v>
      </c>
      <c r="N447" s="243"/>
      <c r="O447" s="245"/>
      <c r="P447" s="245"/>
      <c r="Q447" s="246" t="s">
        <v>18</v>
      </c>
      <c r="R447" s="245"/>
      <c r="S447" s="245" t="s">
        <v>19</v>
      </c>
      <c r="T447" s="247"/>
      <c r="U447" s="245">
        <f>E447/259*60</f>
        <v>0</v>
      </c>
      <c r="V447" s="245"/>
      <c r="W447" s="247"/>
      <c r="X447" s="245"/>
      <c r="Y447" s="248"/>
      <c r="Z447" s="248"/>
    </row>
    <row r="448" spans="1:26" s="249" customFormat="1" ht="37.5" customHeight="1" thickBot="1" x14ac:dyDescent="0.35">
      <c r="A448" s="237"/>
      <c r="B448" s="250"/>
      <c r="C448" s="251"/>
      <c r="D448" s="252"/>
      <c r="E448" s="253"/>
      <c r="F448" s="254"/>
      <c r="G448" s="251"/>
      <c r="H448" s="253"/>
      <c r="I448" s="251"/>
      <c r="J448" s="255"/>
      <c r="K448" s="255"/>
      <c r="L448" s="255"/>
      <c r="M448" s="256"/>
      <c r="N448" s="255"/>
      <c r="O448" s="257"/>
      <c r="P448" s="257"/>
      <c r="Q448" s="258"/>
      <c r="R448" s="257"/>
      <c r="S448" s="257"/>
      <c r="T448" s="259"/>
      <c r="U448" s="257"/>
      <c r="V448" s="257"/>
      <c r="W448" s="247"/>
      <c r="X448" s="245"/>
      <c r="Y448" s="248"/>
      <c r="Z448" s="248"/>
    </row>
    <row r="449" spans="1:26" s="249" customFormat="1" ht="49.5" customHeight="1" thickBot="1" x14ac:dyDescent="0.35">
      <c r="A449" s="237"/>
      <c r="B449" s="238" t="s">
        <v>558</v>
      </c>
      <c r="C449" s="239"/>
      <c r="D449" s="240">
        <f>C449*10</f>
        <v>0</v>
      </c>
      <c r="E449" s="241">
        <f>D449*0.2</f>
        <v>0</v>
      </c>
      <c r="F449" s="242">
        <f>E449*0.97*0.8/19.6</f>
        <v>0</v>
      </c>
      <c r="G449" s="239">
        <f>INT(M449)</f>
        <v>0</v>
      </c>
      <c r="H449" s="241" t="s">
        <v>18</v>
      </c>
      <c r="I449" s="239">
        <f>(M449-G449)*64</f>
        <v>0</v>
      </c>
      <c r="J449" s="243" t="s">
        <v>19</v>
      </c>
      <c r="K449" s="243"/>
      <c r="L449" s="243"/>
      <c r="M449" s="244">
        <f>(F449*1087/3456)</f>
        <v>0</v>
      </c>
      <c r="N449" s="243"/>
      <c r="O449" s="245"/>
      <c r="P449" s="245"/>
      <c r="Q449" s="246" t="s">
        <v>18</v>
      </c>
      <c r="R449" s="245"/>
      <c r="S449" s="245" t="s">
        <v>19</v>
      </c>
      <c r="T449" s="247"/>
      <c r="U449" s="245">
        <f>E449/259*60</f>
        <v>0</v>
      </c>
      <c r="V449" s="245"/>
      <c r="W449" s="247"/>
      <c r="X449" s="245"/>
      <c r="Y449" s="248"/>
      <c r="Z449" s="248"/>
    </row>
    <row r="450" spans="1:26" s="20" customFormat="1" ht="19.5" thickBot="1" x14ac:dyDescent="0.35">
      <c r="A450" s="41"/>
      <c r="B450" s="41" t="s">
        <v>108</v>
      </c>
      <c r="C450" s="42"/>
      <c r="D450" s="43"/>
      <c r="E450" s="45">
        <f>C450*3</f>
        <v>0</v>
      </c>
      <c r="F450" s="50">
        <f>E450*1.2*1/147</f>
        <v>0</v>
      </c>
      <c r="G450" s="42">
        <f>INT(M450)</f>
        <v>0</v>
      </c>
      <c r="H450" s="45" t="s">
        <v>18</v>
      </c>
      <c r="I450" s="42">
        <f>(M450-G450)*64</f>
        <v>0</v>
      </c>
      <c r="J450" s="40" t="s">
        <v>19</v>
      </c>
      <c r="K450" s="40"/>
      <c r="L450" s="40"/>
      <c r="M450" s="46">
        <f>F450*5719/2880</f>
        <v>0</v>
      </c>
      <c r="N450" s="40"/>
      <c r="O450" s="40"/>
      <c r="P450" s="40"/>
      <c r="Q450" s="14" t="s">
        <v>18</v>
      </c>
      <c r="R450" s="40"/>
      <c r="S450" s="40" t="s">
        <v>19</v>
      </c>
      <c r="T450" s="47"/>
      <c r="U450" s="40">
        <f>E450/237*60</f>
        <v>0</v>
      </c>
      <c r="V450" s="176"/>
      <c r="W450" s="47"/>
      <c r="X450" s="40"/>
    </row>
    <row r="451" spans="1:26" s="20" customFormat="1" ht="19.5" thickBot="1" x14ac:dyDescent="0.35">
      <c r="A451" s="52"/>
      <c r="B451" s="57" t="s">
        <v>119</v>
      </c>
      <c r="C451" s="42"/>
      <c r="D451" s="58"/>
      <c r="E451" s="59"/>
      <c r="F451" s="50"/>
      <c r="G451" s="48"/>
      <c r="H451" s="59"/>
      <c r="I451" s="48"/>
      <c r="J451" s="46"/>
      <c r="K451" s="52"/>
      <c r="L451" s="52"/>
      <c r="M451" s="52"/>
      <c r="N451" s="52"/>
      <c r="O451" s="52"/>
      <c r="P451" s="52"/>
      <c r="Q451" s="52"/>
      <c r="R451" s="52"/>
      <c r="S451" s="52"/>
      <c r="T451" s="60"/>
      <c r="U451" s="52"/>
      <c r="V451" s="52"/>
      <c r="W451" s="60"/>
      <c r="X451" s="52"/>
    </row>
    <row r="452" spans="1:26" s="20" customFormat="1" ht="19.5" thickBot="1" x14ac:dyDescent="0.35">
      <c r="A452" s="52"/>
      <c r="B452" s="57" t="s">
        <v>120</v>
      </c>
      <c r="C452" s="42"/>
      <c r="D452" s="61"/>
      <c r="E452" s="52">
        <f>SUM(E316:E451)</f>
        <v>0</v>
      </c>
      <c r="F452" s="52">
        <f>SUM(F316:F451)</f>
        <v>0</v>
      </c>
      <c r="G452" s="48"/>
      <c r="H452" s="59"/>
      <c r="I452" s="62"/>
      <c r="J452" s="46"/>
      <c r="K452" s="52"/>
      <c r="L452" s="52"/>
      <c r="M452" s="52"/>
      <c r="N452" s="52"/>
      <c r="O452" s="52"/>
      <c r="P452" s="52"/>
      <c r="Q452" s="52"/>
      <c r="R452" s="52"/>
      <c r="S452" s="52"/>
      <c r="T452" s="60"/>
      <c r="U452" s="52"/>
      <c r="V452" s="52"/>
      <c r="W452" s="60"/>
      <c r="X452" s="52"/>
    </row>
    <row r="453" spans="1:26" s="20" customFormat="1" ht="19.5" thickBot="1" x14ac:dyDescent="0.35">
      <c r="A453" s="52"/>
      <c r="B453" s="57" t="s">
        <v>121</v>
      </c>
      <c r="C453" s="42"/>
      <c r="D453" s="61"/>
      <c r="E453" s="52">
        <f>E452+E315</f>
        <v>0</v>
      </c>
      <c r="F453" s="52"/>
      <c r="G453" s="48"/>
      <c r="H453" s="59"/>
      <c r="I453" s="62"/>
      <c r="J453" s="46"/>
      <c r="K453" s="52"/>
      <c r="L453" s="52"/>
      <c r="M453" s="52"/>
      <c r="N453" s="52"/>
      <c r="O453" s="52"/>
      <c r="P453" s="52"/>
      <c r="Q453" s="52"/>
      <c r="R453" s="52"/>
      <c r="S453" s="52"/>
      <c r="T453" s="60"/>
      <c r="U453" s="52"/>
      <c r="V453" s="52"/>
      <c r="W453" s="60"/>
      <c r="X453" s="52"/>
    </row>
    <row r="454" spans="1:26" ht="19.5" thickBot="1" x14ac:dyDescent="0.35">
      <c r="A454" s="3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spans="1:26" s="120" customFormat="1" ht="19.5" thickBot="1" x14ac:dyDescent="0.35">
      <c r="A455" s="118"/>
      <c r="B455" s="935" t="s">
        <v>604</v>
      </c>
      <c r="C455" s="936"/>
      <c r="D455" s="936"/>
      <c r="E455" s="936"/>
      <c r="F455" s="936"/>
      <c r="G455" s="936"/>
      <c r="H455" s="936"/>
      <c r="I455" s="936"/>
      <c r="J455" s="936"/>
      <c r="K455" s="936"/>
      <c r="L455" s="936"/>
      <c r="M455" s="936"/>
      <c r="N455" s="936"/>
      <c r="O455" s="936"/>
      <c r="P455" s="936"/>
      <c r="Q455" s="936"/>
      <c r="R455" s="936"/>
      <c r="S455" s="936"/>
      <c r="T455" s="936"/>
      <c r="U455" s="936"/>
      <c r="V455" s="936"/>
      <c r="W455" s="936"/>
      <c r="X455" s="936"/>
      <c r="Y455" s="119"/>
    </row>
    <row r="456" spans="1:26" s="20" customFormat="1" ht="19.5" thickBot="1" x14ac:dyDescent="0.35">
      <c r="A456" s="117"/>
      <c r="B456" s="937" t="s">
        <v>60</v>
      </c>
      <c r="C456" s="938"/>
      <c r="D456" s="938"/>
      <c r="E456" s="938"/>
      <c r="F456" s="938"/>
      <c r="G456" s="938"/>
      <c r="H456" s="938"/>
      <c r="I456" s="938"/>
      <c r="J456" s="938"/>
      <c r="K456" s="938"/>
      <c r="L456" s="938"/>
      <c r="M456" s="938"/>
      <c r="N456" s="938"/>
      <c r="O456" s="938"/>
      <c r="P456" s="938"/>
      <c r="Q456" s="938"/>
      <c r="R456" s="938"/>
      <c r="S456" s="938"/>
      <c r="T456" s="938"/>
      <c r="U456" s="938"/>
      <c r="V456" s="938"/>
      <c r="W456" s="938"/>
      <c r="X456" s="939"/>
    </row>
    <row r="457" spans="1:26" s="20" customFormat="1" ht="19.5" thickBot="1" x14ac:dyDescent="0.35">
      <c r="A457" s="41"/>
      <c r="B457" s="41" t="s">
        <v>61</v>
      </c>
      <c r="C457" s="42"/>
      <c r="D457" s="43"/>
      <c r="E457" s="40">
        <f>C457*2.8</f>
        <v>0</v>
      </c>
      <c r="F457" s="44">
        <f t="shared" ref="F457:F467" si="106">E457*1.03*0.82/173</f>
        <v>0</v>
      </c>
      <c r="G457" s="42">
        <f t="shared" ref="G457:G467" si="107">INT(M457)</f>
        <v>0</v>
      </c>
      <c r="H457" s="45" t="s">
        <v>18</v>
      </c>
      <c r="I457" s="42">
        <f t="shared" ref="I457:I467" si="108">(M457-G457)*64</f>
        <v>0</v>
      </c>
      <c r="J457" s="40" t="s">
        <v>19</v>
      </c>
      <c r="K457" s="40"/>
      <c r="L457" s="40"/>
      <c r="M457" s="46">
        <f>F457*13307/3456</f>
        <v>0</v>
      </c>
      <c r="N457" s="40"/>
      <c r="O457" s="40"/>
      <c r="P457" s="40"/>
      <c r="Q457" s="45" t="s">
        <v>18</v>
      </c>
      <c r="R457" s="40"/>
      <c r="S457" s="40" t="s">
        <v>19</v>
      </c>
      <c r="T457" s="47"/>
      <c r="U457" s="40">
        <f>E457/166*60</f>
        <v>0</v>
      </c>
      <c r="V457" s="176"/>
      <c r="W457" s="47"/>
      <c r="X457" s="40"/>
    </row>
    <row r="458" spans="1:26" s="20" customFormat="1" ht="38.25" thickBot="1" x14ac:dyDescent="0.35">
      <c r="A458" s="41"/>
      <c r="B458" s="41" t="s">
        <v>347</v>
      </c>
      <c r="C458" s="42"/>
      <c r="D458" s="43">
        <f t="shared" ref="D458:D464" si="109">C458*10</f>
        <v>0</v>
      </c>
      <c r="E458" s="40">
        <f>D458*0.18</f>
        <v>0</v>
      </c>
      <c r="F458" s="44">
        <f t="shared" si="106"/>
        <v>0</v>
      </c>
      <c r="G458" s="42">
        <f t="shared" si="107"/>
        <v>0</v>
      </c>
      <c r="H458" s="45" t="s">
        <v>18</v>
      </c>
      <c r="I458" s="42">
        <f t="shared" si="108"/>
        <v>0</v>
      </c>
      <c r="J458" s="40" t="s">
        <v>19</v>
      </c>
      <c r="K458" s="40"/>
      <c r="L458" s="40"/>
      <c r="M458" s="46">
        <f>(F458*11610)/3456</f>
        <v>0</v>
      </c>
      <c r="N458" s="40"/>
      <c r="O458" s="40"/>
      <c r="P458" s="40"/>
      <c r="Q458" s="45" t="s">
        <v>18</v>
      </c>
      <c r="R458" s="40"/>
      <c r="S458" s="40" t="s">
        <v>19</v>
      </c>
      <c r="T458" s="47"/>
      <c r="U458" s="40">
        <f>E458/207*60</f>
        <v>0</v>
      </c>
      <c r="V458" s="176"/>
      <c r="W458" s="47"/>
      <c r="X458" s="40"/>
    </row>
    <row r="459" spans="1:26" s="20" customFormat="1" ht="19.5" thickBot="1" x14ac:dyDescent="0.35">
      <c r="A459" s="41"/>
      <c r="B459" s="41" t="s">
        <v>70</v>
      </c>
      <c r="C459" s="42"/>
      <c r="D459" s="43">
        <f t="shared" si="109"/>
        <v>0</v>
      </c>
      <c r="E459" s="40">
        <f>D459*0.25</f>
        <v>0</v>
      </c>
      <c r="F459" s="44">
        <f t="shared" si="106"/>
        <v>0</v>
      </c>
      <c r="G459" s="42">
        <f t="shared" si="107"/>
        <v>0</v>
      </c>
      <c r="H459" s="45" t="s">
        <v>18</v>
      </c>
      <c r="I459" s="42">
        <f t="shared" si="108"/>
        <v>0</v>
      </c>
      <c r="J459" s="40" t="s">
        <v>19</v>
      </c>
      <c r="K459" s="40"/>
      <c r="L459" s="40"/>
      <c r="M459" s="46">
        <f>(F459*8480)/3456</f>
        <v>0</v>
      </c>
      <c r="N459" s="40"/>
      <c r="O459" s="40"/>
      <c r="P459" s="40"/>
      <c r="Q459" s="45" t="s">
        <v>18</v>
      </c>
      <c r="R459" s="40"/>
      <c r="S459" s="40" t="s">
        <v>19</v>
      </c>
      <c r="T459" s="47"/>
      <c r="U459" s="40">
        <f>E459/272*60</f>
        <v>0</v>
      </c>
      <c r="V459" s="176"/>
      <c r="W459" s="47"/>
      <c r="X459" s="40"/>
    </row>
    <row r="460" spans="1:26" s="20" customFormat="1" ht="38.25" thickBot="1" x14ac:dyDescent="0.35">
      <c r="A460" s="41"/>
      <c r="B460" s="41" t="s">
        <v>350</v>
      </c>
      <c r="C460" s="42"/>
      <c r="D460" s="43">
        <f t="shared" si="109"/>
        <v>0</v>
      </c>
      <c r="E460" s="40">
        <f>D460*0.25</f>
        <v>0</v>
      </c>
      <c r="F460" s="44">
        <f t="shared" si="106"/>
        <v>0</v>
      </c>
      <c r="G460" s="42">
        <f t="shared" si="107"/>
        <v>0</v>
      </c>
      <c r="H460" s="45" t="s">
        <v>18</v>
      </c>
      <c r="I460" s="42">
        <f t="shared" si="108"/>
        <v>0</v>
      </c>
      <c r="J460" s="40" t="s">
        <v>19</v>
      </c>
      <c r="K460" s="40"/>
      <c r="L460" s="40"/>
      <c r="M460" s="46">
        <f>(F460*8480)/3456</f>
        <v>0</v>
      </c>
      <c r="N460" s="40"/>
      <c r="O460" s="40"/>
      <c r="P460" s="40"/>
      <c r="Q460" s="45" t="s">
        <v>18</v>
      </c>
      <c r="R460" s="40"/>
      <c r="S460" s="40" t="s">
        <v>19</v>
      </c>
      <c r="T460" s="47"/>
      <c r="U460" s="40">
        <f>E460/272*60</f>
        <v>0</v>
      </c>
      <c r="V460" s="176"/>
      <c r="W460" s="47"/>
      <c r="X460" s="40"/>
    </row>
    <row r="461" spans="1:26" s="20" customFormat="1" ht="38.25" thickBot="1" x14ac:dyDescent="0.35">
      <c r="A461" s="41"/>
      <c r="B461" s="41" t="s">
        <v>568</v>
      </c>
      <c r="C461" s="42"/>
      <c r="D461" s="43">
        <f t="shared" si="109"/>
        <v>0</v>
      </c>
      <c r="E461" s="40">
        <f>D461*0.25</f>
        <v>0</v>
      </c>
      <c r="F461" s="44">
        <f t="shared" si="106"/>
        <v>0</v>
      </c>
      <c r="G461" s="42">
        <f t="shared" si="107"/>
        <v>0</v>
      </c>
      <c r="H461" s="45" t="s">
        <v>18</v>
      </c>
      <c r="I461" s="42">
        <f t="shared" si="108"/>
        <v>0</v>
      </c>
      <c r="J461" s="40" t="s">
        <v>19</v>
      </c>
      <c r="K461" s="40"/>
      <c r="L461" s="40"/>
      <c r="M461" s="46">
        <f>(F461*8480)/3456</f>
        <v>0</v>
      </c>
      <c r="N461" s="40"/>
      <c r="O461" s="40"/>
      <c r="P461" s="40"/>
      <c r="Q461" s="45" t="s">
        <v>18</v>
      </c>
      <c r="R461" s="40"/>
      <c r="S461" s="40" t="s">
        <v>19</v>
      </c>
      <c r="T461" s="47"/>
      <c r="U461" s="40">
        <f>E461/272*60</f>
        <v>0</v>
      </c>
      <c r="V461" s="176"/>
      <c r="W461" s="47"/>
      <c r="X461" s="40"/>
    </row>
    <row r="462" spans="1:26" s="20" customFormat="1" ht="38.25" thickBot="1" x14ac:dyDescent="0.35">
      <c r="A462" s="41"/>
      <c r="B462" s="41" t="s">
        <v>353</v>
      </c>
      <c r="C462" s="42"/>
      <c r="D462" s="43">
        <f t="shared" si="109"/>
        <v>0</v>
      </c>
      <c r="E462" s="40">
        <f>D462*0.25</f>
        <v>0</v>
      </c>
      <c r="F462" s="44">
        <f t="shared" si="106"/>
        <v>0</v>
      </c>
      <c r="G462" s="42">
        <f t="shared" si="107"/>
        <v>0</v>
      </c>
      <c r="H462" s="45" t="s">
        <v>18</v>
      </c>
      <c r="I462" s="42">
        <f t="shared" si="108"/>
        <v>0</v>
      </c>
      <c r="J462" s="40" t="s">
        <v>19</v>
      </c>
      <c r="K462" s="40"/>
      <c r="L462" s="40"/>
      <c r="M462" s="46">
        <f>(F462*8480)/3456</f>
        <v>0</v>
      </c>
      <c r="N462" s="40"/>
      <c r="O462" s="40"/>
      <c r="P462" s="40"/>
      <c r="Q462" s="45" t="s">
        <v>18</v>
      </c>
      <c r="R462" s="40"/>
      <c r="S462" s="40" t="s">
        <v>19</v>
      </c>
      <c r="T462" s="47"/>
      <c r="U462" s="40">
        <f>E462/272*60</f>
        <v>0</v>
      </c>
      <c r="V462" s="176"/>
      <c r="W462" s="47"/>
      <c r="X462" s="40"/>
    </row>
    <row r="463" spans="1:26" s="20" customFormat="1" ht="38.25" thickBot="1" x14ac:dyDescent="0.35">
      <c r="A463" s="41"/>
      <c r="B463" s="41" t="s">
        <v>346</v>
      </c>
      <c r="C463" s="42"/>
      <c r="D463" s="43">
        <f t="shared" si="109"/>
        <v>0</v>
      </c>
      <c r="E463" s="40">
        <f>D463*0.18</f>
        <v>0</v>
      </c>
      <c r="F463" s="44">
        <f t="shared" si="106"/>
        <v>0</v>
      </c>
      <c r="G463" s="42">
        <f t="shared" si="107"/>
        <v>0</v>
      </c>
      <c r="H463" s="45" t="s">
        <v>18</v>
      </c>
      <c r="I463" s="42">
        <f t="shared" si="108"/>
        <v>0</v>
      </c>
      <c r="J463" s="40" t="s">
        <v>19</v>
      </c>
      <c r="K463" s="40"/>
      <c r="L463" s="40"/>
      <c r="M463" s="46">
        <f>(F463*11610)/3456</f>
        <v>0</v>
      </c>
      <c r="N463" s="40"/>
      <c r="O463" s="40"/>
      <c r="P463" s="40"/>
      <c r="Q463" s="45" t="s">
        <v>18</v>
      </c>
      <c r="R463" s="40"/>
      <c r="S463" s="40" t="s">
        <v>19</v>
      </c>
      <c r="T463" s="47"/>
      <c r="U463" s="40">
        <f>E463/207*60</f>
        <v>0</v>
      </c>
      <c r="V463" s="176"/>
      <c r="W463" s="47"/>
      <c r="X463" s="40"/>
    </row>
    <row r="464" spans="1:26" s="20" customFormat="1" ht="19.5" thickBot="1" x14ac:dyDescent="0.35">
      <c r="A464" s="41"/>
      <c r="B464" s="41" t="s">
        <v>64</v>
      </c>
      <c r="C464" s="42"/>
      <c r="D464" s="43">
        <f t="shared" si="109"/>
        <v>0</v>
      </c>
      <c r="E464" s="40">
        <f>D464*0.18</f>
        <v>0</v>
      </c>
      <c r="F464" s="44">
        <f t="shared" si="106"/>
        <v>0</v>
      </c>
      <c r="G464" s="42">
        <f t="shared" si="107"/>
        <v>0</v>
      </c>
      <c r="H464" s="45" t="s">
        <v>18</v>
      </c>
      <c r="I464" s="42">
        <f t="shared" si="108"/>
        <v>0</v>
      </c>
      <c r="J464" s="40" t="s">
        <v>19</v>
      </c>
      <c r="K464" s="40"/>
      <c r="L464" s="40"/>
      <c r="M464" s="46">
        <f>(F464*11610)/3456</f>
        <v>0</v>
      </c>
      <c r="N464" s="40"/>
      <c r="O464" s="40"/>
      <c r="P464" s="40"/>
      <c r="Q464" s="45" t="s">
        <v>18</v>
      </c>
      <c r="R464" s="40"/>
      <c r="S464" s="40" t="s">
        <v>19</v>
      </c>
      <c r="T464" s="47"/>
      <c r="U464" s="40">
        <f>E464/207*60</f>
        <v>0</v>
      </c>
      <c r="V464" s="176"/>
      <c r="W464" s="47"/>
      <c r="X464" s="40"/>
    </row>
    <row r="465" spans="1:24" s="20" customFormat="1" ht="19.5" thickBot="1" x14ac:dyDescent="0.35">
      <c r="A465" s="41"/>
      <c r="B465" s="41" t="s">
        <v>65</v>
      </c>
      <c r="C465" s="42"/>
      <c r="D465" s="43">
        <f>C465*26</f>
        <v>0</v>
      </c>
      <c r="E465" s="40">
        <f>D465*0.15</f>
        <v>0</v>
      </c>
      <c r="F465" s="44">
        <f t="shared" si="106"/>
        <v>0</v>
      </c>
      <c r="G465" s="42">
        <f t="shared" si="107"/>
        <v>0</v>
      </c>
      <c r="H465" s="45" t="s">
        <v>18</v>
      </c>
      <c r="I465" s="42">
        <f t="shared" si="108"/>
        <v>0</v>
      </c>
      <c r="J465" s="40" t="s">
        <v>19</v>
      </c>
      <c r="K465" s="40"/>
      <c r="L465" s="40"/>
      <c r="M465" s="46">
        <f t="shared" ref="M465:M475" si="110">(F465*8480)/3456</f>
        <v>0</v>
      </c>
      <c r="N465" s="40"/>
      <c r="O465" s="40"/>
      <c r="P465" s="40"/>
      <c r="Q465" s="45" t="s">
        <v>18</v>
      </c>
      <c r="R465" s="40"/>
      <c r="S465" s="40" t="s">
        <v>19</v>
      </c>
      <c r="T465" s="47"/>
      <c r="U465" s="40">
        <f>E465/259*60</f>
        <v>0</v>
      </c>
      <c r="V465" s="176"/>
      <c r="W465" s="47"/>
      <c r="X465" s="40"/>
    </row>
    <row r="466" spans="1:24" s="20" customFormat="1" ht="38.25" thickBot="1" x14ac:dyDescent="0.35">
      <c r="A466" s="41"/>
      <c r="B466" s="41" t="s">
        <v>352</v>
      </c>
      <c r="C466" s="42"/>
      <c r="D466" s="43">
        <f t="shared" ref="D466:D475" si="111">C466*10</f>
        <v>0</v>
      </c>
      <c r="E466" s="40">
        <f>D466*0.25</f>
        <v>0</v>
      </c>
      <c r="F466" s="44">
        <f t="shared" si="106"/>
        <v>0</v>
      </c>
      <c r="G466" s="42">
        <f t="shared" si="107"/>
        <v>0</v>
      </c>
      <c r="H466" s="45" t="s">
        <v>18</v>
      </c>
      <c r="I466" s="42">
        <f t="shared" si="108"/>
        <v>0</v>
      </c>
      <c r="J466" s="40" t="s">
        <v>19</v>
      </c>
      <c r="K466" s="40"/>
      <c r="L466" s="40"/>
      <c r="M466" s="46">
        <f t="shared" si="110"/>
        <v>0</v>
      </c>
      <c r="N466" s="40"/>
      <c r="O466" s="40"/>
      <c r="P466" s="40"/>
      <c r="Q466" s="45" t="s">
        <v>18</v>
      </c>
      <c r="R466" s="40"/>
      <c r="S466" s="40" t="s">
        <v>19</v>
      </c>
      <c r="T466" s="47"/>
      <c r="U466" s="40">
        <f t="shared" ref="U466:U475" si="112">E466/272*60</f>
        <v>0</v>
      </c>
      <c r="V466" s="176"/>
      <c r="W466" s="47"/>
      <c r="X466" s="40"/>
    </row>
    <row r="467" spans="1:24" s="20" customFormat="1" ht="19.5" thickBot="1" x14ac:dyDescent="0.35">
      <c r="A467" s="41"/>
      <c r="B467" s="41" t="s">
        <v>69</v>
      </c>
      <c r="C467" s="42"/>
      <c r="D467" s="43">
        <f t="shared" si="111"/>
        <v>0</v>
      </c>
      <c r="E467" s="40">
        <f>D467*0.25</f>
        <v>0</v>
      </c>
      <c r="F467" s="44">
        <f t="shared" si="106"/>
        <v>0</v>
      </c>
      <c r="G467" s="42">
        <f t="shared" si="107"/>
        <v>0</v>
      </c>
      <c r="H467" s="45" t="s">
        <v>18</v>
      </c>
      <c r="I467" s="42">
        <f t="shared" si="108"/>
        <v>0</v>
      </c>
      <c r="J467" s="40" t="s">
        <v>19</v>
      </c>
      <c r="K467" s="40"/>
      <c r="L467" s="40"/>
      <c r="M467" s="46">
        <f t="shared" si="110"/>
        <v>0</v>
      </c>
      <c r="N467" s="40"/>
      <c r="O467" s="40"/>
      <c r="P467" s="40"/>
      <c r="Q467" s="45" t="s">
        <v>18</v>
      </c>
      <c r="R467" s="40"/>
      <c r="S467" s="40" t="s">
        <v>19</v>
      </c>
      <c r="T467" s="47"/>
      <c r="U467" s="40">
        <f t="shared" si="112"/>
        <v>0</v>
      </c>
      <c r="V467" s="176"/>
      <c r="W467" s="47"/>
      <c r="X467" s="40"/>
    </row>
    <row r="468" spans="1:24" s="120" customFormat="1" ht="38.25" thickBot="1" x14ac:dyDescent="0.35">
      <c r="A468" s="146"/>
      <c r="B468" s="146" t="s">
        <v>362</v>
      </c>
      <c r="C468" s="147"/>
      <c r="D468" s="148">
        <f t="shared" si="111"/>
        <v>0</v>
      </c>
      <c r="E468" s="149">
        <f>D468*0.36</f>
        <v>0</v>
      </c>
      <c r="F468" s="150">
        <f t="shared" ref="F468:F475" si="113">E468*1.03*0.82/173</f>
        <v>0</v>
      </c>
      <c r="G468" s="147">
        <f t="shared" ref="G468:G476" si="114">INT(M468)</f>
        <v>0</v>
      </c>
      <c r="H468" s="151" t="s">
        <v>18</v>
      </c>
      <c r="I468" s="147">
        <f t="shared" ref="I468:I476" si="115">(M468-G468)*64</f>
        <v>0</v>
      </c>
      <c r="J468" s="149" t="s">
        <v>19</v>
      </c>
      <c r="K468" s="149"/>
      <c r="L468" s="149"/>
      <c r="M468" s="152">
        <f t="shared" si="110"/>
        <v>0</v>
      </c>
      <c r="N468" s="149"/>
      <c r="O468" s="149"/>
      <c r="P468" s="149"/>
      <c r="Q468" s="151" t="s">
        <v>18</v>
      </c>
      <c r="R468" s="149"/>
      <c r="S468" s="149" t="s">
        <v>19</v>
      </c>
      <c r="T468" s="153"/>
      <c r="U468" s="149">
        <f t="shared" si="112"/>
        <v>0</v>
      </c>
      <c r="V468" s="176"/>
      <c r="W468" s="153"/>
      <c r="X468" s="149"/>
    </row>
    <row r="469" spans="1:24" s="120" customFormat="1" ht="38.25" thickBot="1" x14ac:dyDescent="0.35">
      <c r="A469" s="146"/>
      <c r="B469" s="146" t="s">
        <v>360</v>
      </c>
      <c r="C469" s="147"/>
      <c r="D469" s="148">
        <f t="shared" si="111"/>
        <v>0</v>
      </c>
      <c r="E469" s="149">
        <f>D469*0.2</f>
        <v>0</v>
      </c>
      <c r="F469" s="150">
        <f t="shared" si="113"/>
        <v>0</v>
      </c>
      <c r="G469" s="147">
        <f t="shared" si="114"/>
        <v>0</v>
      </c>
      <c r="H469" s="151" t="s">
        <v>18</v>
      </c>
      <c r="I469" s="147">
        <f t="shared" si="115"/>
        <v>0</v>
      </c>
      <c r="J469" s="149" t="s">
        <v>19</v>
      </c>
      <c r="K469" s="149"/>
      <c r="L469" s="149"/>
      <c r="M469" s="152">
        <f t="shared" si="110"/>
        <v>0</v>
      </c>
      <c r="N469" s="149"/>
      <c r="O469" s="149"/>
      <c r="P469" s="149"/>
      <c r="Q469" s="151" t="s">
        <v>18</v>
      </c>
      <c r="R469" s="149"/>
      <c r="S469" s="149" t="s">
        <v>19</v>
      </c>
      <c r="T469" s="153"/>
      <c r="U469" s="149">
        <f t="shared" si="112"/>
        <v>0</v>
      </c>
      <c r="V469" s="176"/>
      <c r="W469" s="153"/>
      <c r="X469" s="149"/>
    </row>
    <row r="470" spans="1:24" s="120" customFormat="1" ht="38.25" thickBot="1" x14ac:dyDescent="0.35">
      <c r="A470" s="146"/>
      <c r="B470" s="146" t="s">
        <v>361</v>
      </c>
      <c r="C470" s="147"/>
      <c r="D470" s="148">
        <f t="shared" si="111"/>
        <v>0</v>
      </c>
      <c r="E470" s="149">
        <f>D470*0.2</f>
        <v>0</v>
      </c>
      <c r="F470" s="150">
        <f t="shared" si="113"/>
        <v>0</v>
      </c>
      <c r="G470" s="147">
        <f t="shared" si="114"/>
        <v>0</v>
      </c>
      <c r="H470" s="151" t="s">
        <v>18</v>
      </c>
      <c r="I470" s="147">
        <f t="shared" si="115"/>
        <v>0</v>
      </c>
      <c r="J470" s="149" t="s">
        <v>19</v>
      </c>
      <c r="K470" s="149"/>
      <c r="L470" s="149"/>
      <c r="M470" s="152">
        <f t="shared" si="110"/>
        <v>0</v>
      </c>
      <c r="N470" s="149"/>
      <c r="O470" s="149"/>
      <c r="P470" s="149"/>
      <c r="Q470" s="151" t="s">
        <v>18</v>
      </c>
      <c r="R470" s="149"/>
      <c r="S470" s="149" t="s">
        <v>19</v>
      </c>
      <c r="T470" s="153"/>
      <c r="U470" s="149">
        <f t="shared" si="112"/>
        <v>0</v>
      </c>
      <c r="V470" s="176"/>
      <c r="W470" s="153"/>
      <c r="X470" s="149"/>
    </row>
    <row r="471" spans="1:24" s="20" customFormat="1" ht="19.5" thickBot="1" x14ac:dyDescent="0.35">
      <c r="A471" s="41"/>
      <c r="B471" s="41" t="s">
        <v>71</v>
      </c>
      <c r="C471" s="42"/>
      <c r="D471" s="43">
        <f t="shared" si="111"/>
        <v>0</v>
      </c>
      <c r="E471" s="40">
        <f>D471*0.25</f>
        <v>0</v>
      </c>
      <c r="F471" s="44">
        <f t="shared" si="113"/>
        <v>0</v>
      </c>
      <c r="G471" s="42">
        <f t="shared" si="114"/>
        <v>0</v>
      </c>
      <c r="H471" s="45" t="s">
        <v>18</v>
      </c>
      <c r="I471" s="42">
        <f t="shared" si="115"/>
        <v>0</v>
      </c>
      <c r="J471" s="40" t="s">
        <v>19</v>
      </c>
      <c r="K471" s="40"/>
      <c r="L471" s="40"/>
      <c r="M471" s="46">
        <f t="shared" si="110"/>
        <v>0</v>
      </c>
      <c r="N471" s="40"/>
      <c r="O471" s="40"/>
      <c r="P471" s="40"/>
      <c r="Q471" s="45" t="s">
        <v>18</v>
      </c>
      <c r="R471" s="40"/>
      <c r="S471" s="40" t="s">
        <v>19</v>
      </c>
      <c r="T471" s="47"/>
      <c r="U471" s="40">
        <f t="shared" si="112"/>
        <v>0</v>
      </c>
      <c r="V471" s="176"/>
      <c r="W471" s="47"/>
      <c r="X471" s="40"/>
    </row>
    <row r="472" spans="1:24" s="20" customFormat="1" ht="38.25" thickBot="1" x14ac:dyDescent="0.35">
      <c r="A472" s="41"/>
      <c r="B472" s="41" t="s">
        <v>351</v>
      </c>
      <c r="C472" s="42"/>
      <c r="D472" s="43">
        <f t="shared" si="111"/>
        <v>0</v>
      </c>
      <c r="E472" s="40">
        <f>D472*0.25</f>
        <v>0</v>
      </c>
      <c r="F472" s="44">
        <f t="shared" si="113"/>
        <v>0</v>
      </c>
      <c r="G472" s="42">
        <f t="shared" si="114"/>
        <v>0</v>
      </c>
      <c r="H472" s="45" t="s">
        <v>18</v>
      </c>
      <c r="I472" s="42">
        <f t="shared" si="115"/>
        <v>0</v>
      </c>
      <c r="J472" s="40" t="s">
        <v>19</v>
      </c>
      <c r="K472" s="40"/>
      <c r="L472" s="40"/>
      <c r="M472" s="46">
        <f t="shared" si="110"/>
        <v>0</v>
      </c>
      <c r="N472" s="40"/>
      <c r="O472" s="40"/>
      <c r="P472" s="40"/>
      <c r="Q472" s="45" t="s">
        <v>18</v>
      </c>
      <c r="R472" s="40"/>
      <c r="S472" s="40" t="s">
        <v>19</v>
      </c>
      <c r="T472" s="47"/>
      <c r="U472" s="40">
        <f t="shared" si="112"/>
        <v>0</v>
      </c>
      <c r="V472" s="176"/>
      <c r="W472" s="47"/>
      <c r="X472" s="40"/>
    </row>
    <row r="473" spans="1:24" s="20" customFormat="1" ht="19.5" thickBot="1" x14ac:dyDescent="0.35">
      <c r="A473" s="41"/>
      <c r="B473" s="41" t="s">
        <v>73</v>
      </c>
      <c r="C473" s="42"/>
      <c r="D473" s="43">
        <f t="shared" si="111"/>
        <v>0</v>
      </c>
      <c r="E473" s="40">
        <f>D473*0.25</f>
        <v>0</v>
      </c>
      <c r="F473" s="44">
        <f t="shared" si="113"/>
        <v>0</v>
      </c>
      <c r="G473" s="42">
        <f t="shared" si="114"/>
        <v>0</v>
      </c>
      <c r="H473" s="45" t="s">
        <v>18</v>
      </c>
      <c r="I473" s="42">
        <f t="shared" si="115"/>
        <v>0</v>
      </c>
      <c r="J473" s="40" t="s">
        <v>19</v>
      </c>
      <c r="K473" s="40"/>
      <c r="L473" s="40"/>
      <c r="M473" s="46">
        <f t="shared" si="110"/>
        <v>0</v>
      </c>
      <c r="N473" s="40"/>
      <c r="O473" s="40"/>
      <c r="P473" s="40"/>
      <c r="Q473" s="45" t="s">
        <v>18</v>
      </c>
      <c r="R473" s="40"/>
      <c r="S473" s="40" t="s">
        <v>19</v>
      </c>
      <c r="T473" s="47"/>
      <c r="U473" s="40">
        <f t="shared" si="112"/>
        <v>0</v>
      </c>
      <c r="V473" s="176"/>
      <c r="W473" s="47"/>
      <c r="X473" s="40"/>
    </row>
    <row r="474" spans="1:24" s="20" customFormat="1" ht="19.5" thickBot="1" x14ac:dyDescent="0.35">
      <c r="A474" s="41"/>
      <c r="B474" s="41" t="s">
        <v>74</v>
      </c>
      <c r="C474" s="42"/>
      <c r="D474" s="43">
        <f t="shared" si="111"/>
        <v>0</v>
      </c>
      <c r="E474" s="40">
        <f>D474*0.2</f>
        <v>0</v>
      </c>
      <c r="F474" s="44">
        <f t="shared" si="113"/>
        <v>0</v>
      </c>
      <c r="G474" s="42">
        <f t="shared" si="114"/>
        <v>0</v>
      </c>
      <c r="H474" s="45" t="s">
        <v>18</v>
      </c>
      <c r="I474" s="42">
        <f t="shared" si="115"/>
        <v>0</v>
      </c>
      <c r="J474" s="40" t="s">
        <v>19</v>
      </c>
      <c r="K474" s="40"/>
      <c r="L474" s="40"/>
      <c r="M474" s="46">
        <f t="shared" si="110"/>
        <v>0</v>
      </c>
      <c r="N474" s="40"/>
      <c r="O474" s="40"/>
      <c r="P474" s="40"/>
      <c r="Q474" s="45" t="s">
        <v>18</v>
      </c>
      <c r="R474" s="40"/>
      <c r="S474" s="40" t="s">
        <v>19</v>
      </c>
      <c r="T474" s="47"/>
      <c r="U474" s="40">
        <f t="shared" si="112"/>
        <v>0</v>
      </c>
      <c r="V474" s="176"/>
      <c r="W474" s="47"/>
      <c r="X474" s="40"/>
    </row>
    <row r="475" spans="1:24" s="20" customFormat="1" ht="19.5" thickBot="1" x14ac:dyDescent="0.35">
      <c r="A475" s="41"/>
      <c r="B475" s="41" t="s">
        <v>75</v>
      </c>
      <c r="C475" s="42"/>
      <c r="D475" s="43">
        <f t="shared" si="111"/>
        <v>0</v>
      </c>
      <c r="E475" s="40">
        <f>D475*0.25</f>
        <v>0</v>
      </c>
      <c r="F475" s="44">
        <f t="shared" si="113"/>
        <v>0</v>
      </c>
      <c r="G475" s="42">
        <f t="shared" si="114"/>
        <v>0</v>
      </c>
      <c r="H475" s="45" t="s">
        <v>18</v>
      </c>
      <c r="I475" s="42">
        <f t="shared" si="115"/>
        <v>0</v>
      </c>
      <c r="J475" s="40" t="s">
        <v>19</v>
      </c>
      <c r="K475" s="40"/>
      <c r="L475" s="40"/>
      <c r="M475" s="46">
        <f t="shared" si="110"/>
        <v>0</v>
      </c>
      <c r="N475" s="40"/>
      <c r="O475" s="40"/>
      <c r="P475" s="40"/>
      <c r="Q475" s="45" t="s">
        <v>18</v>
      </c>
      <c r="R475" s="40"/>
      <c r="S475" s="40" t="s">
        <v>19</v>
      </c>
      <c r="T475" s="47"/>
      <c r="U475" s="40">
        <f t="shared" si="112"/>
        <v>0</v>
      </c>
      <c r="V475" s="176"/>
      <c r="W475" s="47"/>
      <c r="X475" s="40"/>
    </row>
    <row r="476" spans="1:24" s="20" customFormat="1" ht="33.75" customHeight="1" thickBot="1" x14ac:dyDescent="0.35">
      <c r="A476" s="41"/>
      <c r="B476" s="271" t="s">
        <v>562</v>
      </c>
      <c r="C476" s="272"/>
      <c r="D476" s="273">
        <f>C476*20</f>
        <v>0</v>
      </c>
      <c r="E476" s="274">
        <f>D476*0.25</f>
        <v>0</v>
      </c>
      <c r="F476" s="275">
        <f>E476*1.03*0.82*0.9/165</f>
        <v>0</v>
      </c>
      <c r="G476" s="272">
        <f t="shared" si="114"/>
        <v>0</v>
      </c>
      <c r="H476" s="274" t="s">
        <v>18</v>
      </c>
      <c r="I476" s="272">
        <f t="shared" si="115"/>
        <v>0</v>
      </c>
      <c r="J476" s="276" t="s">
        <v>19</v>
      </c>
      <c r="K476" s="276"/>
      <c r="L476" s="276"/>
      <c r="M476" s="277">
        <f>(F476*8333/3456)</f>
        <v>0</v>
      </c>
      <c r="N476" s="40"/>
      <c r="O476" s="40"/>
      <c r="P476" s="40"/>
      <c r="Q476" s="14" t="s">
        <v>18</v>
      </c>
      <c r="R476" s="40"/>
      <c r="S476" s="40" t="s">
        <v>19</v>
      </c>
      <c r="T476" s="47"/>
      <c r="U476" s="40">
        <f t="shared" ref="U476:U482" si="116">E476/259*60</f>
        <v>0</v>
      </c>
      <c r="V476" s="40"/>
      <c r="W476" s="47"/>
      <c r="X476" s="40"/>
    </row>
    <row r="477" spans="1:24" s="20" customFormat="1" ht="26.25" customHeight="1" thickBot="1" x14ac:dyDescent="0.35">
      <c r="A477" s="41"/>
      <c r="B477" s="41" t="s">
        <v>282</v>
      </c>
      <c r="C477" s="42"/>
      <c r="D477" s="43">
        <f>C477*20</f>
        <v>0</v>
      </c>
      <c r="E477" s="45">
        <f>D477*0.25</f>
        <v>0</v>
      </c>
      <c r="F477" s="50">
        <f>E477*1.001*0.72/147</f>
        <v>0</v>
      </c>
      <c r="G477" s="42">
        <f t="shared" ref="G477:G483" si="117">INT(M477)</f>
        <v>0</v>
      </c>
      <c r="H477" s="45" t="s">
        <v>18</v>
      </c>
      <c r="I477" s="42">
        <f t="shared" ref="I477:I483" si="118">(M477-G477)*64</f>
        <v>0</v>
      </c>
      <c r="J477" s="40" t="s">
        <v>19</v>
      </c>
      <c r="K477" s="40"/>
      <c r="L477" s="40"/>
      <c r="M477" s="46">
        <f>(F477*7177/3456)</f>
        <v>0</v>
      </c>
      <c r="N477" s="40"/>
      <c r="O477" s="40"/>
      <c r="P477" s="40"/>
      <c r="Q477" s="14" t="s">
        <v>18</v>
      </c>
      <c r="R477" s="40"/>
      <c r="S477" s="40" t="s">
        <v>19</v>
      </c>
      <c r="T477" s="47"/>
      <c r="U477" s="40">
        <f t="shared" si="116"/>
        <v>0</v>
      </c>
      <c r="V477" s="40"/>
      <c r="W477" s="47"/>
      <c r="X477" s="40"/>
    </row>
    <row r="478" spans="1:24" s="20" customFormat="1" ht="26.25" customHeight="1" thickBot="1" x14ac:dyDescent="0.35">
      <c r="A478" s="41"/>
      <c r="B478" s="271" t="s">
        <v>563</v>
      </c>
      <c r="C478" s="272"/>
      <c r="D478" s="273">
        <f>C478*20</f>
        <v>0</v>
      </c>
      <c r="E478" s="274">
        <f>D478*0.25</f>
        <v>0</v>
      </c>
      <c r="F478" s="275">
        <f>E478*1.03*0.82*0.9/165</f>
        <v>0</v>
      </c>
      <c r="G478" s="272">
        <f t="shared" si="117"/>
        <v>0</v>
      </c>
      <c r="H478" s="274" t="s">
        <v>18</v>
      </c>
      <c r="I478" s="272">
        <f t="shared" si="118"/>
        <v>0</v>
      </c>
      <c r="J478" s="276" t="s">
        <v>19</v>
      </c>
      <c r="K478" s="276"/>
      <c r="L478" s="276"/>
      <c r="M478" s="277">
        <f>(F478*8333/3456)</f>
        <v>0</v>
      </c>
      <c r="N478" s="40"/>
      <c r="O478" s="40"/>
      <c r="P478" s="40"/>
      <c r="Q478" s="14" t="s">
        <v>18</v>
      </c>
      <c r="R478" s="40"/>
      <c r="S478" s="40" t="s">
        <v>19</v>
      </c>
      <c r="T478" s="47"/>
      <c r="U478" s="40">
        <f t="shared" si="116"/>
        <v>0</v>
      </c>
      <c r="V478" s="40"/>
      <c r="W478" s="47"/>
      <c r="X478" s="40"/>
    </row>
    <row r="479" spans="1:24" s="20" customFormat="1" ht="26.25" customHeight="1" thickBot="1" x14ac:dyDescent="0.35">
      <c r="A479" s="41"/>
      <c r="B479" s="41" t="s">
        <v>283</v>
      </c>
      <c r="C479" s="42"/>
      <c r="D479" s="43">
        <f>C479*20</f>
        <v>0</v>
      </c>
      <c r="E479" s="45">
        <f>D479*0.25</f>
        <v>0</v>
      </c>
      <c r="F479" s="50">
        <f>E479*1.001*0.72/147</f>
        <v>0</v>
      </c>
      <c r="G479" s="42">
        <f t="shared" si="117"/>
        <v>0</v>
      </c>
      <c r="H479" s="45" t="s">
        <v>18</v>
      </c>
      <c r="I479" s="42">
        <f t="shared" si="118"/>
        <v>0</v>
      </c>
      <c r="J479" s="40" t="s">
        <v>19</v>
      </c>
      <c r="K479" s="40"/>
      <c r="L479" s="40"/>
      <c r="M479" s="46">
        <f>(F479*7177/3456)</f>
        <v>0</v>
      </c>
      <c r="N479" s="40"/>
      <c r="O479" s="40"/>
      <c r="P479" s="40"/>
      <c r="Q479" s="14" t="s">
        <v>18</v>
      </c>
      <c r="R479" s="40"/>
      <c r="S479" s="40" t="s">
        <v>19</v>
      </c>
      <c r="T479" s="47"/>
      <c r="U479" s="40">
        <f t="shared" si="116"/>
        <v>0</v>
      </c>
      <c r="V479" s="40"/>
      <c r="W479" s="47"/>
      <c r="X479" s="40"/>
    </row>
    <row r="480" spans="1:24" s="20" customFormat="1" ht="21.75" customHeight="1" thickBot="1" x14ac:dyDescent="0.35">
      <c r="A480" s="41"/>
      <c r="B480" s="41" t="s">
        <v>89</v>
      </c>
      <c r="C480" s="42"/>
      <c r="D480" s="43">
        <f>C480*144</f>
        <v>0</v>
      </c>
      <c r="E480" s="45">
        <f>D480*0.025</f>
        <v>0</v>
      </c>
      <c r="F480" s="50">
        <f>E480*1.03*0.72/147</f>
        <v>0</v>
      </c>
      <c r="G480" s="42">
        <f t="shared" si="117"/>
        <v>0</v>
      </c>
      <c r="H480" s="45" t="s">
        <v>18</v>
      </c>
      <c r="I480" s="42">
        <f t="shared" si="118"/>
        <v>0</v>
      </c>
      <c r="J480" s="40" t="s">
        <v>19</v>
      </c>
      <c r="K480" s="40"/>
      <c r="L480" s="40"/>
      <c r="M480" s="46">
        <f>(F480*8448/3456)</f>
        <v>0</v>
      </c>
      <c r="N480" s="40"/>
      <c r="O480" s="40"/>
      <c r="P480" s="40"/>
      <c r="Q480" s="14" t="s">
        <v>18</v>
      </c>
      <c r="R480" s="40"/>
      <c r="S480" s="40" t="s">
        <v>19</v>
      </c>
      <c r="T480" s="47"/>
      <c r="U480" s="40">
        <f t="shared" si="116"/>
        <v>0</v>
      </c>
      <c r="V480" s="40"/>
      <c r="W480" s="47"/>
      <c r="X480" s="40"/>
    </row>
    <row r="481" spans="1:26" s="20" customFormat="1" ht="21.75" customHeight="1" thickBot="1" x14ac:dyDescent="0.35">
      <c r="A481" s="41"/>
      <c r="B481" s="41" t="s">
        <v>219</v>
      </c>
      <c r="C481" s="42"/>
      <c r="D481" s="43">
        <f>C481*10</f>
        <v>0</v>
      </c>
      <c r="E481" s="45">
        <f>D481*0.2</f>
        <v>0</v>
      </c>
      <c r="F481" s="50">
        <f>E481*1.03*0.72/147</f>
        <v>0</v>
      </c>
      <c r="G481" s="42">
        <f t="shared" si="117"/>
        <v>0</v>
      </c>
      <c r="H481" s="45" t="s">
        <v>18</v>
      </c>
      <c r="I481" s="42">
        <f t="shared" si="118"/>
        <v>0</v>
      </c>
      <c r="J481" s="40" t="s">
        <v>19</v>
      </c>
      <c r="K481" s="40"/>
      <c r="L481" s="40"/>
      <c r="M481" s="46">
        <f>(F481*8400/3456)</f>
        <v>0</v>
      </c>
      <c r="N481" s="40"/>
      <c r="O481" s="40"/>
      <c r="P481" s="40"/>
      <c r="Q481" s="14" t="s">
        <v>18</v>
      </c>
      <c r="R481" s="40"/>
      <c r="S481" s="40" t="s">
        <v>19</v>
      </c>
      <c r="T481" s="47"/>
      <c r="U481" s="40">
        <f t="shared" si="116"/>
        <v>0</v>
      </c>
      <c r="V481" s="40"/>
      <c r="W481" s="47"/>
      <c r="X481" s="40"/>
    </row>
    <row r="482" spans="1:26" s="20" customFormat="1" ht="27.75" customHeight="1" thickBot="1" x14ac:dyDescent="0.35">
      <c r="A482" s="41"/>
      <c r="B482" s="41" t="s">
        <v>86</v>
      </c>
      <c r="C482" s="42"/>
      <c r="D482" s="43">
        <f>C482*10</f>
        <v>0</v>
      </c>
      <c r="E482" s="45">
        <f>D482*0.2</f>
        <v>0</v>
      </c>
      <c r="F482" s="50">
        <f>E482*1.03*0.72/147</f>
        <v>0</v>
      </c>
      <c r="G482" s="42">
        <f t="shared" si="117"/>
        <v>0</v>
      </c>
      <c r="H482" s="45" t="s">
        <v>18</v>
      </c>
      <c r="I482" s="42">
        <f t="shared" si="118"/>
        <v>0</v>
      </c>
      <c r="J482" s="40" t="s">
        <v>19</v>
      </c>
      <c r="K482" s="40"/>
      <c r="L482" s="40"/>
      <c r="M482" s="46">
        <f>(F482*8400/3456)</f>
        <v>0</v>
      </c>
      <c r="N482" s="40"/>
      <c r="O482" s="40"/>
      <c r="P482" s="40"/>
      <c r="Q482" s="14" t="s">
        <v>18</v>
      </c>
      <c r="R482" s="40"/>
      <c r="S482" s="40" t="s">
        <v>19</v>
      </c>
      <c r="T482" s="47"/>
      <c r="U482" s="40">
        <f t="shared" si="116"/>
        <v>0</v>
      </c>
      <c r="V482" s="40"/>
      <c r="W482" s="47"/>
      <c r="X482" s="40"/>
    </row>
    <row r="483" spans="1:26" s="20" customFormat="1" ht="33.75" customHeight="1" thickBot="1" x14ac:dyDescent="0.35">
      <c r="A483" s="41"/>
      <c r="B483" s="41" t="s">
        <v>98</v>
      </c>
      <c r="C483" s="42"/>
      <c r="D483" s="43">
        <f>C483*10</f>
        <v>0</v>
      </c>
      <c r="E483" s="40">
        <f>D483*0.2</f>
        <v>0</v>
      </c>
      <c r="F483" s="50">
        <f>E483*1.03*0.8/147</f>
        <v>0</v>
      </c>
      <c r="G483" s="42">
        <f t="shared" si="117"/>
        <v>0</v>
      </c>
      <c r="H483" s="45" t="s">
        <v>18</v>
      </c>
      <c r="I483" s="42">
        <f t="shared" si="118"/>
        <v>0</v>
      </c>
      <c r="J483" s="40" t="s">
        <v>19</v>
      </c>
      <c r="K483" s="40"/>
      <c r="L483" s="40"/>
      <c r="M483" s="46">
        <f>(F483*9483)/3456</f>
        <v>0</v>
      </c>
      <c r="N483" s="40"/>
      <c r="O483" s="40"/>
      <c r="P483" s="40"/>
      <c r="Q483" s="14" t="s">
        <v>18</v>
      </c>
      <c r="R483" s="40"/>
      <c r="S483" s="40" t="s">
        <v>19</v>
      </c>
      <c r="T483" s="47"/>
      <c r="U483" s="40">
        <f>E483/220*60</f>
        <v>0</v>
      </c>
      <c r="V483" s="40"/>
      <c r="W483" s="47"/>
      <c r="X483" s="40"/>
    </row>
    <row r="484" spans="1:26" s="128" customFormat="1" ht="33" customHeight="1" thickBot="1" x14ac:dyDescent="0.35">
      <c r="A484" s="129"/>
      <c r="B484" s="130" t="s">
        <v>288</v>
      </c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</row>
    <row r="485" spans="1:26" s="20" customFormat="1" ht="21.75" customHeight="1" thickBot="1" x14ac:dyDescent="0.35">
      <c r="A485" s="41"/>
      <c r="B485" s="41" t="s">
        <v>93</v>
      </c>
      <c r="C485" s="42"/>
      <c r="D485" s="43"/>
      <c r="E485" s="45">
        <f>C485*2.5</f>
        <v>0</v>
      </c>
      <c r="F485" s="50">
        <f>E485*1.03*0.8/147</f>
        <v>0</v>
      </c>
      <c r="G485" s="42">
        <f t="shared" ref="G485:G493" si="119">INT(M485)</f>
        <v>0</v>
      </c>
      <c r="H485" s="45" t="s">
        <v>18</v>
      </c>
      <c r="I485" s="42">
        <f t="shared" ref="I485:I493" si="120">(M485-G485)*64</f>
        <v>0</v>
      </c>
      <c r="J485" s="40" t="s">
        <v>19</v>
      </c>
      <c r="K485" s="40"/>
      <c r="L485" s="40"/>
      <c r="M485" s="46">
        <f>(F485*5444/3456)</f>
        <v>0</v>
      </c>
      <c r="N485" s="40"/>
      <c r="O485" s="40"/>
      <c r="P485" s="40"/>
      <c r="Q485" s="14" t="s">
        <v>18</v>
      </c>
      <c r="R485" s="40"/>
      <c r="S485" s="40" t="s">
        <v>19</v>
      </c>
      <c r="T485" s="47"/>
      <c r="U485" s="40">
        <f t="shared" ref="U485:U490" si="121">E485/324*60</f>
        <v>0</v>
      </c>
      <c r="V485" s="40"/>
      <c r="W485" s="47"/>
      <c r="X485" s="40"/>
    </row>
    <row r="486" spans="1:26" s="20" customFormat="1" ht="21.75" customHeight="1" thickBot="1" x14ac:dyDescent="0.35">
      <c r="A486" s="53"/>
      <c r="B486" s="53" t="s">
        <v>91</v>
      </c>
      <c r="C486" s="42"/>
      <c r="D486" s="43"/>
      <c r="E486" s="45">
        <f>C486*2.5</f>
        <v>0</v>
      </c>
      <c r="F486" s="50">
        <f>E486*1.03*0.72/147</f>
        <v>0</v>
      </c>
      <c r="G486" s="42">
        <f t="shared" si="119"/>
        <v>0</v>
      </c>
      <c r="H486" s="45" t="s">
        <v>18</v>
      </c>
      <c r="I486" s="42">
        <f t="shared" si="120"/>
        <v>0</v>
      </c>
      <c r="J486" s="40" t="s">
        <v>19</v>
      </c>
      <c r="K486" s="40"/>
      <c r="L486" s="40"/>
      <c r="M486" s="46">
        <f>(F486*6049/3456)</f>
        <v>0</v>
      </c>
      <c r="N486" s="40"/>
      <c r="O486" s="40"/>
      <c r="P486" s="40"/>
      <c r="Q486" s="14" t="s">
        <v>18</v>
      </c>
      <c r="R486" s="40"/>
      <c r="S486" s="40" t="s">
        <v>19</v>
      </c>
      <c r="T486" s="47"/>
      <c r="U486" s="40">
        <f t="shared" si="121"/>
        <v>0</v>
      </c>
      <c r="V486" s="40"/>
      <c r="W486" s="47"/>
      <c r="X486" s="40"/>
    </row>
    <row r="487" spans="1:26" s="20" customFormat="1" ht="21.75" customHeight="1" thickBot="1" x14ac:dyDescent="0.35">
      <c r="A487" s="53"/>
      <c r="B487" s="53" t="s">
        <v>81</v>
      </c>
      <c r="C487" s="42"/>
      <c r="D487" s="43"/>
      <c r="E487" s="45">
        <f>C487*2.5</f>
        <v>0</v>
      </c>
      <c r="F487" s="50">
        <f>E487*1.03*0.72/147</f>
        <v>0</v>
      </c>
      <c r="G487" s="42">
        <f t="shared" si="119"/>
        <v>0</v>
      </c>
      <c r="H487" s="45" t="s">
        <v>18</v>
      </c>
      <c r="I487" s="42">
        <f t="shared" si="120"/>
        <v>0</v>
      </c>
      <c r="J487" s="40" t="s">
        <v>19</v>
      </c>
      <c r="K487" s="40"/>
      <c r="L487" s="40"/>
      <c r="M487" s="46">
        <f>(F487*6049/3456)</f>
        <v>0</v>
      </c>
      <c r="N487" s="40"/>
      <c r="O487" s="40"/>
      <c r="P487" s="40"/>
      <c r="Q487" s="14" t="s">
        <v>18</v>
      </c>
      <c r="R487" s="40"/>
      <c r="S487" s="40" t="s">
        <v>19</v>
      </c>
      <c r="T487" s="47"/>
      <c r="U487" s="40">
        <f t="shared" si="121"/>
        <v>0</v>
      </c>
      <c r="V487" s="40"/>
      <c r="W487" s="47"/>
      <c r="X487" s="40"/>
    </row>
    <row r="488" spans="1:26" s="20" customFormat="1" ht="41.25" customHeight="1" thickBot="1" x14ac:dyDescent="0.35">
      <c r="A488" s="41"/>
      <c r="B488" s="41" t="s">
        <v>564</v>
      </c>
      <c r="C488" s="42"/>
      <c r="D488" s="43"/>
      <c r="E488" s="45">
        <f>C488*4</f>
        <v>0</v>
      </c>
      <c r="F488" s="50">
        <f>E488*1.03*0.72/147</f>
        <v>0</v>
      </c>
      <c r="G488" s="42">
        <f t="shared" si="119"/>
        <v>0</v>
      </c>
      <c r="H488" s="45" t="s">
        <v>18</v>
      </c>
      <c r="I488" s="42">
        <f t="shared" si="120"/>
        <v>0</v>
      </c>
      <c r="J488" s="40" t="s">
        <v>19</v>
      </c>
      <c r="K488" s="40"/>
      <c r="L488" s="40"/>
      <c r="M488" s="46">
        <f>(F488*6049/3456)</f>
        <v>0</v>
      </c>
      <c r="N488" s="40"/>
      <c r="O488" s="40"/>
      <c r="P488" s="40"/>
      <c r="Q488" s="14" t="s">
        <v>18</v>
      </c>
      <c r="R488" s="40"/>
      <c r="S488" s="40" t="s">
        <v>19</v>
      </c>
      <c r="T488" s="47"/>
      <c r="U488" s="40">
        <f t="shared" si="121"/>
        <v>0</v>
      </c>
      <c r="V488" s="40"/>
      <c r="W488" s="47"/>
      <c r="X488" s="40"/>
    </row>
    <row r="489" spans="1:26" s="20" customFormat="1" ht="21.75" customHeight="1" thickBot="1" x14ac:dyDescent="0.35">
      <c r="A489" s="41"/>
      <c r="B489" s="41" t="s">
        <v>565</v>
      </c>
      <c r="C489" s="42"/>
      <c r="D489" s="43"/>
      <c r="E489" s="45">
        <f>C489*4</f>
        <v>0</v>
      </c>
      <c r="F489" s="50">
        <f>E489*1.03*0.8/147</f>
        <v>0</v>
      </c>
      <c r="G489" s="42">
        <f t="shared" si="119"/>
        <v>0</v>
      </c>
      <c r="H489" s="45" t="s">
        <v>18</v>
      </c>
      <c r="I489" s="42">
        <f t="shared" si="120"/>
        <v>0</v>
      </c>
      <c r="J489" s="40" t="s">
        <v>19</v>
      </c>
      <c r="K489" s="40"/>
      <c r="L489" s="40"/>
      <c r="M489" s="46">
        <f>(F489*5444/3456)</f>
        <v>0</v>
      </c>
      <c r="N489" s="40"/>
      <c r="O489" s="40"/>
      <c r="P489" s="40"/>
      <c r="Q489" s="14" t="s">
        <v>18</v>
      </c>
      <c r="R489" s="40"/>
      <c r="S489" s="40" t="s">
        <v>19</v>
      </c>
      <c r="T489" s="47"/>
      <c r="U489" s="40">
        <f t="shared" si="121"/>
        <v>0</v>
      </c>
      <c r="V489" s="40"/>
      <c r="W489" s="47"/>
      <c r="X489" s="40"/>
    </row>
    <row r="490" spans="1:26" s="20" customFormat="1" ht="23.25" customHeight="1" thickBot="1" x14ac:dyDescent="0.35">
      <c r="A490" s="41"/>
      <c r="B490" s="271" t="s">
        <v>566</v>
      </c>
      <c r="C490" s="272"/>
      <c r="D490" s="273"/>
      <c r="E490" s="274">
        <f>C490*4</f>
        <v>0</v>
      </c>
      <c r="F490" s="275">
        <f>E490*1.03*0.8/165</f>
        <v>0</v>
      </c>
      <c r="G490" s="272">
        <f t="shared" si="119"/>
        <v>0</v>
      </c>
      <c r="H490" s="274" t="s">
        <v>18</v>
      </c>
      <c r="I490" s="272">
        <f t="shared" si="120"/>
        <v>0</v>
      </c>
      <c r="J490" s="276" t="s">
        <v>19</v>
      </c>
      <c r="K490" s="276"/>
      <c r="L490" s="276"/>
      <c r="M490" s="277">
        <f>(F490*6800/3456)</f>
        <v>0</v>
      </c>
      <c r="N490" s="40"/>
      <c r="O490" s="40"/>
      <c r="P490" s="40"/>
      <c r="Q490" s="14" t="s">
        <v>18</v>
      </c>
      <c r="R490" s="40"/>
      <c r="S490" s="40" t="s">
        <v>19</v>
      </c>
      <c r="T490" s="47"/>
      <c r="U490" s="40">
        <f t="shared" si="121"/>
        <v>0</v>
      </c>
      <c r="V490" s="40"/>
      <c r="W490" s="47"/>
      <c r="X490" s="40"/>
    </row>
    <row r="491" spans="1:26" s="269" customFormat="1" ht="32.25" customHeight="1" thickBot="1" x14ac:dyDescent="0.35">
      <c r="A491" s="260"/>
      <c r="B491" s="260" t="s">
        <v>559</v>
      </c>
      <c r="C491" s="261"/>
      <c r="D491" s="262">
        <f>C491*12</f>
        <v>0</v>
      </c>
      <c r="E491" s="263">
        <f>D491*0.255</f>
        <v>0</v>
      </c>
      <c r="F491" s="264">
        <f>E491*1.03*1.05/173</f>
        <v>0</v>
      </c>
      <c r="G491" s="261">
        <f t="shared" si="119"/>
        <v>0</v>
      </c>
      <c r="H491" s="265" t="s">
        <v>18</v>
      </c>
      <c r="I491" s="261">
        <f t="shared" si="120"/>
        <v>0</v>
      </c>
      <c r="J491" s="263" t="s">
        <v>19</v>
      </c>
      <c r="K491" s="263"/>
      <c r="L491" s="263"/>
      <c r="M491" s="266">
        <f>(F491*7673)/2880</f>
        <v>0</v>
      </c>
      <c r="N491" s="263"/>
      <c r="O491" s="263"/>
      <c r="P491" s="263"/>
      <c r="Q491" s="265" t="s">
        <v>18</v>
      </c>
      <c r="R491" s="263"/>
      <c r="S491" s="263" t="s">
        <v>19</v>
      </c>
      <c r="T491" s="267"/>
      <c r="U491" s="263">
        <f>E491/272*60</f>
        <v>0</v>
      </c>
      <c r="V491" s="263"/>
      <c r="W491" s="267"/>
      <c r="X491" s="263"/>
      <c r="Y491" s="268"/>
      <c r="Z491" s="268"/>
    </row>
    <row r="492" spans="1:26" s="269" customFormat="1" ht="38.25" customHeight="1" thickBot="1" x14ac:dyDescent="0.35">
      <c r="A492" s="260"/>
      <c r="B492" s="260" t="s">
        <v>560</v>
      </c>
      <c r="C492" s="261"/>
      <c r="D492" s="262">
        <f>C492*12</f>
        <v>0</v>
      </c>
      <c r="E492" s="263">
        <f>D492*0.255</f>
        <v>0</v>
      </c>
      <c r="F492" s="264">
        <f>E492*1.03*1.05/173</f>
        <v>0</v>
      </c>
      <c r="G492" s="261">
        <f t="shared" si="119"/>
        <v>0</v>
      </c>
      <c r="H492" s="265" t="s">
        <v>18</v>
      </c>
      <c r="I492" s="261">
        <f t="shared" si="120"/>
        <v>0</v>
      </c>
      <c r="J492" s="263" t="s">
        <v>19</v>
      </c>
      <c r="K492" s="263"/>
      <c r="L492" s="263"/>
      <c r="M492" s="266">
        <f>(F492*7673)/2880</f>
        <v>0</v>
      </c>
      <c r="N492" s="263"/>
      <c r="O492" s="263"/>
      <c r="P492" s="263"/>
      <c r="Q492" s="265" t="s">
        <v>18</v>
      </c>
      <c r="R492" s="263"/>
      <c r="S492" s="263" t="s">
        <v>19</v>
      </c>
      <c r="T492" s="267"/>
      <c r="U492" s="263">
        <f>E492/272*60</f>
        <v>0</v>
      </c>
      <c r="V492" s="263"/>
      <c r="W492" s="267"/>
      <c r="X492" s="263"/>
      <c r="Y492" s="268"/>
      <c r="Z492" s="268"/>
    </row>
    <row r="493" spans="1:26" s="269" customFormat="1" ht="41.25" customHeight="1" thickBot="1" x14ac:dyDescent="0.35">
      <c r="A493" s="260"/>
      <c r="B493" s="260" t="s">
        <v>561</v>
      </c>
      <c r="C493" s="261"/>
      <c r="D493" s="262">
        <f>C493*12</f>
        <v>0</v>
      </c>
      <c r="E493" s="263">
        <f>D493*0.255</f>
        <v>0</v>
      </c>
      <c r="F493" s="264">
        <f>E493*1.03*1.05/173</f>
        <v>0</v>
      </c>
      <c r="G493" s="261">
        <f t="shared" si="119"/>
        <v>0</v>
      </c>
      <c r="H493" s="265" t="s">
        <v>18</v>
      </c>
      <c r="I493" s="261">
        <f t="shared" si="120"/>
        <v>0</v>
      </c>
      <c r="J493" s="263" t="s">
        <v>19</v>
      </c>
      <c r="K493" s="263"/>
      <c r="L493" s="263"/>
      <c r="M493" s="266">
        <f>(F493*7673)/2880</f>
        <v>0</v>
      </c>
      <c r="N493" s="263"/>
      <c r="O493" s="263"/>
      <c r="P493" s="263"/>
      <c r="Q493" s="265" t="s">
        <v>18</v>
      </c>
      <c r="R493" s="263"/>
      <c r="S493" s="263" t="s">
        <v>19</v>
      </c>
      <c r="T493" s="267"/>
      <c r="U493" s="263">
        <f>E493/272*60</f>
        <v>0</v>
      </c>
      <c r="V493" s="263"/>
      <c r="W493" s="267"/>
      <c r="X493" s="263"/>
      <c r="Y493" s="268"/>
      <c r="Z493" s="268"/>
    </row>
    <row r="494" spans="1:26" s="20" customFormat="1" ht="19.5" thickBot="1" x14ac:dyDescent="0.35">
      <c r="A494" s="40"/>
      <c r="B494" s="41" t="s">
        <v>76</v>
      </c>
      <c r="C494" s="42"/>
      <c r="D494" s="43"/>
      <c r="E494" s="45"/>
      <c r="F494" s="44"/>
      <c r="G494" s="48"/>
      <c r="H494" s="49"/>
      <c r="I494" s="48"/>
      <c r="J494" s="49"/>
      <c r="K494" s="46"/>
      <c r="L494" s="46"/>
      <c r="M494" s="46"/>
      <c r="N494" s="40"/>
      <c r="O494" s="40"/>
      <c r="P494" s="40"/>
      <c r="Q494" s="14"/>
      <c r="R494" s="40"/>
      <c r="S494" s="14"/>
      <c r="T494" s="47"/>
      <c r="U494" s="40"/>
      <c r="V494" s="40"/>
      <c r="W494" s="47"/>
      <c r="X494" s="40"/>
    </row>
    <row r="495" spans="1:26" s="20" customFormat="1" ht="19.5" thickBot="1" x14ac:dyDescent="0.35">
      <c r="A495" s="40"/>
      <c r="B495" s="41" t="s">
        <v>77</v>
      </c>
      <c r="C495" s="42"/>
      <c r="D495" s="43"/>
      <c r="E495" s="40">
        <f>SUM(E457:E475)</f>
        <v>0</v>
      </c>
      <c r="F495" s="50">
        <f>SUM(F457:F494)</f>
        <v>0</v>
      </c>
      <c r="G495" s="42"/>
      <c r="H495" s="14"/>
      <c r="I495" s="42"/>
      <c r="J495" s="14"/>
      <c r="K495" s="40"/>
      <c r="L495" s="40"/>
      <c r="M495" s="40"/>
      <c r="N495" s="40"/>
      <c r="O495" s="40"/>
      <c r="P495" s="40"/>
      <c r="Q495" s="45"/>
      <c r="R495" s="40"/>
      <c r="S495" s="40"/>
      <c r="T495" s="47"/>
      <c r="U495" s="40"/>
      <c r="V495" s="40"/>
      <c r="W495" s="47"/>
      <c r="X495" s="40"/>
    </row>
    <row r="496" spans="1:26" s="128" customFormat="1" ht="19.5" thickBot="1" x14ac:dyDescent="0.35">
      <c r="A496" s="117"/>
      <c r="B496" s="917" t="s">
        <v>289</v>
      </c>
      <c r="C496" s="917"/>
      <c r="D496" s="917"/>
      <c r="E496" s="917"/>
      <c r="F496" s="917"/>
      <c r="G496" s="917"/>
      <c r="H496" s="917"/>
      <c r="I496" s="917"/>
      <c r="J496" s="917"/>
      <c r="K496" s="917"/>
      <c r="L496" s="917"/>
      <c r="M496" s="917"/>
      <c r="N496" s="917"/>
      <c r="O496" s="917"/>
      <c r="P496" s="917"/>
      <c r="Q496" s="917"/>
      <c r="R496" s="917"/>
      <c r="S496" s="917"/>
      <c r="T496" s="917"/>
      <c r="U496" s="917"/>
      <c r="V496" s="917"/>
      <c r="W496" s="917"/>
      <c r="X496" s="917"/>
    </row>
    <row r="497" spans="1:24" s="128" customFormat="1" ht="19.5" thickBot="1" x14ac:dyDescent="0.35">
      <c r="A497" s="129"/>
      <c r="B497" s="130" t="s">
        <v>285</v>
      </c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</row>
    <row r="498" spans="1:24" s="128" customFormat="1" ht="19.5" thickBot="1" x14ac:dyDescent="0.35">
      <c r="A498" s="129"/>
      <c r="B498" s="130" t="s">
        <v>286</v>
      </c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</row>
    <row r="499" spans="1:24" s="20" customFormat="1" ht="19.5" thickBot="1" x14ac:dyDescent="0.35">
      <c r="A499" s="41"/>
      <c r="B499" s="116" t="s">
        <v>231</v>
      </c>
      <c r="C499" s="42"/>
      <c r="D499" s="43">
        <f>C499*10</f>
        <v>0</v>
      </c>
      <c r="E499" s="45">
        <f>D499*0.25</f>
        <v>0</v>
      </c>
      <c r="F499" s="50">
        <f>E499*1.03*0.8/147</f>
        <v>0</v>
      </c>
      <c r="G499" s="42">
        <f t="shared" ref="G499:G505" si="122">INT(M499)</f>
        <v>0</v>
      </c>
      <c r="H499" s="45" t="s">
        <v>18</v>
      </c>
      <c r="I499" s="42">
        <f t="shared" ref="I499:I505" si="123">(M499-G499)*64</f>
        <v>0</v>
      </c>
      <c r="J499" s="40" t="s">
        <v>19</v>
      </c>
      <c r="K499" s="40"/>
      <c r="L499" s="40"/>
      <c r="M499" s="46">
        <f>(F499*7461/3456)</f>
        <v>0</v>
      </c>
      <c r="N499" s="40"/>
      <c r="O499" s="40"/>
      <c r="P499" s="40"/>
      <c r="Q499" s="14" t="s">
        <v>18</v>
      </c>
      <c r="R499" s="40"/>
      <c r="S499" s="40" t="s">
        <v>19</v>
      </c>
      <c r="T499" s="47"/>
      <c r="U499" s="40">
        <f>E499/259*60</f>
        <v>0</v>
      </c>
      <c r="V499" s="176"/>
      <c r="W499" s="47"/>
      <c r="X499" s="40"/>
    </row>
    <row r="500" spans="1:24" s="20" customFormat="1" ht="19.5" thickBot="1" x14ac:dyDescent="0.35">
      <c r="A500" s="41"/>
      <c r="B500" s="116" t="s">
        <v>232</v>
      </c>
      <c r="C500" s="42"/>
      <c r="D500" s="42">
        <f>C500*10</f>
        <v>0</v>
      </c>
      <c r="E500" s="45">
        <f>D500*0.25</f>
        <v>0</v>
      </c>
      <c r="F500" s="50">
        <f>E500*1.03*0.8/147</f>
        <v>0</v>
      </c>
      <c r="G500" s="42">
        <f t="shared" si="122"/>
        <v>0</v>
      </c>
      <c r="H500" s="45" t="s">
        <v>18</v>
      </c>
      <c r="I500" s="42">
        <f t="shared" si="123"/>
        <v>0</v>
      </c>
      <c r="J500" s="40" t="s">
        <v>19</v>
      </c>
      <c r="K500" s="40"/>
      <c r="L500" s="40"/>
      <c r="M500" s="46">
        <f>(F500*7461/3456)</f>
        <v>0</v>
      </c>
      <c r="N500" s="40"/>
      <c r="O500" s="40"/>
      <c r="P500" s="40"/>
      <c r="Q500" s="14" t="s">
        <v>18</v>
      </c>
      <c r="R500" s="40"/>
      <c r="S500" s="40" t="s">
        <v>19</v>
      </c>
      <c r="T500" s="47"/>
      <c r="U500" s="40">
        <f>E500/259*60</f>
        <v>0</v>
      </c>
      <c r="V500" s="176"/>
      <c r="W500" s="47"/>
      <c r="X500" s="40"/>
    </row>
    <row r="501" spans="1:24" s="20" customFormat="1" ht="19.5" thickBot="1" x14ac:dyDescent="0.35">
      <c r="A501" s="41"/>
      <c r="B501" s="116" t="s">
        <v>227</v>
      </c>
      <c r="C501" s="42"/>
      <c r="D501" s="43">
        <f>C501*10</f>
        <v>0</v>
      </c>
      <c r="E501" s="40">
        <f>D501*0.18</f>
        <v>0</v>
      </c>
      <c r="F501" s="50">
        <f>E501*1.03*0.8/147</f>
        <v>0</v>
      </c>
      <c r="G501" s="42">
        <f t="shared" si="122"/>
        <v>0</v>
      </c>
      <c r="H501" s="45" t="s">
        <v>18</v>
      </c>
      <c r="I501" s="42">
        <f t="shared" si="123"/>
        <v>0</v>
      </c>
      <c r="J501" s="40" t="s">
        <v>19</v>
      </c>
      <c r="K501" s="40"/>
      <c r="L501" s="40"/>
      <c r="M501" s="291">
        <f>(F501*10000)/3456</f>
        <v>0</v>
      </c>
      <c r="N501" s="40"/>
      <c r="O501" s="40"/>
      <c r="P501" s="40"/>
      <c r="Q501" s="45" t="s">
        <v>18</v>
      </c>
      <c r="R501" s="40"/>
      <c r="S501" s="40" t="s">
        <v>19</v>
      </c>
      <c r="T501" s="47"/>
      <c r="U501" s="40">
        <f>E501/207*60</f>
        <v>0</v>
      </c>
      <c r="V501" s="176"/>
      <c r="W501" s="47"/>
      <c r="X501" s="40"/>
    </row>
    <row r="502" spans="1:24" s="20" customFormat="1" ht="38.25" thickBot="1" x14ac:dyDescent="0.35">
      <c r="A502" s="41"/>
      <c r="B502" s="116" t="s">
        <v>234</v>
      </c>
      <c r="C502" s="42"/>
      <c r="D502" s="43">
        <f>C502*10</f>
        <v>0</v>
      </c>
      <c r="E502" s="45">
        <f>D502*0.25</f>
        <v>0</v>
      </c>
      <c r="F502" s="50">
        <f>E502*1.03*0.8/147</f>
        <v>0</v>
      </c>
      <c r="G502" s="42">
        <f t="shared" si="122"/>
        <v>0</v>
      </c>
      <c r="H502" s="45" t="s">
        <v>18</v>
      </c>
      <c r="I502" s="42">
        <f t="shared" si="123"/>
        <v>0</v>
      </c>
      <c r="J502" s="40" t="s">
        <v>19</v>
      </c>
      <c r="K502" s="40"/>
      <c r="L502" s="40"/>
      <c r="M502" s="46">
        <f>(F502*7461/3456)</f>
        <v>0</v>
      </c>
      <c r="N502" s="40"/>
      <c r="O502" s="40"/>
      <c r="P502" s="40"/>
      <c r="Q502" s="14" t="s">
        <v>18</v>
      </c>
      <c r="R502" s="40"/>
      <c r="S502" s="40" t="s">
        <v>19</v>
      </c>
      <c r="T502" s="47"/>
      <c r="U502" s="40">
        <f>E502/259*60</f>
        <v>0</v>
      </c>
      <c r="V502" s="176"/>
      <c r="W502" s="47"/>
      <c r="X502" s="40"/>
    </row>
    <row r="503" spans="1:24" s="20" customFormat="1" ht="38.25" thickBot="1" x14ac:dyDescent="0.35">
      <c r="A503" s="41"/>
      <c r="B503" s="41" t="s">
        <v>348</v>
      </c>
      <c r="C503" s="42"/>
      <c r="D503" s="43">
        <f>C503*18</f>
        <v>0</v>
      </c>
      <c r="E503" s="40">
        <f>D503*0.2</f>
        <v>0</v>
      </c>
      <c r="F503" s="290">
        <f>E503*1.0001*0.8/147</f>
        <v>0</v>
      </c>
      <c r="G503" s="42">
        <f t="shared" si="122"/>
        <v>0</v>
      </c>
      <c r="H503" s="45" t="s">
        <v>18</v>
      </c>
      <c r="I503" s="42">
        <f t="shared" si="123"/>
        <v>0</v>
      </c>
      <c r="J503" s="40" t="s">
        <v>19</v>
      </c>
      <c r="K503" s="40"/>
      <c r="L503" s="40"/>
      <c r="M503" s="291">
        <f>(F503*5653)/3456</f>
        <v>0</v>
      </c>
      <c r="N503" s="40"/>
      <c r="O503" s="40"/>
      <c r="P503" s="40"/>
      <c r="Q503" s="45" t="s">
        <v>18</v>
      </c>
      <c r="R503" s="40"/>
      <c r="S503" s="40" t="s">
        <v>19</v>
      </c>
      <c r="T503" s="47"/>
      <c r="U503" s="40">
        <f t="shared" ref="U503:U508" si="124">E503/220*60</f>
        <v>0</v>
      </c>
      <c r="V503" s="176"/>
      <c r="W503" s="47"/>
      <c r="X503" s="40"/>
    </row>
    <row r="504" spans="1:24" s="20" customFormat="1" ht="38.25" thickBot="1" x14ac:dyDescent="0.35">
      <c r="A504" s="41"/>
      <c r="B504" s="157" t="s">
        <v>349</v>
      </c>
      <c r="C504" s="42"/>
      <c r="D504" s="43">
        <f>C504*18</f>
        <v>0</v>
      </c>
      <c r="E504" s="40">
        <f>D504*0.2</f>
        <v>0</v>
      </c>
      <c r="F504" s="50">
        <f>E504*1.03*0.8/108</f>
        <v>0</v>
      </c>
      <c r="G504" s="42">
        <f t="shared" si="122"/>
        <v>0</v>
      </c>
      <c r="H504" s="45" t="s">
        <v>18</v>
      </c>
      <c r="I504" s="42">
        <f t="shared" si="123"/>
        <v>0</v>
      </c>
      <c r="J504" s="40" t="s">
        <v>19</v>
      </c>
      <c r="K504" s="40"/>
      <c r="L504" s="40"/>
      <c r="M504" s="46">
        <f>F504*3949/3456</f>
        <v>0</v>
      </c>
      <c r="N504" s="40"/>
      <c r="O504" s="40"/>
      <c r="P504" s="40"/>
      <c r="Q504" s="45" t="s">
        <v>18</v>
      </c>
      <c r="R504" s="40"/>
      <c r="S504" s="40" t="s">
        <v>19</v>
      </c>
      <c r="T504" s="47"/>
      <c r="U504" s="40">
        <f t="shared" si="124"/>
        <v>0</v>
      </c>
      <c r="V504" s="176"/>
      <c r="W504" s="47"/>
      <c r="X504" s="40"/>
    </row>
    <row r="505" spans="1:24" s="20" customFormat="1" ht="38.25" thickBot="1" x14ac:dyDescent="0.35">
      <c r="A505" s="41"/>
      <c r="B505" s="41" t="s">
        <v>354</v>
      </c>
      <c r="C505" s="42"/>
      <c r="D505" s="43">
        <f>C505*18</f>
        <v>0</v>
      </c>
      <c r="E505" s="40">
        <f>D505*0.2</f>
        <v>0</v>
      </c>
      <c r="F505" s="290">
        <f>E505*1.0001*0.8/147</f>
        <v>0</v>
      </c>
      <c r="G505" s="42">
        <f t="shared" si="122"/>
        <v>0</v>
      </c>
      <c r="H505" s="45" t="s">
        <v>18</v>
      </c>
      <c r="I505" s="42">
        <f t="shared" si="123"/>
        <v>0</v>
      </c>
      <c r="J505" s="40" t="s">
        <v>19</v>
      </c>
      <c r="K505" s="40"/>
      <c r="L505" s="40"/>
      <c r="M505" s="291">
        <f>(F505*5653)/3456</f>
        <v>0</v>
      </c>
      <c r="N505" s="40"/>
      <c r="O505" s="40"/>
      <c r="P505" s="40"/>
      <c r="Q505" s="45" t="s">
        <v>18</v>
      </c>
      <c r="R505" s="40"/>
      <c r="S505" s="40" t="s">
        <v>19</v>
      </c>
      <c r="T505" s="47"/>
      <c r="U505" s="40">
        <f t="shared" si="124"/>
        <v>0</v>
      </c>
      <c r="V505" s="176"/>
      <c r="W505" s="47"/>
      <c r="X505" s="40"/>
    </row>
    <row r="506" spans="1:24" s="20" customFormat="1" ht="38.25" thickBot="1" x14ac:dyDescent="0.35">
      <c r="A506" s="41"/>
      <c r="B506" s="41" t="s">
        <v>570</v>
      </c>
      <c r="C506" s="42"/>
      <c r="D506" s="43">
        <f>C506*18</f>
        <v>0</v>
      </c>
      <c r="E506" s="40">
        <f>D506*0.2</f>
        <v>0</v>
      </c>
      <c r="F506" s="290">
        <f>E506*1.0001*0.8/147</f>
        <v>0</v>
      </c>
      <c r="G506" s="42">
        <f t="shared" ref="G506:G537" si="125">INT(M506)</f>
        <v>0</v>
      </c>
      <c r="H506" s="45" t="s">
        <v>18</v>
      </c>
      <c r="I506" s="42">
        <f t="shared" ref="I506:I537" si="126">(M506-G506)*64</f>
        <v>0</v>
      </c>
      <c r="J506" s="40" t="s">
        <v>19</v>
      </c>
      <c r="K506" s="40"/>
      <c r="L506" s="40"/>
      <c r="M506" s="291">
        <f>(F506*5653)/3456</f>
        <v>0</v>
      </c>
      <c r="N506" s="40"/>
      <c r="O506" s="40"/>
      <c r="P506" s="40"/>
      <c r="Q506" s="45" t="s">
        <v>18</v>
      </c>
      <c r="R506" s="40"/>
      <c r="S506" s="40" t="s">
        <v>19</v>
      </c>
      <c r="T506" s="47"/>
      <c r="U506" s="40">
        <f t="shared" si="124"/>
        <v>0</v>
      </c>
      <c r="V506" s="176"/>
      <c r="W506" s="47"/>
      <c r="X506" s="40"/>
    </row>
    <row r="507" spans="1:24" s="20" customFormat="1" ht="38.25" thickBot="1" x14ac:dyDescent="0.35">
      <c r="A507" s="41"/>
      <c r="B507" s="41" t="s">
        <v>359</v>
      </c>
      <c r="C507" s="42"/>
      <c r="D507" s="43">
        <f>C507*10</f>
        <v>0</v>
      </c>
      <c r="E507" s="40">
        <f>D507*0.36</f>
        <v>0</v>
      </c>
      <c r="F507" s="290">
        <f>E507*1.01*0.8/147</f>
        <v>0</v>
      </c>
      <c r="G507" s="42">
        <f t="shared" si="125"/>
        <v>0</v>
      </c>
      <c r="H507" s="45" t="s">
        <v>18</v>
      </c>
      <c r="I507" s="42">
        <f t="shared" si="126"/>
        <v>0</v>
      </c>
      <c r="J507" s="40" t="s">
        <v>19</v>
      </c>
      <c r="K507" s="40"/>
      <c r="L507" s="40"/>
      <c r="M507" s="291">
        <f>(F507*6125)/3456</f>
        <v>0</v>
      </c>
      <c r="N507" s="40"/>
      <c r="O507" s="40"/>
      <c r="P507" s="40"/>
      <c r="Q507" s="45" t="s">
        <v>18</v>
      </c>
      <c r="R507" s="40"/>
      <c r="S507" s="40" t="s">
        <v>19</v>
      </c>
      <c r="T507" s="47"/>
      <c r="U507" s="40">
        <f t="shared" si="124"/>
        <v>0</v>
      </c>
      <c r="V507" s="176"/>
      <c r="W507" s="47"/>
      <c r="X507" s="40"/>
    </row>
    <row r="508" spans="1:24" s="20" customFormat="1" ht="19.5" thickBot="1" x14ac:dyDescent="0.35">
      <c r="A508" s="41"/>
      <c r="B508" s="41" t="s">
        <v>290</v>
      </c>
      <c r="C508" s="42"/>
      <c r="D508" s="43">
        <f>C508*10</f>
        <v>0</v>
      </c>
      <c r="E508" s="40">
        <f>D508*0.36</f>
        <v>0</v>
      </c>
      <c r="F508" s="290">
        <f>E508*1.01*0.8/147</f>
        <v>0</v>
      </c>
      <c r="G508" s="42">
        <f t="shared" si="125"/>
        <v>0</v>
      </c>
      <c r="H508" s="45" t="s">
        <v>18</v>
      </c>
      <c r="I508" s="42">
        <f t="shared" si="126"/>
        <v>0</v>
      </c>
      <c r="J508" s="40" t="s">
        <v>19</v>
      </c>
      <c r="K508" s="40"/>
      <c r="L508" s="40"/>
      <c r="M508" s="291">
        <f>(F508*6125)/3456</f>
        <v>0</v>
      </c>
      <c r="N508" s="40"/>
      <c r="O508" s="40"/>
      <c r="P508" s="40"/>
      <c r="Q508" s="45" t="s">
        <v>18</v>
      </c>
      <c r="R508" s="40"/>
      <c r="S508" s="40" t="s">
        <v>19</v>
      </c>
      <c r="T508" s="47"/>
      <c r="U508" s="40">
        <f t="shared" si="124"/>
        <v>0</v>
      </c>
      <c r="V508" s="176"/>
      <c r="W508" s="47"/>
      <c r="X508" s="40"/>
    </row>
    <row r="509" spans="1:24" s="20" customFormat="1" ht="19.5" thickBot="1" x14ac:dyDescent="0.35">
      <c r="A509" s="41"/>
      <c r="B509" s="41" t="s">
        <v>84</v>
      </c>
      <c r="C509" s="42"/>
      <c r="D509" s="43">
        <f>C509*10</f>
        <v>0</v>
      </c>
      <c r="E509" s="45">
        <f>D509*0.25</f>
        <v>0</v>
      </c>
      <c r="F509" s="50">
        <f>E509*1.03*0.72/147</f>
        <v>0</v>
      </c>
      <c r="G509" s="42">
        <f t="shared" si="125"/>
        <v>0</v>
      </c>
      <c r="H509" s="45" t="s">
        <v>18</v>
      </c>
      <c r="I509" s="42">
        <f t="shared" si="126"/>
        <v>0</v>
      </c>
      <c r="J509" s="40" t="s">
        <v>19</v>
      </c>
      <c r="K509" s="40"/>
      <c r="L509" s="40"/>
      <c r="M509" s="46">
        <f>(F509*7177/3456)</f>
        <v>0</v>
      </c>
      <c r="N509" s="40"/>
      <c r="O509" s="40"/>
      <c r="P509" s="40"/>
      <c r="Q509" s="14" t="s">
        <v>18</v>
      </c>
      <c r="R509" s="40"/>
      <c r="S509" s="40" t="s">
        <v>19</v>
      </c>
      <c r="T509" s="47"/>
      <c r="U509" s="40">
        <f>E509/259*60</f>
        <v>0</v>
      </c>
      <c r="V509" s="176"/>
      <c r="W509" s="47"/>
      <c r="X509" s="40"/>
    </row>
    <row r="510" spans="1:24" s="20" customFormat="1" ht="38.25" thickBot="1" x14ac:dyDescent="0.35">
      <c r="A510" s="41"/>
      <c r="B510" s="41" t="s">
        <v>358</v>
      </c>
      <c r="C510" s="42"/>
      <c r="D510" s="43">
        <f>C510*10</f>
        <v>0</v>
      </c>
      <c r="E510" s="45">
        <f>D510*0.25</f>
        <v>0</v>
      </c>
      <c r="F510" s="50">
        <f>E510*1.03*0.72/147</f>
        <v>0</v>
      </c>
      <c r="G510" s="42">
        <f t="shared" si="125"/>
        <v>0</v>
      </c>
      <c r="H510" s="45" t="s">
        <v>18</v>
      </c>
      <c r="I510" s="42">
        <f t="shared" si="126"/>
        <v>0</v>
      </c>
      <c r="J510" s="40" t="s">
        <v>19</v>
      </c>
      <c r="K510" s="40"/>
      <c r="L510" s="40"/>
      <c r="M510" s="46">
        <f>(F510*8448/3456)</f>
        <v>0</v>
      </c>
      <c r="N510" s="40"/>
      <c r="O510" s="40"/>
      <c r="P510" s="40"/>
      <c r="Q510" s="14" t="s">
        <v>18</v>
      </c>
      <c r="R510" s="40"/>
      <c r="S510" s="40" t="s">
        <v>19</v>
      </c>
      <c r="T510" s="47"/>
      <c r="U510" s="40">
        <f>E510/259*60</f>
        <v>0</v>
      </c>
      <c r="V510" s="176"/>
      <c r="W510" s="47"/>
      <c r="X510" s="40"/>
    </row>
    <row r="511" spans="1:24" s="20" customFormat="1" ht="19.5" thickBot="1" x14ac:dyDescent="0.35">
      <c r="A511" s="53"/>
      <c r="B511" s="53" t="s">
        <v>91</v>
      </c>
      <c r="C511" s="42"/>
      <c r="D511" s="43"/>
      <c r="E511" s="45">
        <f>C511*2.5</f>
        <v>0</v>
      </c>
      <c r="F511" s="290">
        <f>E511*1.05*0.72/147</f>
        <v>0</v>
      </c>
      <c r="G511" s="42">
        <f t="shared" si="125"/>
        <v>0</v>
      </c>
      <c r="H511" s="45" t="s">
        <v>18</v>
      </c>
      <c r="I511" s="42">
        <f t="shared" si="126"/>
        <v>0</v>
      </c>
      <c r="J511" s="40" t="s">
        <v>19</v>
      </c>
      <c r="K511" s="40"/>
      <c r="L511" s="40"/>
      <c r="M511" s="291">
        <f>(F511*5989/3456)</f>
        <v>0</v>
      </c>
      <c r="N511" s="40"/>
      <c r="O511" s="40"/>
      <c r="P511" s="40"/>
      <c r="Q511" s="14" t="s">
        <v>18</v>
      </c>
      <c r="R511" s="40"/>
      <c r="S511" s="40" t="s">
        <v>19</v>
      </c>
      <c r="T511" s="47"/>
      <c r="U511" s="40">
        <f>E511/324*60</f>
        <v>0</v>
      </c>
      <c r="V511" s="176"/>
      <c r="W511" s="47"/>
      <c r="X511" s="40"/>
    </row>
    <row r="512" spans="1:24" s="20" customFormat="1" ht="38.25" thickBot="1" x14ac:dyDescent="0.35">
      <c r="A512" s="53"/>
      <c r="B512" s="41" t="s">
        <v>332</v>
      </c>
      <c r="C512" s="42"/>
      <c r="D512" s="43"/>
      <c r="E512" s="45">
        <f>C512*2.5</f>
        <v>0</v>
      </c>
      <c r="F512" s="290">
        <f>E512*1.05*0.72/147</f>
        <v>0</v>
      </c>
      <c r="G512" s="42">
        <f t="shared" si="125"/>
        <v>0</v>
      </c>
      <c r="H512" s="45" t="s">
        <v>18</v>
      </c>
      <c r="I512" s="42">
        <f t="shared" si="126"/>
        <v>0</v>
      </c>
      <c r="J512" s="40" t="s">
        <v>19</v>
      </c>
      <c r="K512" s="40"/>
      <c r="L512" s="40"/>
      <c r="M512" s="291">
        <f>(F512*5989/3456)</f>
        <v>0</v>
      </c>
      <c r="N512" s="40"/>
      <c r="O512" s="40"/>
      <c r="P512" s="40"/>
      <c r="Q512" s="14" t="s">
        <v>18</v>
      </c>
      <c r="R512" s="40"/>
      <c r="S512" s="40" t="s">
        <v>19</v>
      </c>
      <c r="T512" s="47"/>
      <c r="U512" s="40">
        <f>E512/324*60</f>
        <v>0</v>
      </c>
      <c r="V512" s="176"/>
      <c r="W512" s="47"/>
      <c r="X512" s="40"/>
    </row>
    <row r="513" spans="1:24" s="20" customFormat="1" ht="57" thickBot="1" x14ac:dyDescent="0.35">
      <c r="A513" s="41"/>
      <c r="B513" s="41" t="s">
        <v>333</v>
      </c>
      <c r="C513" s="42"/>
      <c r="D513" s="43"/>
      <c r="E513" s="45">
        <f>C513*4</f>
        <v>0</v>
      </c>
      <c r="F513" s="290">
        <f>E513*1.05*0.72/147</f>
        <v>0</v>
      </c>
      <c r="G513" s="42">
        <f t="shared" si="125"/>
        <v>0</v>
      </c>
      <c r="H513" s="45" t="s">
        <v>18</v>
      </c>
      <c r="I513" s="42">
        <f t="shared" si="126"/>
        <v>0</v>
      </c>
      <c r="J513" s="40" t="s">
        <v>19</v>
      </c>
      <c r="K513" s="40"/>
      <c r="L513" s="40"/>
      <c r="M513" s="291">
        <f>(F513*5989/3456)</f>
        <v>0</v>
      </c>
      <c r="N513" s="40"/>
      <c r="O513" s="40"/>
      <c r="P513" s="40"/>
      <c r="Q513" s="14" t="s">
        <v>18</v>
      </c>
      <c r="R513" s="40"/>
      <c r="S513" s="40" t="s">
        <v>19</v>
      </c>
      <c r="T513" s="47"/>
      <c r="U513" s="40">
        <f>E513/324*60</f>
        <v>0</v>
      </c>
      <c r="V513" s="176"/>
      <c r="W513" s="47"/>
      <c r="X513" s="40"/>
    </row>
    <row r="514" spans="1:24" s="20" customFormat="1" ht="38.25" thickBot="1" x14ac:dyDescent="0.35">
      <c r="A514" s="41"/>
      <c r="B514" s="41" t="s">
        <v>364</v>
      </c>
      <c r="C514" s="42"/>
      <c r="D514" s="43">
        <f>C514*20</f>
        <v>0</v>
      </c>
      <c r="E514" s="45">
        <f>D514*0.25</f>
        <v>0</v>
      </c>
      <c r="F514" s="290">
        <f>E514*1.055*0.72/147</f>
        <v>0</v>
      </c>
      <c r="G514" s="42">
        <f t="shared" si="125"/>
        <v>0</v>
      </c>
      <c r="H514" s="45" t="s">
        <v>18</v>
      </c>
      <c r="I514" s="42">
        <f t="shared" si="126"/>
        <v>0</v>
      </c>
      <c r="J514" s="40" t="s">
        <v>19</v>
      </c>
      <c r="K514" s="40"/>
      <c r="L514" s="40"/>
      <c r="M514" s="291">
        <f>(F514*6313/3456)</f>
        <v>0</v>
      </c>
      <c r="N514" s="40"/>
      <c r="O514" s="40"/>
      <c r="P514" s="40"/>
      <c r="Q514" s="14" t="s">
        <v>18</v>
      </c>
      <c r="R514" s="40"/>
      <c r="S514" s="40" t="s">
        <v>19</v>
      </c>
      <c r="T514" s="47"/>
      <c r="U514" s="40">
        <f>E514/259*60</f>
        <v>0</v>
      </c>
      <c r="V514" s="176"/>
      <c r="W514" s="47"/>
      <c r="X514" s="40"/>
    </row>
    <row r="515" spans="1:24" s="20" customFormat="1" ht="38.25" thickBot="1" x14ac:dyDescent="0.35">
      <c r="A515" s="41"/>
      <c r="B515" s="41" t="s">
        <v>363</v>
      </c>
      <c r="C515" s="42"/>
      <c r="D515" s="43">
        <f>C515*20</f>
        <v>0</v>
      </c>
      <c r="E515" s="45">
        <f>D515*0.25</f>
        <v>0</v>
      </c>
      <c r="F515" s="290">
        <f>E515*1.055*0.72/147</f>
        <v>0</v>
      </c>
      <c r="G515" s="42">
        <f t="shared" si="125"/>
        <v>0</v>
      </c>
      <c r="H515" s="45" t="s">
        <v>18</v>
      </c>
      <c r="I515" s="42">
        <f t="shared" si="126"/>
        <v>0</v>
      </c>
      <c r="J515" s="40" t="s">
        <v>19</v>
      </c>
      <c r="K515" s="40"/>
      <c r="L515" s="40"/>
      <c r="M515" s="291">
        <f>(F515*6313/3456)</f>
        <v>0</v>
      </c>
      <c r="N515" s="40"/>
      <c r="O515" s="40"/>
      <c r="P515" s="40"/>
      <c r="Q515" s="14" t="s">
        <v>18</v>
      </c>
      <c r="R515" s="40"/>
      <c r="S515" s="40" t="s">
        <v>19</v>
      </c>
      <c r="T515" s="47"/>
      <c r="U515" s="40">
        <f>E515/259*60</f>
        <v>0</v>
      </c>
      <c r="V515" s="176"/>
      <c r="W515" s="47"/>
      <c r="X515" s="40"/>
    </row>
    <row r="516" spans="1:24" s="20" customFormat="1" ht="19.5" thickBot="1" x14ac:dyDescent="0.35">
      <c r="A516" s="41"/>
      <c r="B516" s="41" t="s">
        <v>89</v>
      </c>
      <c r="C516" s="42"/>
      <c r="D516" s="43">
        <f>C516*144</f>
        <v>0</v>
      </c>
      <c r="E516" s="45">
        <f>D516*0.025</f>
        <v>0</v>
      </c>
      <c r="F516" s="290">
        <f>E516*1.001*0.72/147</f>
        <v>0</v>
      </c>
      <c r="G516" s="42">
        <f t="shared" si="125"/>
        <v>0</v>
      </c>
      <c r="H516" s="45" t="s">
        <v>18</v>
      </c>
      <c r="I516" s="42">
        <f t="shared" si="126"/>
        <v>0</v>
      </c>
      <c r="J516" s="40" t="s">
        <v>19</v>
      </c>
      <c r="K516" s="40"/>
      <c r="L516" s="40"/>
      <c r="M516" s="291">
        <f>(F516*8292/3456)</f>
        <v>0</v>
      </c>
      <c r="N516" s="40"/>
      <c r="O516" s="40"/>
      <c r="P516" s="40"/>
      <c r="Q516" s="14" t="s">
        <v>18</v>
      </c>
      <c r="R516" s="40"/>
      <c r="S516" s="40" t="s">
        <v>19</v>
      </c>
      <c r="T516" s="47"/>
      <c r="U516" s="40">
        <f>E516/259*60</f>
        <v>0</v>
      </c>
      <c r="V516" s="176"/>
      <c r="W516" s="47"/>
      <c r="X516" s="40"/>
    </row>
    <row r="517" spans="1:24" s="20" customFormat="1" ht="38.25" thickBot="1" x14ac:dyDescent="0.35">
      <c r="A517" s="41"/>
      <c r="B517" s="41" t="s">
        <v>356</v>
      </c>
      <c r="C517" s="42"/>
      <c r="D517" s="43">
        <f>C517*10</f>
        <v>0</v>
      </c>
      <c r="E517" s="45">
        <f>D517*0.2</f>
        <v>0</v>
      </c>
      <c r="F517" s="290">
        <f>E517*1.001*0.72/147</f>
        <v>0</v>
      </c>
      <c r="G517" s="42">
        <f t="shared" si="125"/>
        <v>0</v>
      </c>
      <c r="H517" s="45" t="s">
        <v>18</v>
      </c>
      <c r="I517" s="42">
        <f t="shared" si="126"/>
        <v>0</v>
      </c>
      <c r="J517" s="40" t="s">
        <v>19</v>
      </c>
      <c r="K517" s="40"/>
      <c r="L517" s="40"/>
      <c r="M517" s="291">
        <f>(F517*8335/3456)</f>
        <v>0</v>
      </c>
      <c r="N517" s="40"/>
      <c r="O517" s="40"/>
      <c r="P517" s="40"/>
      <c r="Q517" s="14" t="s">
        <v>18</v>
      </c>
      <c r="R517" s="40"/>
      <c r="S517" s="40" t="s">
        <v>19</v>
      </c>
      <c r="T517" s="47"/>
      <c r="U517" s="40">
        <f>E517/259*60</f>
        <v>0</v>
      </c>
      <c r="V517" s="176"/>
      <c r="W517" s="47"/>
      <c r="X517" s="40"/>
    </row>
    <row r="518" spans="1:24" s="20" customFormat="1" ht="38.25" thickBot="1" x14ac:dyDescent="0.35">
      <c r="A518" s="41"/>
      <c r="B518" s="41" t="s">
        <v>357</v>
      </c>
      <c r="C518" s="42"/>
      <c r="D518" s="43">
        <f>C518*10</f>
        <v>0</v>
      </c>
      <c r="E518" s="45">
        <f>D518*0.2</f>
        <v>0</v>
      </c>
      <c r="F518" s="290">
        <f>E518*1.001*0.72/147</f>
        <v>0</v>
      </c>
      <c r="G518" s="42">
        <f t="shared" si="125"/>
        <v>0</v>
      </c>
      <c r="H518" s="45" t="s">
        <v>18</v>
      </c>
      <c r="I518" s="42">
        <f t="shared" si="126"/>
        <v>0</v>
      </c>
      <c r="J518" s="40" t="s">
        <v>19</v>
      </c>
      <c r="K518" s="40"/>
      <c r="L518" s="40"/>
      <c r="M518" s="291">
        <f>(F518*8400/3456)</f>
        <v>0</v>
      </c>
      <c r="N518" s="40"/>
      <c r="O518" s="40"/>
      <c r="P518" s="40"/>
      <c r="Q518" s="14" t="s">
        <v>18</v>
      </c>
      <c r="R518" s="40"/>
      <c r="S518" s="40" t="s">
        <v>19</v>
      </c>
      <c r="T518" s="47"/>
      <c r="U518" s="40">
        <f>E518/259*60</f>
        <v>0</v>
      </c>
      <c r="V518" s="176"/>
      <c r="W518" s="47"/>
      <c r="X518" s="40"/>
    </row>
    <row r="519" spans="1:24" s="120" customFormat="1" ht="38.25" thickBot="1" x14ac:dyDescent="0.35">
      <c r="A519" s="146"/>
      <c r="B519" s="146" t="s">
        <v>328</v>
      </c>
      <c r="C519" s="147"/>
      <c r="D519" s="148"/>
      <c r="E519" s="151">
        <f>C519*2.5</f>
        <v>0</v>
      </c>
      <c r="F519" s="292">
        <f>E519*1.03*0.8/147</f>
        <v>0</v>
      </c>
      <c r="G519" s="147">
        <f t="shared" si="125"/>
        <v>0</v>
      </c>
      <c r="H519" s="151" t="s">
        <v>18</v>
      </c>
      <c r="I519" s="147">
        <f t="shared" si="126"/>
        <v>0</v>
      </c>
      <c r="J519" s="149" t="s">
        <v>19</v>
      </c>
      <c r="K519" s="149"/>
      <c r="L519" s="149"/>
      <c r="M519" s="152">
        <f>(F519*5444/3456)</f>
        <v>0</v>
      </c>
      <c r="N519" s="149"/>
      <c r="O519" s="149"/>
      <c r="P519" s="149"/>
      <c r="Q519" s="294" t="s">
        <v>18</v>
      </c>
      <c r="R519" s="149"/>
      <c r="S519" s="149" t="s">
        <v>19</v>
      </c>
      <c r="T519" s="153"/>
      <c r="U519" s="149">
        <f>E519/324*60</f>
        <v>0</v>
      </c>
      <c r="V519" s="176"/>
      <c r="W519" s="153"/>
      <c r="X519" s="149"/>
    </row>
    <row r="520" spans="1:24" s="120" customFormat="1" ht="57" thickBot="1" x14ac:dyDescent="0.35">
      <c r="A520" s="146"/>
      <c r="B520" s="146" t="s">
        <v>329</v>
      </c>
      <c r="C520" s="147"/>
      <c r="D520" s="148"/>
      <c r="E520" s="151">
        <f>C520*4</f>
        <v>0</v>
      </c>
      <c r="F520" s="290">
        <f>E520*1.05*0.72/147</f>
        <v>0</v>
      </c>
      <c r="G520" s="147">
        <f t="shared" si="125"/>
        <v>0</v>
      </c>
      <c r="H520" s="151" t="s">
        <v>18</v>
      </c>
      <c r="I520" s="147">
        <f t="shared" si="126"/>
        <v>0</v>
      </c>
      <c r="J520" s="149" t="s">
        <v>19</v>
      </c>
      <c r="K520" s="149"/>
      <c r="L520" s="149"/>
      <c r="M520" s="291">
        <f>(F520*5989/3456)</f>
        <v>0</v>
      </c>
      <c r="N520" s="149"/>
      <c r="O520" s="149"/>
      <c r="P520" s="149"/>
      <c r="Q520" s="294" t="s">
        <v>18</v>
      </c>
      <c r="R520" s="149"/>
      <c r="S520" s="149" t="s">
        <v>19</v>
      </c>
      <c r="T520" s="153"/>
      <c r="U520" s="149">
        <f>E520/324*60</f>
        <v>0</v>
      </c>
      <c r="V520" s="176"/>
      <c r="W520" s="153"/>
      <c r="X520" s="149"/>
    </row>
    <row r="521" spans="1:24" s="20" customFormat="1" ht="38.25" thickBot="1" x14ac:dyDescent="0.35">
      <c r="A521" s="41"/>
      <c r="B521" s="41" t="s">
        <v>355</v>
      </c>
      <c r="C521" s="42"/>
      <c r="D521" s="43">
        <f>C521*10</f>
        <v>0</v>
      </c>
      <c r="E521" s="40">
        <f>D521*0.2</f>
        <v>0</v>
      </c>
      <c r="F521" s="290">
        <f>E521*1.001*0.8/147</f>
        <v>0</v>
      </c>
      <c r="G521" s="42">
        <f t="shared" si="125"/>
        <v>0</v>
      </c>
      <c r="H521" s="45" t="s">
        <v>18</v>
      </c>
      <c r="I521" s="42">
        <f t="shared" si="126"/>
        <v>0</v>
      </c>
      <c r="J521" s="40" t="s">
        <v>19</v>
      </c>
      <c r="K521" s="40"/>
      <c r="L521" s="40"/>
      <c r="M521" s="291">
        <f>(F521*9303)/3456</f>
        <v>0</v>
      </c>
      <c r="N521" s="40"/>
      <c r="O521" s="40"/>
      <c r="P521" s="40"/>
      <c r="Q521" s="14" t="s">
        <v>18</v>
      </c>
      <c r="R521" s="40"/>
      <c r="S521" s="40" t="s">
        <v>19</v>
      </c>
      <c r="T521" s="47"/>
      <c r="U521" s="40">
        <f>E521/220*60</f>
        <v>0</v>
      </c>
      <c r="V521" s="176"/>
      <c r="W521" s="47"/>
      <c r="X521" s="40"/>
    </row>
    <row r="522" spans="1:24" s="20" customFormat="1" ht="38.25" thickBot="1" x14ac:dyDescent="0.35">
      <c r="A522" s="41"/>
      <c r="B522" s="41" t="s">
        <v>354</v>
      </c>
      <c r="C522" s="42"/>
      <c r="D522" s="43">
        <f>C522*18</f>
        <v>0</v>
      </c>
      <c r="E522" s="40">
        <f>D522*0.2</f>
        <v>0</v>
      </c>
      <c r="F522" s="290">
        <f>E522*1.0001*0.8/147</f>
        <v>0</v>
      </c>
      <c r="G522" s="42">
        <f t="shared" si="125"/>
        <v>0</v>
      </c>
      <c r="H522" s="45" t="s">
        <v>18</v>
      </c>
      <c r="I522" s="42">
        <f t="shared" si="126"/>
        <v>0</v>
      </c>
      <c r="J522" s="40" t="s">
        <v>19</v>
      </c>
      <c r="K522" s="40"/>
      <c r="L522" s="40"/>
      <c r="M522" s="291">
        <f>(F522*5653)/3456</f>
        <v>0</v>
      </c>
      <c r="N522" s="40"/>
      <c r="O522" s="40"/>
      <c r="P522" s="40"/>
      <c r="Q522" s="45" t="s">
        <v>18</v>
      </c>
      <c r="R522" s="40"/>
      <c r="S522" s="40" t="s">
        <v>19</v>
      </c>
      <c r="T522" s="47"/>
      <c r="U522" s="40">
        <f>E522/220*60</f>
        <v>0</v>
      </c>
      <c r="V522" s="176"/>
      <c r="W522" s="47"/>
      <c r="X522" s="40"/>
    </row>
    <row r="523" spans="1:24" s="20" customFormat="1" ht="57" thickBot="1" x14ac:dyDescent="0.35">
      <c r="A523" s="41"/>
      <c r="B523" s="41" t="s">
        <v>323</v>
      </c>
      <c r="C523" s="42"/>
      <c r="D523" s="43"/>
      <c r="E523" s="45">
        <f>C523*4</f>
        <v>0</v>
      </c>
      <c r="F523" s="290">
        <f>E523*1.05*0.72/147</f>
        <v>0</v>
      </c>
      <c r="G523" s="42">
        <f t="shared" si="125"/>
        <v>0</v>
      </c>
      <c r="H523" s="45" t="s">
        <v>18</v>
      </c>
      <c r="I523" s="42">
        <f t="shared" si="126"/>
        <v>0</v>
      </c>
      <c r="J523" s="40" t="s">
        <v>19</v>
      </c>
      <c r="K523" s="40"/>
      <c r="L523" s="40"/>
      <c r="M523" s="291">
        <f>(F523*5989/3456)</f>
        <v>0</v>
      </c>
      <c r="N523" s="40"/>
      <c r="O523" s="40"/>
      <c r="P523" s="40"/>
      <c r="Q523" s="14" t="s">
        <v>18</v>
      </c>
      <c r="R523" s="40"/>
      <c r="S523" s="40" t="s">
        <v>19</v>
      </c>
      <c r="T523" s="47"/>
      <c r="U523" s="40">
        <f>E523/324*60</f>
        <v>0</v>
      </c>
      <c r="V523" s="176"/>
      <c r="W523" s="47"/>
      <c r="X523" s="40"/>
    </row>
    <row r="524" spans="1:24" s="20" customFormat="1" ht="38.25" thickBot="1" x14ac:dyDescent="0.35">
      <c r="A524" s="41"/>
      <c r="B524" s="41" t="s">
        <v>570</v>
      </c>
      <c r="C524" s="42"/>
      <c r="D524" s="43">
        <f>C524*18</f>
        <v>0</v>
      </c>
      <c r="E524" s="40">
        <f>D524*0.2</f>
        <v>0</v>
      </c>
      <c r="F524" s="290">
        <f>E524*1.0001*0.8/147</f>
        <v>0</v>
      </c>
      <c r="G524" s="42">
        <f t="shared" si="125"/>
        <v>0</v>
      </c>
      <c r="H524" s="45" t="s">
        <v>18</v>
      </c>
      <c r="I524" s="42">
        <f t="shared" si="126"/>
        <v>0</v>
      </c>
      <c r="J524" s="40" t="s">
        <v>19</v>
      </c>
      <c r="K524" s="40"/>
      <c r="L524" s="40"/>
      <c r="M524" s="291">
        <f>(F524*5653)/3456</f>
        <v>0</v>
      </c>
      <c r="N524" s="40"/>
      <c r="O524" s="40"/>
      <c r="P524" s="40"/>
      <c r="Q524" s="45" t="s">
        <v>18</v>
      </c>
      <c r="R524" s="40"/>
      <c r="S524" s="40" t="s">
        <v>19</v>
      </c>
      <c r="T524" s="47"/>
      <c r="U524" s="40">
        <f>E524/220*60</f>
        <v>0</v>
      </c>
      <c r="V524" s="176"/>
      <c r="W524" s="47"/>
      <c r="X524" s="40"/>
    </row>
    <row r="525" spans="1:24" s="20" customFormat="1" ht="38.25" thickBot="1" x14ac:dyDescent="0.35">
      <c r="A525" s="41"/>
      <c r="B525" s="41" t="s">
        <v>359</v>
      </c>
      <c r="C525" s="42"/>
      <c r="D525" s="43">
        <f>C525*10</f>
        <v>0</v>
      </c>
      <c r="E525" s="40">
        <f>D525*0.36</f>
        <v>0</v>
      </c>
      <c r="F525" s="290">
        <f>E525*1.01*0.8/147</f>
        <v>0</v>
      </c>
      <c r="G525" s="42">
        <f t="shared" si="125"/>
        <v>0</v>
      </c>
      <c r="H525" s="45" t="s">
        <v>18</v>
      </c>
      <c r="I525" s="42">
        <f t="shared" si="126"/>
        <v>0</v>
      </c>
      <c r="J525" s="40" t="s">
        <v>19</v>
      </c>
      <c r="K525" s="40"/>
      <c r="L525" s="40"/>
      <c r="M525" s="291">
        <f>(F525*6125)/3456</f>
        <v>0</v>
      </c>
      <c r="N525" s="40"/>
      <c r="O525" s="40"/>
      <c r="P525" s="40"/>
      <c r="Q525" s="45" t="s">
        <v>18</v>
      </c>
      <c r="R525" s="40"/>
      <c r="S525" s="40" t="s">
        <v>19</v>
      </c>
      <c r="T525" s="47"/>
      <c r="U525" s="40">
        <f>E525/220*60</f>
        <v>0</v>
      </c>
      <c r="V525" s="176"/>
      <c r="W525" s="47"/>
      <c r="X525" s="40"/>
    </row>
    <row r="526" spans="1:24" s="20" customFormat="1" ht="38.25" thickBot="1" x14ac:dyDescent="0.35">
      <c r="A526" s="41"/>
      <c r="B526" s="41" t="s">
        <v>325</v>
      </c>
      <c r="C526" s="42"/>
      <c r="D526" s="43"/>
      <c r="E526" s="45">
        <f>C526*2.5</f>
        <v>0</v>
      </c>
      <c r="F526" s="290">
        <f>E526*1.05*0.72/147</f>
        <v>0</v>
      </c>
      <c r="G526" s="42">
        <f t="shared" si="125"/>
        <v>0</v>
      </c>
      <c r="H526" s="45" t="s">
        <v>18</v>
      </c>
      <c r="I526" s="42">
        <f t="shared" si="126"/>
        <v>0</v>
      </c>
      <c r="J526" s="40" t="s">
        <v>19</v>
      </c>
      <c r="K526" s="40"/>
      <c r="L526" s="40"/>
      <c r="M526" s="291">
        <f>(F526*5989/3456)</f>
        <v>0</v>
      </c>
      <c r="N526" s="40"/>
      <c r="O526" s="40"/>
      <c r="P526" s="40"/>
      <c r="Q526" s="14" t="s">
        <v>18</v>
      </c>
      <c r="R526" s="40"/>
      <c r="S526" s="40" t="s">
        <v>19</v>
      </c>
      <c r="T526" s="47"/>
      <c r="U526" s="40">
        <f>E526/324*60</f>
        <v>0</v>
      </c>
      <c r="V526" s="176"/>
      <c r="W526" s="47"/>
      <c r="X526" s="40"/>
    </row>
    <row r="527" spans="1:24" s="20" customFormat="1" ht="38.25" thickBot="1" x14ac:dyDescent="0.35">
      <c r="A527" s="41"/>
      <c r="B527" s="41" t="s">
        <v>348</v>
      </c>
      <c r="C527" s="42"/>
      <c r="D527" s="43">
        <f>C527*18</f>
        <v>0</v>
      </c>
      <c r="E527" s="40">
        <f>D527*0.2</f>
        <v>0</v>
      </c>
      <c r="F527" s="290">
        <f>E527*1.0001*0.8/147</f>
        <v>0</v>
      </c>
      <c r="G527" s="42">
        <f t="shared" si="125"/>
        <v>0</v>
      </c>
      <c r="H527" s="45" t="s">
        <v>18</v>
      </c>
      <c r="I527" s="42">
        <f t="shared" si="126"/>
        <v>0</v>
      </c>
      <c r="J527" s="40" t="s">
        <v>19</v>
      </c>
      <c r="K527" s="40"/>
      <c r="L527" s="40"/>
      <c r="M527" s="291">
        <f>(F527*5653)/3456</f>
        <v>0</v>
      </c>
      <c r="N527" s="40"/>
      <c r="O527" s="40"/>
      <c r="P527" s="40"/>
      <c r="Q527" s="45" t="s">
        <v>18</v>
      </c>
      <c r="R527" s="40"/>
      <c r="S527" s="40" t="s">
        <v>19</v>
      </c>
      <c r="T527" s="47"/>
      <c r="U527" s="40">
        <f>E527/220*60</f>
        <v>0</v>
      </c>
      <c r="V527" s="176"/>
      <c r="W527" s="47"/>
      <c r="X527" s="40"/>
    </row>
    <row r="528" spans="1:24" s="20" customFormat="1" ht="38.25" thickBot="1" x14ac:dyDescent="0.35">
      <c r="A528" s="41"/>
      <c r="B528" s="41" t="s">
        <v>324</v>
      </c>
      <c r="C528" s="42"/>
      <c r="D528" s="43"/>
      <c r="E528" s="45">
        <f>C528*2.5</f>
        <v>0</v>
      </c>
      <c r="F528" s="290">
        <f>E528*1.05*0.72/147</f>
        <v>0</v>
      </c>
      <c r="G528" s="42">
        <f t="shared" si="125"/>
        <v>0</v>
      </c>
      <c r="H528" s="45" t="s">
        <v>18</v>
      </c>
      <c r="I528" s="42">
        <f t="shared" si="126"/>
        <v>0</v>
      </c>
      <c r="J528" s="40" t="s">
        <v>19</v>
      </c>
      <c r="K528" s="40"/>
      <c r="L528" s="40"/>
      <c r="M528" s="291">
        <f>(F528*5989/3456)</f>
        <v>0</v>
      </c>
      <c r="N528" s="40"/>
      <c r="O528" s="40"/>
      <c r="P528" s="40"/>
      <c r="Q528" s="14" t="s">
        <v>18</v>
      </c>
      <c r="R528" s="40"/>
      <c r="S528" s="40" t="s">
        <v>19</v>
      </c>
      <c r="T528" s="47"/>
      <c r="U528" s="40">
        <f>E528/324*60</f>
        <v>0</v>
      </c>
      <c r="V528" s="176"/>
      <c r="W528" s="47"/>
      <c r="X528" s="40"/>
    </row>
    <row r="529" spans="1:24" s="120" customFormat="1" ht="38.25" thickBot="1" x14ac:dyDescent="0.35">
      <c r="A529" s="146"/>
      <c r="B529" s="146" t="s">
        <v>326</v>
      </c>
      <c r="C529" s="147"/>
      <c r="D529" s="148">
        <f>C529*144</f>
        <v>0</v>
      </c>
      <c r="E529" s="149">
        <f>D529*0.025</f>
        <v>0</v>
      </c>
      <c r="F529" s="292">
        <f>E529*1.0001*0.8/161.7</f>
        <v>0</v>
      </c>
      <c r="G529" s="147">
        <f t="shared" si="125"/>
        <v>0</v>
      </c>
      <c r="H529" s="151" t="s">
        <v>18</v>
      </c>
      <c r="I529" s="147">
        <f t="shared" si="126"/>
        <v>0</v>
      </c>
      <c r="J529" s="149" t="s">
        <v>19</v>
      </c>
      <c r="K529" s="149"/>
      <c r="L529" s="149"/>
      <c r="M529" s="293">
        <f>(F529*8208)/3456</f>
        <v>0</v>
      </c>
      <c r="N529" s="149"/>
      <c r="O529" s="149"/>
      <c r="P529" s="149"/>
      <c r="Q529" s="294" t="s">
        <v>18</v>
      </c>
      <c r="R529" s="149"/>
      <c r="S529" s="149" t="s">
        <v>19</v>
      </c>
      <c r="T529" s="153"/>
      <c r="U529" s="149">
        <f>E529/220*60</f>
        <v>0</v>
      </c>
      <c r="V529" s="176"/>
      <c r="W529" s="153"/>
      <c r="X529" s="149"/>
    </row>
    <row r="530" spans="1:24" s="20" customFormat="1" ht="19.5" thickBot="1" x14ac:dyDescent="0.35">
      <c r="A530" s="41"/>
      <c r="B530" s="41" t="s">
        <v>290</v>
      </c>
      <c r="C530" s="42"/>
      <c r="D530" s="43">
        <f>C530*10</f>
        <v>0</v>
      </c>
      <c r="E530" s="40">
        <f>D530*0.36</f>
        <v>0</v>
      </c>
      <c r="F530" s="290">
        <f>E530*1.01*0.8/147</f>
        <v>0</v>
      </c>
      <c r="G530" s="42">
        <f t="shared" si="125"/>
        <v>0</v>
      </c>
      <c r="H530" s="45" t="s">
        <v>18</v>
      </c>
      <c r="I530" s="42">
        <f t="shared" si="126"/>
        <v>0</v>
      </c>
      <c r="J530" s="40" t="s">
        <v>19</v>
      </c>
      <c r="K530" s="40"/>
      <c r="L530" s="40"/>
      <c r="M530" s="291">
        <f>(F530*6125)/3456</f>
        <v>0</v>
      </c>
      <c r="N530" s="40"/>
      <c r="O530" s="40"/>
      <c r="P530" s="40"/>
      <c r="Q530" s="45" t="s">
        <v>18</v>
      </c>
      <c r="R530" s="40"/>
      <c r="S530" s="40" t="s">
        <v>19</v>
      </c>
      <c r="T530" s="47"/>
      <c r="U530" s="40">
        <f>E530/220*60</f>
        <v>0</v>
      </c>
      <c r="V530" s="176"/>
      <c r="W530" s="47"/>
      <c r="X530" s="40"/>
    </row>
    <row r="531" spans="1:24" s="20" customFormat="1" ht="57" thickBot="1" x14ac:dyDescent="0.35">
      <c r="A531" s="41"/>
      <c r="B531" s="41" t="s">
        <v>597</v>
      </c>
      <c r="C531" s="42"/>
      <c r="D531" s="43"/>
      <c r="E531" s="45">
        <f>C531*4</f>
        <v>0</v>
      </c>
      <c r="F531" s="290">
        <f>E531*1.05*0.72/147</f>
        <v>0</v>
      </c>
      <c r="G531" s="147">
        <f t="shared" si="125"/>
        <v>0</v>
      </c>
      <c r="H531" s="151" t="s">
        <v>18</v>
      </c>
      <c r="I531" s="147">
        <f t="shared" si="126"/>
        <v>0</v>
      </c>
      <c r="J531" s="149" t="s">
        <v>19</v>
      </c>
      <c r="K531" s="149"/>
      <c r="L531" s="149"/>
      <c r="M531" s="291">
        <f>(F531*5989/3456)</f>
        <v>0</v>
      </c>
      <c r="N531" s="40"/>
      <c r="O531" s="40"/>
      <c r="P531" s="40"/>
      <c r="Q531" s="14" t="s">
        <v>18</v>
      </c>
      <c r="R531" s="40"/>
      <c r="S531" s="40" t="s">
        <v>19</v>
      </c>
      <c r="T531" s="47"/>
      <c r="U531" s="40">
        <f>E531/324*60</f>
        <v>0</v>
      </c>
      <c r="V531" s="176"/>
      <c r="W531" s="47"/>
      <c r="X531" s="40"/>
    </row>
    <row r="532" spans="1:24" s="20" customFormat="1" ht="38.25" thickBot="1" x14ac:dyDescent="0.35">
      <c r="A532" s="41"/>
      <c r="B532" s="41" t="s">
        <v>364</v>
      </c>
      <c r="C532" s="42"/>
      <c r="D532" s="43">
        <f>C532*20</f>
        <v>0</v>
      </c>
      <c r="E532" s="45">
        <f>D532*0.25</f>
        <v>0</v>
      </c>
      <c r="F532" s="290">
        <f>E532*1.055*0.72/147</f>
        <v>0</v>
      </c>
      <c r="G532" s="42">
        <f t="shared" si="125"/>
        <v>0</v>
      </c>
      <c r="H532" s="45" t="s">
        <v>18</v>
      </c>
      <c r="I532" s="42">
        <f t="shared" si="126"/>
        <v>0</v>
      </c>
      <c r="J532" s="40" t="s">
        <v>19</v>
      </c>
      <c r="K532" s="40"/>
      <c r="L532" s="40"/>
      <c r="M532" s="291">
        <f>(F532*6313/3456)</f>
        <v>0</v>
      </c>
      <c r="N532" s="40"/>
      <c r="O532" s="40"/>
      <c r="P532" s="40"/>
      <c r="Q532" s="14" t="s">
        <v>18</v>
      </c>
      <c r="R532" s="40"/>
      <c r="S532" s="40" t="s">
        <v>19</v>
      </c>
      <c r="T532" s="47"/>
      <c r="U532" s="40">
        <f>E532/259*60</f>
        <v>0</v>
      </c>
      <c r="V532" s="176"/>
      <c r="W532" s="47"/>
      <c r="X532" s="40"/>
    </row>
    <row r="533" spans="1:24" s="20" customFormat="1" ht="38.25" thickBot="1" x14ac:dyDescent="0.35">
      <c r="A533" s="41"/>
      <c r="B533" s="41" t="s">
        <v>363</v>
      </c>
      <c r="C533" s="42"/>
      <c r="D533" s="43">
        <f>C533*20</f>
        <v>0</v>
      </c>
      <c r="E533" s="45">
        <f>D533*0.25</f>
        <v>0</v>
      </c>
      <c r="F533" s="290">
        <f>E533*1.055*0.72/147</f>
        <v>0</v>
      </c>
      <c r="G533" s="42">
        <f t="shared" si="125"/>
        <v>0</v>
      </c>
      <c r="H533" s="45" t="s">
        <v>18</v>
      </c>
      <c r="I533" s="42">
        <f t="shared" si="126"/>
        <v>0</v>
      </c>
      <c r="J533" s="40" t="s">
        <v>19</v>
      </c>
      <c r="K533" s="40"/>
      <c r="L533" s="40"/>
      <c r="M533" s="291">
        <f>(F533*6313/3456)</f>
        <v>0</v>
      </c>
      <c r="N533" s="40"/>
      <c r="O533" s="40"/>
      <c r="P533" s="40"/>
      <c r="Q533" s="14" t="s">
        <v>18</v>
      </c>
      <c r="R533" s="40"/>
      <c r="S533" s="40" t="s">
        <v>19</v>
      </c>
      <c r="T533" s="47"/>
      <c r="U533" s="40">
        <f>E533/259*60</f>
        <v>0</v>
      </c>
      <c r="V533" s="176"/>
      <c r="W533" s="47"/>
      <c r="X533" s="40"/>
    </row>
    <row r="534" spans="1:24" s="20" customFormat="1" ht="19.5" thickBot="1" x14ac:dyDescent="0.35">
      <c r="A534" s="41"/>
      <c r="B534" s="41" t="s">
        <v>89</v>
      </c>
      <c r="C534" s="42"/>
      <c r="D534" s="43">
        <f>C534*144</f>
        <v>0</v>
      </c>
      <c r="E534" s="45">
        <f>D534*0.025</f>
        <v>0</v>
      </c>
      <c r="F534" s="290">
        <f>E534*1.001*0.72/147</f>
        <v>0</v>
      </c>
      <c r="G534" s="42">
        <f t="shared" si="125"/>
        <v>0</v>
      </c>
      <c r="H534" s="45" t="s">
        <v>18</v>
      </c>
      <c r="I534" s="42">
        <f t="shared" si="126"/>
        <v>0</v>
      </c>
      <c r="J534" s="40" t="s">
        <v>19</v>
      </c>
      <c r="K534" s="40"/>
      <c r="L534" s="40"/>
      <c r="M534" s="291">
        <f>(F534*8292/3456)</f>
        <v>0</v>
      </c>
      <c r="N534" s="40"/>
      <c r="O534" s="40"/>
      <c r="P534" s="40"/>
      <c r="Q534" s="14" t="s">
        <v>18</v>
      </c>
      <c r="R534" s="40"/>
      <c r="S534" s="40" t="s">
        <v>19</v>
      </c>
      <c r="T534" s="47"/>
      <c r="U534" s="40">
        <f>E534/259*60</f>
        <v>0</v>
      </c>
      <c r="V534" s="176"/>
      <c r="W534" s="47"/>
      <c r="X534" s="40"/>
    </row>
    <row r="535" spans="1:24" s="20" customFormat="1" ht="38.25" thickBot="1" x14ac:dyDescent="0.35">
      <c r="A535" s="41"/>
      <c r="B535" s="41" t="s">
        <v>356</v>
      </c>
      <c r="C535" s="42"/>
      <c r="D535" s="43">
        <f>C535*10</f>
        <v>0</v>
      </c>
      <c r="E535" s="45">
        <f>D535*0.2</f>
        <v>0</v>
      </c>
      <c r="F535" s="290">
        <f>E535*1.001*0.72/147</f>
        <v>0</v>
      </c>
      <c r="G535" s="42">
        <f t="shared" si="125"/>
        <v>0</v>
      </c>
      <c r="H535" s="45" t="s">
        <v>18</v>
      </c>
      <c r="I535" s="42">
        <f t="shared" si="126"/>
        <v>0</v>
      </c>
      <c r="J535" s="40" t="s">
        <v>19</v>
      </c>
      <c r="K535" s="40"/>
      <c r="L535" s="40"/>
      <c r="M535" s="291">
        <f>(F535*8335/3456)</f>
        <v>0</v>
      </c>
      <c r="N535" s="40"/>
      <c r="O535" s="40"/>
      <c r="P535" s="40"/>
      <c r="Q535" s="14" t="s">
        <v>18</v>
      </c>
      <c r="R535" s="40"/>
      <c r="S535" s="40" t="s">
        <v>19</v>
      </c>
      <c r="T535" s="47"/>
      <c r="U535" s="40">
        <f>E535/259*60</f>
        <v>0</v>
      </c>
      <c r="V535" s="176"/>
      <c r="W535" s="47"/>
      <c r="X535" s="40"/>
    </row>
    <row r="536" spans="1:24" s="20" customFormat="1" ht="38.25" thickBot="1" x14ac:dyDescent="0.35">
      <c r="A536" s="41"/>
      <c r="B536" s="41" t="s">
        <v>357</v>
      </c>
      <c r="C536" s="42"/>
      <c r="D536" s="43">
        <f>C536*10</f>
        <v>0</v>
      </c>
      <c r="E536" s="45">
        <f>D536*0.2</f>
        <v>0</v>
      </c>
      <c r="F536" s="290">
        <f>E536*1.001*0.72/147</f>
        <v>0</v>
      </c>
      <c r="G536" s="42">
        <f t="shared" si="125"/>
        <v>0</v>
      </c>
      <c r="H536" s="45" t="s">
        <v>18</v>
      </c>
      <c r="I536" s="42">
        <f t="shared" si="126"/>
        <v>0</v>
      </c>
      <c r="J536" s="40" t="s">
        <v>19</v>
      </c>
      <c r="K536" s="40"/>
      <c r="L536" s="40"/>
      <c r="M536" s="291">
        <f>(F536*8400/3456)</f>
        <v>0</v>
      </c>
      <c r="N536" s="40"/>
      <c r="O536" s="40"/>
      <c r="P536" s="40"/>
      <c r="Q536" s="14" t="s">
        <v>18</v>
      </c>
      <c r="R536" s="40"/>
      <c r="S536" s="40" t="s">
        <v>19</v>
      </c>
      <c r="T536" s="47"/>
      <c r="U536" s="40">
        <f>E536/259*60</f>
        <v>0</v>
      </c>
      <c r="V536" s="176"/>
      <c r="W536" s="47"/>
      <c r="X536" s="40"/>
    </row>
    <row r="537" spans="1:24" s="20" customFormat="1" ht="38.25" thickBot="1" x14ac:dyDescent="0.35">
      <c r="A537" s="41"/>
      <c r="B537" s="41" t="s">
        <v>355</v>
      </c>
      <c r="C537" s="42"/>
      <c r="D537" s="43">
        <f>C537*10</f>
        <v>0</v>
      </c>
      <c r="E537" s="40">
        <f>D537*0.2</f>
        <v>0</v>
      </c>
      <c r="F537" s="290">
        <f>E537*1.001*0.8/147</f>
        <v>0</v>
      </c>
      <c r="G537" s="42">
        <f t="shared" si="125"/>
        <v>0</v>
      </c>
      <c r="H537" s="45" t="s">
        <v>18</v>
      </c>
      <c r="I537" s="42">
        <f t="shared" si="126"/>
        <v>0</v>
      </c>
      <c r="J537" s="40" t="s">
        <v>19</v>
      </c>
      <c r="K537" s="40"/>
      <c r="L537" s="40"/>
      <c r="M537" s="291">
        <f>(F537*9303)/3456</f>
        <v>0</v>
      </c>
      <c r="N537" s="40"/>
      <c r="O537" s="40"/>
      <c r="P537" s="40"/>
      <c r="Q537" s="14" t="s">
        <v>18</v>
      </c>
      <c r="R537" s="40"/>
      <c r="S537" s="40" t="s">
        <v>19</v>
      </c>
      <c r="T537" s="47"/>
      <c r="U537" s="40">
        <f>E537/220*60</f>
        <v>0</v>
      </c>
      <c r="V537" s="176"/>
      <c r="W537" s="47"/>
      <c r="X537" s="40"/>
    </row>
    <row r="538" spans="1:24" s="20" customFormat="1" ht="19.5" thickBot="1" x14ac:dyDescent="0.35">
      <c r="A538" s="41"/>
      <c r="B538" s="41" t="s">
        <v>87</v>
      </c>
      <c r="C538" s="42"/>
      <c r="D538" s="43">
        <f>C538*10</f>
        <v>0</v>
      </c>
      <c r="E538" s="45">
        <f>D538*0.25</f>
        <v>0</v>
      </c>
      <c r="F538" s="50">
        <f>E538*1.03*0.72/147</f>
        <v>0</v>
      </c>
      <c r="G538" s="42">
        <f t="shared" ref="G538:G545" si="127">INT(M538)</f>
        <v>0</v>
      </c>
      <c r="H538" s="45" t="s">
        <v>18</v>
      </c>
      <c r="I538" s="42">
        <f t="shared" ref="I538:I545" si="128">(M538-G538)*64</f>
        <v>0</v>
      </c>
      <c r="J538" s="40" t="s">
        <v>19</v>
      </c>
      <c r="K538" s="40"/>
      <c r="L538" s="40"/>
      <c r="M538" s="46">
        <f>(F538*8448/3456)</f>
        <v>0</v>
      </c>
      <c r="N538" s="40"/>
      <c r="O538" s="40"/>
      <c r="P538" s="40"/>
      <c r="Q538" s="14" t="s">
        <v>18</v>
      </c>
      <c r="R538" s="40"/>
      <c r="S538" s="40" t="s">
        <v>19</v>
      </c>
      <c r="T538" s="47"/>
      <c r="U538" s="40">
        <f t="shared" ref="U538:U544" si="129">E538/259*60</f>
        <v>0</v>
      </c>
      <c r="V538" s="176"/>
      <c r="W538" s="47"/>
      <c r="X538" s="40"/>
    </row>
    <row r="539" spans="1:24" s="20" customFormat="1" ht="38.25" thickBot="1" x14ac:dyDescent="0.35">
      <c r="A539" s="41"/>
      <c r="B539" s="41" t="s">
        <v>284</v>
      </c>
      <c r="C539" s="42"/>
      <c r="D539" s="43">
        <f>C539*10</f>
        <v>0</v>
      </c>
      <c r="E539" s="45">
        <f>D539*0.25</f>
        <v>0</v>
      </c>
      <c r="F539" s="50">
        <f>E539*1.03*0.72/147</f>
        <v>0</v>
      </c>
      <c r="G539" s="42">
        <f t="shared" si="127"/>
        <v>0</v>
      </c>
      <c r="H539" s="45" t="s">
        <v>18</v>
      </c>
      <c r="I539" s="42">
        <f t="shared" si="128"/>
        <v>0</v>
      </c>
      <c r="J539" s="40" t="s">
        <v>19</v>
      </c>
      <c r="K539" s="40"/>
      <c r="L539" s="40"/>
      <c r="M539" s="46">
        <f>(F539*7177/3456)</f>
        <v>0</v>
      </c>
      <c r="N539" s="40"/>
      <c r="O539" s="40"/>
      <c r="P539" s="40"/>
      <c r="Q539" s="14" t="s">
        <v>18</v>
      </c>
      <c r="R539" s="40"/>
      <c r="S539" s="40" t="s">
        <v>19</v>
      </c>
      <c r="T539" s="47"/>
      <c r="U539" s="40">
        <f t="shared" si="129"/>
        <v>0</v>
      </c>
      <c r="V539" s="176"/>
      <c r="W539" s="47"/>
      <c r="X539" s="40"/>
    </row>
    <row r="540" spans="1:24" s="20" customFormat="1" ht="38.25" thickBot="1" x14ac:dyDescent="0.35">
      <c r="A540" s="41"/>
      <c r="B540" s="41" t="s">
        <v>364</v>
      </c>
      <c r="C540" s="42"/>
      <c r="D540" s="43">
        <f>C540*20</f>
        <v>0</v>
      </c>
      <c r="E540" s="45">
        <f>D540*0.25</f>
        <v>0</v>
      </c>
      <c r="F540" s="290">
        <f>E540*1.055*0.72/147</f>
        <v>0</v>
      </c>
      <c r="G540" s="42">
        <f t="shared" si="127"/>
        <v>0</v>
      </c>
      <c r="H540" s="45" t="s">
        <v>18</v>
      </c>
      <c r="I540" s="42">
        <f t="shared" si="128"/>
        <v>0</v>
      </c>
      <c r="J540" s="40" t="s">
        <v>19</v>
      </c>
      <c r="K540" s="40"/>
      <c r="L540" s="40"/>
      <c r="M540" s="291">
        <f>(F540*6313/3456)</f>
        <v>0</v>
      </c>
      <c r="N540" s="40"/>
      <c r="O540" s="40"/>
      <c r="P540" s="40"/>
      <c r="Q540" s="14" t="s">
        <v>18</v>
      </c>
      <c r="R540" s="40"/>
      <c r="S540" s="40" t="s">
        <v>19</v>
      </c>
      <c r="T540" s="47"/>
      <c r="U540" s="40">
        <f t="shared" si="129"/>
        <v>0</v>
      </c>
      <c r="V540" s="176"/>
      <c r="W540" s="47"/>
      <c r="X540" s="40"/>
    </row>
    <row r="541" spans="1:24" s="20" customFormat="1" ht="38.25" thickBot="1" x14ac:dyDescent="0.35">
      <c r="A541" s="41"/>
      <c r="B541" s="41" t="s">
        <v>363</v>
      </c>
      <c r="C541" s="42"/>
      <c r="D541" s="43">
        <f>C541*20</f>
        <v>0</v>
      </c>
      <c r="E541" s="45">
        <f>D541*0.25</f>
        <v>0</v>
      </c>
      <c r="F541" s="290">
        <f>E541*1.055*0.72/147</f>
        <v>0</v>
      </c>
      <c r="G541" s="42">
        <f t="shared" si="127"/>
        <v>0</v>
      </c>
      <c r="H541" s="45" t="s">
        <v>18</v>
      </c>
      <c r="I541" s="42">
        <f t="shared" si="128"/>
        <v>0</v>
      </c>
      <c r="J541" s="40" t="s">
        <v>19</v>
      </c>
      <c r="K541" s="40"/>
      <c r="L541" s="40"/>
      <c r="M541" s="291">
        <f>(F541*6313/3456)</f>
        <v>0</v>
      </c>
      <c r="N541" s="40"/>
      <c r="O541" s="40"/>
      <c r="P541" s="40"/>
      <c r="Q541" s="14" t="s">
        <v>18</v>
      </c>
      <c r="R541" s="40"/>
      <c r="S541" s="40" t="s">
        <v>19</v>
      </c>
      <c r="T541" s="47"/>
      <c r="U541" s="40">
        <f t="shared" si="129"/>
        <v>0</v>
      </c>
      <c r="V541" s="176"/>
      <c r="W541" s="47"/>
      <c r="X541" s="40"/>
    </row>
    <row r="542" spans="1:24" s="20" customFormat="1" ht="19.5" thickBot="1" x14ac:dyDescent="0.35">
      <c r="A542" s="41"/>
      <c r="B542" s="41" t="s">
        <v>89</v>
      </c>
      <c r="C542" s="42"/>
      <c r="D542" s="43">
        <f>C542*144</f>
        <v>0</v>
      </c>
      <c r="E542" s="45">
        <f>D542*0.025</f>
        <v>0</v>
      </c>
      <c r="F542" s="290">
        <f>E542*1.001*0.72/147</f>
        <v>0</v>
      </c>
      <c r="G542" s="42">
        <f t="shared" si="127"/>
        <v>0</v>
      </c>
      <c r="H542" s="45" t="s">
        <v>18</v>
      </c>
      <c r="I542" s="42">
        <f t="shared" si="128"/>
        <v>0</v>
      </c>
      <c r="J542" s="40" t="s">
        <v>19</v>
      </c>
      <c r="K542" s="40"/>
      <c r="L542" s="40"/>
      <c r="M542" s="291">
        <f>(F542*8292/3456)</f>
        <v>0</v>
      </c>
      <c r="N542" s="40"/>
      <c r="O542" s="40"/>
      <c r="P542" s="40"/>
      <c r="Q542" s="14" t="s">
        <v>18</v>
      </c>
      <c r="R542" s="40"/>
      <c r="S542" s="40" t="s">
        <v>19</v>
      </c>
      <c r="T542" s="47"/>
      <c r="U542" s="40">
        <f t="shared" si="129"/>
        <v>0</v>
      </c>
      <c r="V542" s="176"/>
      <c r="W542" s="47"/>
      <c r="X542" s="40"/>
    </row>
    <row r="543" spans="1:24" s="20" customFormat="1" ht="38.25" thickBot="1" x14ac:dyDescent="0.35">
      <c r="A543" s="41"/>
      <c r="B543" s="41" t="s">
        <v>356</v>
      </c>
      <c r="C543" s="42"/>
      <c r="D543" s="43">
        <f>C543*10</f>
        <v>0</v>
      </c>
      <c r="E543" s="45">
        <f>D543*0.2</f>
        <v>0</v>
      </c>
      <c r="F543" s="290">
        <f>E543*1.001*0.72/147</f>
        <v>0</v>
      </c>
      <c r="G543" s="42">
        <f t="shared" si="127"/>
        <v>0</v>
      </c>
      <c r="H543" s="45" t="s">
        <v>18</v>
      </c>
      <c r="I543" s="42">
        <f t="shared" si="128"/>
        <v>0</v>
      </c>
      <c r="J543" s="40" t="s">
        <v>19</v>
      </c>
      <c r="K543" s="40"/>
      <c r="L543" s="40"/>
      <c r="M543" s="291">
        <f>(F543*8335/3456)</f>
        <v>0</v>
      </c>
      <c r="N543" s="40"/>
      <c r="O543" s="40"/>
      <c r="P543" s="40"/>
      <c r="Q543" s="14" t="s">
        <v>18</v>
      </c>
      <c r="R543" s="40"/>
      <c r="S543" s="40" t="s">
        <v>19</v>
      </c>
      <c r="T543" s="47"/>
      <c r="U543" s="40">
        <f t="shared" si="129"/>
        <v>0</v>
      </c>
      <c r="V543" s="176"/>
      <c r="W543" s="47"/>
      <c r="X543" s="40"/>
    </row>
    <row r="544" spans="1:24" s="20" customFormat="1" ht="38.25" thickBot="1" x14ac:dyDescent="0.35">
      <c r="A544" s="41"/>
      <c r="B544" s="41" t="s">
        <v>357</v>
      </c>
      <c r="C544" s="42"/>
      <c r="D544" s="43">
        <f>C544*10</f>
        <v>0</v>
      </c>
      <c r="E544" s="45">
        <f>D544*0.2</f>
        <v>0</v>
      </c>
      <c r="F544" s="290">
        <f>E544*1.001*0.72/147</f>
        <v>0</v>
      </c>
      <c r="G544" s="42">
        <f t="shared" si="127"/>
        <v>0</v>
      </c>
      <c r="H544" s="45" t="s">
        <v>18</v>
      </c>
      <c r="I544" s="42">
        <f t="shared" si="128"/>
        <v>0</v>
      </c>
      <c r="J544" s="40" t="s">
        <v>19</v>
      </c>
      <c r="K544" s="40"/>
      <c r="L544" s="40"/>
      <c r="M544" s="291">
        <f>(F544*8400/3456)</f>
        <v>0</v>
      </c>
      <c r="N544" s="40"/>
      <c r="O544" s="40"/>
      <c r="P544" s="40"/>
      <c r="Q544" s="14" t="s">
        <v>18</v>
      </c>
      <c r="R544" s="40"/>
      <c r="S544" s="40" t="s">
        <v>19</v>
      </c>
      <c r="T544" s="47"/>
      <c r="U544" s="40">
        <f t="shared" si="129"/>
        <v>0</v>
      </c>
      <c r="V544" s="176"/>
      <c r="W544" s="47"/>
      <c r="X544" s="40"/>
    </row>
    <row r="545" spans="1:24" s="20" customFormat="1" ht="38.25" thickBot="1" x14ac:dyDescent="0.35">
      <c r="A545" s="41"/>
      <c r="B545" s="41" t="s">
        <v>355</v>
      </c>
      <c r="C545" s="42"/>
      <c r="D545" s="43">
        <f>C545*10</f>
        <v>0</v>
      </c>
      <c r="E545" s="40">
        <f>D545*0.2</f>
        <v>0</v>
      </c>
      <c r="F545" s="290">
        <f>E545*1.001*0.8/147</f>
        <v>0</v>
      </c>
      <c r="G545" s="42">
        <f t="shared" si="127"/>
        <v>0</v>
      </c>
      <c r="H545" s="45" t="s">
        <v>18</v>
      </c>
      <c r="I545" s="42">
        <f t="shared" si="128"/>
        <v>0</v>
      </c>
      <c r="J545" s="40" t="s">
        <v>19</v>
      </c>
      <c r="K545" s="40"/>
      <c r="L545" s="40"/>
      <c r="M545" s="291">
        <f>(F545*9303)/3456</f>
        <v>0</v>
      </c>
      <c r="N545" s="40"/>
      <c r="O545" s="40"/>
      <c r="P545" s="40"/>
      <c r="Q545" s="14" t="s">
        <v>18</v>
      </c>
      <c r="R545" s="40"/>
      <c r="S545" s="40" t="s">
        <v>19</v>
      </c>
      <c r="T545" s="47"/>
      <c r="U545" s="40">
        <f>E545/220*60</f>
        <v>0</v>
      </c>
      <c r="V545" s="176"/>
      <c r="W545" s="47"/>
      <c r="X545" s="40"/>
    </row>
    <row r="546" spans="1:24" s="128" customFormat="1" ht="19.5" thickBot="1" x14ac:dyDescent="0.35">
      <c r="A546" s="129"/>
      <c r="B546" s="130" t="s">
        <v>288</v>
      </c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</row>
    <row r="547" spans="1:24" s="20" customFormat="1" ht="57" thickBot="1" x14ac:dyDescent="0.35">
      <c r="A547" s="41"/>
      <c r="B547" s="41" t="s">
        <v>597</v>
      </c>
      <c r="C547" s="42"/>
      <c r="D547" s="43"/>
      <c r="E547" s="45">
        <f>C547*4</f>
        <v>0</v>
      </c>
      <c r="F547" s="290">
        <f>E547*1.05*0.72/147</f>
        <v>0</v>
      </c>
      <c r="G547" s="147">
        <f>INT(M547)</f>
        <v>0</v>
      </c>
      <c r="H547" s="151" t="s">
        <v>18</v>
      </c>
      <c r="I547" s="147">
        <f>(M547-G547)*64</f>
        <v>0</v>
      </c>
      <c r="J547" s="149" t="s">
        <v>19</v>
      </c>
      <c r="K547" s="149"/>
      <c r="L547" s="149"/>
      <c r="M547" s="291">
        <f>(F547*5989/3456)</f>
        <v>0</v>
      </c>
      <c r="N547" s="40"/>
      <c r="O547" s="40"/>
      <c r="P547" s="40"/>
      <c r="Q547" s="14" t="s">
        <v>18</v>
      </c>
      <c r="R547" s="40"/>
      <c r="S547" s="40" t="s">
        <v>19</v>
      </c>
      <c r="T547" s="47"/>
      <c r="U547" s="40">
        <f>E547/324*60</f>
        <v>0</v>
      </c>
      <c r="V547" s="176"/>
      <c r="W547" s="47"/>
      <c r="X547" s="40"/>
    </row>
    <row r="548" spans="1:24" s="20" customFormat="1" ht="38.25" thickBot="1" x14ac:dyDescent="0.35">
      <c r="A548" s="41"/>
      <c r="B548" s="41" t="s">
        <v>348</v>
      </c>
      <c r="C548" s="42"/>
      <c r="D548" s="43">
        <f>C548*18</f>
        <v>0</v>
      </c>
      <c r="E548" s="40">
        <f>D548*0.2</f>
        <v>0</v>
      </c>
      <c r="F548" s="290">
        <f>E548*1.0001*0.8/147</f>
        <v>0</v>
      </c>
      <c r="G548" s="42">
        <f>INT(M548)</f>
        <v>0</v>
      </c>
      <c r="H548" s="45" t="s">
        <v>18</v>
      </c>
      <c r="I548" s="42">
        <f>(M548-G548)*64</f>
        <v>0</v>
      </c>
      <c r="J548" s="40" t="s">
        <v>19</v>
      </c>
      <c r="K548" s="40"/>
      <c r="L548" s="40"/>
      <c r="M548" s="291">
        <f>(F548*5653)/3456</f>
        <v>0</v>
      </c>
      <c r="N548" s="40"/>
      <c r="O548" s="40"/>
      <c r="P548" s="40"/>
      <c r="Q548" s="45" t="s">
        <v>18</v>
      </c>
      <c r="R548" s="40"/>
      <c r="S548" s="40" t="s">
        <v>19</v>
      </c>
      <c r="T548" s="47"/>
      <c r="U548" s="40">
        <f>E548/220*60</f>
        <v>0</v>
      </c>
      <c r="V548" s="176"/>
      <c r="W548" s="47"/>
      <c r="X548" s="40"/>
    </row>
    <row r="549" spans="1:24" s="20" customFormat="1" ht="38.25" thickBot="1" x14ac:dyDescent="0.35">
      <c r="A549" s="41"/>
      <c r="B549" s="41" t="s">
        <v>330</v>
      </c>
      <c r="C549" s="42"/>
      <c r="D549" s="43"/>
      <c r="E549" s="45">
        <f>C549*2.5</f>
        <v>0</v>
      </c>
      <c r="F549" s="50">
        <f>E549*1.03*0.8/147</f>
        <v>0</v>
      </c>
      <c r="G549" s="42">
        <f t="shared" ref="G549:G558" si="130">INT(M549)</f>
        <v>0</v>
      </c>
      <c r="H549" s="45" t="s">
        <v>18</v>
      </c>
      <c r="I549" s="42">
        <f t="shared" ref="I549:I558" si="131">(M549-G549)*64</f>
        <v>0</v>
      </c>
      <c r="J549" s="40" t="s">
        <v>19</v>
      </c>
      <c r="K549" s="40"/>
      <c r="L549" s="40"/>
      <c r="M549" s="46">
        <f>(F549*5444/3456)</f>
        <v>0</v>
      </c>
      <c r="N549" s="40"/>
      <c r="O549" s="40"/>
      <c r="P549" s="40"/>
      <c r="Q549" s="14" t="s">
        <v>18</v>
      </c>
      <c r="R549" s="40"/>
      <c r="S549" s="40" t="s">
        <v>19</v>
      </c>
      <c r="T549" s="47"/>
      <c r="U549" s="40">
        <f t="shared" ref="U549:U556" si="132">E549/324*60</f>
        <v>0</v>
      </c>
      <c r="V549" s="176"/>
      <c r="W549" s="47"/>
      <c r="X549" s="40"/>
    </row>
    <row r="550" spans="1:24" s="20" customFormat="1" ht="19.5" thickBot="1" x14ac:dyDescent="0.35">
      <c r="A550" s="53"/>
      <c r="B550" s="53" t="s">
        <v>91</v>
      </c>
      <c r="C550" s="42"/>
      <c r="D550" s="43"/>
      <c r="E550" s="45">
        <f>C550*2.5</f>
        <v>0</v>
      </c>
      <c r="F550" s="290">
        <f>E550*1.05*0.72/147</f>
        <v>0</v>
      </c>
      <c r="G550" s="42">
        <f t="shared" si="130"/>
        <v>0</v>
      </c>
      <c r="H550" s="45" t="s">
        <v>18</v>
      </c>
      <c r="I550" s="42">
        <f t="shared" si="131"/>
        <v>0</v>
      </c>
      <c r="J550" s="40" t="s">
        <v>19</v>
      </c>
      <c r="K550" s="40"/>
      <c r="L550" s="40"/>
      <c r="M550" s="291">
        <f>(F550*5989/3456)</f>
        <v>0</v>
      </c>
      <c r="N550" s="40"/>
      <c r="O550" s="40"/>
      <c r="P550" s="40"/>
      <c r="Q550" s="14" t="s">
        <v>18</v>
      </c>
      <c r="R550" s="40"/>
      <c r="S550" s="40" t="s">
        <v>19</v>
      </c>
      <c r="T550" s="47"/>
      <c r="U550" s="40">
        <f t="shared" si="132"/>
        <v>0</v>
      </c>
      <c r="V550" s="176"/>
      <c r="W550" s="47"/>
      <c r="X550" s="40"/>
    </row>
    <row r="551" spans="1:24" s="20" customFormat="1" ht="38.25" thickBot="1" x14ac:dyDescent="0.35">
      <c r="A551" s="53"/>
      <c r="B551" s="41" t="s">
        <v>332</v>
      </c>
      <c r="C551" s="42"/>
      <c r="D551" s="43"/>
      <c r="E551" s="45">
        <f>C551*2.5</f>
        <v>0</v>
      </c>
      <c r="F551" s="290">
        <f>E551*1.05*0.72/147</f>
        <v>0</v>
      </c>
      <c r="G551" s="42">
        <f t="shared" si="130"/>
        <v>0</v>
      </c>
      <c r="H551" s="45" t="s">
        <v>18</v>
      </c>
      <c r="I551" s="42">
        <f t="shared" si="131"/>
        <v>0</v>
      </c>
      <c r="J551" s="40" t="s">
        <v>19</v>
      </c>
      <c r="K551" s="40"/>
      <c r="L551" s="40"/>
      <c r="M551" s="291">
        <f>(F551*5989/3456)</f>
        <v>0</v>
      </c>
      <c r="N551" s="40"/>
      <c r="O551" s="40"/>
      <c r="P551" s="40"/>
      <c r="Q551" s="14" t="s">
        <v>18</v>
      </c>
      <c r="R551" s="40"/>
      <c r="S551" s="40" t="s">
        <v>19</v>
      </c>
      <c r="T551" s="47"/>
      <c r="U551" s="40">
        <f t="shared" si="132"/>
        <v>0</v>
      </c>
      <c r="V551" s="176"/>
      <c r="W551" s="47"/>
      <c r="X551" s="40"/>
    </row>
    <row r="552" spans="1:24" s="20" customFormat="1" ht="57" thickBot="1" x14ac:dyDescent="0.35">
      <c r="A552" s="41"/>
      <c r="B552" s="41" t="s">
        <v>333</v>
      </c>
      <c r="C552" s="42"/>
      <c r="D552" s="43"/>
      <c r="E552" s="45">
        <f>C552*4</f>
        <v>0</v>
      </c>
      <c r="F552" s="290">
        <f>E552*1.05*0.72/147</f>
        <v>0</v>
      </c>
      <c r="G552" s="42">
        <f t="shared" si="130"/>
        <v>0</v>
      </c>
      <c r="H552" s="45" t="s">
        <v>18</v>
      </c>
      <c r="I552" s="42">
        <f t="shared" si="131"/>
        <v>0</v>
      </c>
      <c r="J552" s="40" t="s">
        <v>19</v>
      </c>
      <c r="K552" s="40"/>
      <c r="L552" s="40"/>
      <c r="M552" s="291">
        <f>(F552*5989/3456)</f>
        <v>0</v>
      </c>
      <c r="N552" s="40"/>
      <c r="O552" s="40"/>
      <c r="P552" s="40"/>
      <c r="Q552" s="14" t="s">
        <v>18</v>
      </c>
      <c r="R552" s="40"/>
      <c r="S552" s="40" t="s">
        <v>19</v>
      </c>
      <c r="T552" s="47"/>
      <c r="U552" s="40">
        <f t="shared" si="132"/>
        <v>0</v>
      </c>
      <c r="V552" s="176"/>
      <c r="W552" s="47"/>
      <c r="X552" s="40"/>
    </row>
    <row r="553" spans="1:24" s="20" customFormat="1" ht="38.25" thickBot="1" x14ac:dyDescent="0.35">
      <c r="A553" s="41"/>
      <c r="B553" s="41" t="s">
        <v>331</v>
      </c>
      <c r="C553" s="42"/>
      <c r="D553" s="43"/>
      <c r="E553" s="45">
        <f>C553*4</f>
        <v>0</v>
      </c>
      <c r="F553" s="50">
        <f>E553*1.03*0.8/147</f>
        <v>0</v>
      </c>
      <c r="G553" s="42">
        <f t="shared" si="130"/>
        <v>0</v>
      </c>
      <c r="H553" s="45" t="s">
        <v>18</v>
      </c>
      <c r="I553" s="42">
        <f t="shared" si="131"/>
        <v>0</v>
      </c>
      <c r="J553" s="40" t="s">
        <v>19</v>
      </c>
      <c r="K553" s="40"/>
      <c r="L553" s="40"/>
      <c r="M553" s="46">
        <f>(F553*5444/3456)</f>
        <v>0</v>
      </c>
      <c r="N553" s="40"/>
      <c r="O553" s="40"/>
      <c r="P553" s="40"/>
      <c r="Q553" s="14" t="s">
        <v>18</v>
      </c>
      <c r="R553" s="40"/>
      <c r="S553" s="40" t="s">
        <v>19</v>
      </c>
      <c r="T553" s="47"/>
      <c r="U553" s="40">
        <f t="shared" si="132"/>
        <v>0</v>
      </c>
      <c r="V553" s="176"/>
      <c r="W553" s="47"/>
      <c r="X553" s="40"/>
    </row>
    <row r="554" spans="1:24" s="20" customFormat="1" ht="38.25" thickBot="1" x14ac:dyDescent="0.35">
      <c r="A554" s="41"/>
      <c r="B554" s="41" t="s">
        <v>322</v>
      </c>
      <c r="C554" s="42"/>
      <c r="D554" s="43"/>
      <c r="E554" s="45">
        <f>C554*4</f>
        <v>0</v>
      </c>
      <c r="F554" s="50">
        <f>E554*1.03*0.8/147</f>
        <v>0</v>
      </c>
      <c r="G554" s="42">
        <f t="shared" si="130"/>
        <v>0</v>
      </c>
      <c r="H554" s="45" t="s">
        <v>18</v>
      </c>
      <c r="I554" s="42">
        <f t="shared" si="131"/>
        <v>0</v>
      </c>
      <c r="J554" s="40" t="s">
        <v>19</v>
      </c>
      <c r="K554" s="40"/>
      <c r="L554" s="40"/>
      <c r="M554" s="46">
        <f>(F554*5444/3456)</f>
        <v>0</v>
      </c>
      <c r="N554" s="40"/>
      <c r="O554" s="40"/>
      <c r="P554" s="40"/>
      <c r="Q554" s="14" t="s">
        <v>18</v>
      </c>
      <c r="R554" s="40"/>
      <c r="S554" s="40" t="s">
        <v>19</v>
      </c>
      <c r="T554" s="47"/>
      <c r="U554" s="40">
        <f t="shared" si="132"/>
        <v>0</v>
      </c>
      <c r="V554" s="176"/>
      <c r="W554" s="47"/>
      <c r="X554" s="40"/>
    </row>
    <row r="555" spans="1:24" s="20" customFormat="1" ht="38.25" thickBot="1" x14ac:dyDescent="0.35">
      <c r="A555" s="41"/>
      <c r="B555" s="41" t="s">
        <v>325</v>
      </c>
      <c r="C555" s="42"/>
      <c r="D555" s="43"/>
      <c r="E555" s="45">
        <f>C555*2.5</f>
        <v>0</v>
      </c>
      <c r="F555" s="290">
        <f>E555*1.05*0.72/147</f>
        <v>0</v>
      </c>
      <c r="G555" s="42">
        <f t="shared" si="130"/>
        <v>0</v>
      </c>
      <c r="H555" s="45" t="s">
        <v>18</v>
      </c>
      <c r="I555" s="42">
        <f t="shared" si="131"/>
        <v>0</v>
      </c>
      <c r="J555" s="40" t="s">
        <v>19</v>
      </c>
      <c r="K555" s="40"/>
      <c r="L555" s="40"/>
      <c r="M555" s="291">
        <f>(F555*5989/3456)</f>
        <v>0</v>
      </c>
      <c r="N555" s="40"/>
      <c r="O555" s="40"/>
      <c r="P555" s="40"/>
      <c r="Q555" s="14" t="s">
        <v>18</v>
      </c>
      <c r="R555" s="40"/>
      <c r="S555" s="40" t="s">
        <v>19</v>
      </c>
      <c r="T555" s="47"/>
      <c r="U555" s="40">
        <f t="shared" si="132"/>
        <v>0</v>
      </c>
      <c r="V555" s="176"/>
      <c r="W555" s="47"/>
      <c r="X555" s="40"/>
    </row>
    <row r="556" spans="1:24" s="20" customFormat="1" ht="38.25" thickBot="1" x14ac:dyDescent="0.35">
      <c r="A556" s="41"/>
      <c r="B556" s="41" t="s">
        <v>324</v>
      </c>
      <c r="C556" s="42"/>
      <c r="D556" s="43"/>
      <c r="E556" s="45">
        <f>C556*2.5</f>
        <v>0</v>
      </c>
      <c r="F556" s="290">
        <f>E556*1.05*0.72/147</f>
        <v>0</v>
      </c>
      <c r="G556" s="42">
        <f t="shared" si="130"/>
        <v>0</v>
      </c>
      <c r="H556" s="45" t="s">
        <v>18</v>
      </c>
      <c r="I556" s="42">
        <f t="shared" si="131"/>
        <v>0</v>
      </c>
      <c r="J556" s="40" t="s">
        <v>19</v>
      </c>
      <c r="K556" s="40"/>
      <c r="L556" s="40"/>
      <c r="M556" s="291">
        <f>(F556*5989/3456)</f>
        <v>0</v>
      </c>
      <c r="N556" s="40"/>
      <c r="O556" s="40"/>
      <c r="P556" s="40"/>
      <c r="Q556" s="14" t="s">
        <v>18</v>
      </c>
      <c r="R556" s="40"/>
      <c r="S556" s="40" t="s">
        <v>19</v>
      </c>
      <c r="T556" s="47"/>
      <c r="U556" s="40">
        <f t="shared" si="132"/>
        <v>0</v>
      </c>
      <c r="V556" s="176"/>
      <c r="W556" s="47"/>
      <c r="X556" s="40"/>
    </row>
    <row r="557" spans="1:24" s="120" customFormat="1" ht="38.25" thickBot="1" x14ac:dyDescent="0.35">
      <c r="A557" s="146"/>
      <c r="B557" s="146" t="s">
        <v>326</v>
      </c>
      <c r="C557" s="147"/>
      <c r="D557" s="148">
        <f>C557*144</f>
        <v>0</v>
      </c>
      <c r="E557" s="149">
        <f>D557*0.025</f>
        <v>0</v>
      </c>
      <c r="F557" s="292">
        <f>E557*1.0001*0.8/161.7</f>
        <v>0</v>
      </c>
      <c r="G557" s="147">
        <f t="shared" si="130"/>
        <v>0</v>
      </c>
      <c r="H557" s="151" t="s">
        <v>18</v>
      </c>
      <c r="I557" s="147">
        <f t="shared" si="131"/>
        <v>0</v>
      </c>
      <c r="J557" s="149" t="s">
        <v>19</v>
      </c>
      <c r="K557" s="149"/>
      <c r="L557" s="149"/>
      <c r="M557" s="293">
        <f>(F557*8208)/3456</f>
        <v>0</v>
      </c>
      <c r="N557" s="149"/>
      <c r="O557" s="149"/>
      <c r="P557" s="149"/>
      <c r="Q557" s="294" t="s">
        <v>18</v>
      </c>
      <c r="R557" s="149"/>
      <c r="S557" s="149" t="s">
        <v>19</v>
      </c>
      <c r="T557" s="153"/>
      <c r="U557" s="149">
        <f>E557/220*60</f>
        <v>0</v>
      </c>
      <c r="V557" s="176"/>
      <c r="W557" s="153"/>
      <c r="X557" s="149"/>
    </row>
    <row r="558" spans="1:24" s="120" customFormat="1" ht="38.25" thickBot="1" x14ac:dyDescent="0.35">
      <c r="A558" s="146"/>
      <c r="B558" s="146" t="s">
        <v>334</v>
      </c>
      <c r="C558" s="147"/>
      <c r="D558" s="148"/>
      <c r="E558" s="151">
        <f>C558*3</f>
        <v>0</v>
      </c>
      <c r="F558" s="155">
        <f>E558*1.03*0.8/147</f>
        <v>0</v>
      </c>
      <c r="G558" s="147">
        <f t="shared" si="130"/>
        <v>0</v>
      </c>
      <c r="H558" s="151" t="s">
        <v>18</v>
      </c>
      <c r="I558" s="147">
        <f t="shared" si="131"/>
        <v>0</v>
      </c>
      <c r="J558" s="149" t="s">
        <v>19</v>
      </c>
      <c r="K558" s="149"/>
      <c r="L558" s="149"/>
      <c r="M558" s="152">
        <f>(F558*5444/3456)</f>
        <v>0</v>
      </c>
      <c r="N558" s="149"/>
      <c r="O558" s="149"/>
      <c r="P558" s="149"/>
      <c r="Q558" s="294" t="s">
        <v>18</v>
      </c>
      <c r="R558" s="149"/>
      <c r="S558" s="149" t="s">
        <v>19</v>
      </c>
      <c r="T558" s="153"/>
      <c r="U558" s="149">
        <f t="shared" ref="U558:U563" si="133">E558/324*60</f>
        <v>0</v>
      </c>
      <c r="V558" s="176"/>
      <c r="W558" s="153"/>
      <c r="X558" s="149"/>
    </row>
    <row r="559" spans="1:24" s="120" customFormat="1" ht="38.25" thickBot="1" x14ac:dyDescent="0.35">
      <c r="A559" s="146"/>
      <c r="B559" s="146" t="s">
        <v>328</v>
      </c>
      <c r="C559" s="147"/>
      <c r="D559" s="148"/>
      <c r="E559" s="151">
        <f>C559*2.5</f>
        <v>0</v>
      </c>
      <c r="F559" s="292">
        <f>E559*1.03*0.8/147</f>
        <v>0</v>
      </c>
      <c r="G559" s="147">
        <f>INT(M559)</f>
        <v>0</v>
      </c>
      <c r="H559" s="151" t="s">
        <v>18</v>
      </c>
      <c r="I559" s="147">
        <f>(M559-G559)*64</f>
        <v>0</v>
      </c>
      <c r="J559" s="149" t="s">
        <v>19</v>
      </c>
      <c r="K559" s="149"/>
      <c r="L559" s="149"/>
      <c r="M559" s="152">
        <f>(F559*5444/3456)</f>
        <v>0</v>
      </c>
      <c r="N559" s="149"/>
      <c r="O559" s="149"/>
      <c r="P559" s="149"/>
      <c r="Q559" s="294" t="s">
        <v>18</v>
      </c>
      <c r="R559" s="149"/>
      <c r="S559" s="149" t="s">
        <v>19</v>
      </c>
      <c r="T559" s="153"/>
      <c r="U559" s="149">
        <f t="shared" si="133"/>
        <v>0</v>
      </c>
      <c r="V559" s="176"/>
      <c r="W559" s="153"/>
      <c r="X559" s="149"/>
    </row>
    <row r="560" spans="1:24" s="120" customFormat="1" ht="57" thickBot="1" x14ac:dyDescent="0.35">
      <c r="A560" s="146"/>
      <c r="B560" s="146" t="s">
        <v>329</v>
      </c>
      <c r="C560" s="147"/>
      <c r="D560" s="148"/>
      <c r="E560" s="151">
        <f>C560*4</f>
        <v>0</v>
      </c>
      <c r="F560" s="290">
        <f>E560*1.05*0.72/147</f>
        <v>0</v>
      </c>
      <c r="G560" s="147">
        <f>INT(M560)</f>
        <v>0</v>
      </c>
      <c r="H560" s="151" t="s">
        <v>18</v>
      </c>
      <c r="I560" s="147">
        <f>(M560-G560)*64</f>
        <v>0</v>
      </c>
      <c r="J560" s="149" t="s">
        <v>19</v>
      </c>
      <c r="K560" s="149"/>
      <c r="L560" s="149"/>
      <c r="M560" s="291">
        <f>(F560*5989/3456)</f>
        <v>0</v>
      </c>
      <c r="N560" s="149"/>
      <c r="O560" s="149"/>
      <c r="P560" s="149"/>
      <c r="Q560" s="294" t="s">
        <v>18</v>
      </c>
      <c r="R560" s="149"/>
      <c r="S560" s="149" t="s">
        <v>19</v>
      </c>
      <c r="T560" s="153"/>
      <c r="U560" s="149">
        <f t="shared" si="133"/>
        <v>0</v>
      </c>
      <c r="V560" s="176"/>
      <c r="W560" s="153"/>
      <c r="X560" s="149"/>
    </row>
    <row r="561" spans="1:24" s="20" customFormat="1" ht="19.5" thickBot="1" x14ac:dyDescent="0.35">
      <c r="A561" s="41"/>
      <c r="B561" s="41" t="s">
        <v>321</v>
      </c>
      <c r="C561" s="42"/>
      <c r="D561" s="43"/>
      <c r="E561" s="45">
        <f>C561*2.5</f>
        <v>0</v>
      </c>
      <c r="F561" s="50">
        <f>E561*1.03*0.8/147</f>
        <v>0</v>
      </c>
      <c r="G561" s="42">
        <f>INT(M561)</f>
        <v>0</v>
      </c>
      <c r="H561" s="45" t="s">
        <v>18</v>
      </c>
      <c r="I561" s="42">
        <f>(M561-G561)*64</f>
        <v>0</v>
      </c>
      <c r="J561" s="40" t="s">
        <v>19</v>
      </c>
      <c r="K561" s="40"/>
      <c r="L561" s="40"/>
      <c r="M561" s="46">
        <f>(F561*5444/3456)</f>
        <v>0</v>
      </c>
      <c r="N561" s="40"/>
      <c r="O561" s="40"/>
      <c r="P561" s="40"/>
      <c r="Q561" s="14" t="s">
        <v>18</v>
      </c>
      <c r="R561" s="40"/>
      <c r="S561" s="40" t="s">
        <v>19</v>
      </c>
      <c r="T561" s="47"/>
      <c r="U561" s="40">
        <f t="shared" si="133"/>
        <v>0</v>
      </c>
      <c r="V561" s="176"/>
      <c r="W561" s="47"/>
      <c r="X561" s="40"/>
    </row>
    <row r="562" spans="1:24" s="54" customFormat="1" ht="38.25" thickBot="1" x14ac:dyDescent="0.35">
      <c r="A562" s="41"/>
      <c r="B562" s="41" t="s">
        <v>327</v>
      </c>
      <c r="C562" s="42"/>
      <c r="D562" s="43"/>
      <c r="E562" s="45">
        <f>C562*3</f>
        <v>0</v>
      </c>
      <c r="F562" s="50">
        <f>E562*1.03*0.8/147</f>
        <v>0</v>
      </c>
      <c r="G562" s="42">
        <f>INT(M562)</f>
        <v>0</v>
      </c>
      <c r="H562" s="45" t="s">
        <v>18</v>
      </c>
      <c r="I562" s="42">
        <f>(M562-G562)*64</f>
        <v>0</v>
      </c>
      <c r="J562" s="40" t="s">
        <v>19</v>
      </c>
      <c r="K562" s="40"/>
      <c r="L562" s="40"/>
      <c r="M562" s="46">
        <f>(F562*5444/3456)</f>
        <v>0</v>
      </c>
      <c r="N562" s="40"/>
      <c r="O562" s="40"/>
      <c r="P562" s="40"/>
      <c r="Q562" s="14" t="s">
        <v>18</v>
      </c>
      <c r="R562" s="40"/>
      <c r="S562" s="40" t="s">
        <v>19</v>
      </c>
      <c r="T562" s="47"/>
      <c r="U562" s="40">
        <f t="shared" si="133"/>
        <v>0</v>
      </c>
      <c r="V562" s="176"/>
      <c r="W562" s="47"/>
      <c r="X562" s="40"/>
    </row>
    <row r="563" spans="1:24" s="20" customFormat="1" ht="57" thickBot="1" x14ac:dyDescent="0.35">
      <c r="A563" s="41"/>
      <c r="B563" s="41" t="s">
        <v>323</v>
      </c>
      <c r="C563" s="42"/>
      <c r="D563" s="43"/>
      <c r="E563" s="45">
        <f>C563*4</f>
        <v>0</v>
      </c>
      <c r="F563" s="290">
        <f>E563*1.05*0.72/147</f>
        <v>0</v>
      </c>
      <c r="G563" s="42">
        <f>INT(M563)</f>
        <v>0</v>
      </c>
      <c r="H563" s="45" t="s">
        <v>18</v>
      </c>
      <c r="I563" s="42">
        <f>(M563-G563)*64</f>
        <v>0</v>
      </c>
      <c r="J563" s="40" t="s">
        <v>19</v>
      </c>
      <c r="K563" s="40"/>
      <c r="L563" s="40"/>
      <c r="M563" s="291">
        <f>(F563*5989/3456)</f>
        <v>0</v>
      </c>
      <c r="N563" s="40"/>
      <c r="O563" s="40"/>
      <c r="P563" s="40"/>
      <c r="Q563" s="14" t="s">
        <v>18</v>
      </c>
      <c r="R563" s="40"/>
      <c r="S563" s="40" t="s">
        <v>19</v>
      </c>
      <c r="T563" s="47"/>
      <c r="U563" s="40">
        <f t="shared" si="133"/>
        <v>0</v>
      </c>
      <c r="V563" s="176"/>
      <c r="W563" s="47"/>
      <c r="X563" s="40"/>
    </row>
    <row r="564" spans="1:24" s="128" customFormat="1" ht="19.5" thickBot="1" x14ac:dyDescent="0.35">
      <c r="A564" s="129"/>
      <c r="B564" s="130" t="s">
        <v>287</v>
      </c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</row>
    <row r="565" spans="1:24" s="128" customFormat="1" ht="19.5" thickBot="1" x14ac:dyDescent="0.35">
      <c r="A565" s="129"/>
      <c r="B565" s="130" t="s">
        <v>286</v>
      </c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</row>
    <row r="566" spans="1:24" s="20" customFormat="1" ht="38.25" thickBot="1" x14ac:dyDescent="0.35">
      <c r="A566" s="41"/>
      <c r="B566" s="41" t="s">
        <v>235</v>
      </c>
      <c r="C566" s="42"/>
      <c r="D566" s="43">
        <f>C566*14</f>
        <v>0</v>
      </c>
      <c r="E566" s="64">
        <f t="shared" ref="E566:E571" si="134">D566*0.25</f>
        <v>0</v>
      </c>
      <c r="F566" s="50">
        <f t="shared" ref="F566:F573" si="135">E566*1.03*0.99/147</f>
        <v>0</v>
      </c>
      <c r="G566" s="42">
        <f t="shared" ref="G566:G579" si="136">INT(M566)</f>
        <v>0</v>
      </c>
      <c r="H566" s="14" t="s">
        <v>18</v>
      </c>
      <c r="I566" s="42">
        <f t="shared" ref="I566:I579" si="137">(M566-G566)*64</f>
        <v>0</v>
      </c>
      <c r="J566" s="14" t="s">
        <v>19</v>
      </c>
      <c r="K566" s="40"/>
      <c r="L566" s="40"/>
      <c r="M566" s="52">
        <f>(F566*7000)/2880</f>
        <v>0</v>
      </c>
      <c r="N566" s="40"/>
      <c r="O566" s="40"/>
      <c r="P566" s="40"/>
      <c r="Q566" s="14" t="s">
        <v>18</v>
      </c>
      <c r="R566" s="40"/>
      <c r="S566" s="40" t="s">
        <v>19</v>
      </c>
      <c r="T566" s="47"/>
      <c r="U566" s="40">
        <f>E566/390*60</f>
        <v>0</v>
      </c>
      <c r="V566" s="176"/>
      <c r="W566" s="47"/>
      <c r="X566" s="40"/>
    </row>
    <row r="567" spans="1:24" s="20" customFormat="1" ht="38.25" thickBot="1" x14ac:dyDescent="0.35">
      <c r="A567" s="41"/>
      <c r="B567" s="41" t="s">
        <v>237</v>
      </c>
      <c r="C567" s="42"/>
      <c r="D567" s="43">
        <f>C567*14</f>
        <v>0</v>
      </c>
      <c r="E567" s="64">
        <f t="shared" si="134"/>
        <v>0</v>
      </c>
      <c r="F567" s="50">
        <f t="shared" si="135"/>
        <v>0</v>
      </c>
      <c r="G567" s="42">
        <f t="shared" si="136"/>
        <v>0</v>
      </c>
      <c r="H567" s="14" t="s">
        <v>18</v>
      </c>
      <c r="I567" s="42">
        <f t="shared" si="137"/>
        <v>0</v>
      </c>
      <c r="J567" s="14" t="s">
        <v>19</v>
      </c>
      <c r="K567" s="40"/>
      <c r="L567" s="40"/>
      <c r="M567" s="52">
        <f>(F567*7000)/2880</f>
        <v>0</v>
      </c>
      <c r="N567" s="40"/>
      <c r="O567" s="40"/>
      <c r="P567" s="40"/>
      <c r="Q567" s="14" t="s">
        <v>18</v>
      </c>
      <c r="R567" s="40"/>
      <c r="S567" s="40" t="s">
        <v>19</v>
      </c>
      <c r="T567" s="47"/>
      <c r="U567" s="40">
        <f>E567/390*60</f>
        <v>0</v>
      </c>
      <c r="V567" s="176"/>
      <c r="W567" s="47"/>
      <c r="X567" s="40"/>
    </row>
    <row r="568" spans="1:24" s="120" customFormat="1" ht="38.25" thickBot="1" x14ac:dyDescent="0.35">
      <c r="A568" s="146"/>
      <c r="B568" s="146" t="s">
        <v>381</v>
      </c>
      <c r="C568" s="147"/>
      <c r="D568" s="148">
        <f>C568*12</f>
        <v>0</v>
      </c>
      <c r="E568" s="149">
        <f t="shared" si="134"/>
        <v>0</v>
      </c>
      <c r="F568" s="156">
        <f t="shared" si="135"/>
        <v>0</v>
      </c>
      <c r="G568" s="147">
        <f t="shared" si="136"/>
        <v>0</v>
      </c>
      <c r="H568" s="151" t="s">
        <v>18</v>
      </c>
      <c r="I568" s="147">
        <f t="shared" si="137"/>
        <v>0</v>
      </c>
      <c r="J568" s="149" t="s">
        <v>19</v>
      </c>
      <c r="K568" s="149"/>
      <c r="L568" s="149"/>
      <c r="M568" s="158">
        <f t="shared" ref="M568:M575" si="138">(F568*5202)/2880</f>
        <v>0</v>
      </c>
      <c r="N568" s="149"/>
      <c r="O568" s="149"/>
      <c r="P568" s="149"/>
      <c r="Q568" s="294" t="s">
        <v>18</v>
      </c>
      <c r="R568" s="149"/>
      <c r="S568" s="149" t="s">
        <v>19</v>
      </c>
      <c r="T568" s="153"/>
      <c r="U568" s="149"/>
      <c r="V568" s="176"/>
      <c r="W568" s="153"/>
      <c r="X568" s="149"/>
    </row>
    <row r="569" spans="1:24" s="120" customFormat="1" ht="38.25" thickBot="1" x14ac:dyDescent="0.35">
      <c r="A569" s="146"/>
      <c r="B569" s="146" t="s">
        <v>382</v>
      </c>
      <c r="C569" s="147"/>
      <c r="D569" s="148">
        <f>C569*12</f>
        <v>0</v>
      </c>
      <c r="E569" s="149">
        <f t="shared" si="134"/>
        <v>0</v>
      </c>
      <c r="F569" s="156">
        <f t="shared" si="135"/>
        <v>0</v>
      </c>
      <c r="G569" s="147">
        <f t="shared" si="136"/>
        <v>0</v>
      </c>
      <c r="H569" s="151" t="s">
        <v>18</v>
      </c>
      <c r="I569" s="147">
        <f t="shared" si="137"/>
        <v>0</v>
      </c>
      <c r="J569" s="149" t="s">
        <v>19</v>
      </c>
      <c r="K569" s="149"/>
      <c r="L569" s="149"/>
      <c r="M569" s="158">
        <f t="shared" si="138"/>
        <v>0</v>
      </c>
      <c r="N569" s="149"/>
      <c r="O569" s="149"/>
      <c r="P569" s="149"/>
      <c r="Q569" s="294" t="s">
        <v>18</v>
      </c>
      <c r="R569" s="149"/>
      <c r="S569" s="149" t="s">
        <v>19</v>
      </c>
      <c r="T569" s="153"/>
      <c r="U569" s="149"/>
      <c r="V569" s="176"/>
      <c r="W569" s="153"/>
      <c r="X569" s="149"/>
    </row>
    <row r="570" spans="1:24" s="120" customFormat="1" ht="38.25" thickBot="1" x14ac:dyDescent="0.35">
      <c r="A570" s="146"/>
      <c r="B570" s="146" t="s">
        <v>376</v>
      </c>
      <c r="C570" s="147"/>
      <c r="D570" s="148">
        <f>C570*14</f>
        <v>0</v>
      </c>
      <c r="E570" s="149">
        <f t="shared" si="134"/>
        <v>0</v>
      </c>
      <c r="F570" s="156">
        <f t="shared" si="135"/>
        <v>0</v>
      </c>
      <c r="G570" s="147">
        <f t="shared" si="136"/>
        <v>0</v>
      </c>
      <c r="H570" s="151" t="s">
        <v>18</v>
      </c>
      <c r="I570" s="147">
        <f t="shared" si="137"/>
        <v>0</v>
      </c>
      <c r="J570" s="149" t="s">
        <v>19</v>
      </c>
      <c r="K570" s="149"/>
      <c r="L570" s="149"/>
      <c r="M570" s="158">
        <f t="shared" si="138"/>
        <v>0</v>
      </c>
      <c r="N570" s="149"/>
      <c r="O570" s="149"/>
      <c r="P570" s="149"/>
      <c r="Q570" s="294" t="s">
        <v>18</v>
      </c>
      <c r="R570" s="149"/>
      <c r="S570" s="149" t="s">
        <v>19</v>
      </c>
      <c r="T570" s="153"/>
      <c r="U570" s="149"/>
      <c r="V570" s="176"/>
      <c r="W570" s="153"/>
      <c r="X570" s="149"/>
    </row>
    <row r="571" spans="1:24" s="120" customFormat="1" ht="38.25" thickBot="1" x14ac:dyDescent="0.35">
      <c r="A571" s="146"/>
      <c r="B571" s="146" t="s">
        <v>377</v>
      </c>
      <c r="C571" s="147"/>
      <c r="D571" s="148">
        <f>C571*14</f>
        <v>0</v>
      </c>
      <c r="E571" s="149">
        <f t="shared" si="134"/>
        <v>0</v>
      </c>
      <c r="F571" s="156">
        <f t="shared" si="135"/>
        <v>0</v>
      </c>
      <c r="G571" s="147">
        <f t="shared" si="136"/>
        <v>0</v>
      </c>
      <c r="H571" s="151" t="s">
        <v>18</v>
      </c>
      <c r="I571" s="147">
        <f t="shared" si="137"/>
        <v>0</v>
      </c>
      <c r="J571" s="149" t="s">
        <v>19</v>
      </c>
      <c r="K571" s="149"/>
      <c r="L571" s="149"/>
      <c r="M571" s="158">
        <f t="shared" si="138"/>
        <v>0</v>
      </c>
      <c r="N571" s="149"/>
      <c r="O571" s="149"/>
      <c r="P571" s="149"/>
      <c r="Q571" s="294" t="s">
        <v>18</v>
      </c>
      <c r="R571" s="149"/>
      <c r="S571" s="149" t="s">
        <v>19</v>
      </c>
      <c r="T571" s="153"/>
      <c r="U571" s="149"/>
      <c r="V571" s="176"/>
      <c r="W571" s="153"/>
      <c r="X571" s="149"/>
    </row>
    <row r="572" spans="1:24" s="120" customFormat="1" ht="38.25" thickBot="1" x14ac:dyDescent="0.35">
      <c r="A572" s="146"/>
      <c r="B572" s="146" t="s">
        <v>379</v>
      </c>
      <c r="C572" s="147"/>
      <c r="D572" s="148">
        <f>C572*12</f>
        <v>0</v>
      </c>
      <c r="E572" s="149">
        <f>D572*0.26</f>
        <v>0</v>
      </c>
      <c r="F572" s="156">
        <f t="shared" si="135"/>
        <v>0</v>
      </c>
      <c r="G572" s="147">
        <f t="shared" si="136"/>
        <v>0</v>
      </c>
      <c r="H572" s="151" t="s">
        <v>18</v>
      </c>
      <c r="I572" s="147">
        <f t="shared" si="137"/>
        <v>0</v>
      </c>
      <c r="J572" s="149" t="s">
        <v>19</v>
      </c>
      <c r="K572" s="149"/>
      <c r="L572" s="149"/>
      <c r="M572" s="158">
        <f t="shared" si="138"/>
        <v>0</v>
      </c>
      <c r="N572" s="149"/>
      <c r="O572" s="149"/>
      <c r="P572" s="149"/>
      <c r="Q572" s="294" t="s">
        <v>18</v>
      </c>
      <c r="R572" s="149"/>
      <c r="S572" s="149" t="s">
        <v>19</v>
      </c>
      <c r="T572" s="153"/>
      <c r="U572" s="149"/>
      <c r="V572" s="176"/>
      <c r="W572" s="153"/>
      <c r="X572" s="149"/>
    </row>
    <row r="573" spans="1:24" s="120" customFormat="1" ht="38.25" thickBot="1" x14ac:dyDescent="0.35">
      <c r="A573" s="146"/>
      <c r="B573" s="146" t="s">
        <v>380</v>
      </c>
      <c r="C573" s="147"/>
      <c r="D573" s="148">
        <f>C573*12</f>
        <v>0</v>
      </c>
      <c r="E573" s="149">
        <f>D573*0.26</f>
        <v>0</v>
      </c>
      <c r="F573" s="156">
        <f t="shared" si="135"/>
        <v>0</v>
      </c>
      <c r="G573" s="147">
        <f t="shared" si="136"/>
        <v>0</v>
      </c>
      <c r="H573" s="151" t="s">
        <v>18</v>
      </c>
      <c r="I573" s="147">
        <f t="shared" si="137"/>
        <v>0</v>
      </c>
      <c r="J573" s="149" t="s">
        <v>19</v>
      </c>
      <c r="K573" s="149"/>
      <c r="L573" s="149"/>
      <c r="M573" s="158">
        <f t="shared" si="138"/>
        <v>0</v>
      </c>
      <c r="N573" s="149"/>
      <c r="O573" s="149"/>
      <c r="P573" s="149"/>
      <c r="Q573" s="294" t="s">
        <v>18</v>
      </c>
      <c r="R573" s="149"/>
      <c r="S573" s="149" t="s">
        <v>19</v>
      </c>
      <c r="T573" s="153"/>
      <c r="U573" s="149"/>
      <c r="V573" s="176"/>
      <c r="W573" s="153"/>
      <c r="X573" s="149"/>
    </row>
    <row r="574" spans="1:24" s="20" customFormat="1" ht="38.25" thickBot="1" x14ac:dyDescent="0.35">
      <c r="A574" s="41"/>
      <c r="B574" s="41" t="s">
        <v>239</v>
      </c>
      <c r="C574" s="42"/>
      <c r="D574" s="43">
        <f>C574*16</f>
        <v>0</v>
      </c>
      <c r="E574" s="40">
        <f>D574*0.34</f>
        <v>0</v>
      </c>
      <c r="F574" s="50">
        <f t="shared" ref="F574:F579" si="139">E574*1.03*0.99/147</f>
        <v>0</v>
      </c>
      <c r="G574" s="42">
        <f t="shared" si="136"/>
        <v>0</v>
      </c>
      <c r="H574" s="45" t="s">
        <v>18</v>
      </c>
      <c r="I574" s="42">
        <f t="shared" si="137"/>
        <v>0</v>
      </c>
      <c r="J574" s="40" t="s">
        <v>19</v>
      </c>
      <c r="K574" s="40"/>
      <c r="L574" s="40"/>
      <c r="M574" s="52">
        <f t="shared" si="138"/>
        <v>0</v>
      </c>
      <c r="N574" s="40"/>
      <c r="O574" s="40"/>
      <c r="P574" s="40"/>
      <c r="Q574" s="14" t="s">
        <v>18</v>
      </c>
      <c r="R574" s="40"/>
      <c r="S574" s="40" t="s">
        <v>19</v>
      </c>
      <c r="T574" s="47"/>
      <c r="U574" s="40"/>
      <c r="V574" s="176"/>
      <c r="W574" s="47"/>
      <c r="X574" s="40"/>
    </row>
    <row r="575" spans="1:24" s="20" customFormat="1" ht="38.25" thickBot="1" x14ac:dyDescent="0.35">
      <c r="A575" s="41"/>
      <c r="B575" s="41" t="s">
        <v>238</v>
      </c>
      <c r="C575" s="42"/>
      <c r="D575" s="43">
        <f>C575*16</f>
        <v>0</v>
      </c>
      <c r="E575" s="40">
        <f>D575*0.34</f>
        <v>0</v>
      </c>
      <c r="F575" s="50">
        <f t="shared" si="139"/>
        <v>0</v>
      </c>
      <c r="G575" s="42">
        <f t="shared" si="136"/>
        <v>0</v>
      </c>
      <c r="H575" s="45" t="s">
        <v>18</v>
      </c>
      <c r="I575" s="42">
        <f t="shared" si="137"/>
        <v>0</v>
      </c>
      <c r="J575" s="40" t="s">
        <v>19</v>
      </c>
      <c r="K575" s="40"/>
      <c r="L575" s="40"/>
      <c r="M575" s="52">
        <f t="shared" si="138"/>
        <v>0</v>
      </c>
      <c r="N575" s="40"/>
      <c r="O575" s="40"/>
      <c r="P575" s="40"/>
      <c r="Q575" s="14" t="s">
        <v>18</v>
      </c>
      <c r="R575" s="40"/>
      <c r="S575" s="40" t="s">
        <v>19</v>
      </c>
      <c r="T575" s="47"/>
      <c r="U575" s="40"/>
      <c r="V575" s="176"/>
      <c r="W575" s="47"/>
      <c r="X575" s="40"/>
    </row>
    <row r="576" spans="1:24" s="20" customFormat="1" ht="19.5" thickBot="1" x14ac:dyDescent="0.35">
      <c r="A576" s="41"/>
      <c r="B576" s="41" t="s">
        <v>374</v>
      </c>
      <c r="C576" s="42"/>
      <c r="D576" s="43">
        <f>C576*14</f>
        <v>0</v>
      </c>
      <c r="E576" s="64">
        <f>D576*0.25</f>
        <v>0</v>
      </c>
      <c r="F576" s="50">
        <f t="shared" si="139"/>
        <v>0</v>
      </c>
      <c r="G576" s="42">
        <f t="shared" si="136"/>
        <v>0</v>
      </c>
      <c r="H576" s="14" t="s">
        <v>18</v>
      </c>
      <c r="I576" s="42">
        <f t="shared" si="137"/>
        <v>0</v>
      </c>
      <c r="J576" s="14" t="s">
        <v>19</v>
      </c>
      <c r="K576" s="40"/>
      <c r="L576" s="40"/>
      <c r="M576" s="52">
        <f>(F576*7000)/2880</f>
        <v>0</v>
      </c>
      <c r="N576" s="40"/>
      <c r="O576" s="40"/>
      <c r="P576" s="40"/>
      <c r="Q576" s="14" t="s">
        <v>18</v>
      </c>
      <c r="R576" s="40"/>
      <c r="S576" s="40" t="s">
        <v>19</v>
      </c>
      <c r="T576" s="47"/>
      <c r="U576" s="40">
        <f>E576/390*60</f>
        <v>0</v>
      </c>
      <c r="V576" s="176"/>
      <c r="W576" s="47"/>
      <c r="X576" s="40"/>
    </row>
    <row r="577" spans="1:24" s="20" customFormat="1" ht="38.25" thickBot="1" x14ac:dyDescent="0.35">
      <c r="A577" s="41"/>
      <c r="B577" s="41" t="s">
        <v>375</v>
      </c>
      <c r="C577" s="42"/>
      <c r="D577" s="43">
        <f>C577*14</f>
        <v>0</v>
      </c>
      <c r="E577" s="64">
        <f>D577*0.25</f>
        <v>0</v>
      </c>
      <c r="F577" s="50">
        <f t="shared" si="139"/>
        <v>0</v>
      </c>
      <c r="G577" s="42">
        <f t="shared" si="136"/>
        <v>0</v>
      </c>
      <c r="H577" s="14" t="s">
        <v>18</v>
      </c>
      <c r="I577" s="42">
        <f t="shared" si="137"/>
        <v>0</v>
      </c>
      <c r="J577" s="14" t="s">
        <v>19</v>
      </c>
      <c r="K577" s="40"/>
      <c r="L577" s="40"/>
      <c r="M577" s="52">
        <f>(F577*7000)/2880</f>
        <v>0</v>
      </c>
      <c r="N577" s="40"/>
      <c r="O577" s="40"/>
      <c r="P577" s="40"/>
      <c r="Q577" s="14" t="s">
        <v>18</v>
      </c>
      <c r="R577" s="40"/>
      <c r="S577" s="40" t="s">
        <v>19</v>
      </c>
      <c r="T577" s="47"/>
      <c r="U577" s="40">
        <f>E577/390*60</f>
        <v>0</v>
      </c>
      <c r="V577" s="176"/>
      <c r="W577" s="47"/>
      <c r="X577" s="40"/>
    </row>
    <row r="578" spans="1:24" s="20" customFormat="1" ht="19.5" thickBot="1" x14ac:dyDescent="0.35">
      <c r="A578" s="41"/>
      <c r="B578" s="41" t="s">
        <v>378</v>
      </c>
      <c r="C578" s="42"/>
      <c r="D578" s="43">
        <f>C578*12</f>
        <v>0</v>
      </c>
      <c r="E578" s="63">
        <f>D578*0.3</f>
        <v>0</v>
      </c>
      <c r="F578" s="50">
        <f t="shared" si="139"/>
        <v>0</v>
      </c>
      <c r="G578" s="42">
        <f t="shared" si="136"/>
        <v>0</v>
      </c>
      <c r="H578" s="45" t="s">
        <v>18</v>
      </c>
      <c r="I578" s="42">
        <f t="shared" si="137"/>
        <v>0</v>
      </c>
      <c r="J578" s="40" t="s">
        <v>19</v>
      </c>
      <c r="K578" s="40"/>
      <c r="L578" s="40"/>
      <c r="M578" s="52">
        <f>(F578*5927)/2880</f>
        <v>0</v>
      </c>
      <c r="N578" s="40"/>
      <c r="O578" s="40"/>
      <c r="P578" s="40"/>
      <c r="Q578" s="14" t="s">
        <v>18</v>
      </c>
      <c r="R578" s="40"/>
      <c r="S578" s="40" t="s">
        <v>19</v>
      </c>
      <c r="T578" s="47"/>
      <c r="U578" s="40">
        <f>E578/403*60</f>
        <v>0</v>
      </c>
      <c r="V578" s="176"/>
      <c r="W578" s="47"/>
      <c r="X578" s="40"/>
    </row>
    <row r="579" spans="1:24" s="20" customFormat="1" ht="19.5" thickBot="1" x14ac:dyDescent="0.35">
      <c r="A579" s="41"/>
      <c r="B579" s="41" t="s">
        <v>571</v>
      </c>
      <c r="C579" s="42"/>
      <c r="D579" s="43">
        <f>C579*12</f>
        <v>0</v>
      </c>
      <c r="E579" s="63">
        <f>D579*0.25</f>
        <v>0</v>
      </c>
      <c r="F579" s="50">
        <f t="shared" si="139"/>
        <v>0</v>
      </c>
      <c r="G579" s="42">
        <f t="shared" si="136"/>
        <v>0</v>
      </c>
      <c r="H579" s="45" t="s">
        <v>18</v>
      </c>
      <c r="I579" s="42">
        <f t="shared" si="137"/>
        <v>0</v>
      </c>
      <c r="J579" s="40" t="s">
        <v>19</v>
      </c>
      <c r="K579" s="40"/>
      <c r="L579" s="40"/>
      <c r="M579" s="52">
        <f>(F579*5927)/2880</f>
        <v>0</v>
      </c>
      <c r="N579" s="40"/>
      <c r="O579" s="40"/>
      <c r="P579" s="40"/>
      <c r="Q579" s="14" t="s">
        <v>18</v>
      </c>
      <c r="R579" s="40"/>
      <c r="S579" s="40" t="s">
        <v>19</v>
      </c>
      <c r="T579" s="47"/>
      <c r="U579" s="40">
        <f>E579/403*60</f>
        <v>0</v>
      </c>
      <c r="V579" s="176"/>
      <c r="W579" s="47"/>
      <c r="X579" s="40"/>
    </row>
    <row r="580" spans="1:24" s="20" customFormat="1" ht="19.5" thickBot="1" x14ac:dyDescent="0.35">
      <c r="A580" s="41"/>
      <c r="B580" s="41"/>
      <c r="C580" s="42"/>
      <c r="D580" s="43"/>
      <c r="E580" s="63"/>
      <c r="F580" s="50"/>
      <c r="G580" s="42"/>
      <c r="H580" s="45"/>
      <c r="I580" s="42"/>
      <c r="J580" s="40"/>
      <c r="K580" s="40"/>
      <c r="L580" s="40"/>
      <c r="M580" s="52"/>
      <c r="N580" s="40"/>
      <c r="O580" s="40"/>
      <c r="P580" s="40"/>
      <c r="Q580" s="14"/>
      <c r="R580" s="40"/>
      <c r="S580" s="40"/>
      <c r="T580" s="47"/>
      <c r="U580" s="40"/>
      <c r="V580" s="176"/>
      <c r="W580" s="47"/>
      <c r="X580" s="40"/>
    </row>
    <row r="581" spans="1:24" s="20" customFormat="1" ht="19.5" thickBot="1" x14ac:dyDescent="0.35">
      <c r="A581" s="41"/>
      <c r="B581" s="41" t="s">
        <v>114</v>
      </c>
      <c r="C581" s="42"/>
      <c r="D581" s="43">
        <f>C581*12</f>
        <v>0</v>
      </c>
      <c r="E581" s="40">
        <f>D581*0.25</f>
        <v>0</v>
      </c>
      <c r="F581" s="50">
        <f>E581*1.03*0.99/147</f>
        <v>0</v>
      </c>
      <c r="G581" s="42">
        <f>INT(M581)</f>
        <v>0</v>
      </c>
      <c r="H581" s="45" t="s">
        <v>18</v>
      </c>
      <c r="I581" s="42">
        <f>(M581-G581)*64</f>
        <v>0</v>
      </c>
      <c r="J581" s="40" t="s">
        <v>19</v>
      </c>
      <c r="K581" s="40"/>
      <c r="L581" s="40"/>
      <c r="M581" s="52">
        <f>(F581*6966)/2880</f>
        <v>0</v>
      </c>
      <c r="N581" s="40"/>
      <c r="O581" s="40"/>
      <c r="P581" s="40"/>
      <c r="Q581" s="14" t="s">
        <v>18</v>
      </c>
      <c r="R581" s="40"/>
      <c r="S581" s="40" t="s">
        <v>19</v>
      </c>
      <c r="T581" s="47"/>
      <c r="U581" s="40">
        <f>E581/226*60</f>
        <v>0</v>
      </c>
      <c r="V581" s="176"/>
      <c r="W581" s="47"/>
      <c r="X581" s="40"/>
    </row>
    <row r="582" spans="1:24" s="289" customFormat="1" ht="26.25" customHeight="1" thickBot="1" x14ac:dyDescent="0.35">
      <c r="A582" s="141"/>
      <c r="B582" s="141" t="s">
        <v>601</v>
      </c>
      <c r="C582" s="282"/>
      <c r="D582" s="283">
        <f>C582*12</f>
        <v>0</v>
      </c>
      <c r="E582" s="117">
        <f>D582*0.25</f>
        <v>0</v>
      </c>
      <c r="F582" s="284">
        <f>E582*1.03*0.99/147</f>
        <v>0</v>
      </c>
      <c r="G582" s="282">
        <f>INT(M582)</f>
        <v>0</v>
      </c>
      <c r="H582" s="285" t="s">
        <v>18</v>
      </c>
      <c r="I582" s="282">
        <f>(M582-G582)*64</f>
        <v>0</v>
      </c>
      <c r="J582" s="117" t="s">
        <v>19</v>
      </c>
      <c r="K582" s="117"/>
      <c r="L582" s="117"/>
      <c r="M582" s="117">
        <f>(F582*6869)/2880</f>
        <v>0</v>
      </c>
      <c r="N582" s="117"/>
      <c r="O582" s="117"/>
      <c r="P582" s="117"/>
      <c r="Q582" s="286" t="s">
        <v>18</v>
      </c>
      <c r="R582" s="117"/>
      <c r="S582" s="117" t="s">
        <v>19</v>
      </c>
      <c r="T582" s="287"/>
      <c r="U582" s="117">
        <f>E582/226*60</f>
        <v>0</v>
      </c>
      <c r="V582" s="288"/>
      <c r="W582" s="287"/>
      <c r="X582" s="117"/>
    </row>
    <row r="583" spans="1:24" s="20" customFormat="1" ht="38.25" thickBot="1" x14ac:dyDescent="0.35">
      <c r="A583" s="41"/>
      <c r="B583" s="157" t="s">
        <v>366</v>
      </c>
      <c r="C583" s="42"/>
      <c r="D583" s="43">
        <f>C583*12</f>
        <v>0</v>
      </c>
      <c r="E583" s="40">
        <f>D583*0.25</f>
        <v>0</v>
      </c>
      <c r="F583" s="50">
        <f>E583*1.03*0.99/107</f>
        <v>0</v>
      </c>
      <c r="G583" s="42">
        <f t="shared" ref="G583:G600" si="140">INT(M583)</f>
        <v>0</v>
      </c>
      <c r="H583" s="45" t="s">
        <v>18</v>
      </c>
      <c r="I583" s="42">
        <f t="shared" ref="I583:I600" si="141">(M583-G583)*64</f>
        <v>0</v>
      </c>
      <c r="J583" s="40" t="s">
        <v>19</v>
      </c>
      <c r="K583" s="40"/>
      <c r="L583" s="40"/>
      <c r="M583" s="52">
        <f>(F583*5085)/2880</f>
        <v>0</v>
      </c>
      <c r="N583" s="40"/>
      <c r="O583" s="40"/>
      <c r="P583" s="40"/>
      <c r="Q583" s="14" t="s">
        <v>18</v>
      </c>
      <c r="R583" s="40"/>
      <c r="S583" s="40" t="s">
        <v>19</v>
      </c>
      <c r="T583" s="47"/>
      <c r="U583" s="40">
        <f>E583/226*60</f>
        <v>0</v>
      </c>
      <c r="V583" s="176"/>
      <c r="W583" s="47"/>
      <c r="X583" s="40"/>
    </row>
    <row r="584" spans="1:24" s="20" customFormat="1" ht="38.25" thickBot="1" x14ac:dyDescent="0.35">
      <c r="A584" s="41"/>
      <c r="B584" s="157" t="s">
        <v>367</v>
      </c>
      <c r="C584" s="42"/>
      <c r="D584" s="43">
        <f>C584*12</f>
        <v>0</v>
      </c>
      <c r="E584" s="40">
        <f>D584*0.25</f>
        <v>0</v>
      </c>
      <c r="F584" s="50">
        <f>E584*1.03*0.99/107</f>
        <v>0</v>
      </c>
      <c r="G584" s="42">
        <f t="shared" si="140"/>
        <v>0</v>
      </c>
      <c r="H584" s="45" t="s">
        <v>18</v>
      </c>
      <c r="I584" s="42">
        <f t="shared" si="141"/>
        <v>0</v>
      </c>
      <c r="J584" s="40" t="s">
        <v>19</v>
      </c>
      <c r="K584" s="40"/>
      <c r="L584" s="40"/>
      <c r="M584" s="52">
        <f>(F584*5085)/2880</f>
        <v>0</v>
      </c>
      <c r="N584" s="40"/>
      <c r="O584" s="40"/>
      <c r="P584" s="40"/>
      <c r="Q584" s="14" t="s">
        <v>18</v>
      </c>
      <c r="R584" s="40"/>
      <c r="S584" s="40" t="s">
        <v>19</v>
      </c>
      <c r="T584" s="47"/>
      <c r="U584" s="40">
        <f>E584/226*60</f>
        <v>0</v>
      </c>
      <c r="V584" s="176"/>
      <c r="W584" s="47"/>
      <c r="X584" s="40"/>
    </row>
    <row r="585" spans="1:24" s="20" customFormat="1" ht="36" customHeight="1" thickBot="1" x14ac:dyDescent="0.35">
      <c r="A585" s="41"/>
      <c r="B585" s="281" t="s">
        <v>599</v>
      </c>
      <c r="C585" s="42"/>
      <c r="D585" s="43"/>
      <c r="E585" s="45">
        <f>C585*4</f>
        <v>0</v>
      </c>
      <c r="F585" s="50">
        <f>E585*1.2*1/147</f>
        <v>0</v>
      </c>
      <c r="G585" s="42">
        <f t="shared" si="140"/>
        <v>0</v>
      </c>
      <c r="H585" s="45" t="s">
        <v>18</v>
      </c>
      <c r="I585" s="42">
        <f t="shared" si="141"/>
        <v>0</v>
      </c>
      <c r="J585" s="40" t="s">
        <v>19</v>
      </c>
      <c r="K585" s="40"/>
      <c r="L585" s="40"/>
      <c r="M585" s="46">
        <f>F585*5719/2880</f>
        <v>0</v>
      </c>
      <c r="N585" s="40"/>
      <c r="O585" s="40"/>
      <c r="P585" s="40"/>
      <c r="Q585" s="14" t="s">
        <v>18</v>
      </c>
      <c r="R585" s="40"/>
      <c r="S585" s="40" t="s">
        <v>19</v>
      </c>
      <c r="T585" s="47"/>
      <c r="U585" s="40">
        <f>E585/237*60</f>
        <v>0</v>
      </c>
      <c r="V585" s="176"/>
      <c r="W585" s="47"/>
      <c r="X585" s="40"/>
    </row>
    <row r="586" spans="1:24" s="20" customFormat="1" ht="19.5" thickBot="1" x14ac:dyDescent="0.35">
      <c r="A586" s="41"/>
      <c r="B586" s="41" t="s">
        <v>370</v>
      </c>
      <c r="C586" s="42"/>
      <c r="D586" s="43">
        <f>C586*12</f>
        <v>0</v>
      </c>
      <c r="E586" s="40">
        <f>D586*0.26</f>
        <v>0</v>
      </c>
      <c r="F586" s="50">
        <f t="shared" ref="F586:F600" si="142">E586*1.03*0.99/147</f>
        <v>0</v>
      </c>
      <c r="G586" s="42">
        <f t="shared" si="140"/>
        <v>0</v>
      </c>
      <c r="H586" s="45" t="s">
        <v>18</v>
      </c>
      <c r="I586" s="42">
        <f t="shared" si="141"/>
        <v>0</v>
      </c>
      <c r="J586" s="40" t="s">
        <v>19</v>
      </c>
      <c r="K586" s="40"/>
      <c r="L586" s="40"/>
      <c r="M586" s="52">
        <f>(F586*6743)/2880</f>
        <v>0</v>
      </c>
      <c r="N586" s="40"/>
      <c r="O586" s="40"/>
      <c r="P586" s="40"/>
      <c r="Q586" s="14" t="s">
        <v>18</v>
      </c>
      <c r="R586" s="40"/>
      <c r="S586" s="40" t="s">
        <v>19</v>
      </c>
      <c r="T586" s="47"/>
      <c r="U586" s="40">
        <f>E586/237*60</f>
        <v>0</v>
      </c>
      <c r="V586" s="176"/>
      <c r="W586" s="47"/>
      <c r="X586" s="40"/>
    </row>
    <row r="587" spans="1:24" s="20" customFormat="1" ht="19.5" thickBot="1" x14ac:dyDescent="0.35">
      <c r="A587" s="41"/>
      <c r="B587" s="41" t="s">
        <v>371</v>
      </c>
      <c r="C587" s="42"/>
      <c r="D587" s="43">
        <f>C587*12</f>
        <v>0</v>
      </c>
      <c r="E587" s="40">
        <f>D587*0.26</f>
        <v>0</v>
      </c>
      <c r="F587" s="50">
        <f t="shared" si="142"/>
        <v>0</v>
      </c>
      <c r="G587" s="42">
        <f t="shared" si="140"/>
        <v>0</v>
      </c>
      <c r="H587" s="45" t="s">
        <v>18</v>
      </c>
      <c r="I587" s="42">
        <f t="shared" si="141"/>
        <v>0</v>
      </c>
      <c r="J587" s="40" t="s">
        <v>19</v>
      </c>
      <c r="K587" s="40"/>
      <c r="L587" s="40"/>
      <c r="M587" s="52">
        <f>(F587*6743)/2880</f>
        <v>0</v>
      </c>
      <c r="N587" s="40"/>
      <c r="O587" s="40"/>
      <c r="P587" s="40"/>
      <c r="Q587" s="14" t="s">
        <v>18</v>
      </c>
      <c r="R587" s="40"/>
      <c r="S587" s="40" t="s">
        <v>19</v>
      </c>
      <c r="T587" s="47"/>
      <c r="U587" s="40">
        <f>E587/237*60</f>
        <v>0</v>
      </c>
      <c r="V587" s="176"/>
      <c r="W587" s="47"/>
      <c r="X587" s="40"/>
    </row>
    <row r="588" spans="1:24" s="20" customFormat="1" ht="19.5" thickBot="1" x14ac:dyDescent="0.35">
      <c r="A588" s="41"/>
      <c r="B588" s="41" t="s">
        <v>369</v>
      </c>
      <c r="C588" s="42"/>
      <c r="D588" s="43">
        <f>C588*12</f>
        <v>0</v>
      </c>
      <c r="E588" s="40">
        <f>D588*0.26</f>
        <v>0</v>
      </c>
      <c r="F588" s="50">
        <f t="shared" si="142"/>
        <v>0</v>
      </c>
      <c r="G588" s="42">
        <f t="shared" si="140"/>
        <v>0</v>
      </c>
      <c r="H588" s="45" t="s">
        <v>18</v>
      </c>
      <c r="I588" s="42">
        <f t="shared" si="141"/>
        <v>0</v>
      </c>
      <c r="J588" s="40" t="s">
        <v>19</v>
      </c>
      <c r="K588" s="40"/>
      <c r="L588" s="40"/>
      <c r="M588" s="52">
        <f>(F588*6743)/2880</f>
        <v>0</v>
      </c>
      <c r="N588" s="40"/>
      <c r="O588" s="40"/>
      <c r="P588" s="40"/>
      <c r="Q588" s="14" t="s">
        <v>18</v>
      </c>
      <c r="R588" s="40"/>
      <c r="S588" s="40" t="s">
        <v>19</v>
      </c>
      <c r="T588" s="47"/>
      <c r="U588" s="40">
        <f>E588/237*60</f>
        <v>0</v>
      </c>
      <c r="V588" s="176"/>
      <c r="W588" s="47"/>
      <c r="X588" s="40"/>
    </row>
    <row r="589" spans="1:24" s="20" customFormat="1" ht="19.5" thickBot="1" x14ac:dyDescent="0.35">
      <c r="A589" s="41"/>
      <c r="B589" s="41" t="s">
        <v>368</v>
      </c>
      <c r="C589" s="42"/>
      <c r="D589" s="43">
        <f>C589*12</f>
        <v>0</v>
      </c>
      <c r="E589" s="64">
        <f>D589*0.25</f>
        <v>0</v>
      </c>
      <c r="F589" s="50">
        <f t="shared" si="142"/>
        <v>0</v>
      </c>
      <c r="G589" s="42">
        <f t="shared" si="140"/>
        <v>0</v>
      </c>
      <c r="H589" s="14" t="s">
        <v>18</v>
      </c>
      <c r="I589" s="42">
        <f t="shared" si="141"/>
        <v>0</v>
      </c>
      <c r="J589" s="14" t="s">
        <v>19</v>
      </c>
      <c r="K589" s="40"/>
      <c r="L589" s="40"/>
      <c r="M589" s="52">
        <f>(F589*7000)/2880</f>
        <v>0</v>
      </c>
      <c r="N589" s="40"/>
      <c r="O589" s="40"/>
      <c r="P589" s="40"/>
      <c r="Q589" s="14" t="s">
        <v>18</v>
      </c>
      <c r="R589" s="40"/>
      <c r="S589" s="40" t="s">
        <v>19</v>
      </c>
      <c r="T589" s="47"/>
      <c r="U589" s="40">
        <f>E589/390*60</f>
        <v>0</v>
      </c>
      <c r="V589" s="176"/>
      <c r="W589" s="47"/>
      <c r="X589" s="40"/>
    </row>
    <row r="590" spans="1:24" s="20" customFormat="1" ht="19.5" thickBot="1" x14ac:dyDescent="0.35">
      <c r="A590" s="41"/>
      <c r="B590" s="41" t="s">
        <v>365</v>
      </c>
      <c r="C590" s="42"/>
      <c r="D590" s="43">
        <f>C590*14</f>
        <v>0</v>
      </c>
      <c r="E590" s="40">
        <f>D590*0.2</f>
        <v>0</v>
      </c>
      <c r="F590" s="50">
        <f t="shared" si="142"/>
        <v>0</v>
      </c>
      <c r="G590" s="42">
        <f t="shared" si="140"/>
        <v>0</v>
      </c>
      <c r="H590" s="45" t="s">
        <v>18</v>
      </c>
      <c r="I590" s="42">
        <f t="shared" si="141"/>
        <v>0</v>
      </c>
      <c r="J590" s="40" t="s">
        <v>19</v>
      </c>
      <c r="K590" s="40"/>
      <c r="L590" s="40"/>
      <c r="M590" s="46">
        <f>F590*8698/2880</f>
        <v>0</v>
      </c>
      <c r="N590" s="40"/>
      <c r="O590" s="40"/>
      <c r="P590" s="40"/>
      <c r="Q590" s="14" t="s">
        <v>18</v>
      </c>
      <c r="R590" s="40"/>
      <c r="S590" s="40" t="s">
        <v>19</v>
      </c>
      <c r="T590" s="47"/>
      <c r="U590" s="40">
        <f>E590/259*60</f>
        <v>0</v>
      </c>
      <c r="V590" s="176"/>
      <c r="W590" s="47"/>
      <c r="X590" s="40"/>
    </row>
    <row r="591" spans="1:24" s="20" customFormat="1" ht="19.5" thickBot="1" x14ac:dyDescent="0.35">
      <c r="A591" s="41"/>
      <c r="B591" s="41" t="s">
        <v>600</v>
      </c>
      <c r="C591" s="42"/>
      <c r="D591" s="43">
        <f t="shared" ref="D591:D597" si="143">C591*12</f>
        <v>0</v>
      </c>
      <c r="E591" s="45">
        <f>D591*0.26</f>
        <v>0</v>
      </c>
      <c r="F591" s="50">
        <f t="shared" si="142"/>
        <v>0</v>
      </c>
      <c r="G591" s="42">
        <f t="shared" si="140"/>
        <v>0</v>
      </c>
      <c r="H591" s="45" t="s">
        <v>18</v>
      </c>
      <c r="I591" s="42">
        <f t="shared" si="141"/>
        <v>0</v>
      </c>
      <c r="J591" s="40" t="s">
        <v>19</v>
      </c>
      <c r="K591" s="40"/>
      <c r="L591" s="40"/>
      <c r="M591" s="52">
        <f>(F591*6966)/2880</f>
        <v>0</v>
      </c>
      <c r="N591" s="40"/>
      <c r="O591" s="40"/>
      <c r="P591" s="40"/>
      <c r="Q591" s="14" t="s">
        <v>18</v>
      </c>
      <c r="R591" s="40"/>
      <c r="S591" s="40" t="s">
        <v>19</v>
      </c>
      <c r="T591" s="47"/>
      <c r="U591" s="40">
        <f>E591/237*60</f>
        <v>0</v>
      </c>
      <c r="V591" s="176"/>
      <c r="W591" s="47"/>
      <c r="X591" s="40"/>
    </row>
    <row r="592" spans="1:24" s="20" customFormat="1" ht="19.5" thickBot="1" x14ac:dyDescent="0.35">
      <c r="A592" s="41"/>
      <c r="B592" s="41" t="s">
        <v>111</v>
      </c>
      <c r="C592" s="42"/>
      <c r="D592" s="43">
        <f t="shared" si="143"/>
        <v>0</v>
      </c>
      <c r="E592" s="45">
        <f t="shared" ref="E592:E597" si="144">D592*0.25</f>
        <v>0</v>
      </c>
      <c r="F592" s="50">
        <f t="shared" si="142"/>
        <v>0</v>
      </c>
      <c r="G592" s="42">
        <f t="shared" si="140"/>
        <v>0</v>
      </c>
      <c r="H592" s="45" t="s">
        <v>18</v>
      </c>
      <c r="I592" s="42">
        <f t="shared" si="141"/>
        <v>0</v>
      </c>
      <c r="J592" s="40" t="s">
        <v>19</v>
      </c>
      <c r="K592" s="40"/>
      <c r="L592" s="40"/>
      <c r="M592" s="52">
        <f>(F592*6966)/2880</f>
        <v>0</v>
      </c>
      <c r="N592" s="40"/>
      <c r="O592" s="40"/>
      <c r="P592" s="40"/>
      <c r="Q592" s="14" t="s">
        <v>18</v>
      </c>
      <c r="R592" s="40"/>
      <c r="S592" s="40" t="s">
        <v>19</v>
      </c>
      <c r="T592" s="47"/>
      <c r="U592" s="40">
        <f t="shared" ref="U592:U597" si="145">E592/226*60</f>
        <v>0</v>
      </c>
      <c r="V592" s="176"/>
      <c r="W592" s="47"/>
      <c r="X592" s="40"/>
    </row>
    <row r="593" spans="1:24" s="20" customFormat="1" ht="19.5" thickBot="1" x14ac:dyDescent="0.35">
      <c r="A593" s="41"/>
      <c r="B593" s="41" t="s">
        <v>103</v>
      </c>
      <c r="C593" s="42"/>
      <c r="D593" s="43">
        <f t="shared" si="143"/>
        <v>0</v>
      </c>
      <c r="E593" s="45">
        <f t="shared" si="144"/>
        <v>0</v>
      </c>
      <c r="F593" s="50">
        <f t="shared" si="142"/>
        <v>0</v>
      </c>
      <c r="G593" s="42">
        <f t="shared" si="140"/>
        <v>0</v>
      </c>
      <c r="H593" s="14" t="s">
        <v>18</v>
      </c>
      <c r="I593" s="42">
        <f t="shared" si="141"/>
        <v>0</v>
      </c>
      <c r="J593" s="14" t="s">
        <v>19</v>
      </c>
      <c r="K593" s="40"/>
      <c r="L593" s="40"/>
      <c r="M593" s="52">
        <f>(F593*7000)/2880</f>
        <v>0</v>
      </c>
      <c r="N593" s="40"/>
      <c r="O593" s="40"/>
      <c r="P593" s="40"/>
      <c r="Q593" s="14" t="s">
        <v>18</v>
      </c>
      <c r="R593" s="40"/>
      <c r="S593" s="40" t="s">
        <v>19</v>
      </c>
      <c r="T593" s="47"/>
      <c r="U593" s="40">
        <f t="shared" si="145"/>
        <v>0</v>
      </c>
      <c r="V593" s="176"/>
      <c r="W593" s="47"/>
      <c r="X593" s="40"/>
    </row>
    <row r="594" spans="1:24" s="20" customFormat="1" ht="19.5" thickBot="1" x14ac:dyDescent="0.35">
      <c r="A594" s="41"/>
      <c r="B594" s="41" t="s">
        <v>104</v>
      </c>
      <c r="C594" s="42"/>
      <c r="D594" s="43">
        <f t="shared" si="143"/>
        <v>0</v>
      </c>
      <c r="E594" s="45">
        <f t="shared" si="144"/>
        <v>0</v>
      </c>
      <c r="F594" s="50">
        <f t="shared" si="142"/>
        <v>0</v>
      </c>
      <c r="G594" s="42">
        <f t="shared" si="140"/>
        <v>0</v>
      </c>
      <c r="H594" s="45" t="s">
        <v>18</v>
      </c>
      <c r="I594" s="42">
        <f t="shared" si="141"/>
        <v>0</v>
      </c>
      <c r="J594" s="40" t="s">
        <v>19</v>
      </c>
      <c r="K594" s="40"/>
      <c r="L594" s="40"/>
      <c r="M594" s="52">
        <f>(F594*6966)/2880</f>
        <v>0</v>
      </c>
      <c r="N594" s="40"/>
      <c r="O594" s="40"/>
      <c r="P594" s="40"/>
      <c r="Q594" s="14" t="s">
        <v>18</v>
      </c>
      <c r="R594" s="40"/>
      <c r="S594" s="40" t="s">
        <v>19</v>
      </c>
      <c r="T594" s="47"/>
      <c r="U594" s="40">
        <f t="shared" si="145"/>
        <v>0</v>
      </c>
      <c r="V594" s="176"/>
      <c r="W594" s="47"/>
      <c r="X594" s="40"/>
    </row>
    <row r="595" spans="1:24" s="20" customFormat="1" ht="19.5" thickBot="1" x14ac:dyDescent="0.35">
      <c r="A595" s="41"/>
      <c r="B595" s="41" t="s">
        <v>112</v>
      </c>
      <c r="C595" s="42"/>
      <c r="D595" s="43">
        <f t="shared" si="143"/>
        <v>0</v>
      </c>
      <c r="E595" s="45">
        <f t="shared" si="144"/>
        <v>0</v>
      </c>
      <c r="F595" s="50">
        <f t="shared" si="142"/>
        <v>0</v>
      </c>
      <c r="G595" s="42">
        <f t="shared" si="140"/>
        <v>0</v>
      </c>
      <c r="H595" s="45" t="s">
        <v>18</v>
      </c>
      <c r="I595" s="42">
        <f t="shared" si="141"/>
        <v>0</v>
      </c>
      <c r="J595" s="40" t="s">
        <v>19</v>
      </c>
      <c r="K595" s="40"/>
      <c r="L595" s="40"/>
      <c r="M595" s="52">
        <f>(F595*6966)/2880</f>
        <v>0</v>
      </c>
      <c r="N595" s="40"/>
      <c r="O595" s="40"/>
      <c r="P595" s="40"/>
      <c r="Q595" s="14" t="s">
        <v>18</v>
      </c>
      <c r="R595" s="40"/>
      <c r="S595" s="40" t="s">
        <v>19</v>
      </c>
      <c r="T595" s="47"/>
      <c r="U595" s="40">
        <f t="shared" si="145"/>
        <v>0</v>
      </c>
      <c r="V595" s="176"/>
      <c r="W595" s="47"/>
      <c r="X595" s="40"/>
    </row>
    <row r="596" spans="1:24" s="20" customFormat="1" ht="19.5" thickBot="1" x14ac:dyDescent="0.35">
      <c r="A596" s="41"/>
      <c r="B596" s="41" t="s">
        <v>105</v>
      </c>
      <c r="C596" s="42"/>
      <c r="D596" s="43">
        <f t="shared" si="143"/>
        <v>0</v>
      </c>
      <c r="E596" s="40">
        <f t="shared" si="144"/>
        <v>0</v>
      </c>
      <c r="F596" s="50">
        <f t="shared" si="142"/>
        <v>0</v>
      </c>
      <c r="G596" s="42">
        <f t="shared" si="140"/>
        <v>0</v>
      </c>
      <c r="H596" s="45" t="s">
        <v>18</v>
      </c>
      <c r="I596" s="42">
        <f t="shared" si="141"/>
        <v>0</v>
      </c>
      <c r="J596" s="40" t="s">
        <v>19</v>
      </c>
      <c r="K596" s="40"/>
      <c r="L596" s="40"/>
      <c r="M596" s="52">
        <f>(F596*6966)/2880</f>
        <v>0</v>
      </c>
      <c r="N596" s="40"/>
      <c r="O596" s="40"/>
      <c r="P596" s="40"/>
      <c r="Q596" s="14" t="s">
        <v>18</v>
      </c>
      <c r="R596" s="40"/>
      <c r="S596" s="40" t="s">
        <v>19</v>
      </c>
      <c r="T596" s="47"/>
      <c r="U596" s="40">
        <f t="shared" si="145"/>
        <v>0</v>
      </c>
      <c r="V596" s="176"/>
      <c r="W596" s="47"/>
      <c r="X596" s="40"/>
    </row>
    <row r="597" spans="1:24" s="20" customFormat="1" ht="19.5" thickBot="1" x14ac:dyDescent="0.35">
      <c r="A597" s="41"/>
      <c r="B597" s="41" t="s">
        <v>113</v>
      </c>
      <c r="C597" s="42"/>
      <c r="D597" s="43">
        <f t="shared" si="143"/>
        <v>0</v>
      </c>
      <c r="E597" s="40">
        <f t="shared" si="144"/>
        <v>0</v>
      </c>
      <c r="F597" s="50">
        <f t="shared" si="142"/>
        <v>0</v>
      </c>
      <c r="G597" s="42">
        <f t="shared" si="140"/>
        <v>0</v>
      </c>
      <c r="H597" s="45" t="s">
        <v>18</v>
      </c>
      <c r="I597" s="42">
        <f t="shared" si="141"/>
        <v>0</v>
      </c>
      <c r="J597" s="40" t="s">
        <v>19</v>
      </c>
      <c r="K597" s="40"/>
      <c r="L597" s="40"/>
      <c r="M597" s="52">
        <f>(F597*6966)/2880</f>
        <v>0</v>
      </c>
      <c r="N597" s="40"/>
      <c r="O597" s="40"/>
      <c r="P597" s="40"/>
      <c r="Q597" s="14" t="s">
        <v>18</v>
      </c>
      <c r="R597" s="40"/>
      <c r="S597" s="40" t="s">
        <v>19</v>
      </c>
      <c r="T597" s="47"/>
      <c r="U597" s="40">
        <f t="shared" si="145"/>
        <v>0</v>
      </c>
      <c r="V597" s="176"/>
      <c r="W597" s="47"/>
      <c r="X597" s="40"/>
    </row>
    <row r="598" spans="1:24" s="20" customFormat="1" ht="19.5" thickBot="1" x14ac:dyDescent="0.35">
      <c r="A598" s="41"/>
      <c r="B598" s="41" t="s">
        <v>373</v>
      </c>
      <c r="C598" s="42"/>
      <c r="D598" s="43">
        <f>C598*16</f>
        <v>0</v>
      </c>
      <c r="E598" s="40">
        <f>D598*0.34</f>
        <v>0</v>
      </c>
      <c r="F598" s="50">
        <f t="shared" si="142"/>
        <v>0</v>
      </c>
      <c r="G598" s="42">
        <f t="shared" si="140"/>
        <v>0</v>
      </c>
      <c r="H598" s="45" t="s">
        <v>18</v>
      </c>
      <c r="I598" s="42">
        <f t="shared" si="141"/>
        <v>0</v>
      </c>
      <c r="J598" s="40" t="s">
        <v>19</v>
      </c>
      <c r="K598" s="40"/>
      <c r="L598" s="40"/>
      <c r="M598" s="52">
        <f>(F598*5202)/2880</f>
        <v>0</v>
      </c>
      <c r="N598" s="40"/>
      <c r="O598" s="40"/>
      <c r="P598" s="40"/>
      <c r="Q598" s="14" t="s">
        <v>18</v>
      </c>
      <c r="R598" s="40"/>
      <c r="S598" s="40" t="s">
        <v>19</v>
      </c>
      <c r="T598" s="47"/>
      <c r="U598" s="40"/>
      <c r="V598" s="176"/>
      <c r="W598" s="47"/>
      <c r="X598" s="40"/>
    </row>
    <row r="599" spans="1:24" s="20" customFormat="1" ht="19.5" thickBot="1" x14ac:dyDescent="0.35">
      <c r="A599" s="41"/>
      <c r="B599" s="41" t="s">
        <v>372</v>
      </c>
      <c r="C599" s="42"/>
      <c r="D599" s="43">
        <f>C599*16</f>
        <v>0</v>
      </c>
      <c r="E599" s="40">
        <f>D599*0.34</f>
        <v>0</v>
      </c>
      <c r="F599" s="50">
        <f t="shared" si="142"/>
        <v>0</v>
      </c>
      <c r="G599" s="42">
        <f t="shared" si="140"/>
        <v>0</v>
      </c>
      <c r="H599" s="45" t="s">
        <v>18</v>
      </c>
      <c r="I599" s="42">
        <f t="shared" si="141"/>
        <v>0</v>
      </c>
      <c r="J599" s="40" t="s">
        <v>19</v>
      </c>
      <c r="K599" s="40"/>
      <c r="L599" s="40"/>
      <c r="M599" s="52">
        <f>(F599*5202)/2880</f>
        <v>0</v>
      </c>
      <c r="N599" s="40"/>
      <c r="O599" s="40"/>
      <c r="P599" s="40"/>
      <c r="Q599" s="14" t="s">
        <v>18</v>
      </c>
      <c r="R599" s="40"/>
      <c r="S599" s="40" t="s">
        <v>19</v>
      </c>
      <c r="T599" s="47"/>
      <c r="U599" s="40"/>
      <c r="V599" s="176"/>
      <c r="W599" s="47"/>
      <c r="X599" s="40"/>
    </row>
    <row r="600" spans="1:24" s="20" customFormat="1" ht="19.5" thickBot="1" x14ac:dyDescent="0.35">
      <c r="A600" s="41"/>
      <c r="B600" s="41" t="s">
        <v>101</v>
      </c>
      <c r="C600" s="42"/>
      <c r="D600" s="55">
        <f>C600*26</f>
        <v>0</v>
      </c>
      <c r="E600" s="56">
        <f>D600*0.13</f>
        <v>0</v>
      </c>
      <c r="F600" s="50">
        <f t="shared" si="142"/>
        <v>0</v>
      </c>
      <c r="G600" s="42">
        <f t="shared" si="140"/>
        <v>0</v>
      </c>
      <c r="H600" s="45" t="s">
        <v>18</v>
      </c>
      <c r="I600" s="42">
        <f t="shared" si="141"/>
        <v>0</v>
      </c>
      <c r="J600" s="40" t="s">
        <v>19</v>
      </c>
      <c r="K600" s="40"/>
      <c r="L600" s="40"/>
      <c r="M600" s="52">
        <f>(F600*6681)/2880</f>
        <v>0</v>
      </c>
      <c r="N600" s="40"/>
      <c r="O600" s="40"/>
      <c r="P600" s="40"/>
      <c r="Q600" s="45" t="s">
        <v>18</v>
      </c>
      <c r="R600" s="40"/>
      <c r="S600" s="40" t="s">
        <v>19</v>
      </c>
      <c r="T600" s="47"/>
      <c r="U600" s="40">
        <f>E600/237*60</f>
        <v>0</v>
      </c>
      <c r="V600" s="176"/>
      <c r="W600" s="47"/>
      <c r="X600" s="40"/>
    </row>
    <row r="601" spans="1:24" s="128" customFormat="1" ht="19.5" thickBot="1" x14ac:dyDescent="0.35">
      <c r="A601" s="129"/>
      <c r="B601" s="130" t="s">
        <v>288</v>
      </c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</row>
    <row r="602" spans="1:24" s="20" customFormat="1" ht="38.25" thickBot="1" x14ac:dyDescent="0.35">
      <c r="A602" s="41"/>
      <c r="B602" s="157" t="s">
        <v>349</v>
      </c>
      <c r="C602" s="42"/>
      <c r="D602" s="43">
        <f>C602*18</f>
        <v>0</v>
      </c>
      <c r="E602" s="40">
        <f>D602*0.2</f>
        <v>0</v>
      </c>
      <c r="F602" s="50">
        <f>E602*1.03*0.8/108</f>
        <v>0</v>
      </c>
      <c r="G602" s="42">
        <f>INT(M602)</f>
        <v>0</v>
      </c>
      <c r="H602" s="45" t="s">
        <v>18</v>
      </c>
      <c r="I602" s="42">
        <f>(M602-G602)*64</f>
        <v>0</v>
      </c>
      <c r="J602" s="40" t="s">
        <v>19</v>
      </c>
      <c r="K602" s="40"/>
      <c r="L602" s="40"/>
      <c r="M602" s="46">
        <f>F602*3949/3456</f>
        <v>0</v>
      </c>
      <c r="N602" s="40"/>
      <c r="O602" s="40"/>
      <c r="P602" s="40"/>
      <c r="Q602" s="45" t="s">
        <v>18</v>
      </c>
      <c r="R602" s="40"/>
      <c r="S602" s="40" t="s">
        <v>19</v>
      </c>
      <c r="T602" s="47"/>
      <c r="U602" s="40">
        <f>E602/220*60</f>
        <v>0</v>
      </c>
      <c r="V602" s="176"/>
      <c r="W602" s="47"/>
      <c r="X602" s="40"/>
    </row>
    <row r="603" spans="1:24" s="20" customFormat="1" ht="19.5" thickBot="1" x14ac:dyDescent="0.35">
      <c r="A603" s="41"/>
      <c r="B603" s="41" t="s">
        <v>242</v>
      </c>
      <c r="C603" s="42"/>
      <c r="D603" s="43"/>
      <c r="E603" s="63">
        <f>C603*2.4</f>
        <v>0</v>
      </c>
      <c r="F603" s="50">
        <f t="shared" ref="F603:F608" si="146">E603*1.03*0.99/147</f>
        <v>0</v>
      </c>
      <c r="G603" s="42">
        <f t="shared" ref="G603:G608" si="147">INT(M603)</f>
        <v>0</v>
      </c>
      <c r="H603" s="14" t="s">
        <v>18</v>
      </c>
      <c r="I603" s="42">
        <f t="shared" ref="I603:I608" si="148">(M603-G603)*64</f>
        <v>0</v>
      </c>
      <c r="J603" s="14" t="s">
        <v>19</v>
      </c>
      <c r="K603" s="40"/>
      <c r="L603" s="40"/>
      <c r="M603" s="46">
        <f t="shared" ref="M603:M608" si="149">F603*4983/2880</f>
        <v>0</v>
      </c>
      <c r="N603" s="40"/>
      <c r="O603" s="40"/>
      <c r="P603" s="40"/>
      <c r="Q603" s="14" t="s">
        <v>18</v>
      </c>
      <c r="R603" s="40"/>
      <c r="S603" s="40" t="s">
        <v>19</v>
      </c>
      <c r="T603" s="47"/>
      <c r="U603" s="40">
        <f>E603/420*60</f>
        <v>0</v>
      </c>
      <c r="V603" s="176"/>
      <c r="W603" s="47"/>
      <c r="X603" s="40"/>
    </row>
    <row r="604" spans="1:24" s="20" customFormat="1" ht="19.5" thickBot="1" x14ac:dyDescent="0.35">
      <c r="A604" s="41"/>
      <c r="B604" s="41" t="s">
        <v>243</v>
      </c>
      <c r="C604" s="42"/>
      <c r="D604" s="43"/>
      <c r="E604" s="63">
        <f>C604*2.4</f>
        <v>0</v>
      </c>
      <c r="F604" s="50">
        <f t="shared" si="146"/>
        <v>0</v>
      </c>
      <c r="G604" s="42">
        <f t="shared" si="147"/>
        <v>0</v>
      </c>
      <c r="H604" s="14" t="s">
        <v>18</v>
      </c>
      <c r="I604" s="42">
        <f t="shared" si="148"/>
        <v>0</v>
      </c>
      <c r="J604" s="14" t="s">
        <v>19</v>
      </c>
      <c r="K604" s="40"/>
      <c r="L604" s="40"/>
      <c r="M604" s="46">
        <f t="shared" si="149"/>
        <v>0</v>
      </c>
      <c r="N604" s="40"/>
      <c r="O604" s="40"/>
      <c r="P604" s="40"/>
      <c r="Q604" s="14" t="s">
        <v>18</v>
      </c>
      <c r="R604" s="40"/>
      <c r="S604" s="40" t="s">
        <v>19</v>
      </c>
      <c r="T604" s="47"/>
      <c r="U604" s="40">
        <f>E604/420*60</f>
        <v>0</v>
      </c>
      <c r="V604" s="176"/>
      <c r="W604" s="47"/>
      <c r="X604" s="40"/>
    </row>
    <row r="605" spans="1:24" s="54" customFormat="1" ht="19.5" thickBot="1" x14ac:dyDescent="0.35">
      <c r="A605" s="41"/>
      <c r="B605" s="41" t="s">
        <v>118</v>
      </c>
      <c r="C605" s="42"/>
      <c r="D605" s="43"/>
      <c r="E605" s="45">
        <f>C605*3.2</f>
        <v>0</v>
      </c>
      <c r="F605" s="50">
        <f t="shared" si="146"/>
        <v>0</v>
      </c>
      <c r="G605" s="42">
        <f t="shared" si="147"/>
        <v>0</v>
      </c>
      <c r="H605" s="14" t="s">
        <v>18</v>
      </c>
      <c r="I605" s="42">
        <f t="shared" si="148"/>
        <v>0</v>
      </c>
      <c r="J605" s="14" t="s">
        <v>19</v>
      </c>
      <c r="K605" s="40"/>
      <c r="L605" s="40"/>
      <c r="M605" s="46">
        <f t="shared" si="149"/>
        <v>0</v>
      </c>
      <c r="N605" s="40"/>
      <c r="O605" s="40"/>
      <c r="P605" s="40"/>
      <c r="Q605" s="14" t="s">
        <v>18</v>
      </c>
      <c r="R605" s="40"/>
      <c r="S605" s="40" t="s">
        <v>19</v>
      </c>
      <c r="T605" s="47"/>
      <c r="U605" s="40">
        <f>E605/259*60</f>
        <v>0</v>
      </c>
      <c r="V605" s="176"/>
      <c r="W605" s="47"/>
      <c r="X605" s="40"/>
    </row>
    <row r="606" spans="1:24" s="54" customFormat="1" ht="19.5" thickBot="1" x14ac:dyDescent="0.35">
      <c r="A606" s="41"/>
      <c r="B606" s="41" t="s">
        <v>236</v>
      </c>
      <c r="C606" s="42"/>
      <c r="D606" s="43"/>
      <c r="E606" s="45">
        <f>C606*3.2</f>
        <v>0</v>
      </c>
      <c r="F606" s="50">
        <f t="shared" si="146"/>
        <v>0</v>
      </c>
      <c r="G606" s="42">
        <f t="shared" si="147"/>
        <v>0</v>
      </c>
      <c r="H606" s="14" t="s">
        <v>18</v>
      </c>
      <c r="I606" s="42">
        <f t="shared" si="148"/>
        <v>0</v>
      </c>
      <c r="J606" s="14" t="s">
        <v>19</v>
      </c>
      <c r="K606" s="40"/>
      <c r="L606" s="40"/>
      <c r="M606" s="46">
        <f t="shared" si="149"/>
        <v>0</v>
      </c>
      <c r="N606" s="40"/>
      <c r="O606" s="40"/>
      <c r="P606" s="40"/>
      <c r="Q606" s="14" t="s">
        <v>18</v>
      </c>
      <c r="R606" s="40"/>
      <c r="S606" s="40" t="s">
        <v>19</v>
      </c>
      <c r="T606" s="47"/>
      <c r="U606" s="40">
        <f>E606/259*60</f>
        <v>0</v>
      </c>
      <c r="V606" s="176"/>
      <c r="W606" s="47"/>
      <c r="X606" s="40"/>
    </row>
    <row r="607" spans="1:24" s="20" customFormat="1" ht="19.5" thickBot="1" x14ac:dyDescent="0.35">
      <c r="A607" s="41"/>
      <c r="B607" s="41" t="s">
        <v>241</v>
      </c>
      <c r="C607" s="42"/>
      <c r="D607" s="43"/>
      <c r="E607" s="45">
        <f>C607*4</f>
        <v>0</v>
      </c>
      <c r="F607" s="50">
        <f t="shared" si="146"/>
        <v>0</v>
      </c>
      <c r="G607" s="42">
        <f t="shared" si="147"/>
        <v>0</v>
      </c>
      <c r="H607" s="14" t="s">
        <v>18</v>
      </c>
      <c r="I607" s="42">
        <f t="shared" si="148"/>
        <v>0</v>
      </c>
      <c r="J607" s="14" t="s">
        <v>19</v>
      </c>
      <c r="K607" s="40"/>
      <c r="L607" s="40"/>
      <c r="M607" s="46">
        <f t="shared" si="149"/>
        <v>0</v>
      </c>
      <c r="N607" s="40"/>
      <c r="O607" s="40"/>
      <c r="P607" s="40"/>
      <c r="Q607" s="14" t="s">
        <v>18</v>
      </c>
      <c r="R607" s="40"/>
      <c r="S607" s="40" t="s">
        <v>19</v>
      </c>
      <c r="T607" s="47"/>
      <c r="U607" s="40">
        <f>E607/259*60</f>
        <v>0</v>
      </c>
      <c r="V607" s="176"/>
      <c r="W607" s="47"/>
      <c r="X607" s="40"/>
    </row>
    <row r="608" spans="1:24" s="20" customFormat="1" ht="19.5" thickBot="1" x14ac:dyDescent="0.35">
      <c r="A608" s="41"/>
      <c r="B608" s="41" t="s">
        <v>240</v>
      </c>
      <c r="C608" s="42"/>
      <c r="D608" s="43"/>
      <c r="E608" s="45">
        <f>C608*4</f>
        <v>0</v>
      </c>
      <c r="F608" s="50">
        <f t="shared" si="146"/>
        <v>0</v>
      </c>
      <c r="G608" s="42">
        <f t="shared" si="147"/>
        <v>0</v>
      </c>
      <c r="H608" s="14" t="s">
        <v>18</v>
      </c>
      <c r="I608" s="42">
        <f t="shared" si="148"/>
        <v>0</v>
      </c>
      <c r="J608" s="14" t="s">
        <v>19</v>
      </c>
      <c r="K608" s="40"/>
      <c r="L608" s="40"/>
      <c r="M608" s="46">
        <f t="shared" si="149"/>
        <v>0</v>
      </c>
      <c r="N608" s="40"/>
      <c r="O608" s="40"/>
      <c r="P608" s="40"/>
      <c r="Q608" s="14" t="s">
        <v>18</v>
      </c>
      <c r="R608" s="40"/>
      <c r="S608" s="40" t="s">
        <v>19</v>
      </c>
      <c r="T608" s="47"/>
      <c r="U608" s="40">
        <f>E608/259*60</f>
        <v>0</v>
      </c>
      <c r="V608" s="176"/>
      <c r="W608" s="47"/>
      <c r="X608" s="40"/>
    </row>
    <row r="609" spans="1:26" s="120" customFormat="1" ht="38.25" thickBot="1" x14ac:dyDescent="0.35">
      <c r="A609" s="146"/>
      <c r="B609" s="146" t="s">
        <v>335</v>
      </c>
      <c r="C609" s="147"/>
      <c r="D609" s="148"/>
      <c r="E609" s="151">
        <f>C609*4</f>
        <v>0</v>
      </c>
      <c r="F609" s="156">
        <f>E609*1.2*1/147</f>
        <v>0</v>
      </c>
      <c r="G609" s="147">
        <f>INT(M609)</f>
        <v>0</v>
      </c>
      <c r="H609" s="151" t="s">
        <v>18</v>
      </c>
      <c r="I609" s="147">
        <f>(M609-G609)*64</f>
        <v>0</v>
      </c>
      <c r="J609" s="149" t="s">
        <v>19</v>
      </c>
      <c r="K609" s="149"/>
      <c r="L609" s="149"/>
      <c r="M609" s="152">
        <f>F609*5719/2880</f>
        <v>0</v>
      </c>
      <c r="N609" s="149"/>
      <c r="O609" s="149"/>
      <c r="P609" s="149"/>
      <c r="Q609" s="294" t="s">
        <v>18</v>
      </c>
      <c r="R609" s="149"/>
      <c r="S609" s="149" t="s">
        <v>19</v>
      </c>
      <c r="T609" s="153"/>
      <c r="U609" s="149">
        <f>E609/237*60</f>
        <v>0</v>
      </c>
      <c r="V609" s="176"/>
      <c r="W609" s="153"/>
      <c r="X609" s="149"/>
    </row>
    <row r="610" spans="1:26" s="120" customFormat="1" ht="38.25" thickBot="1" x14ac:dyDescent="0.35">
      <c r="A610" s="146"/>
      <c r="B610" s="146" t="s">
        <v>336</v>
      </c>
      <c r="C610" s="147"/>
      <c r="D610" s="148">
        <f>C610*150</f>
        <v>0</v>
      </c>
      <c r="E610" s="149">
        <f>D610*0.02</f>
        <v>0</v>
      </c>
      <c r="F610" s="156">
        <f>E610*1.2*1/147</f>
        <v>0</v>
      </c>
      <c r="G610" s="147">
        <f>INT(M610)</f>
        <v>0</v>
      </c>
      <c r="H610" s="151" t="s">
        <v>18</v>
      </c>
      <c r="I610" s="147">
        <f>(M610-G610)*64</f>
        <v>0</v>
      </c>
      <c r="J610" s="149" t="s">
        <v>19</v>
      </c>
      <c r="K610" s="149"/>
      <c r="L610" s="149"/>
      <c r="M610" s="152">
        <f>F610*5719/2880</f>
        <v>0</v>
      </c>
      <c r="N610" s="149"/>
      <c r="O610" s="149"/>
      <c r="P610" s="149"/>
      <c r="Q610" s="294" t="s">
        <v>18</v>
      </c>
      <c r="R610" s="149"/>
      <c r="S610" s="149" t="s">
        <v>19</v>
      </c>
      <c r="T610" s="153"/>
      <c r="U610" s="149">
        <f>E610/237*60</f>
        <v>0</v>
      </c>
      <c r="V610" s="176"/>
      <c r="W610" s="153"/>
      <c r="X610" s="149"/>
    </row>
    <row r="611" spans="1:26" s="120" customFormat="1" ht="19.5" thickBot="1" x14ac:dyDescent="0.35">
      <c r="A611" s="146"/>
      <c r="B611" s="146" t="s">
        <v>344</v>
      </c>
      <c r="C611" s="147"/>
      <c r="D611" s="148"/>
      <c r="E611" s="151">
        <f>C611*4</f>
        <v>0</v>
      </c>
      <c r="F611" s="156">
        <f>E611*1.2*0.9/147</f>
        <v>0</v>
      </c>
      <c r="G611" s="147">
        <f>INT(M611)</f>
        <v>0</v>
      </c>
      <c r="H611" s="151" t="s">
        <v>18</v>
      </c>
      <c r="I611" s="147">
        <f>(M611-G611)*64</f>
        <v>0</v>
      </c>
      <c r="J611" s="149" t="s">
        <v>19</v>
      </c>
      <c r="K611" s="149"/>
      <c r="L611" s="149"/>
      <c r="M611" s="152">
        <f>(F611*6049/3456)</f>
        <v>0</v>
      </c>
      <c r="N611" s="149"/>
      <c r="O611" s="149"/>
      <c r="P611" s="149"/>
      <c r="Q611" s="294" t="s">
        <v>18</v>
      </c>
      <c r="R611" s="149"/>
      <c r="S611" s="149" t="s">
        <v>19</v>
      </c>
      <c r="T611" s="153"/>
      <c r="U611" s="149">
        <f>E611/324*60</f>
        <v>0</v>
      </c>
      <c r="V611" s="176"/>
      <c r="W611" s="153"/>
      <c r="X611" s="149"/>
    </row>
    <row r="612" spans="1:26" s="120" customFormat="1" ht="38.25" thickBot="1" x14ac:dyDescent="0.35">
      <c r="A612" s="146"/>
      <c r="B612" s="146" t="s">
        <v>340</v>
      </c>
      <c r="C612" s="147"/>
      <c r="D612" s="148"/>
      <c r="E612" s="151">
        <f>C612*4</f>
        <v>0</v>
      </c>
      <c r="F612" s="156">
        <f>E612*1.2*0.9/147</f>
        <v>0</v>
      </c>
      <c r="G612" s="147">
        <f>INT(M612)</f>
        <v>0</v>
      </c>
      <c r="H612" s="151" t="s">
        <v>18</v>
      </c>
      <c r="I612" s="147">
        <f>(M612-G612)*64</f>
        <v>0</v>
      </c>
      <c r="J612" s="149" t="s">
        <v>19</v>
      </c>
      <c r="K612" s="149"/>
      <c r="L612" s="149"/>
      <c r="M612" s="152">
        <f>(F612*6049/3456)</f>
        <v>0</v>
      </c>
      <c r="N612" s="149"/>
      <c r="O612" s="149"/>
      <c r="P612" s="149"/>
      <c r="Q612" s="294" t="s">
        <v>18</v>
      </c>
      <c r="R612" s="149"/>
      <c r="S612" s="149" t="s">
        <v>19</v>
      </c>
      <c r="T612" s="153"/>
      <c r="U612" s="149">
        <f>E612/324*60</f>
        <v>0</v>
      </c>
      <c r="V612" s="176"/>
      <c r="W612" s="153"/>
      <c r="X612" s="149"/>
    </row>
    <row r="613" spans="1:26" s="120" customFormat="1" ht="19.5" thickBot="1" x14ac:dyDescent="0.35">
      <c r="A613" s="146"/>
      <c r="B613" s="146" t="s">
        <v>345</v>
      </c>
      <c r="C613" s="147"/>
      <c r="D613" s="148">
        <f>C613*150</f>
        <v>0</v>
      </c>
      <c r="E613" s="149">
        <f>D613*0.02</f>
        <v>0</v>
      </c>
      <c r="F613" s="156">
        <f>E613*1.2*0.9/147</f>
        <v>0</v>
      </c>
      <c r="G613" s="147">
        <f>INT(M613)</f>
        <v>0</v>
      </c>
      <c r="H613" s="151" t="s">
        <v>18</v>
      </c>
      <c r="I613" s="147">
        <f>(M613-G613)*64</f>
        <v>0</v>
      </c>
      <c r="J613" s="149" t="s">
        <v>19</v>
      </c>
      <c r="K613" s="149"/>
      <c r="L613" s="149"/>
      <c r="M613" s="152">
        <f>(F613*6049/3456)</f>
        <v>0</v>
      </c>
      <c r="N613" s="149"/>
      <c r="O613" s="149"/>
      <c r="P613" s="149"/>
      <c r="Q613" s="294" t="s">
        <v>18</v>
      </c>
      <c r="R613" s="149"/>
      <c r="S613" s="149" t="s">
        <v>19</v>
      </c>
      <c r="T613" s="153"/>
      <c r="U613" s="149">
        <f>E613/324*60</f>
        <v>0</v>
      </c>
      <c r="V613" s="176"/>
      <c r="W613" s="153"/>
      <c r="X613" s="149"/>
    </row>
    <row r="614" spans="1:26" s="20" customFormat="1" ht="19.5" thickBot="1" x14ac:dyDescent="0.35">
      <c r="A614" s="41"/>
      <c r="B614" s="41" t="s">
        <v>100</v>
      </c>
      <c r="C614" s="42"/>
      <c r="D614" s="43"/>
      <c r="E614" s="45">
        <f>C614*4</f>
        <v>0</v>
      </c>
      <c r="F614" s="50">
        <f>E614*1.2*1/147</f>
        <v>0</v>
      </c>
      <c r="G614" s="42">
        <f t="shared" ref="G614:G621" si="150">INT(M614)</f>
        <v>0</v>
      </c>
      <c r="H614" s="45" t="s">
        <v>18</v>
      </c>
      <c r="I614" s="42">
        <f t="shared" ref="I614:I621" si="151">(M614-G614)*64</f>
        <v>0</v>
      </c>
      <c r="J614" s="40" t="s">
        <v>19</v>
      </c>
      <c r="K614" s="40"/>
      <c r="L614" s="40"/>
      <c r="M614" s="46">
        <f>F614*5719/2880</f>
        <v>0</v>
      </c>
      <c r="N614" s="40"/>
      <c r="O614" s="40"/>
      <c r="P614" s="40"/>
      <c r="Q614" s="14" t="s">
        <v>18</v>
      </c>
      <c r="R614" s="40"/>
      <c r="S614" s="40" t="s">
        <v>19</v>
      </c>
      <c r="T614" s="47"/>
      <c r="U614" s="40">
        <f>E614/237*60</f>
        <v>0</v>
      </c>
      <c r="V614" s="176"/>
      <c r="W614" s="47"/>
      <c r="X614" s="40"/>
    </row>
    <row r="615" spans="1:26" s="20" customFormat="1" ht="19.5" thickBot="1" x14ac:dyDescent="0.35">
      <c r="A615" s="41"/>
      <c r="B615" s="41" t="s">
        <v>343</v>
      </c>
      <c r="C615" s="42"/>
      <c r="D615" s="43"/>
      <c r="E615" s="63">
        <f>C615*2.4</f>
        <v>0</v>
      </c>
      <c r="F615" s="50">
        <f>E615*1.03*0.99/147</f>
        <v>0</v>
      </c>
      <c r="G615" s="42">
        <f t="shared" si="150"/>
        <v>0</v>
      </c>
      <c r="H615" s="14" t="s">
        <v>18</v>
      </c>
      <c r="I615" s="42">
        <f t="shared" si="151"/>
        <v>0</v>
      </c>
      <c r="J615" s="14" t="s">
        <v>19</v>
      </c>
      <c r="K615" s="40"/>
      <c r="L615" s="40"/>
      <c r="M615" s="46">
        <f>F615*4983/2880</f>
        <v>0</v>
      </c>
      <c r="N615" s="40"/>
      <c r="O615" s="40"/>
      <c r="P615" s="40"/>
      <c r="Q615" s="14" t="s">
        <v>18</v>
      </c>
      <c r="R615" s="40"/>
      <c r="S615" s="40" t="s">
        <v>19</v>
      </c>
      <c r="T615" s="47"/>
      <c r="U615" s="40">
        <f>E615/420*60</f>
        <v>0</v>
      </c>
      <c r="V615" s="176"/>
      <c r="W615" s="47"/>
      <c r="X615" s="40"/>
    </row>
    <row r="616" spans="1:26" s="54" customFormat="1" ht="38.25" thickBot="1" x14ac:dyDescent="0.35">
      <c r="A616" s="41"/>
      <c r="B616" s="41" t="s">
        <v>341</v>
      </c>
      <c r="C616" s="42"/>
      <c r="D616" s="43"/>
      <c r="E616" s="45">
        <f>C616*3.2</f>
        <v>0</v>
      </c>
      <c r="F616" s="50">
        <f>E616*1.03*0.99/147</f>
        <v>0</v>
      </c>
      <c r="G616" s="42">
        <f t="shared" si="150"/>
        <v>0</v>
      </c>
      <c r="H616" s="14" t="s">
        <v>18</v>
      </c>
      <c r="I616" s="42">
        <f t="shared" si="151"/>
        <v>0</v>
      </c>
      <c r="J616" s="14" t="s">
        <v>19</v>
      </c>
      <c r="K616" s="40"/>
      <c r="L616" s="40"/>
      <c r="M616" s="46">
        <f>F616*4983/2880</f>
        <v>0</v>
      </c>
      <c r="N616" s="40"/>
      <c r="O616" s="40"/>
      <c r="P616" s="40"/>
      <c r="Q616" s="14" t="s">
        <v>18</v>
      </c>
      <c r="R616" s="40"/>
      <c r="S616" s="40" t="s">
        <v>19</v>
      </c>
      <c r="T616" s="47"/>
      <c r="U616" s="40">
        <f>E616/259*60</f>
        <v>0</v>
      </c>
      <c r="V616" s="176"/>
      <c r="W616" s="47"/>
      <c r="X616" s="40"/>
    </row>
    <row r="617" spans="1:26" s="54" customFormat="1" ht="38.25" thickBot="1" x14ac:dyDescent="0.35">
      <c r="A617" s="41"/>
      <c r="B617" s="41" t="s">
        <v>342</v>
      </c>
      <c r="C617" s="42"/>
      <c r="D617" s="43"/>
      <c r="E617" s="45">
        <f>C617*3.2</f>
        <v>0</v>
      </c>
      <c r="F617" s="50">
        <f>E617*1.03*0.99/147</f>
        <v>0</v>
      </c>
      <c r="G617" s="42">
        <f t="shared" si="150"/>
        <v>0</v>
      </c>
      <c r="H617" s="14" t="s">
        <v>18</v>
      </c>
      <c r="I617" s="42">
        <f t="shared" si="151"/>
        <v>0</v>
      </c>
      <c r="J617" s="14" t="s">
        <v>19</v>
      </c>
      <c r="K617" s="40"/>
      <c r="L617" s="40"/>
      <c r="M617" s="46">
        <f>F617*4983/2880</f>
        <v>0</v>
      </c>
      <c r="N617" s="40"/>
      <c r="O617" s="40"/>
      <c r="P617" s="40"/>
      <c r="Q617" s="14" t="s">
        <v>18</v>
      </c>
      <c r="R617" s="40"/>
      <c r="S617" s="40" t="s">
        <v>19</v>
      </c>
      <c r="T617" s="47"/>
      <c r="U617" s="40">
        <f>E617/259*60</f>
        <v>0</v>
      </c>
      <c r="V617" s="176"/>
      <c r="W617" s="47"/>
      <c r="X617" s="40"/>
    </row>
    <row r="618" spans="1:26" s="20" customFormat="1" ht="19.5" thickBot="1" x14ac:dyDescent="0.35">
      <c r="A618" s="41"/>
      <c r="B618" s="41" t="s">
        <v>337</v>
      </c>
      <c r="C618" s="42"/>
      <c r="D618" s="43"/>
      <c r="E618" s="45">
        <f>C618*4</f>
        <v>0</v>
      </c>
      <c r="F618" s="50">
        <f>E618*1.03*0.99/147</f>
        <v>0</v>
      </c>
      <c r="G618" s="42">
        <f t="shared" si="150"/>
        <v>0</v>
      </c>
      <c r="H618" s="14" t="s">
        <v>18</v>
      </c>
      <c r="I618" s="42">
        <f t="shared" si="151"/>
        <v>0</v>
      </c>
      <c r="J618" s="14" t="s">
        <v>19</v>
      </c>
      <c r="K618" s="40"/>
      <c r="L618" s="40"/>
      <c r="M618" s="46">
        <f>F618*4983/2880</f>
        <v>0</v>
      </c>
      <c r="N618" s="40"/>
      <c r="O618" s="40"/>
      <c r="P618" s="40"/>
      <c r="Q618" s="14" t="s">
        <v>18</v>
      </c>
      <c r="R618" s="40"/>
      <c r="S618" s="40" t="s">
        <v>19</v>
      </c>
      <c r="T618" s="47"/>
      <c r="U618" s="40">
        <f>E618/259*60</f>
        <v>0</v>
      </c>
      <c r="V618" s="176"/>
      <c r="W618" s="47"/>
      <c r="X618" s="40"/>
    </row>
    <row r="619" spans="1:26" s="20" customFormat="1" ht="19.5" thickBot="1" x14ac:dyDescent="0.35">
      <c r="A619" s="41"/>
      <c r="B619" s="41" t="s">
        <v>338</v>
      </c>
      <c r="C619" s="42"/>
      <c r="D619" s="43"/>
      <c r="E619" s="45">
        <f>C619*4</f>
        <v>0</v>
      </c>
      <c r="F619" s="50">
        <f>E619*1.03*0.99/147</f>
        <v>0</v>
      </c>
      <c r="G619" s="42">
        <f t="shared" si="150"/>
        <v>0</v>
      </c>
      <c r="H619" s="14" t="s">
        <v>18</v>
      </c>
      <c r="I619" s="42">
        <f t="shared" si="151"/>
        <v>0</v>
      </c>
      <c r="J619" s="14" t="s">
        <v>19</v>
      </c>
      <c r="K619" s="40"/>
      <c r="L619" s="40"/>
      <c r="M619" s="46">
        <f>F619*4983/2880</f>
        <v>0</v>
      </c>
      <c r="N619" s="40"/>
      <c r="O619" s="40"/>
      <c r="P619" s="40"/>
      <c r="Q619" s="14" t="s">
        <v>18</v>
      </c>
      <c r="R619" s="40"/>
      <c r="S619" s="40" t="s">
        <v>19</v>
      </c>
      <c r="T619" s="47"/>
      <c r="U619" s="40">
        <f>E619/259*60</f>
        <v>0</v>
      </c>
      <c r="V619" s="176"/>
      <c r="W619" s="47"/>
      <c r="X619" s="40"/>
    </row>
    <row r="620" spans="1:26" s="20" customFormat="1" ht="38.25" thickBot="1" x14ac:dyDescent="0.35">
      <c r="A620" s="41"/>
      <c r="B620" s="41" t="s">
        <v>339</v>
      </c>
      <c r="C620" s="42"/>
      <c r="D620" s="43"/>
      <c r="E620" s="45">
        <f>C620*4</f>
        <v>0</v>
      </c>
      <c r="F620" s="50">
        <f>E620*1.2*0.9/147</f>
        <v>0</v>
      </c>
      <c r="G620" s="42">
        <f t="shared" si="150"/>
        <v>0</v>
      </c>
      <c r="H620" s="45" t="s">
        <v>18</v>
      </c>
      <c r="I620" s="42">
        <f t="shared" si="151"/>
        <v>0</v>
      </c>
      <c r="J620" s="40" t="s">
        <v>19</v>
      </c>
      <c r="K620" s="40"/>
      <c r="L620" s="40"/>
      <c r="M620" s="46">
        <f>(F620*6049/3456)</f>
        <v>0</v>
      </c>
      <c r="N620" s="40"/>
      <c r="O620" s="40"/>
      <c r="P620" s="40"/>
      <c r="Q620" s="14" t="s">
        <v>18</v>
      </c>
      <c r="R620" s="40"/>
      <c r="S620" s="40" t="s">
        <v>19</v>
      </c>
      <c r="T620" s="47"/>
      <c r="U620" s="40">
        <f>E620/324*60</f>
        <v>0</v>
      </c>
      <c r="V620" s="176"/>
      <c r="W620" s="47"/>
      <c r="X620" s="40"/>
    </row>
    <row r="621" spans="1:26" s="20" customFormat="1" ht="19.5" thickBot="1" x14ac:dyDescent="0.35">
      <c r="A621" s="41"/>
      <c r="B621" s="41" t="s">
        <v>90</v>
      </c>
      <c r="C621" s="42"/>
      <c r="D621" s="43"/>
      <c r="E621" s="45">
        <f>C621*3</f>
        <v>0</v>
      </c>
      <c r="F621" s="50">
        <f>E621*1.2*0.9/147</f>
        <v>0</v>
      </c>
      <c r="G621" s="42">
        <f t="shared" si="150"/>
        <v>0</v>
      </c>
      <c r="H621" s="45" t="s">
        <v>18</v>
      </c>
      <c r="I621" s="42">
        <f t="shared" si="151"/>
        <v>0</v>
      </c>
      <c r="J621" s="40" t="s">
        <v>19</v>
      </c>
      <c r="K621" s="40"/>
      <c r="L621" s="40"/>
      <c r="M621" s="46">
        <f>(F621*6049/3456)</f>
        <v>0</v>
      </c>
      <c r="N621" s="40"/>
      <c r="O621" s="40"/>
      <c r="P621" s="40"/>
      <c r="Q621" s="14" t="s">
        <v>18</v>
      </c>
      <c r="R621" s="40"/>
      <c r="S621" s="40" t="s">
        <v>19</v>
      </c>
      <c r="T621" s="47"/>
      <c r="U621" s="40">
        <f>E621/324*60</f>
        <v>0</v>
      </c>
      <c r="V621" s="176"/>
      <c r="W621" s="47"/>
      <c r="X621" s="40"/>
    </row>
    <row r="622" spans="1:26" s="128" customFormat="1" ht="19.5" thickBot="1" x14ac:dyDescent="0.35">
      <c r="A622" s="117"/>
      <c r="B622" s="917" t="s">
        <v>289</v>
      </c>
      <c r="C622" s="917"/>
      <c r="D622" s="917"/>
      <c r="E622" s="917"/>
      <c r="F622" s="917"/>
      <c r="G622" s="917"/>
      <c r="H622" s="917"/>
      <c r="I622" s="917"/>
      <c r="J622" s="917"/>
      <c r="K622" s="917"/>
      <c r="L622" s="917"/>
      <c r="M622" s="917"/>
      <c r="N622" s="917"/>
      <c r="O622" s="917"/>
      <c r="P622" s="917"/>
      <c r="Q622" s="917"/>
      <c r="R622" s="917"/>
      <c r="S622" s="917"/>
      <c r="T622" s="917"/>
      <c r="U622" s="917"/>
      <c r="V622" s="917"/>
      <c r="W622" s="917"/>
      <c r="X622" s="917"/>
    </row>
    <row r="623" spans="1:26" s="20" customFormat="1" ht="33.75" customHeight="1" thickBot="1" x14ac:dyDescent="0.35">
      <c r="A623" s="141"/>
      <c r="B623" s="231" t="s">
        <v>555</v>
      </c>
      <c r="C623" s="232"/>
      <c r="D623" s="154"/>
      <c r="E623" s="233">
        <f>C623*3</f>
        <v>0</v>
      </c>
      <c r="F623" s="156">
        <f>E623*1.034*0.8/19.3</f>
        <v>0</v>
      </c>
      <c r="G623" s="232">
        <f>INT(M623)</f>
        <v>0</v>
      </c>
      <c r="H623" s="233" t="s">
        <v>18</v>
      </c>
      <c r="I623" s="232">
        <f>(M623-G623)*64</f>
        <v>0</v>
      </c>
      <c r="J623" s="234" t="s">
        <v>19</v>
      </c>
      <c r="K623" s="234"/>
      <c r="L623" s="234"/>
      <c r="M623" s="235">
        <f>(F623*918/3456)</f>
        <v>0</v>
      </c>
      <c r="N623" s="234"/>
      <c r="O623" s="40"/>
      <c r="P623" s="40"/>
      <c r="Q623" s="14" t="s">
        <v>18</v>
      </c>
      <c r="R623" s="40"/>
      <c r="S623" s="40" t="s">
        <v>19</v>
      </c>
      <c r="T623" s="47"/>
      <c r="U623" s="40">
        <f>E623/324*60</f>
        <v>0</v>
      </c>
      <c r="V623" s="40"/>
      <c r="W623" s="47"/>
      <c r="X623" s="40"/>
      <c r="Y623" s="236"/>
      <c r="Z623" s="236"/>
    </row>
    <row r="624" spans="1:26" s="20" customFormat="1" ht="33.75" customHeight="1" thickBot="1" x14ac:dyDescent="0.35">
      <c r="A624" s="141"/>
      <c r="B624" s="231" t="s">
        <v>598</v>
      </c>
      <c r="C624" s="232"/>
      <c r="D624" s="154"/>
      <c r="E624" s="233">
        <f>C624*3</f>
        <v>0</v>
      </c>
      <c r="F624" s="156">
        <f>E624*1.034*0.8/19.3</f>
        <v>0</v>
      </c>
      <c r="G624" s="232">
        <f>INT(M624)</f>
        <v>0</v>
      </c>
      <c r="H624" s="233" t="s">
        <v>18</v>
      </c>
      <c r="I624" s="232">
        <f>(M624-G624)*64</f>
        <v>0</v>
      </c>
      <c r="J624" s="234" t="s">
        <v>19</v>
      </c>
      <c r="K624" s="234"/>
      <c r="L624" s="234"/>
      <c r="M624" s="235">
        <f>(F624*972/3456)</f>
        <v>0</v>
      </c>
      <c r="N624" s="234"/>
      <c r="O624" s="40"/>
      <c r="P624" s="40"/>
      <c r="Q624" s="14" t="s">
        <v>18</v>
      </c>
      <c r="R624" s="40"/>
      <c r="S624" s="40" t="s">
        <v>19</v>
      </c>
      <c r="T624" s="47"/>
      <c r="U624" s="40">
        <f>E624/324*60</f>
        <v>0</v>
      </c>
      <c r="V624" s="40"/>
      <c r="W624" s="47"/>
      <c r="X624" s="40"/>
      <c r="Y624" s="236"/>
      <c r="Z624" s="236"/>
    </row>
    <row r="625" spans="1:26" s="249" customFormat="1" ht="39" customHeight="1" thickBot="1" x14ac:dyDescent="0.35">
      <c r="A625" s="237"/>
      <c r="B625" s="238" t="s">
        <v>556</v>
      </c>
      <c r="C625" s="239"/>
      <c r="D625" s="240">
        <f>C625*10</f>
        <v>0</v>
      </c>
      <c r="E625" s="241">
        <f>D625*0.2</f>
        <v>0</v>
      </c>
      <c r="F625" s="242">
        <f>E625*0.97*0.8/19.6</f>
        <v>0</v>
      </c>
      <c r="G625" s="239">
        <f>INT(M625)</f>
        <v>0</v>
      </c>
      <c r="H625" s="241" t="s">
        <v>18</v>
      </c>
      <c r="I625" s="239">
        <f>(M625-G625)*64</f>
        <v>0</v>
      </c>
      <c r="J625" s="243" t="s">
        <v>19</v>
      </c>
      <c r="K625" s="243"/>
      <c r="L625" s="243"/>
      <c r="M625" s="244">
        <f>(F625*1087/3456)</f>
        <v>0</v>
      </c>
      <c r="N625" s="243"/>
      <c r="O625" s="245"/>
      <c r="P625" s="245"/>
      <c r="Q625" s="246" t="s">
        <v>18</v>
      </c>
      <c r="R625" s="245"/>
      <c r="S625" s="245" t="s">
        <v>19</v>
      </c>
      <c r="T625" s="247"/>
      <c r="U625" s="245">
        <f>E625/259*60</f>
        <v>0</v>
      </c>
      <c r="V625" s="245"/>
      <c r="W625" s="247"/>
      <c r="X625" s="245"/>
      <c r="Y625" s="248"/>
      <c r="Z625" s="248"/>
    </row>
    <row r="626" spans="1:26" s="249" customFormat="1" ht="39" customHeight="1" thickBot="1" x14ac:dyDescent="0.35">
      <c r="A626" s="237"/>
      <c r="B626" s="250"/>
      <c r="C626" s="251"/>
      <c r="D626" s="252"/>
      <c r="E626" s="253"/>
      <c r="F626" s="254"/>
      <c r="G626" s="251"/>
      <c r="H626" s="253"/>
      <c r="I626" s="251"/>
      <c r="J626" s="255"/>
      <c r="K626" s="255"/>
      <c r="L626" s="255"/>
      <c r="M626" s="256"/>
      <c r="N626" s="255"/>
      <c r="O626" s="245"/>
      <c r="P626" s="245"/>
      <c r="Q626" s="246"/>
      <c r="R626" s="245"/>
      <c r="S626" s="245"/>
      <c r="T626" s="247"/>
      <c r="U626" s="245"/>
      <c r="V626" s="245"/>
      <c r="W626" s="247"/>
      <c r="X626" s="245"/>
      <c r="Y626" s="248"/>
      <c r="Z626" s="248"/>
    </row>
    <row r="627" spans="1:26" s="249" customFormat="1" ht="37.5" customHeight="1" thickBot="1" x14ac:dyDescent="0.35">
      <c r="A627" s="237"/>
      <c r="B627" s="238" t="s">
        <v>557</v>
      </c>
      <c r="C627" s="239"/>
      <c r="D627" s="240">
        <f>C627*10</f>
        <v>0</v>
      </c>
      <c r="E627" s="241">
        <f>D627*0.2</f>
        <v>0</v>
      </c>
      <c r="F627" s="242">
        <f>E627*0.97*0.8/19.6</f>
        <v>0</v>
      </c>
      <c r="G627" s="239">
        <f>INT(M627)</f>
        <v>0</v>
      </c>
      <c r="H627" s="241" t="s">
        <v>18</v>
      </c>
      <c r="I627" s="239">
        <f>(M627-G627)*64</f>
        <v>0</v>
      </c>
      <c r="J627" s="243" t="s">
        <v>19</v>
      </c>
      <c r="K627" s="243"/>
      <c r="L627" s="243"/>
      <c r="M627" s="244">
        <f>(F627*1087/3456)</f>
        <v>0</v>
      </c>
      <c r="N627" s="243"/>
      <c r="O627" s="245"/>
      <c r="P627" s="245"/>
      <c r="Q627" s="246" t="s">
        <v>18</v>
      </c>
      <c r="R627" s="245"/>
      <c r="S627" s="245" t="s">
        <v>19</v>
      </c>
      <c r="T627" s="247"/>
      <c r="U627" s="245">
        <f>E627/259*60</f>
        <v>0</v>
      </c>
      <c r="V627" s="245"/>
      <c r="W627" s="247"/>
      <c r="X627" s="245"/>
      <c r="Y627" s="248"/>
      <c r="Z627" s="248"/>
    </row>
    <row r="628" spans="1:26" s="249" customFormat="1" ht="37.5" customHeight="1" thickBot="1" x14ac:dyDescent="0.35">
      <c r="A628" s="237"/>
      <c r="B628" s="250"/>
      <c r="C628" s="251"/>
      <c r="D628" s="252"/>
      <c r="E628" s="253"/>
      <c r="F628" s="254"/>
      <c r="G628" s="251"/>
      <c r="H628" s="253"/>
      <c r="I628" s="251"/>
      <c r="J628" s="255"/>
      <c r="K628" s="255"/>
      <c r="L628" s="255"/>
      <c r="M628" s="256"/>
      <c r="N628" s="255"/>
      <c r="O628" s="257"/>
      <c r="P628" s="257"/>
      <c r="Q628" s="258"/>
      <c r="R628" s="257"/>
      <c r="S628" s="257"/>
      <c r="T628" s="259"/>
      <c r="U628" s="257"/>
      <c r="V628" s="257"/>
      <c r="W628" s="247"/>
      <c r="X628" s="245"/>
      <c r="Y628" s="248"/>
      <c r="Z628" s="248"/>
    </row>
    <row r="629" spans="1:26" s="249" customFormat="1" ht="49.5" customHeight="1" thickBot="1" x14ac:dyDescent="0.35">
      <c r="A629" s="237"/>
      <c r="B629" s="238" t="s">
        <v>558</v>
      </c>
      <c r="C629" s="239"/>
      <c r="D629" s="240">
        <f>C629*10</f>
        <v>0</v>
      </c>
      <c r="E629" s="241">
        <f>D629*0.2</f>
        <v>0</v>
      </c>
      <c r="F629" s="242">
        <f>E629*0.97*0.8/19.6</f>
        <v>0</v>
      </c>
      <c r="G629" s="239">
        <f>INT(M629)</f>
        <v>0</v>
      </c>
      <c r="H629" s="241" t="s">
        <v>18</v>
      </c>
      <c r="I629" s="239">
        <f>(M629-G629)*64</f>
        <v>0</v>
      </c>
      <c r="J629" s="243" t="s">
        <v>19</v>
      </c>
      <c r="K629" s="243"/>
      <c r="L629" s="243"/>
      <c r="M629" s="244">
        <f>(F629*1087/3456)</f>
        <v>0</v>
      </c>
      <c r="N629" s="243"/>
      <c r="O629" s="245"/>
      <c r="P629" s="245"/>
      <c r="Q629" s="246" t="s">
        <v>18</v>
      </c>
      <c r="R629" s="245"/>
      <c r="S629" s="245" t="s">
        <v>19</v>
      </c>
      <c r="T629" s="247"/>
      <c r="U629" s="245">
        <f>E629/259*60</f>
        <v>0</v>
      </c>
      <c r="V629" s="245"/>
      <c r="W629" s="247"/>
      <c r="X629" s="245"/>
      <c r="Y629" s="248"/>
      <c r="Z629" s="248"/>
    </row>
    <row r="630" spans="1:26" s="20" customFormat="1" ht="19.5" thickBot="1" x14ac:dyDescent="0.35">
      <c r="A630" s="41"/>
      <c r="B630" s="41" t="s">
        <v>108</v>
      </c>
      <c r="C630" s="42"/>
      <c r="D630" s="43"/>
      <c r="E630" s="45">
        <f>C630*3</f>
        <v>0</v>
      </c>
      <c r="F630" s="50">
        <f>E630*1.2*1/147</f>
        <v>0</v>
      </c>
      <c r="G630" s="42">
        <f>INT(M630)</f>
        <v>0</v>
      </c>
      <c r="H630" s="45" t="s">
        <v>18</v>
      </c>
      <c r="I630" s="42">
        <f>(M630-G630)*64</f>
        <v>0</v>
      </c>
      <c r="J630" s="40" t="s">
        <v>19</v>
      </c>
      <c r="K630" s="40"/>
      <c r="L630" s="40"/>
      <c r="M630" s="46">
        <f>F630*5719/2880</f>
        <v>0</v>
      </c>
      <c r="N630" s="40"/>
      <c r="O630" s="40"/>
      <c r="P630" s="40"/>
      <c r="Q630" s="14" t="s">
        <v>18</v>
      </c>
      <c r="R630" s="40"/>
      <c r="S630" s="40" t="s">
        <v>19</v>
      </c>
      <c r="T630" s="47"/>
      <c r="U630" s="40">
        <f>E630/237*60</f>
        <v>0</v>
      </c>
      <c r="V630" s="176"/>
      <c r="W630" s="47"/>
      <c r="X630" s="40"/>
    </row>
    <row r="631" spans="1:26" s="20" customFormat="1" ht="19.5" thickBot="1" x14ac:dyDescent="0.35">
      <c r="A631" s="52"/>
      <c r="B631" s="57" t="s">
        <v>119</v>
      </c>
      <c r="C631" s="42"/>
      <c r="D631" s="58"/>
      <c r="E631" s="59"/>
      <c r="F631" s="50"/>
      <c r="G631" s="48"/>
      <c r="H631" s="59"/>
      <c r="I631" s="48"/>
      <c r="J631" s="46"/>
      <c r="K631" s="52"/>
      <c r="L631" s="52"/>
      <c r="M631" s="52"/>
      <c r="N631" s="52"/>
      <c r="O631" s="52"/>
      <c r="P631" s="52"/>
      <c r="Q631" s="52"/>
      <c r="R631" s="52"/>
      <c r="S631" s="52"/>
      <c r="T631" s="60"/>
      <c r="U631" s="52"/>
      <c r="V631" s="52"/>
      <c r="W631" s="60"/>
      <c r="X631" s="52"/>
    </row>
    <row r="632" spans="1:26" s="20" customFormat="1" ht="19.5" thickBot="1" x14ac:dyDescent="0.35">
      <c r="A632" s="52"/>
      <c r="B632" s="57" t="s">
        <v>120</v>
      </c>
      <c r="C632" s="42"/>
      <c r="D632" s="61"/>
      <c r="E632" s="52">
        <f>SUM(E496:E631)</f>
        <v>0</v>
      </c>
      <c r="F632" s="52">
        <f>SUM(F496:F631)</f>
        <v>0</v>
      </c>
      <c r="G632" s="48"/>
      <c r="H632" s="59"/>
      <c r="I632" s="62"/>
      <c r="J632" s="46"/>
      <c r="K632" s="52"/>
      <c r="L632" s="52"/>
      <c r="M632" s="52"/>
      <c r="N632" s="52"/>
      <c r="O632" s="52"/>
      <c r="P632" s="52"/>
      <c r="Q632" s="52"/>
      <c r="R632" s="52"/>
      <c r="S632" s="52"/>
      <c r="T632" s="60"/>
      <c r="U632" s="52"/>
      <c r="V632" s="52"/>
      <c r="W632" s="60"/>
      <c r="X632" s="52"/>
    </row>
    <row r="633" spans="1:26" s="20" customFormat="1" ht="19.5" thickBot="1" x14ac:dyDescent="0.35">
      <c r="A633" s="52"/>
      <c r="B633" s="57" t="s">
        <v>121</v>
      </c>
      <c r="C633" s="42"/>
      <c r="D633" s="61"/>
      <c r="E633" s="52">
        <f>E632+E495</f>
        <v>0</v>
      </c>
      <c r="F633" s="52"/>
      <c r="G633" s="48"/>
      <c r="H633" s="59"/>
      <c r="I633" s="62"/>
      <c r="J633" s="46"/>
      <c r="K633" s="52"/>
      <c r="L633" s="52"/>
      <c r="M633" s="52"/>
      <c r="N633" s="52"/>
      <c r="O633" s="52"/>
      <c r="P633" s="52"/>
      <c r="Q633" s="52"/>
      <c r="R633" s="52"/>
      <c r="S633" s="52"/>
      <c r="T633" s="60"/>
      <c r="U633" s="52"/>
      <c r="V633" s="52"/>
      <c r="W633" s="60"/>
      <c r="X633" s="52"/>
    </row>
    <row r="634" spans="1:26" ht="19.5" thickBot="1" x14ac:dyDescent="0.35">
      <c r="A634" s="3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spans="1:26" s="20" customFormat="1" ht="19.5" thickBot="1" x14ac:dyDescent="0.35">
      <c r="A635" s="940" t="s">
        <v>122</v>
      </c>
      <c r="B635" s="941"/>
      <c r="C635" s="941"/>
      <c r="D635" s="941"/>
      <c r="E635" s="941"/>
      <c r="F635" s="941"/>
      <c r="G635" s="941"/>
      <c r="H635" s="941"/>
      <c r="I635" s="941"/>
      <c r="J635" s="941"/>
      <c r="K635" s="941"/>
      <c r="L635" s="941"/>
      <c r="M635" s="941"/>
      <c r="N635" s="941"/>
      <c r="O635" s="941"/>
      <c r="P635" s="941"/>
      <c r="Q635" s="941"/>
      <c r="R635" s="941"/>
      <c r="S635" s="941"/>
      <c r="T635" s="941"/>
      <c r="U635" s="941"/>
      <c r="V635" s="941"/>
      <c r="W635" s="941"/>
      <c r="X635" s="942"/>
    </row>
    <row r="636" spans="1:26" s="20" customFormat="1" ht="19.5" thickBot="1" x14ac:dyDescent="0.35">
      <c r="A636" s="132"/>
      <c r="B636" s="133" t="s">
        <v>291</v>
      </c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</row>
    <row r="637" spans="1:26" s="120" customFormat="1" ht="38.25" thickBot="1" x14ac:dyDescent="0.35">
      <c r="A637" s="146"/>
      <c r="B637" s="146" t="s">
        <v>381</v>
      </c>
      <c r="C637" s="147"/>
      <c r="D637" s="148">
        <f>C637*12</f>
        <v>0</v>
      </c>
      <c r="E637" s="149">
        <f>D637*0.25</f>
        <v>0</v>
      </c>
      <c r="F637" s="156">
        <f t="shared" ref="F637:F648" si="152">E637*1.03*0.99/147</f>
        <v>0</v>
      </c>
      <c r="G637" s="147">
        <f t="shared" ref="G637:G644" si="153">INT(M637)</f>
        <v>0</v>
      </c>
      <c r="H637" s="151" t="s">
        <v>18</v>
      </c>
      <c r="I637" s="147">
        <f t="shared" ref="I637:I644" si="154">(M637-G637)*64</f>
        <v>0</v>
      </c>
      <c r="J637" s="149" t="s">
        <v>19</v>
      </c>
      <c r="K637" s="149"/>
      <c r="L637" s="149"/>
      <c r="M637" s="158">
        <f t="shared" ref="M637:M644" si="155">(F637*5202)/2880</f>
        <v>0</v>
      </c>
      <c r="N637" s="149"/>
      <c r="O637" s="149"/>
      <c r="P637" s="149"/>
      <c r="Q637" s="145" t="s">
        <v>18</v>
      </c>
      <c r="R637" s="149"/>
      <c r="S637" s="149" t="s">
        <v>19</v>
      </c>
      <c r="T637" s="153"/>
      <c r="U637" s="149"/>
      <c r="V637" s="176"/>
      <c r="W637" s="153"/>
      <c r="X637" s="149"/>
    </row>
    <row r="638" spans="1:26" s="120" customFormat="1" ht="38.25" thickBot="1" x14ac:dyDescent="0.35">
      <c r="A638" s="146"/>
      <c r="B638" s="146" t="s">
        <v>382</v>
      </c>
      <c r="C638" s="147"/>
      <c r="D638" s="148">
        <f>C638*12</f>
        <v>0</v>
      </c>
      <c r="E638" s="149">
        <f>D638*0.25</f>
        <v>0</v>
      </c>
      <c r="F638" s="156">
        <f t="shared" si="152"/>
        <v>0</v>
      </c>
      <c r="G638" s="147">
        <f t="shared" si="153"/>
        <v>0</v>
      </c>
      <c r="H638" s="151" t="s">
        <v>18</v>
      </c>
      <c r="I638" s="147">
        <f t="shared" si="154"/>
        <v>0</v>
      </c>
      <c r="J638" s="149" t="s">
        <v>19</v>
      </c>
      <c r="K638" s="149"/>
      <c r="L638" s="149"/>
      <c r="M638" s="158">
        <f t="shared" si="155"/>
        <v>0</v>
      </c>
      <c r="N638" s="149"/>
      <c r="O638" s="149"/>
      <c r="P638" s="149"/>
      <c r="Q638" s="145" t="s">
        <v>18</v>
      </c>
      <c r="R638" s="149"/>
      <c r="S638" s="149" t="s">
        <v>19</v>
      </c>
      <c r="T638" s="153"/>
      <c r="U638" s="149"/>
      <c r="V638" s="176"/>
      <c r="W638" s="153"/>
      <c r="X638" s="149"/>
    </row>
    <row r="639" spans="1:26" s="120" customFormat="1" ht="38.25" thickBot="1" x14ac:dyDescent="0.35">
      <c r="A639" s="146"/>
      <c r="B639" s="146" t="s">
        <v>376</v>
      </c>
      <c r="C639" s="147"/>
      <c r="D639" s="148">
        <f>C639*14</f>
        <v>0</v>
      </c>
      <c r="E639" s="149">
        <f>D639*0.25</f>
        <v>0</v>
      </c>
      <c r="F639" s="156">
        <f t="shared" si="152"/>
        <v>0</v>
      </c>
      <c r="G639" s="147">
        <f t="shared" si="153"/>
        <v>0</v>
      </c>
      <c r="H639" s="151" t="s">
        <v>18</v>
      </c>
      <c r="I639" s="147">
        <f t="shared" si="154"/>
        <v>0</v>
      </c>
      <c r="J639" s="149" t="s">
        <v>19</v>
      </c>
      <c r="K639" s="149"/>
      <c r="L639" s="149"/>
      <c r="M639" s="158">
        <f t="shared" si="155"/>
        <v>0</v>
      </c>
      <c r="N639" s="149"/>
      <c r="O639" s="149"/>
      <c r="P639" s="149"/>
      <c r="Q639" s="145" t="s">
        <v>18</v>
      </c>
      <c r="R639" s="149"/>
      <c r="S639" s="149" t="s">
        <v>19</v>
      </c>
      <c r="T639" s="153"/>
      <c r="U639" s="149"/>
      <c r="V639" s="176"/>
      <c r="W639" s="153"/>
      <c r="X639" s="149"/>
    </row>
    <row r="640" spans="1:26" s="120" customFormat="1" ht="38.25" thickBot="1" x14ac:dyDescent="0.35">
      <c r="A640" s="146"/>
      <c r="B640" s="146" t="s">
        <v>377</v>
      </c>
      <c r="C640" s="147"/>
      <c r="D640" s="148">
        <f>C640*14</f>
        <v>0</v>
      </c>
      <c r="E640" s="149">
        <f>D640*0.25</f>
        <v>0</v>
      </c>
      <c r="F640" s="156">
        <f t="shared" si="152"/>
        <v>0</v>
      </c>
      <c r="G640" s="147">
        <f t="shared" si="153"/>
        <v>0</v>
      </c>
      <c r="H640" s="151" t="s">
        <v>18</v>
      </c>
      <c r="I640" s="147">
        <f t="shared" si="154"/>
        <v>0</v>
      </c>
      <c r="J640" s="149" t="s">
        <v>19</v>
      </c>
      <c r="K640" s="149"/>
      <c r="L640" s="149"/>
      <c r="M640" s="158">
        <f t="shared" si="155"/>
        <v>0</v>
      </c>
      <c r="N640" s="149"/>
      <c r="O640" s="149"/>
      <c r="P640" s="149"/>
      <c r="Q640" s="145" t="s">
        <v>18</v>
      </c>
      <c r="R640" s="149"/>
      <c r="S640" s="149" t="s">
        <v>19</v>
      </c>
      <c r="T640" s="153"/>
      <c r="U640" s="149"/>
      <c r="V640" s="176"/>
      <c r="W640" s="153"/>
      <c r="X640" s="149"/>
    </row>
    <row r="641" spans="1:24" s="120" customFormat="1" ht="38.25" thickBot="1" x14ac:dyDescent="0.35">
      <c r="A641" s="146"/>
      <c r="B641" s="146" t="s">
        <v>379</v>
      </c>
      <c r="C641" s="147"/>
      <c r="D641" s="148">
        <f>C641*12</f>
        <v>0</v>
      </c>
      <c r="E641" s="149">
        <f>D641*0.26</f>
        <v>0</v>
      </c>
      <c r="F641" s="156">
        <f t="shared" si="152"/>
        <v>0</v>
      </c>
      <c r="G641" s="147">
        <f t="shared" si="153"/>
        <v>0</v>
      </c>
      <c r="H641" s="151" t="s">
        <v>18</v>
      </c>
      <c r="I641" s="147">
        <f t="shared" si="154"/>
        <v>0</v>
      </c>
      <c r="J641" s="149" t="s">
        <v>19</v>
      </c>
      <c r="K641" s="149"/>
      <c r="L641" s="149"/>
      <c r="M641" s="158">
        <f t="shared" si="155"/>
        <v>0</v>
      </c>
      <c r="N641" s="149"/>
      <c r="O641" s="149"/>
      <c r="P641" s="149"/>
      <c r="Q641" s="145" t="s">
        <v>18</v>
      </c>
      <c r="R641" s="149"/>
      <c r="S641" s="149" t="s">
        <v>19</v>
      </c>
      <c r="T641" s="153"/>
      <c r="U641" s="149"/>
      <c r="V641" s="176"/>
      <c r="W641" s="153"/>
      <c r="X641" s="149"/>
    </row>
    <row r="642" spans="1:24" s="120" customFormat="1" ht="38.25" thickBot="1" x14ac:dyDescent="0.35">
      <c r="A642" s="146"/>
      <c r="B642" s="146" t="s">
        <v>380</v>
      </c>
      <c r="C642" s="147"/>
      <c r="D642" s="148">
        <f>C642*12</f>
        <v>0</v>
      </c>
      <c r="E642" s="149">
        <f>D642*0.26</f>
        <v>0</v>
      </c>
      <c r="F642" s="156">
        <f t="shared" si="152"/>
        <v>0</v>
      </c>
      <c r="G642" s="147">
        <f t="shared" si="153"/>
        <v>0</v>
      </c>
      <c r="H642" s="151" t="s">
        <v>18</v>
      </c>
      <c r="I642" s="147">
        <f t="shared" si="154"/>
        <v>0</v>
      </c>
      <c r="J642" s="149" t="s">
        <v>19</v>
      </c>
      <c r="K642" s="149"/>
      <c r="L642" s="149"/>
      <c r="M642" s="158">
        <f t="shared" si="155"/>
        <v>0</v>
      </c>
      <c r="N642" s="149"/>
      <c r="O642" s="149"/>
      <c r="P642" s="149"/>
      <c r="Q642" s="145" t="s">
        <v>18</v>
      </c>
      <c r="R642" s="149"/>
      <c r="S642" s="149" t="s">
        <v>19</v>
      </c>
      <c r="T642" s="153"/>
      <c r="U642" s="149"/>
      <c r="V642" s="176"/>
      <c r="W642" s="153"/>
      <c r="X642" s="149"/>
    </row>
    <row r="643" spans="1:24" s="20" customFormat="1" ht="38.25" thickBot="1" x14ac:dyDescent="0.35">
      <c r="A643" s="41"/>
      <c r="B643" s="41" t="s">
        <v>239</v>
      </c>
      <c r="C643" s="42"/>
      <c r="D643" s="43">
        <f>C643*16</f>
        <v>0</v>
      </c>
      <c r="E643" s="40">
        <f>D643*0.34</f>
        <v>0</v>
      </c>
      <c r="F643" s="50">
        <f t="shared" si="152"/>
        <v>0</v>
      </c>
      <c r="G643" s="42">
        <f t="shared" si="153"/>
        <v>0</v>
      </c>
      <c r="H643" s="45" t="s">
        <v>18</v>
      </c>
      <c r="I643" s="42">
        <f t="shared" si="154"/>
        <v>0</v>
      </c>
      <c r="J643" s="40" t="s">
        <v>19</v>
      </c>
      <c r="K643" s="40"/>
      <c r="L643" s="40"/>
      <c r="M643" s="52">
        <f t="shared" si="155"/>
        <v>0</v>
      </c>
      <c r="N643" s="40"/>
      <c r="O643" s="40"/>
      <c r="P643" s="40"/>
      <c r="Q643" s="14" t="s">
        <v>18</v>
      </c>
      <c r="R643" s="40"/>
      <c r="S643" s="40" t="s">
        <v>19</v>
      </c>
      <c r="T643" s="47"/>
      <c r="U643" s="40"/>
      <c r="V643" s="176"/>
      <c r="W643" s="47"/>
      <c r="X643" s="40"/>
    </row>
    <row r="644" spans="1:24" s="20" customFormat="1" ht="38.25" thickBot="1" x14ac:dyDescent="0.35">
      <c r="A644" s="41"/>
      <c r="B644" s="41" t="s">
        <v>238</v>
      </c>
      <c r="C644" s="42"/>
      <c r="D644" s="43">
        <f>C644*16</f>
        <v>0</v>
      </c>
      <c r="E644" s="40">
        <f>D644*0.34</f>
        <v>0</v>
      </c>
      <c r="F644" s="50">
        <f t="shared" si="152"/>
        <v>0</v>
      </c>
      <c r="G644" s="42">
        <f t="shared" si="153"/>
        <v>0</v>
      </c>
      <c r="H644" s="45" t="s">
        <v>18</v>
      </c>
      <c r="I644" s="42">
        <f t="shared" si="154"/>
        <v>0</v>
      </c>
      <c r="J644" s="40" t="s">
        <v>19</v>
      </c>
      <c r="K644" s="40"/>
      <c r="L644" s="40"/>
      <c r="M644" s="52">
        <f t="shared" si="155"/>
        <v>0</v>
      </c>
      <c r="N644" s="40"/>
      <c r="O644" s="40"/>
      <c r="P644" s="40"/>
      <c r="Q644" s="14" t="s">
        <v>18</v>
      </c>
      <c r="R644" s="40"/>
      <c r="S644" s="40" t="s">
        <v>19</v>
      </c>
      <c r="T644" s="47"/>
      <c r="U644" s="40"/>
      <c r="V644" s="176"/>
      <c r="W644" s="47"/>
      <c r="X644" s="40"/>
    </row>
    <row r="645" spans="1:24" s="20" customFormat="1" ht="19.5" thickBot="1" x14ac:dyDescent="0.35">
      <c r="A645" s="41"/>
      <c r="B645" s="41" t="s">
        <v>378</v>
      </c>
      <c r="C645" s="42"/>
      <c r="D645" s="43">
        <f>C645*12</f>
        <v>0</v>
      </c>
      <c r="E645" s="63">
        <f>D645*0.3</f>
        <v>0</v>
      </c>
      <c r="F645" s="50">
        <f t="shared" si="152"/>
        <v>0</v>
      </c>
      <c r="G645" s="42">
        <f>INT(M645)</f>
        <v>0</v>
      </c>
      <c r="H645" s="45" t="s">
        <v>18</v>
      </c>
      <c r="I645" s="42">
        <f>(M645-G645)*64</f>
        <v>0</v>
      </c>
      <c r="J645" s="40" t="s">
        <v>19</v>
      </c>
      <c r="K645" s="40"/>
      <c r="L645" s="40"/>
      <c r="M645" s="52">
        <f>(F645*5927)/2880</f>
        <v>0</v>
      </c>
      <c r="N645" s="40"/>
      <c r="O645" s="40"/>
      <c r="P645" s="40"/>
      <c r="Q645" s="14" t="s">
        <v>18</v>
      </c>
      <c r="R645" s="40"/>
      <c r="S645" s="40" t="s">
        <v>19</v>
      </c>
      <c r="T645" s="47"/>
      <c r="U645" s="40">
        <f>E645/403*60</f>
        <v>0</v>
      </c>
      <c r="V645" s="176"/>
      <c r="W645" s="47"/>
      <c r="X645" s="40"/>
    </row>
    <row r="646" spans="1:24" s="20" customFormat="1" ht="19.5" thickBot="1" x14ac:dyDescent="0.35">
      <c r="A646" s="41"/>
      <c r="B646" s="41" t="s">
        <v>569</v>
      </c>
      <c r="C646" s="42"/>
      <c r="D646" s="43">
        <f>C646*12</f>
        <v>0</v>
      </c>
      <c r="E646" s="63">
        <f>D646*0.3</f>
        <v>0</v>
      </c>
      <c r="F646" s="50">
        <f t="shared" si="152"/>
        <v>0</v>
      </c>
      <c r="G646" s="42">
        <f>INT(M646)</f>
        <v>0</v>
      </c>
      <c r="H646" s="45" t="s">
        <v>18</v>
      </c>
      <c r="I646" s="42">
        <f>(M646-G646)*64</f>
        <v>0</v>
      </c>
      <c r="J646" s="40" t="s">
        <v>19</v>
      </c>
      <c r="K646" s="40"/>
      <c r="L646" s="40"/>
      <c r="M646" s="52">
        <f>(F646*5927)/2880</f>
        <v>0</v>
      </c>
      <c r="N646" s="40"/>
      <c r="O646" s="40"/>
      <c r="P646" s="40"/>
      <c r="Q646" s="14" t="s">
        <v>18</v>
      </c>
      <c r="R646" s="40"/>
      <c r="S646" s="40" t="s">
        <v>19</v>
      </c>
      <c r="T646" s="47"/>
      <c r="U646" s="40">
        <f>E646/403*60</f>
        <v>0</v>
      </c>
      <c r="V646" s="176"/>
      <c r="W646" s="47"/>
      <c r="X646" s="40"/>
    </row>
    <row r="647" spans="1:24" s="20" customFormat="1" ht="19.5" thickBot="1" x14ac:dyDescent="0.35">
      <c r="A647" s="41"/>
      <c r="B647" s="41" t="s">
        <v>571</v>
      </c>
      <c r="C647" s="42"/>
      <c r="D647" s="43">
        <f>C647*12</f>
        <v>0</v>
      </c>
      <c r="E647" s="63">
        <f>D647*0.25</f>
        <v>0</v>
      </c>
      <c r="F647" s="50">
        <f>E647*1.03*0.99/147</f>
        <v>0</v>
      </c>
      <c r="G647" s="42">
        <f>INT(M647)</f>
        <v>0</v>
      </c>
      <c r="H647" s="45" t="s">
        <v>18</v>
      </c>
      <c r="I647" s="42">
        <f>(M647-G647)*64</f>
        <v>0</v>
      </c>
      <c r="J647" s="40" t="s">
        <v>19</v>
      </c>
      <c r="K647" s="40"/>
      <c r="L647" s="40"/>
      <c r="M647" s="52">
        <f>(F647*5927)/2880</f>
        <v>0</v>
      </c>
      <c r="N647" s="40"/>
      <c r="O647" s="40"/>
      <c r="P647" s="40"/>
      <c r="Q647" s="14" t="s">
        <v>18</v>
      </c>
      <c r="R647" s="40"/>
      <c r="S647" s="40" t="s">
        <v>19</v>
      </c>
      <c r="T647" s="47"/>
      <c r="U647" s="40">
        <f>E647/403*60</f>
        <v>0</v>
      </c>
      <c r="V647" s="176"/>
      <c r="W647" s="47"/>
      <c r="X647" s="40"/>
    </row>
    <row r="648" spans="1:24" s="20" customFormat="1" ht="19.5" thickBot="1" x14ac:dyDescent="0.35">
      <c r="A648" s="41"/>
      <c r="B648" s="41" t="s">
        <v>114</v>
      </c>
      <c r="C648" s="42"/>
      <c r="D648" s="43">
        <f t="shared" ref="D648:D654" si="156">C648*12</f>
        <v>0</v>
      </c>
      <c r="E648" s="40">
        <f>D648*0.25</f>
        <v>0</v>
      </c>
      <c r="F648" s="50">
        <f t="shared" si="152"/>
        <v>0</v>
      </c>
      <c r="G648" s="42">
        <f t="shared" ref="G648:G666" si="157">INT(M648)</f>
        <v>0</v>
      </c>
      <c r="H648" s="45" t="s">
        <v>18</v>
      </c>
      <c r="I648" s="42">
        <f t="shared" ref="I648:I666" si="158">(M648-G648)*64</f>
        <v>0</v>
      </c>
      <c r="J648" s="40" t="s">
        <v>19</v>
      </c>
      <c r="K648" s="40"/>
      <c r="L648" s="40"/>
      <c r="M648" s="52">
        <f>(F648*6966)/2880</f>
        <v>0</v>
      </c>
      <c r="N648" s="40"/>
      <c r="O648" s="40"/>
      <c r="P648" s="40"/>
      <c r="Q648" s="14" t="s">
        <v>18</v>
      </c>
      <c r="R648" s="40"/>
      <c r="S648" s="40" t="s">
        <v>19</v>
      </c>
      <c r="T648" s="47"/>
      <c r="U648" s="40">
        <f>E648/226*60</f>
        <v>0</v>
      </c>
      <c r="V648" s="176"/>
      <c r="W648" s="47"/>
      <c r="X648" s="40"/>
    </row>
    <row r="649" spans="1:24" s="20" customFormat="1" ht="38.25" thickBot="1" x14ac:dyDescent="0.35">
      <c r="A649" s="41"/>
      <c r="B649" s="157" t="s">
        <v>366</v>
      </c>
      <c r="C649" s="42"/>
      <c r="D649" s="43">
        <f t="shared" si="156"/>
        <v>0</v>
      </c>
      <c r="E649" s="40">
        <f>D649*0.25</f>
        <v>0</v>
      </c>
      <c r="F649" s="50">
        <f>E649*1.03*0.99/90</f>
        <v>0</v>
      </c>
      <c r="G649" s="42">
        <f t="shared" si="157"/>
        <v>0</v>
      </c>
      <c r="H649" s="45" t="s">
        <v>18</v>
      </c>
      <c r="I649" s="42">
        <f t="shared" si="158"/>
        <v>0</v>
      </c>
      <c r="J649" s="40" t="s">
        <v>19</v>
      </c>
      <c r="K649" s="40"/>
      <c r="L649" s="40"/>
      <c r="M649" s="52">
        <f>((F649*100)/0.022)/2880</f>
        <v>0</v>
      </c>
      <c r="N649" s="40"/>
      <c r="O649" s="40"/>
      <c r="P649" s="40"/>
      <c r="Q649" s="14" t="s">
        <v>18</v>
      </c>
      <c r="R649" s="40"/>
      <c r="S649" s="40" t="s">
        <v>19</v>
      </c>
      <c r="T649" s="47"/>
      <c r="U649" s="40">
        <f>E649/226*60</f>
        <v>0</v>
      </c>
      <c r="V649" s="176"/>
      <c r="W649" s="47"/>
      <c r="X649" s="40"/>
    </row>
    <row r="650" spans="1:24" s="20" customFormat="1" ht="38.25" thickBot="1" x14ac:dyDescent="0.35">
      <c r="A650" s="41"/>
      <c r="B650" s="157" t="s">
        <v>367</v>
      </c>
      <c r="C650" s="42"/>
      <c r="D650" s="43">
        <f t="shared" si="156"/>
        <v>0</v>
      </c>
      <c r="E650" s="40">
        <f>D650*0.25</f>
        <v>0</v>
      </c>
      <c r="F650" s="50">
        <f>E650*1.03*0.99/90</f>
        <v>0</v>
      </c>
      <c r="G650" s="42">
        <f t="shared" si="157"/>
        <v>0</v>
      </c>
      <c r="H650" s="45" t="s">
        <v>18</v>
      </c>
      <c r="I650" s="42">
        <f t="shared" si="158"/>
        <v>0</v>
      </c>
      <c r="J650" s="40" t="s">
        <v>19</v>
      </c>
      <c r="K650" s="40"/>
      <c r="L650" s="40"/>
      <c r="M650" s="52">
        <f>((F650*100)/0.022)/2880</f>
        <v>0</v>
      </c>
      <c r="N650" s="40"/>
      <c r="O650" s="40"/>
      <c r="P650" s="40"/>
      <c r="Q650" s="14" t="s">
        <v>18</v>
      </c>
      <c r="R650" s="40"/>
      <c r="S650" s="40" t="s">
        <v>19</v>
      </c>
      <c r="T650" s="47"/>
      <c r="U650" s="40">
        <f>E650/226*60</f>
        <v>0</v>
      </c>
      <c r="V650" s="176"/>
      <c r="W650" s="47"/>
      <c r="X650" s="40"/>
    </row>
    <row r="651" spans="1:24" s="20" customFormat="1" ht="19.5" thickBot="1" x14ac:dyDescent="0.35">
      <c r="A651" s="41"/>
      <c r="B651" s="41" t="s">
        <v>370</v>
      </c>
      <c r="C651" s="42"/>
      <c r="D651" s="43">
        <f t="shared" si="156"/>
        <v>0</v>
      </c>
      <c r="E651" s="40">
        <f>D651*0.26</f>
        <v>0</v>
      </c>
      <c r="F651" s="50">
        <f t="shared" ref="F651:F666" si="159">E651*1.03*0.99/147</f>
        <v>0</v>
      </c>
      <c r="G651" s="42">
        <f t="shared" si="157"/>
        <v>0</v>
      </c>
      <c r="H651" s="45" t="s">
        <v>18</v>
      </c>
      <c r="I651" s="42">
        <f t="shared" si="158"/>
        <v>0</v>
      </c>
      <c r="J651" s="40" t="s">
        <v>19</v>
      </c>
      <c r="K651" s="40"/>
      <c r="L651" s="40"/>
      <c r="M651" s="52">
        <f>(F651*6743)/2880</f>
        <v>0</v>
      </c>
      <c r="N651" s="40"/>
      <c r="O651" s="40"/>
      <c r="P651" s="40"/>
      <c r="Q651" s="14" t="s">
        <v>18</v>
      </c>
      <c r="R651" s="40"/>
      <c r="S651" s="40" t="s">
        <v>19</v>
      </c>
      <c r="T651" s="47"/>
      <c r="U651" s="40">
        <f>E651/237*60</f>
        <v>0</v>
      </c>
      <c r="V651" s="176"/>
      <c r="W651" s="47"/>
      <c r="X651" s="40"/>
    </row>
    <row r="652" spans="1:24" s="20" customFormat="1" ht="19.5" thickBot="1" x14ac:dyDescent="0.35">
      <c r="A652" s="41"/>
      <c r="B652" s="41" t="s">
        <v>371</v>
      </c>
      <c r="C652" s="42"/>
      <c r="D652" s="43">
        <f t="shared" si="156"/>
        <v>0</v>
      </c>
      <c r="E652" s="40">
        <f>D652*0.26</f>
        <v>0</v>
      </c>
      <c r="F652" s="50">
        <f t="shared" si="159"/>
        <v>0</v>
      </c>
      <c r="G652" s="42">
        <f t="shared" si="157"/>
        <v>0</v>
      </c>
      <c r="H652" s="45" t="s">
        <v>18</v>
      </c>
      <c r="I652" s="42">
        <f t="shared" si="158"/>
        <v>0</v>
      </c>
      <c r="J652" s="40" t="s">
        <v>19</v>
      </c>
      <c r="K652" s="40"/>
      <c r="L652" s="40"/>
      <c r="M652" s="52">
        <f>(F652*6743)/2880</f>
        <v>0</v>
      </c>
      <c r="N652" s="40"/>
      <c r="O652" s="40"/>
      <c r="P652" s="40"/>
      <c r="Q652" s="14" t="s">
        <v>18</v>
      </c>
      <c r="R652" s="40"/>
      <c r="S652" s="40" t="s">
        <v>19</v>
      </c>
      <c r="T652" s="47"/>
      <c r="U652" s="40">
        <f>E652/237*60</f>
        <v>0</v>
      </c>
      <c r="V652" s="176"/>
      <c r="W652" s="47"/>
      <c r="X652" s="40"/>
    </row>
    <row r="653" spans="1:24" s="20" customFormat="1" ht="19.5" thickBot="1" x14ac:dyDescent="0.35">
      <c r="A653" s="41"/>
      <c r="B653" s="41" t="s">
        <v>369</v>
      </c>
      <c r="C653" s="42"/>
      <c r="D653" s="43">
        <f t="shared" si="156"/>
        <v>0</v>
      </c>
      <c r="E653" s="40">
        <f>D653*0.26</f>
        <v>0</v>
      </c>
      <c r="F653" s="50">
        <f t="shared" si="159"/>
        <v>0</v>
      </c>
      <c r="G653" s="42">
        <f t="shared" si="157"/>
        <v>0</v>
      </c>
      <c r="H653" s="45" t="s">
        <v>18</v>
      </c>
      <c r="I653" s="42">
        <f t="shared" si="158"/>
        <v>0</v>
      </c>
      <c r="J653" s="40" t="s">
        <v>19</v>
      </c>
      <c r="K653" s="40"/>
      <c r="L653" s="40"/>
      <c r="M653" s="52">
        <f>(F653*6743)/2880</f>
        <v>0</v>
      </c>
      <c r="N653" s="40"/>
      <c r="O653" s="40"/>
      <c r="P653" s="40"/>
      <c r="Q653" s="14" t="s">
        <v>18</v>
      </c>
      <c r="R653" s="40"/>
      <c r="S653" s="40" t="s">
        <v>19</v>
      </c>
      <c r="T653" s="47"/>
      <c r="U653" s="40">
        <f>E653/237*60</f>
        <v>0</v>
      </c>
      <c r="V653" s="176"/>
      <c r="W653" s="47"/>
      <c r="X653" s="40"/>
    </row>
    <row r="654" spans="1:24" s="20" customFormat="1" ht="19.5" thickBot="1" x14ac:dyDescent="0.35">
      <c r="A654" s="41"/>
      <c r="B654" s="41" t="s">
        <v>368</v>
      </c>
      <c r="C654" s="42"/>
      <c r="D654" s="43">
        <f t="shared" si="156"/>
        <v>0</v>
      </c>
      <c r="E654" s="64">
        <f>D654*0.25</f>
        <v>0</v>
      </c>
      <c r="F654" s="50">
        <f t="shared" si="159"/>
        <v>0</v>
      </c>
      <c r="G654" s="42">
        <f t="shared" si="157"/>
        <v>0</v>
      </c>
      <c r="H654" s="14" t="s">
        <v>18</v>
      </c>
      <c r="I654" s="42">
        <f t="shared" si="158"/>
        <v>0</v>
      </c>
      <c r="J654" s="14" t="s">
        <v>19</v>
      </c>
      <c r="K654" s="40"/>
      <c r="L654" s="40"/>
      <c r="M654" s="52">
        <f>(F654*7000)/2880</f>
        <v>0</v>
      </c>
      <c r="N654" s="40"/>
      <c r="O654" s="40"/>
      <c r="P654" s="40"/>
      <c r="Q654" s="14" t="s">
        <v>18</v>
      </c>
      <c r="R654" s="40"/>
      <c r="S654" s="40" t="s">
        <v>19</v>
      </c>
      <c r="T654" s="47"/>
      <c r="U654" s="40">
        <f>E654/390*60</f>
        <v>0</v>
      </c>
      <c r="V654" s="176"/>
      <c r="W654" s="47"/>
      <c r="X654" s="40"/>
    </row>
    <row r="655" spans="1:24" s="20" customFormat="1" ht="19.5" thickBot="1" x14ac:dyDescent="0.35">
      <c r="A655" s="41"/>
      <c r="B655" s="41" t="s">
        <v>365</v>
      </c>
      <c r="C655" s="42"/>
      <c r="D655" s="43">
        <f>C655*14</f>
        <v>0</v>
      </c>
      <c r="E655" s="40">
        <f>D655*0.2</f>
        <v>0</v>
      </c>
      <c r="F655" s="50">
        <f t="shared" si="159"/>
        <v>0</v>
      </c>
      <c r="G655" s="42">
        <f t="shared" si="157"/>
        <v>0</v>
      </c>
      <c r="H655" s="45" t="s">
        <v>18</v>
      </c>
      <c r="I655" s="42">
        <f t="shared" si="158"/>
        <v>0</v>
      </c>
      <c r="J655" s="40" t="s">
        <v>19</v>
      </c>
      <c r="K655" s="40"/>
      <c r="L655" s="40"/>
      <c r="M655" s="46">
        <f>F655*8698/2880</f>
        <v>0</v>
      </c>
      <c r="N655" s="40"/>
      <c r="O655" s="40"/>
      <c r="P655" s="40"/>
      <c r="Q655" s="14" t="s">
        <v>18</v>
      </c>
      <c r="R655" s="40"/>
      <c r="S655" s="40" t="s">
        <v>19</v>
      </c>
      <c r="T655" s="47"/>
      <c r="U655" s="40">
        <f>E655/259*60</f>
        <v>0</v>
      </c>
      <c r="V655" s="176"/>
      <c r="W655" s="47"/>
      <c r="X655" s="40"/>
    </row>
    <row r="656" spans="1:24" s="20" customFormat="1" ht="19.5" thickBot="1" x14ac:dyDescent="0.35">
      <c r="A656" s="41"/>
      <c r="B656" s="41" t="s">
        <v>110</v>
      </c>
      <c r="C656" s="42"/>
      <c r="D656" s="43">
        <f t="shared" ref="D656:D662" si="160">C656*12</f>
        <v>0</v>
      </c>
      <c r="E656" s="45">
        <f>D656*0.26</f>
        <v>0</v>
      </c>
      <c r="F656" s="50">
        <f t="shared" si="159"/>
        <v>0</v>
      </c>
      <c r="G656" s="42">
        <f t="shared" si="157"/>
        <v>0</v>
      </c>
      <c r="H656" s="45" t="s">
        <v>18</v>
      </c>
      <c r="I656" s="42">
        <f t="shared" si="158"/>
        <v>0</v>
      </c>
      <c r="J656" s="40" t="s">
        <v>19</v>
      </c>
      <c r="K656" s="40"/>
      <c r="L656" s="40"/>
      <c r="M656" s="52">
        <f>(F656*6966)/2880</f>
        <v>0</v>
      </c>
      <c r="N656" s="40"/>
      <c r="O656" s="40"/>
      <c r="P656" s="40"/>
      <c r="Q656" s="14" t="s">
        <v>18</v>
      </c>
      <c r="R656" s="40"/>
      <c r="S656" s="40" t="s">
        <v>19</v>
      </c>
      <c r="T656" s="47"/>
      <c r="U656" s="40">
        <f>E656/237*60</f>
        <v>0</v>
      </c>
      <c r="V656" s="176"/>
      <c r="W656" s="47"/>
      <c r="X656" s="40"/>
    </row>
    <row r="657" spans="1:24" s="20" customFormat="1" ht="19.5" thickBot="1" x14ac:dyDescent="0.35">
      <c r="A657" s="41"/>
      <c r="B657" s="41" t="s">
        <v>111</v>
      </c>
      <c r="C657" s="42"/>
      <c r="D657" s="43">
        <f t="shared" si="160"/>
        <v>0</v>
      </c>
      <c r="E657" s="45">
        <f t="shared" ref="E657:E662" si="161">D657*0.25</f>
        <v>0</v>
      </c>
      <c r="F657" s="50">
        <f t="shared" si="159"/>
        <v>0</v>
      </c>
      <c r="G657" s="42">
        <f t="shared" si="157"/>
        <v>0</v>
      </c>
      <c r="H657" s="45" t="s">
        <v>18</v>
      </c>
      <c r="I657" s="42">
        <f t="shared" si="158"/>
        <v>0</v>
      </c>
      <c r="J657" s="40" t="s">
        <v>19</v>
      </c>
      <c r="K657" s="40"/>
      <c r="L657" s="40"/>
      <c r="M657" s="52">
        <f>(F657*6966)/2880</f>
        <v>0</v>
      </c>
      <c r="N657" s="40"/>
      <c r="O657" s="40"/>
      <c r="P657" s="40"/>
      <c r="Q657" s="14" t="s">
        <v>18</v>
      </c>
      <c r="R657" s="40"/>
      <c r="S657" s="40" t="s">
        <v>19</v>
      </c>
      <c r="T657" s="47"/>
      <c r="U657" s="40">
        <f t="shared" ref="U657:U662" si="162">E657/226*60</f>
        <v>0</v>
      </c>
      <c r="V657" s="176"/>
      <c r="W657" s="47"/>
      <c r="X657" s="40"/>
    </row>
    <row r="658" spans="1:24" s="20" customFormat="1" ht="19.5" thickBot="1" x14ac:dyDescent="0.35">
      <c r="A658" s="41"/>
      <c r="B658" s="41" t="s">
        <v>103</v>
      </c>
      <c r="C658" s="42"/>
      <c r="D658" s="43">
        <f t="shared" si="160"/>
        <v>0</v>
      </c>
      <c r="E658" s="45">
        <f t="shared" si="161"/>
        <v>0</v>
      </c>
      <c r="F658" s="50">
        <f t="shared" si="159"/>
        <v>0</v>
      </c>
      <c r="G658" s="42">
        <f t="shared" si="157"/>
        <v>0</v>
      </c>
      <c r="H658" s="14" t="s">
        <v>18</v>
      </c>
      <c r="I658" s="42">
        <f t="shared" si="158"/>
        <v>0</v>
      </c>
      <c r="J658" s="14" t="s">
        <v>19</v>
      </c>
      <c r="K658" s="40"/>
      <c r="L658" s="40"/>
      <c r="M658" s="52">
        <f>(F658*7000)/2880</f>
        <v>0</v>
      </c>
      <c r="N658" s="40"/>
      <c r="O658" s="40"/>
      <c r="P658" s="40"/>
      <c r="Q658" s="14" t="s">
        <v>18</v>
      </c>
      <c r="R658" s="40"/>
      <c r="S658" s="40" t="s">
        <v>19</v>
      </c>
      <c r="T658" s="47"/>
      <c r="U658" s="40">
        <f t="shared" si="162"/>
        <v>0</v>
      </c>
      <c r="V658" s="176"/>
      <c r="W658" s="47"/>
      <c r="X658" s="40"/>
    </row>
    <row r="659" spans="1:24" s="20" customFormat="1" ht="19.5" thickBot="1" x14ac:dyDescent="0.35">
      <c r="A659" s="41"/>
      <c r="B659" s="41" t="s">
        <v>104</v>
      </c>
      <c r="C659" s="42"/>
      <c r="D659" s="43">
        <f t="shared" si="160"/>
        <v>0</v>
      </c>
      <c r="E659" s="45">
        <f t="shared" si="161"/>
        <v>0</v>
      </c>
      <c r="F659" s="50">
        <f t="shared" si="159"/>
        <v>0</v>
      </c>
      <c r="G659" s="42">
        <f t="shared" si="157"/>
        <v>0</v>
      </c>
      <c r="H659" s="45" t="s">
        <v>18</v>
      </c>
      <c r="I659" s="42">
        <f t="shared" si="158"/>
        <v>0</v>
      </c>
      <c r="J659" s="40" t="s">
        <v>19</v>
      </c>
      <c r="K659" s="40"/>
      <c r="L659" s="40"/>
      <c r="M659" s="52">
        <f>(F659*6966)/2880</f>
        <v>0</v>
      </c>
      <c r="N659" s="40"/>
      <c r="O659" s="40"/>
      <c r="P659" s="40"/>
      <c r="Q659" s="14" t="s">
        <v>18</v>
      </c>
      <c r="R659" s="40"/>
      <c r="S659" s="40" t="s">
        <v>19</v>
      </c>
      <c r="T659" s="47"/>
      <c r="U659" s="40">
        <f t="shared" si="162"/>
        <v>0</v>
      </c>
      <c r="V659" s="176"/>
      <c r="W659" s="47"/>
      <c r="X659" s="40"/>
    </row>
    <row r="660" spans="1:24" s="20" customFormat="1" ht="19.5" thickBot="1" x14ac:dyDescent="0.35">
      <c r="A660" s="41"/>
      <c r="B660" s="41" t="s">
        <v>112</v>
      </c>
      <c r="C660" s="42"/>
      <c r="D660" s="43">
        <f t="shared" si="160"/>
        <v>0</v>
      </c>
      <c r="E660" s="45">
        <f t="shared" si="161"/>
        <v>0</v>
      </c>
      <c r="F660" s="50">
        <f t="shared" si="159"/>
        <v>0</v>
      </c>
      <c r="G660" s="42">
        <f t="shared" si="157"/>
        <v>0</v>
      </c>
      <c r="H660" s="45" t="s">
        <v>18</v>
      </c>
      <c r="I660" s="42">
        <f t="shared" si="158"/>
        <v>0</v>
      </c>
      <c r="J660" s="40" t="s">
        <v>19</v>
      </c>
      <c r="K660" s="40"/>
      <c r="L660" s="40"/>
      <c r="M660" s="52">
        <f>(F660*6966)/2880</f>
        <v>0</v>
      </c>
      <c r="N660" s="40"/>
      <c r="O660" s="40"/>
      <c r="P660" s="40"/>
      <c r="Q660" s="14" t="s">
        <v>18</v>
      </c>
      <c r="R660" s="40"/>
      <c r="S660" s="40" t="s">
        <v>19</v>
      </c>
      <c r="T660" s="47"/>
      <c r="U660" s="40">
        <f t="shared" si="162"/>
        <v>0</v>
      </c>
      <c r="V660" s="176"/>
      <c r="W660" s="47"/>
      <c r="X660" s="40"/>
    </row>
    <row r="661" spans="1:24" s="20" customFormat="1" ht="19.5" thickBot="1" x14ac:dyDescent="0.35">
      <c r="A661" s="41"/>
      <c r="B661" s="41" t="s">
        <v>105</v>
      </c>
      <c r="C661" s="42"/>
      <c r="D661" s="43">
        <f t="shared" si="160"/>
        <v>0</v>
      </c>
      <c r="E661" s="40">
        <f t="shared" si="161"/>
        <v>0</v>
      </c>
      <c r="F661" s="50">
        <f t="shared" si="159"/>
        <v>0</v>
      </c>
      <c r="G661" s="42">
        <f t="shared" si="157"/>
        <v>0</v>
      </c>
      <c r="H661" s="45" t="s">
        <v>18</v>
      </c>
      <c r="I661" s="42">
        <f t="shared" si="158"/>
        <v>0</v>
      </c>
      <c r="J661" s="40" t="s">
        <v>19</v>
      </c>
      <c r="K661" s="40"/>
      <c r="L661" s="40"/>
      <c r="M661" s="52">
        <f>(F661*6966)/2880</f>
        <v>0</v>
      </c>
      <c r="N661" s="40"/>
      <c r="O661" s="40"/>
      <c r="P661" s="40"/>
      <c r="Q661" s="14" t="s">
        <v>18</v>
      </c>
      <c r="R661" s="40"/>
      <c r="S661" s="40" t="s">
        <v>19</v>
      </c>
      <c r="T661" s="47"/>
      <c r="U661" s="40">
        <f t="shared" si="162"/>
        <v>0</v>
      </c>
      <c r="V661" s="176"/>
      <c r="W661" s="47"/>
      <c r="X661" s="40"/>
    </row>
    <row r="662" spans="1:24" s="20" customFormat="1" ht="19.5" thickBot="1" x14ac:dyDescent="0.35">
      <c r="A662" s="41"/>
      <c r="B662" s="41" t="s">
        <v>113</v>
      </c>
      <c r="C662" s="42"/>
      <c r="D662" s="43">
        <f t="shared" si="160"/>
        <v>0</v>
      </c>
      <c r="E662" s="40">
        <f t="shared" si="161"/>
        <v>0</v>
      </c>
      <c r="F662" s="50">
        <f t="shared" si="159"/>
        <v>0</v>
      </c>
      <c r="G662" s="42">
        <f t="shared" si="157"/>
        <v>0</v>
      </c>
      <c r="H662" s="45" t="s">
        <v>18</v>
      </c>
      <c r="I662" s="42">
        <f t="shared" si="158"/>
        <v>0</v>
      </c>
      <c r="J662" s="40" t="s">
        <v>19</v>
      </c>
      <c r="K662" s="40"/>
      <c r="L662" s="40"/>
      <c r="M662" s="52">
        <f>(F662*6966)/2880</f>
        <v>0</v>
      </c>
      <c r="N662" s="40"/>
      <c r="O662" s="40"/>
      <c r="P662" s="40"/>
      <c r="Q662" s="14" t="s">
        <v>18</v>
      </c>
      <c r="R662" s="40"/>
      <c r="S662" s="40" t="s">
        <v>19</v>
      </c>
      <c r="T662" s="47"/>
      <c r="U662" s="40">
        <f t="shared" si="162"/>
        <v>0</v>
      </c>
      <c r="V662" s="176"/>
      <c r="W662" s="47"/>
      <c r="X662" s="40"/>
    </row>
    <row r="663" spans="1:24" s="20" customFormat="1" ht="19.5" thickBot="1" x14ac:dyDescent="0.35">
      <c r="A663" s="41"/>
      <c r="B663" s="41" t="s">
        <v>338</v>
      </c>
      <c r="C663" s="42"/>
      <c r="D663" s="43"/>
      <c r="E663" s="45">
        <f>C663*4</f>
        <v>0</v>
      </c>
      <c r="F663" s="50">
        <f>E663*1.03*0.99/147</f>
        <v>0</v>
      </c>
      <c r="G663" s="42">
        <f>INT(M663)</f>
        <v>0</v>
      </c>
      <c r="H663" s="14" t="s">
        <v>18</v>
      </c>
      <c r="I663" s="42">
        <f>(M663-G663)*64</f>
        <v>0</v>
      </c>
      <c r="J663" s="14" t="s">
        <v>19</v>
      </c>
      <c r="K663" s="40"/>
      <c r="L663" s="40"/>
      <c r="M663" s="46">
        <f>F663*4983/2880</f>
        <v>0</v>
      </c>
      <c r="N663" s="40"/>
      <c r="O663" s="40"/>
      <c r="P663" s="40"/>
      <c r="Q663" s="14" t="s">
        <v>18</v>
      </c>
      <c r="R663" s="40"/>
      <c r="S663" s="40" t="s">
        <v>19</v>
      </c>
      <c r="T663" s="47"/>
      <c r="U663" s="40">
        <f>E663/259*60</f>
        <v>0</v>
      </c>
      <c r="V663" s="176"/>
      <c r="W663" s="47"/>
      <c r="X663" s="40"/>
    </row>
    <row r="664" spans="1:24" s="20" customFormat="1" ht="19.5" thickBot="1" x14ac:dyDescent="0.35">
      <c r="A664" s="41"/>
      <c r="B664" s="41" t="s">
        <v>373</v>
      </c>
      <c r="C664" s="42"/>
      <c r="D664" s="43">
        <f>C664*16</f>
        <v>0</v>
      </c>
      <c r="E664" s="40">
        <f>D664*0.34</f>
        <v>0</v>
      </c>
      <c r="F664" s="50">
        <f t="shared" si="159"/>
        <v>0</v>
      </c>
      <c r="G664" s="42">
        <f t="shared" si="157"/>
        <v>0</v>
      </c>
      <c r="H664" s="45" t="s">
        <v>18</v>
      </c>
      <c r="I664" s="42">
        <f t="shared" si="158"/>
        <v>0</v>
      </c>
      <c r="J664" s="40" t="s">
        <v>19</v>
      </c>
      <c r="K664" s="40"/>
      <c r="L664" s="40"/>
      <c r="M664" s="52">
        <f>(F664*5202)/2880</f>
        <v>0</v>
      </c>
      <c r="N664" s="40"/>
      <c r="O664" s="40"/>
      <c r="P664" s="40"/>
      <c r="Q664" s="14" t="s">
        <v>18</v>
      </c>
      <c r="R664" s="40"/>
      <c r="S664" s="40" t="s">
        <v>19</v>
      </c>
      <c r="T664" s="47"/>
      <c r="U664" s="40"/>
      <c r="V664" s="176"/>
      <c r="W664" s="47"/>
      <c r="X664" s="40"/>
    </row>
    <row r="665" spans="1:24" s="20" customFormat="1" ht="19.5" thickBot="1" x14ac:dyDescent="0.35">
      <c r="A665" s="41"/>
      <c r="B665" s="41" t="s">
        <v>372</v>
      </c>
      <c r="C665" s="42"/>
      <c r="D665" s="43">
        <f>C665*16</f>
        <v>0</v>
      </c>
      <c r="E665" s="40">
        <f>D665*0.34</f>
        <v>0</v>
      </c>
      <c r="F665" s="50">
        <f t="shared" si="159"/>
        <v>0</v>
      </c>
      <c r="G665" s="42">
        <f t="shared" si="157"/>
        <v>0</v>
      </c>
      <c r="H665" s="45" t="s">
        <v>18</v>
      </c>
      <c r="I665" s="42">
        <f t="shared" si="158"/>
        <v>0</v>
      </c>
      <c r="J665" s="40" t="s">
        <v>19</v>
      </c>
      <c r="K665" s="40"/>
      <c r="L665" s="40"/>
      <c r="M665" s="52">
        <f>(F665*5202)/2880</f>
        <v>0</v>
      </c>
      <c r="N665" s="40"/>
      <c r="O665" s="40"/>
      <c r="P665" s="40"/>
      <c r="Q665" s="14" t="s">
        <v>18</v>
      </c>
      <c r="R665" s="40"/>
      <c r="S665" s="40" t="s">
        <v>19</v>
      </c>
      <c r="T665" s="47"/>
      <c r="U665" s="40"/>
      <c r="V665" s="176"/>
      <c r="W665" s="47"/>
      <c r="X665" s="40"/>
    </row>
    <row r="666" spans="1:24" s="20" customFormat="1" ht="19.5" thickBot="1" x14ac:dyDescent="0.35">
      <c r="A666" s="41"/>
      <c r="B666" s="41" t="s">
        <v>101</v>
      </c>
      <c r="C666" s="42"/>
      <c r="D666" s="55">
        <f>C666*26</f>
        <v>0</v>
      </c>
      <c r="E666" s="56">
        <f>D666*0.13</f>
        <v>0</v>
      </c>
      <c r="F666" s="50">
        <f t="shared" si="159"/>
        <v>0</v>
      </c>
      <c r="G666" s="42">
        <f t="shared" si="157"/>
        <v>0</v>
      </c>
      <c r="H666" s="45" t="s">
        <v>18</v>
      </c>
      <c r="I666" s="42">
        <f t="shared" si="158"/>
        <v>0</v>
      </c>
      <c r="J666" s="40" t="s">
        <v>19</v>
      </c>
      <c r="K666" s="40"/>
      <c r="L666" s="40"/>
      <c r="M666" s="52">
        <f>(F666*6681)/2880</f>
        <v>0</v>
      </c>
      <c r="N666" s="40"/>
      <c r="O666" s="40"/>
      <c r="P666" s="40"/>
      <c r="Q666" s="45" t="s">
        <v>18</v>
      </c>
      <c r="R666" s="40"/>
      <c r="S666" s="40" t="s">
        <v>19</v>
      </c>
      <c r="T666" s="47"/>
      <c r="U666" s="40">
        <f>E666/237*60</f>
        <v>0</v>
      </c>
      <c r="V666" s="176"/>
      <c r="W666" s="47"/>
      <c r="X666" s="40"/>
    </row>
    <row r="667" spans="1:24" s="20" customFormat="1" ht="19.5" thickBot="1" x14ac:dyDescent="0.35">
      <c r="A667" s="132"/>
      <c r="B667" s="133" t="s">
        <v>292</v>
      </c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</row>
    <row r="668" spans="1:24" s="20" customFormat="1" ht="19.5" thickBot="1" x14ac:dyDescent="0.35">
      <c r="A668" s="41"/>
      <c r="B668" s="41" t="s">
        <v>242</v>
      </c>
      <c r="C668" s="42"/>
      <c r="D668" s="43"/>
      <c r="E668" s="63">
        <f>C668*2.4</f>
        <v>0</v>
      </c>
      <c r="F668" s="50">
        <f t="shared" ref="F668:F673" si="163">E668*1.03*0.99/147</f>
        <v>0</v>
      </c>
      <c r="G668" s="42">
        <f t="shared" ref="G668:G687" si="164">INT(M668)</f>
        <v>0</v>
      </c>
      <c r="H668" s="14" t="s">
        <v>18</v>
      </c>
      <c r="I668" s="42">
        <f t="shared" ref="I668:I687" si="165">(M668-G668)*64</f>
        <v>0</v>
      </c>
      <c r="J668" s="14" t="s">
        <v>19</v>
      </c>
      <c r="K668" s="40"/>
      <c r="L668" s="40"/>
      <c r="M668" s="46">
        <f t="shared" ref="M668:M673" si="166">F668*4983/2880</f>
        <v>0</v>
      </c>
      <c r="N668" s="40"/>
      <c r="O668" s="40"/>
      <c r="P668" s="40"/>
      <c r="Q668" s="14" t="s">
        <v>18</v>
      </c>
      <c r="R668" s="40"/>
      <c r="S668" s="40" t="s">
        <v>19</v>
      </c>
      <c r="T668" s="47"/>
      <c r="U668" s="40">
        <f>E668/420*60</f>
        <v>0</v>
      </c>
      <c r="V668" s="176"/>
      <c r="W668" s="47"/>
      <c r="X668" s="40"/>
    </row>
    <row r="669" spans="1:24" s="20" customFormat="1" ht="19.5" thickBot="1" x14ac:dyDescent="0.35">
      <c r="A669" s="41"/>
      <c r="B669" s="41" t="s">
        <v>243</v>
      </c>
      <c r="C669" s="42"/>
      <c r="D669" s="43"/>
      <c r="E669" s="63">
        <f>C669*2.4</f>
        <v>0</v>
      </c>
      <c r="F669" s="50">
        <f t="shared" si="163"/>
        <v>0</v>
      </c>
      <c r="G669" s="42">
        <f t="shared" si="164"/>
        <v>0</v>
      </c>
      <c r="H669" s="14" t="s">
        <v>18</v>
      </c>
      <c r="I669" s="42">
        <f t="shared" si="165"/>
        <v>0</v>
      </c>
      <c r="J669" s="14" t="s">
        <v>19</v>
      </c>
      <c r="K669" s="40"/>
      <c r="L669" s="40"/>
      <c r="M669" s="46">
        <f t="shared" si="166"/>
        <v>0</v>
      </c>
      <c r="N669" s="40"/>
      <c r="O669" s="40"/>
      <c r="P669" s="40"/>
      <c r="Q669" s="14" t="s">
        <v>18</v>
      </c>
      <c r="R669" s="40"/>
      <c r="S669" s="40" t="s">
        <v>19</v>
      </c>
      <c r="T669" s="47"/>
      <c r="U669" s="40">
        <f>E669/420*60</f>
        <v>0</v>
      </c>
      <c r="V669" s="176"/>
      <c r="W669" s="47"/>
      <c r="X669" s="40"/>
    </row>
    <row r="670" spans="1:24" s="54" customFormat="1" ht="19.5" thickBot="1" x14ac:dyDescent="0.35">
      <c r="A670" s="41"/>
      <c r="B670" s="41" t="s">
        <v>118</v>
      </c>
      <c r="C670" s="42"/>
      <c r="D670" s="43"/>
      <c r="E670" s="45">
        <f>C670*3.2</f>
        <v>0</v>
      </c>
      <c r="F670" s="50">
        <f t="shared" si="163"/>
        <v>0</v>
      </c>
      <c r="G670" s="42">
        <f t="shared" si="164"/>
        <v>0</v>
      </c>
      <c r="H670" s="14" t="s">
        <v>18</v>
      </c>
      <c r="I670" s="42">
        <f t="shared" si="165"/>
        <v>0</v>
      </c>
      <c r="J670" s="14" t="s">
        <v>19</v>
      </c>
      <c r="K670" s="40"/>
      <c r="L670" s="40"/>
      <c r="M670" s="46">
        <f t="shared" si="166"/>
        <v>0</v>
      </c>
      <c r="N670" s="40"/>
      <c r="O670" s="40"/>
      <c r="P670" s="40"/>
      <c r="Q670" s="14" t="s">
        <v>18</v>
      </c>
      <c r="R670" s="40"/>
      <c r="S670" s="40" t="s">
        <v>19</v>
      </c>
      <c r="T670" s="47"/>
      <c r="U670" s="40">
        <f>E670/259*60</f>
        <v>0</v>
      </c>
      <c r="V670" s="176"/>
      <c r="W670" s="47"/>
      <c r="X670" s="40"/>
    </row>
    <row r="671" spans="1:24" s="54" customFormat="1" ht="19.5" thickBot="1" x14ac:dyDescent="0.35">
      <c r="A671" s="41"/>
      <c r="B671" s="41" t="s">
        <v>236</v>
      </c>
      <c r="C671" s="42"/>
      <c r="D671" s="43"/>
      <c r="E671" s="45">
        <f>C671*3.2</f>
        <v>0</v>
      </c>
      <c r="F671" s="50">
        <f t="shared" si="163"/>
        <v>0</v>
      </c>
      <c r="G671" s="42">
        <f t="shared" si="164"/>
        <v>0</v>
      </c>
      <c r="H671" s="14" t="s">
        <v>18</v>
      </c>
      <c r="I671" s="42">
        <f t="shared" si="165"/>
        <v>0</v>
      </c>
      <c r="J671" s="14" t="s">
        <v>19</v>
      </c>
      <c r="K671" s="40"/>
      <c r="L671" s="40"/>
      <c r="M671" s="46">
        <f t="shared" si="166"/>
        <v>0</v>
      </c>
      <c r="N671" s="40"/>
      <c r="O671" s="40"/>
      <c r="P671" s="40"/>
      <c r="Q671" s="14" t="s">
        <v>18</v>
      </c>
      <c r="R671" s="40"/>
      <c r="S671" s="40" t="s">
        <v>19</v>
      </c>
      <c r="T671" s="47"/>
      <c r="U671" s="40">
        <f>E671/259*60</f>
        <v>0</v>
      </c>
      <c r="V671" s="176"/>
      <c r="W671" s="47"/>
      <c r="X671" s="40"/>
    </row>
    <row r="672" spans="1:24" s="20" customFormat="1" ht="19.5" thickBot="1" x14ac:dyDescent="0.35">
      <c r="A672" s="41"/>
      <c r="B672" s="41" t="s">
        <v>241</v>
      </c>
      <c r="C672" s="42"/>
      <c r="D672" s="43"/>
      <c r="E672" s="45">
        <f>C672*4</f>
        <v>0</v>
      </c>
      <c r="F672" s="50">
        <f t="shared" si="163"/>
        <v>0</v>
      </c>
      <c r="G672" s="42">
        <f t="shared" si="164"/>
        <v>0</v>
      </c>
      <c r="H672" s="14" t="s">
        <v>18</v>
      </c>
      <c r="I672" s="42">
        <f t="shared" si="165"/>
        <v>0</v>
      </c>
      <c r="J672" s="14" t="s">
        <v>19</v>
      </c>
      <c r="K672" s="40"/>
      <c r="L672" s="40"/>
      <c r="M672" s="46">
        <f t="shared" si="166"/>
        <v>0</v>
      </c>
      <c r="N672" s="40"/>
      <c r="O672" s="40"/>
      <c r="P672" s="40"/>
      <c r="Q672" s="14" t="s">
        <v>18</v>
      </c>
      <c r="R672" s="40"/>
      <c r="S672" s="40" t="s">
        <v>19</v>
      </c>
      <c r="T672" s="47"/>
      <c r="U672" s="40">
        <f>E672/259*60</f>
        <v>0</v>
      </c>
      <c r="V672" s="176"/>
      <c r="W672" s="47"/>
      <c r="X672" s="40"/>
    </row>
    <row r="673" spans="1:24" s="20" customFormat="1" ht="19.5" thickBot="1" x14ac:dyDescent="0.35">
      <c r="A673" s="41"/>
      <c r="B673" s="41" t="s">
        <v>240</v>
      </c>
      <c r="C673" s="42"/>
      <c r="D673" s="43"/>
      <c r="E673" s="45">
        <f>C673*4</f>
        <v>0</v>
      </c>
      <c r="F673" s="50">
        <f t="shared" si="163"/>
        <v>0</v>
      </c>
      <c r="G673" s="42">
        <f t="shared" si="164"/>
        <v>0</v>
      </c>
      <c r="H673" s="14" t="s">
        <v>18</v>
      </c>
      <c r="I673" s="42">
        <f t="shared" si="165"/>
        <v>0</v>
      </c>
      <c r="J673" s="14" t="s">
        <v>19</v>
      </c>
      <c r="K673" s="40"/>
      <c r="L673" s="40"/>
      <c r="M673" s="46">
        <f t="shared" si="166"/>
        <v>0</v>
      </c>
      <c r="N673" s="40"/>
      <c r="O673" s="40"/>
      <c r="P673" s="40"/>
      <c r="Q673" s="14" t="s">
        <v>18</v>
      </c>
      <c r="R673" s="40"/>
      <c r="S673" s="40" t="s">
        <v>19</v>
      </c>
      <c r="T673" s="47"/>
      <c r="U673" s="40">
        <f>E673/259*60</f>
        <v>0</v>
      </c>
      <c r="V673" s="176"/>
      <c r="W673" s="47"/>
      <c r="X673" s="40"/>
    </row>
    <row r="674" spans="1:24" s="120" customFormat="1" ht="38.25" thickBot="1" x14ac:dyDescent="0.35">
      <c r="A674" s="146"/>
      <c r="B674" s="146" t="s">
        <v>335</v>
      </c>
      <c r="C674" s="147"/>
      <c r="D674" s="148"/>
      <c r="E674" s="151">
        <f>C674*4</f>
        <v>0</v>
      </c>
      <c r="F674" s="156">
        <f>E674*1.2*1/147</f>
        <v>0</v>
      </c>
      <c r="G674" s="147">
        <f t="shared" si="164"/>
        <v>0</v>
      </c>
      <c r="H674" s="151" t="s">
        <v>18</v>
      </c>
      <c r="I674" s="147">
        <f t="shared" si="165"/>
        <v>0</v>
      </c>
      <c r="J674" s="149" t="s">
        <v>19</v>
      </c>
      <c r="K674" s="149"/>
      <c r="L674" s="149"/>
      <c r="M674" s="152">
        <f>F674*5719/2880</f>
        <v>0</v>
      </c>
      <c r="N674" s="149"/>
      <c r="O674" s="149"/>
      <c r="P674" s="149"/>
      <c r="Q674" s="145" t="s">
        <v>18</v>
      </c>
      <c r="R674" s="149"/>
      <c r="S674" s="149" t="s">
        <v>19</v>
      </c>
      <c r="T674" s="153"/>
      <c r="U674" s="149">
        <f>E674/237*60</f>
        <v>0</v>
      </c>
      <c r="V674" s="176"/>
      <c r="W674" s="153"/>
      <c r="X674" s="149"/>
    </row>
    <row r="675" spans="1:24" s="120" customFormat="1" ht="38.25" thickBot="1" x14ac:dyDescent="0.35">
      <c r="A675" s="146"/>
      <c r="B675" s="146" t="s">
        <v>336</v>
      </c>
      <c r="C675" s="147"/>
      <c r="D675" s="148">
        <f>C675*150</f>
        <v>0</v>
      </c>
      <c r="E675" s="149">
        <f>D675*0.02</f>
        <v>0</v>
      </c>
      <c r="F675" s="156">
        <f>E675*1.2*1/147</f>
        <v>0</v>
      </c>
      <c r="G675" s="147">
        <f t="shared" si="164"/>
        <v>0</v>
      </c>
      <c r="H675" s="151" t="s">
        <v>18</v>
      </c>
      <c r="I675" s="147">
        <f t="shared" si="165"/>
        <v>0</v>
      </c>
      <c r="J675" s="149" t="s">
        <v>19</v>
      </c>
      <c r="K675" s="149"/>
      <c r="L675" s="149"/>
      <c r="M675" s="152">
        <f>F675*5719/2880</f>
        <v>0</v>
      </c>
      <c r="N675" s="149"/>
      <c r="O675" s="149"/>
      <c r="P675" s="149"/>
      <c r="Q675" s="145" t="s">
        <v>18</v>
      </c>
      <c r="R675" s="149"/>
      <c r="S675" s="149" t="s">
        <v>19</v>
      </c>
      <c r="T675" s="153"/>
      <c r="U675" s="149">
        <f>E675/237*60</f>
        <v>0</v>
      </c>
      <c r="V675" s="176"/>
      <c r="W675" s="153"/>
      <c r="X675" s="149"/>
    </row>
    <row r="676" spans="1:24" s="120" customFormat="1" ht="19.5" thickBot="1" x14ac:dyDescent="0.35">
      <c r="A676" s="146"/>
      <c r="B676" s="146" t="s">
        <v>344</v>
      </c>
      <c r="C676" s="147"/>
      <c r="D676" s="148"/>
      <c r="E676" s="151">
        <f>C676*4</f>
        <v>0</v>
      </c>
      <c r="F676" s="156">
        <f>E676*1.2*0.9/147</f>
        <v>0</v>
      </c>
      <c r="G676" s="147">
        <f t="shared" si="164"/>
        <v>0</v>
      </c>
      <c r="H676" s="151" t="s">
        <v>18</v>
      </c>
      <c r="I676" s="147">
        <f t="shared" si="165"/>
        <v>0</v>
      </c>
      <c r="J676" s="149" t="s">
        <v>19</v>
      </c>
      <c r="K676" s="149"/>
      <c r="L676" s="149"/>
      <c r="M676" s="152">
        <f>(F676*6049/3456)</f>
        <v>0</v>
      </c>
      <c r="N676" s="149"/>
      <c r="O676" s="149"/>
      <c r="P676" s="149"/>
      <c r="Q676" s="145" t="s">
        <v>18</v>
      </c>
      <c r="R676" s="149"/>
      <c r="S676" s="149" t="s">
        <v>19</v>
      </c>
      <c r="T676" s="153"/>
      <c r="U676" s="149">
        <f>E676/324*60</f>
        <v>0</v>
      </c>
      <c r="V676" s="176"/>
      <c r="W676" s="153"/>
      <c r="X676" s="149"/>
    </row>
    <row r="677" spans="1:24" s="120" customFormat="1" ht="38.25" thickBot="1" x14ac:dyDescent="0.35">
      <c r="A677" s="146"/>
      <c r="B677" s="146" t="s">
        <v>340</v>
      </c>
      <c r="C677" s="147"/>
      <c r="D677" s="148"/>
      <c r="E677" s="151">
        <f>C677*4</f>
        <v>0</v>
      </c>
      <c r="F677" s="156">
        <f>E677*1.2*0.9/147</f>
        <v>0</v>
      </c>
      <c r="G677" s="147">
        <f t="shared" si="164"/>
        <v>0</v>
      </c>
      <c r="H677" s="151" t="s">
        <v>18</v>
      </c>
      <c r="I677" s="147">
        <f t="shared" si="165"/>
        <v>0</v>
      </c>
      <c r="J677" s="149" t="s">
        <v>19</v>
      </c>
      <c r="K677" s="149"/>
      <c r="L677" s="149"/>
      <c r="M677" s="152">
        <f>(F677*6049/3456)</f>
        <v>0</v>
      </c>
      <c r="N677" s="149"/>
      <c r="O677" s="149"/>
      <c r="P677" s="149"/>
      <c r="Q677" s="145" t="s">
        <v>18</v>
      </c>
      <c r="R677" s="149"/>
      <c r="S677" s="149" t="s">
        <v>19</v>
      </c>
      <c r="T677" s="153"/>
      <c r="U677" s="149">
        <f>E677/324*60</f>
        <v>0</v>
      </c>
      <c r="V677" s="176"/>
      <c r="W677" s="153"/>
      <c r="X677" s="149"/>
    </row>
    <row r="678" spans="1:24" s="120" customFormat="1" ht="19.5" thickBot="1" x14ac:dyDescent="0.35">
      <c r="A678" s="146"/>
      <c r="B678" s="146" t="s">
        <v>345</v>
      </c>
      <c r="C678" s="147"/>
      <c r="D678" s="148">
        <f>C678*150</f>
        <v>0</v>
      </c>
      <c r="E678" s="149">
        <f>D678*0.02</f>
        <v>0</v>
      </c>
      <c r="F678" s="156">
        <f>E678*1.2*0.9/147</f>
        <v>0</v>
      </c>
      <c r="G678" s="147">
        <f t="shared" si="164"/>
        <v>0</v>
      </c>
      <c r="H678" s="151" t="s">
        <v>18</v>
      </c>
      <c r="I678" s="147">
        <f t="shared" si="165"/>
        <v>0</v>
      </c>
      <c r="J678" s="149" t="s">
        <v>19</v>
      </c>
      <c r="K678" s="149"/>
      <c r="L678" s="149"/>
      <c r="M678" s="152">
        <f>(F678*6049/3456)</f>
        <v>0</v>
      </c>
      <c r="N678" s="149"/>
      <c r="O678" s="149"/>
      <c r="P678" s="149"/>
      <c r="Q678" s="145" t="s">
        <v>18</v>
      </c>
      <c r="R678" s="149"/>
      <c r="S678" s="149" t="s">
        <v>19</v>
      </c>
      <c r="T678" s="153"/>
      <c r="U678" s="149">
        <f>E678/324*60</f>
        <v>0</v>
      </c>
      <c r="V678" s="176"/>
      <c r="W678" s="153"/>
      <c r="X678" s="149"/>
    </row>
    <row r="679" spans="1:24" s="20" customFormat="1" ht="19.5" thickBot="1" x14ac:dyDescent="0.35">
      <c r="A679" s="41"/>
      <c r="B679" s="41" t="s">
        <v>100</v>
      </c>
      <c r="C679" s="42"/>
      <c r="D679" s="43"/>
      <c r="E679" s="45">
        <f>C679*4</f>
        <v>0</v>
      </c>
      <c r="F679" s="50">
        <f>E679*1.2*1/147</f>
        <v>0</v>
      </c>
      <c r="G679" s="42">
        <f t="shared" si="164"/>
        <v>0</v>
      </c>
      <c r="H679" s="45" t="s">
        <v>18</v>
      </c>
      <c r="I679" s="42">
        <f t="shared" si="165"/>
        <v>0</v>
      </c>
      <c r="J679" s="40" t="s">
        <v>19</v>
      </c>
      <c r="K679" s="40"/>
      <c r="L679" s="40"/>
      <c r="M679" s="46">
        <f>F679*5719/2880</f>
        <v>0</v>
      </c>
      <c r="N679" s="40"/>
      <c r="O679" s="40"/>
      <c r="P679" s="40"/>
      <c r="Q679" s="14" t="s">
        <v>18</v>
      </c>
      <c r="R679" s="40"/>
      <c r="S679" s="40" t="s">
        <v>19</v>
      </c>
      <c r="T679" s="47"/>
      <c r="U679" s="40">
        <f>E679/237*60</f>
        <v>0</v>
      </c>
      <c r="V679" s="176"/>
      <c r="W679" s="47"/>
      <c r="X679" s="40"/>
    </row>
    <row r="680" spans="1:24" s="20" customFormat="1" ht="19.5" thickBot="1" x14ac:dyDescent="0.35">
      <c r="A680" s="41"/>
      <c r="B680" s="41" t="s">
        <v>343</v>
      </c>
      <c r="C680" s="42"/>
      <c r="D680" s="43"/>
      <c r="E680" s="63">
        <f>C680*2.4</f>
        <v>0</v>
      </c>
      <c r="F680" s="50">
        <f>E680*1.03*0.99/147</f>
        <v>0</v>
      </c>
      <c r="G680" s="42">
        <f t="shared" si="164"/>
        <v>0</v>
      </c>
      <c r="H680" s="14" t="s">
        <v>18</v>
      </c>
      <c r="I680" s="42">
        <f t="shared" si="165"/>
        <v>0</v>
      </c>
      <c r="J680" s="14" t="s">
        <v>19</v>
      </c>
      <c r="K680" s="40"/>
      <c r="L680" s="40"/>
      <c r="M680" s="46">
        <f>F680*4983/2880</f>
        <v>0</v>
      </c>
      <c r="N680" s="40"/>
      <c r="O680" s="40"/>
      <c r="P680" s="40"/>
      <c r="Q680" s="14" t="s">
        <v>18</v>
      </c>
      <c r="R680" s="40"/>
      <c r="S680" s="40" t="s">
        <v>19</v>
      </c>
      <c r="T680" s="47"/>
      <c r="U680" s="40">
        <f>E680/420*60</f>
        <v>0</v>
      </c>
      <c r="V680" s="176"/>
      <c r="W680" s="47"/>
      <c r="X680" s="40"/>
    </row>
    <row r="681" spans="1:24" s="54" customFormat="1" ht="38.25" thickBot="1" x14ac:dyDescent="0.35">
      <c r="A681" s="41"/>
      <c r="B681" s="41" t="s">
        <v>341</v>
      </c>
      <c r="C681" s="42"/>
      <c r="D681" s="43"/>
      <c r="E681" s="45">
        <f>C681*3.2</f>
        <v>0</v>
      </c>
      <c r="F681" s="50">
        <f>E681*1.03*0.99/147</f>
        <v>0</v>
      </c>
      <c r="G681" s="42">
        <f t="shared" si="164"/>
        <v>0</v>
      </c>
      <c r="H681" s="14" t="s">
        <v>18</v>
      </c>
      <c r="I681" s="42">
        <f t="shared" si="165"/>
        <v>0</v>
      </c>
      <c r="J681" s="14" t="s">
        <v>19</v>
      </c>
      <c r="K681" s="40"/>
      <c r="L681" s="40"/>
      <c r="M681" s="46">
        <f>F681*4983/2880</f>
        <v>0</v>
      </c>
      <c r="N681" s="40"/>
      <c r="O681" s="40"/>
      <c r="P681" s="40"/>
      <c r="Q681" s="14" t="s">
        <v>18</v>
      </c>
      <c r="R681" s="40"/>
      <c r="S681" s="40" t="s">
        <v>19</v>
      </c>
      <c r="T681" s="47"/>
      <c r="U681" s="40">
        <f>E681/259*60</f>
        <v>0</v>
      </c>
      <c r="V681" s="176"/>
      <c r="W681" s="47"/>
      <c r="X681" s="40"/>
    </row>
    <row r="682" spans="1:24" s="54" customFormat="1" ht="38.25" thickBot="1" x14ac:dyDescent="0.35">
      <c r="A682" s="41"/>
      <c r="B682" s="41" t="s">
        <v>342</v>
      </c>
      <c r="C682" s="42"/>
      <c r="D682" s="43"/>
      <c r="E682" s="45">
        <f>C682*3.2</f>
        <v>0</v>
      </c>
      <c r="F682" s="50">
        <f>E682*1.03*0.99/147</f>
        <v>0</v>
      </c>
      <c r="G682" s="42">
        <f t="shared" si="164"/>
        <v>0</v>
      </c>
      <c r="H682" s="14" t="s">
        <v>18</v>
      </c>
      <c r="I682" s="42">
        <f t="shared" si="165"/>
        <v>0</v>
      </c>
      <c r="J682" s="14" t="s">
        <v>19</v>
      </c>
      <c r="K682" s="40"/>
      <c r="L682" s="40"/>
      <c r="M682" s="46">
        <f>F682*4983/2880</f>
        <v>0</v>
      </c>
      <c r="N682" s="40"/>
      <c r="O682" s="40"/>
      <c r="P682" s="40"/>
      <c r="Q682" s="14" t="s">
        <v>18</v>
      </c>
      <c r="R682" s="40"/>
      <c r="S682" s="40" t="s">
        <v>19</v>
      </c>
      <c r="T682" s="47"/>
      <c r="U682" s="40">
        <f>E682/259*60</f>
        <v>0</v>
      </c>
      <c r="V682" s="176"/>
      <c r="W682" s="47"/>
      <c r="X682" s="40"/>
    </row>
    <row r="683" spans="1:24" s="20" customFormat="1" ht="19.5" thickBot="1" x14ac:dyDescent="0.35">
      <c r="A683" s="41"/>
      <c r="B683" s="41" t="s">
        <v>337</v>
      </c>
      <c r="C683" s="42"/>
      <c r="D683" s="43"/>
      <c r="E683" s="45">
        <f>C683*4</f>
        <v>0</v>
      </c>
      <c r="F683" s="50">
        <f>E683*1.03*0.99/147</f>
        <v>0</v>
      </c>
      <c r="G683" s="42">
        <f t="shared" si="164"/>
        <v>0</v>
      </c>
      <c r="H683" s="14" t="s">
        <v>18</v>
      </c>
      <c r="I683" s="42">
        <f t="shared" si="165"/>
        <v>0</v>
      </c>
      <c r="J683" s="14" t="s">
        <v>19</v>
      </c>
      <c r="K683" s="40"/>
      <c r="L683" s="40"/>
      <c r="M683" s="46">
        <f>F683*4983/2880</f>
        <v>0</v>
      </c>
      <c r="N683" s="40"/>
      <c r="O683" s="40"/>
      <c r="P683" s="40"/>
      <c r="Q683" s="14" t="s">
        <v>18</v>
      </c>
      <c r="R683" s="40"/>
      <c r="S683" s="40" t="s">
        <v>19</v>
      </c>
      <c r="T683" s="47"/>
      <c r="U683" s="40">
        <f>E683/259*60</f>
        <v>0</v>
      </c>
      <c r="V683" s="176"/>
      <c r="W683" s="47"/>
      <c r="X683" s="40"/>
    </row>
    <row r="684" spans="1:24" s="20" customFormat="1" ht="19.5" thickBot="1" x14ac:dyDescent="0.35">
      <c r="A684" s="41"/>
      <c r="B684" s="41" t="s">
        <v>338</v>
      </c>
      <c r="C684" s="42"/>
      <c r="D684" s="43"/>
      <c r="E684" s="45">
        <f>C684*4</f>
        <v>0</v>
      </c>
      <c r="F684" s="50">
        <f>E684*1.03*0.99/147</f>
        <v>0</v>
      </c>
      <c r="G684" s="42">
        <f>INT(M684)</f>
        <v>0</v>
      </c>
      <c r="H684" s="14" t="s">
        <v>18</v>
      </c>
      <c r="I684" s="42">
        <f>(M684-G684)*64</f>
        <v>0</v>
      </c>
      <c r="J684" s="14" t="s">
        <v>19</v>
      </c>
      <c r="K684" s="40"/>
      <c r="L684" s="40"/>
      <c r="M684" s="46">
        <f>F684*4983/2880</f>
        <v>0</v>
      </c>
      <c r="N684" s="40"/>
      <c r="O684" s="40"/>
      <c r="P684" s="40"/>
      <c r="Q684" s="14" t="s">
        <v>18</v>
      </c>
      <c r="R684" s="40"/>
      <c r="S684" s="40" t="s">
        <v>19</v>
      </c>
      <c r="T684" s="47"/>
      <c r="U684" s="40">
        <f>E684/259*60</f>
        <v>0</v>
      </c>
      <c r="V684" s="176"/>
      <c r="W684" s="47"/>
      <c r="X684" s="40"/>
    </row>
    <row r="685" spans="1:24" s="20" customFormat="1" ht="38.25" thickBot="1" x14ac:dyDescent="0.35">
      <c r="A685" s="41"/>
      <c r="B685" s="41" t="s">
        <v>339</v>
      </c>
      <c r="C685" s="42"/>
      <c r="D685" s="43"/>
      <c r="E685" s="45">
        <f>C685*4</f>
        <v>0</v>
      </c>
      <c r="F685" s="50">
        <f>E685*1.2*0.9/147</f>
        <v>0</v>
      </c>
      <c r="G685" s="42">
        <f t="shared" si="164"/>
        <v>0</v>
      </c>
      <c r="H685" s="45" t="s">
        <v>18</v>
      </c>
      <c r="I685" s="42">
        <f t="shared" si="165"/>
        <v>0</v>
      </c>
      <c r="J685" s="40" t="s">
        <v>19</v>
      </c>
      <c r="K685" s="40"/>
      <c r="L685" s="40"/>
      <c r="M685" s="46">
        <f>(F685*6049/3456)</f>
        <v>0</v>
      </c>
      <c r="N685" s="40"/>
      <c r="O685" s="40"/>
      <c r="P685" s="40"/>
      <c r="Q685" s="14" t="s">
        <v>18</v>
      </c>
      <c r="R685" s="40"/>
      <c r="S685" s="40" t="s">
        <v>19</v>
      </c>
      <c r="T685" s="47"/>
      <c r="U685" s="40">
        <f>E685/324*60</f>
        <v>0</v>
      </c>
      <c r="V685" s="176"/>
      <c r="W685" s="47"/>
      <c r="X685" s="40"/>
    </row>
    <row r="686" spans="1:24" s="20" customFormat="1" ht="19.5" thickBot="1" x14ac:dyDescent="0.35">
      <c r="A686" s="41"/>
      <c r="B686" s="41" t="s">
        <v>90</v>
      </c>
      <c r="C686" s="42"/>
      <c r="D686" s="43"/>
      <c r="E686" s="45">
        <f>C686*3</f>
        <v>0</v>
      </c>
      <c r="F686" s="50">
        <f>E686*1.2*0.9/147</f>
        <v>0</v>
      </c>
      <c r="G686" s="42">
        <f t="shared" si="164"/>
        <v>0</v>
      </c>
      <c r="H686" s="45" t="s">
        <v>18</v>
      </c>
      <c r="I686" s="42">
        <f t="shared" si="165"/>
        <v>0</v>
      </c>
      <c r="J686" s="40" t="s">
        <v>19</v>
      </c>
      <c r="K686" s="40"/>
      <c r="L686" s="40"/>
      <c r="M686" s="46">
        <f>(F686*6049/3456)</f>
        <v>0</v>
      </c>
      <c r="N686" s="40"/>
      <c r="O686" s="40"/>
      <c r="P686" s="40"/>
      <c r="Q686" s="14" t="s">
        <v>18</v>
      </c>
      <c r="R686" s="40"/>
      <c r="S686" s="40" t="s">
        <v>19</v>
      </c>
      <c r="T686" s="47"/>
      <c r="U686" s="40">
        <f>E686/324*60</f>
        <v>0</v>
      </c>
      <c r="V686" s="176"/>
      <c r="W686" s="47"/>
      <c r="X686" s="40"/>
    </row>
    <row r="687" spans="1:24" s="20" customFormat="1" ht="19.5" thickBot="1" x14ac:dyDescent="0.35">
      <c r="A687" s="41"/>
      <c r="B687" s="41" t="s">
        <v>108</v>
      </c>
      <c r="C687" s="42"/>
      <c r="D687" s="43"/>
      <c r="E687" s="45">
        <f>C687*3</f>
        <v>0</v>
      </c>
      <c r="F687" s="50">
        <f>E687*1.2*1/147</f>
        <v>0</v>
      </c>
      <c r="G687" s="42">
        <f t="shared" si="164"/>
        <v>0</v>
      </c>
      <c r="H687" s="45" t="s">
        <v>18</v>
      </c>
      <c r="I687" s="42">
        <f t="shared" si="165"/>
        <v>0</v>
      </c>
      <c r="J687" s="40" t="s">
        <v>19</v>
      </c>
      <c r="K687" s="40"/>
      <c r="L687" s="40"/>
      <c r="M687" s="46">
        <f>F687*5719/2880</f>
        <v>0</v>
      </c>
      <c r="N687" s="40"/>
      <c r="O687" s="40"/>
      <c r="P687" s="40"/>
      <c r="Q687" s="14" t="s">
        <v>18</v>
      </c>
      <c r="R687" s="40"/>
      <c r="S687" s="40" t="s">
        <v>19</v>
      </c>
      <c r="T687" s="47"/>
      <c r="U687" s="40">
        <f>E687/237*60</f>
        <v>0</v>
      </c>
      <c r="V687" s="176"/>
      <c r="W687" s="47"/>
      <c r="X687" s="40"/>
    </row>
    <row r="688" spans="1:24" s="20" customFormat="1" ht="19.5" thickBot="1" x14ac:dyDescent="0.35">
      <c r="A688" s="52"/>
      <c r="B688" s="57" t="s">
        <v>119</v>
      </c>
      <c r="C688" s="42"/>
      <c r="D688" s="58"/>
      <c r="E688" s="65"/>
      <c r="F688" s="50"/>
      <c r="G688" s="48"/>
      <c r="H688" s="59"/>
      <c r="I688" s="48"/>
      <c r="J688" s="46"/>
      <c r="K688" s="52"/>
      <c r="L688" s="52"/>
      <c r="M688" s="52"/>
      <c r="N688" s="52"/>
      <c r="O688" s="52"/>
      <c r="P688" s="52"/>
      <c r="Q688" s="52"/>
      <c r="R688" s="52"/>
      <c r="S688" s="52"/>
      <c r="T688" s="60"/>
      <c r="U688" s="52"/>
      <c r="V688" s="3"/>
      <c r="W688" s="60"/>
      <c r="X688" s="52"/>
    </row>
    <row r="689" spans="1:24" s="20" customFormat="1" ht="19.5" thickBot="1" x14ac:dyDescent="0.35">
      <c r="A689" s="52"/>
      <c r="B689" s="57" t="s">
        <v>128</v>
      </c>
      <c r="C689" s="62"/>
      <c r="D689" s="61"/>
      <c r="E689" s="52">
        <f>SUM(E636:E688)</f>
        <v>0</v>
      </c>
      <c r="F689" s="52">
        <f>SUM(F636:F688)</f>
        <v>0</v>
      </c>
      <c r="G689" s="48"/>
      <c r="H689" s="59"/>
      <c r="I689" s="62"/>
      <c r="J689" s="46"/>
      <c r="K689" s="52"/>
      <c r="L689" s="52"/>
      <c r="M689" s="52"/>
      <c r="N689" s="52"/>
      <c r="O689" s="52"/>
      <c r="P689" s="52"/>
      <c r="Q689" s="52"/>
      <c r="R689" s="52"/>
      <c r="S689" s="52"/>
      <c r="T689" s="60"/>
      <c r="U689" s="52"/>
      <c r="V689" s="52"/>
      <c r="W689" s="60"/>
      <c r="X689" s="52"/>
    </row>
    <row r="690" spans="1:24" s="20" customFormat="1" ht="19.5" thickBot="1" x14ac:dyDescent="0.35">
      <c r="A690" s="52"/>
      <c r="B690" s="57" t="s">
        <v>129</v>
      </c>
      <c r="C690" s="62"/>
      <c r="D690" s="61"/>
      <c r="E690" s="52" t="e">
        <f>#REF!+#REF!+#REF!</f>
        <v>#REF!</v>
      </c>
      <c r="F690" s="52" t="e">
        <f>#REF!+#REF!+#REF!</f>
        <v>#REF!</v>
      </c>
      <c r="G690" s="48"/>
      <c r="H690" s="59"/>
      <c r="I690" s="62"/>
      <c r="J690" s="46"/>
      <c r="K690" s="52"/>
      <c r="L690" s="52"/>
      <c r="M690" s="52"/>
      <c r="N690" s="52"/>
      <c r="O690" s="52"/>
      <c r="P690" s="52"/>
      <c r="Q690" s="52"/>
      <c r="R690" s="52"/>
      <c r="S690" s="52"/>
      <c r="T690" s="60"/>
      <c r="U690" s="52"/>
      <c r="V690" s="52"/>
      <c r="W690" s="60"/>
      <c r="X690" s="52"/>
    </row>
    <row r="691" spans="1:24" s="20" customFormat="1" ht="19.5" thickBot="1" x14ac:dyDescent="0.35">
      <c r="A691" s="52"/>
      <c r="B691" s="57" t="s">
        <v>130</v>
      </c>
      <c r="C691" s="62"/>
      <c r="D691" s="61"/>
      <c r="E691" s="52" t="e">
        <f>E689+#REF!+#REF!+#REF!</f>
        <v>#REF!</v>
      </c>
      <c r="F691" s="52" t="e">
        <f>F689+#REF!+#REF!+#REF!</f>
        <v>#REF!</v>
      </c>
      <c r="G691" s="62"/>
      <c r="H691" s="52"/>
      <c r="I691" s="6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60"/>
      <c r="U691" s="52"/>
      <c r="V691" s="52"/>
      <c r="W691" s="60"/>
      <c r="X691" s="52"/>
    </row>
    <row r="692" spans="1:24" s="20" customFormat="1" ht="19.5" thickBot="1" x14ac:dyDescent="0.35">
      <c r="A692" s="52"/>
      <c r="B692" s="135" t="s">
        <v>131</v>
      </c>
      <c r="C692" s="62"/>
      <c r="D692" s="61"/>
      <c r="E692" s="66" t="e">
        <f>E691+E690</f>
        <v>#REF!</v>
      </c>
      <c r="F692" s="52"/>
      <c r="G692" s="62"/>
      <c r="H692" s="52"/>
      <c r="I692" s="6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60"/>
      <c r="U692" s="52"/>
      <c r="V692" s="52"/>
      <c r="W692" s="60"/>
      <c r="X692" s="52"/>
    </row>
    <row r="693" spans="1:24" s="20" customFormat="1" ht="19.5" thickBot="1" x14ac:dyDescent="0.35">
      <c r="A693" s="943"/>
      <c r="B693" s="931"/>
      <c r="C693" s="931"/>
      <c r="D693" s="931"/>
      <c r="E693" s="931"/>
      <c r="F693" s="931"/>
      <c r="G693" s="931"/>
      <c r="H693" s="931"/>
      <c r="I693" s="931"/>
      <c r="J693" s="931"/>
      <c r="K693" s="931"/>
      <c r="L693" s="931"/>
      <c r="M693" s="931"/>
      <c r="N693" s="931"/>
      <c r="O693" s="931"/>
      <c r="P693" s="931"/>
      <c r="Q693" s="931"/>
      <c r="R693" s="931"/>
      <c r="S693" s="931"/>
      <c r="T693" s="931"/>
      <c r="U693" s="931"/>
      <c r="V693" s="931"/>
      <c r="W693" s="931"/>
      <c r="X693" s="932"/>
    </row>
    <row r="694" spans="1:24" s="20" customFormat="1" ht="19.5" thickBot="1" x14ac:dyDescent="0.35">
      <c r="A694" s="67"/>
      <c r="B694" s="928" t="s">
        <v>300</v>
      </c>
      <c r="C694" s="929"/>
      <c r="D694" s="929"/>
      <c r="E694" s="929"/>
      <c r="F694" s="929"/>
      <c r="G694" s="929"/>
      <c r="H694" s="929"/>
      <c r="I694" s="929"/>
      <c r="J694" s="929"/>
      <c r="K694" s="929"/>
      <c r="L694" s="929"/>
      <c r="M694" s="929"/>
      <c r="N694" s="929"/>
      <c r="O694" s="929"/>
      <c r="P694" s="929"/>
      <c r="Q694" s="929"/>
      <c r="R694" s="929"/>
      <c r="S694" s="929"/>
      <c r="T694" s="929"/>
      <c r="U694" s="929"/>
      <c r="V694" s="929"/>
      <c r="W694" s="929"/>
      <c r="X694" s="930"/>
    </row>
    <row r="695" spans="1:24" s="20" customFormat="1" ht="19.5" thickBot="1" x14ac:dyDescent="0.35">
      <c r="A695" s="71"/>
      <c r="B695" s="137" t="s">
        <v>294</v>
      </c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</row>
    <row r="696" spans="1:24" s="20" customFormat="1" ht="19.5" thickBot="1" x14ac:dyDescent="0.35">
      <c r="A696" s="26"/>
      <c r="B696" s="26" t="s">
        <v>248</v>
      </c>
      <c r="C696" s="27">
        <f>C58*2</f>
        <v>0</v>
      </c>
      <c r="D696" s="28"/>
      <c r="E696" s="19">
        <f>C696*4</f>
        <v>0</v>
      </c>
      <c r="F696" s="29">
        <f>E696*0.8*1.03/22</f>
        <v>0</v>
      </c>
      <c r="G696" s="27">
        <f t="shared" ref="G696:G709" si="167">INT(M696)</f>
        <v>0</v>
      </c>
      <c r="H696" s="30" t="s">
        <v>18</v>
      </c>
      <c r="I696" s="27">
        <f t="shared" ref="I696:I709" si="168">(M696-G696)*64</f>
        <v>0</v>
      </c>
      <c r="J696" s="19" t="s">
        <v>19</v>
      </c>
      <c r="K696" s="19"/>
      <c r="L696" s="19"/>
      <c r="M696" s="31">
        <f>F696*784/6272</f>
        <v>0</v>
      </c>
      <c r="N696" s="19"/>
      <c r="O696" s="19"/>
      <c r="P696" s="19"/>
      <c r="Q696" s="30" t="s">
        <v>18</v>
      </c>
      <c r="R696" s="19"/>
      <c r="S696" s="19" t="s">
        <v>19</v>
      </c>
      <c r="T696" s="32"/>
      <c r="U696" s="19">
        <f t="shared" ref="U696:U702" si="169">E696/272*60</f>
        <v>0</v>
      </c>
      <c r="V696" s="19"/>
      <c r="W696" s="32"/>
      <c r="X696" s="19"/>
    </row>
    <row r="697" spans="1:24" s="20" customFormat="1" ht="38.25" thickBot="1" x14ac:dyDescent="0.35">
      <c r="A697" s="26"/>
      <c r="B697" s="26" t="s">
        <v>249</v>
      </c>
      <c r="C697" s="27">
        <f>C59*2</f>
        <v>0</v>
      </c>
      <c r="D697" s="28"/>
      <c r="E697" s="19">
        <f>C697*4</f>
        <v>0</v>
      </c>
      <c r="F697" s="29">
        <f>E697*0.8*1.03/22</f>
        <v>0</v>
      </c>
      <c r="G697" s="27">
        <f t="shared" si="167"/>
        <v>0</v>
      </c>
      <c r="H697" s="30" t="s">
        <v>18</v>
      </c>
      <c r="I697" s="27">
        <f t="shared" si="168"/>
        <v>0</v>
      </c>
      <c r="J697" s="19" t="s">
        <v>19</v>
      </c>
      <c r="K697" s="19"/>
      <c r="L697" s="19"/>
      <c r="M697" s="31">
        <f>F697*784/6272</f>
        <v>0</v>
      </c>
      <c r="N697" s="19"/>
      <c r="O697" s="19"/>
      <c r="P697" s="19"/>
      <c r="Q697" s="30" t="s">
        <v>18</v>
      </c>
      <c r="R697" s="19"/>
      <c r="S697" s="19" t="s">
        <v>19</v>
      </c>
      <c r="T697" s="32"/>
      <c r="U697" s="19">
        <f t="shared" si="169"/>
        <v>0</v>
      </c>
      <c r="V697" s="19"/>
      <c r="W697" s="32"/>
      <c r="X697" s="19"/>
    </row>
    <row r="698" spans="1:24" s="20" customFormat="1" ht="38.25" thickBot="1" x14ac:dyDescent="0.35">
      <c r="A698" s="26"/>
      <c r="B698" s="26" t="s">
        <v>250</v>
      </c>
      <c r="C698" s="27">
        <f>C60*2</f>
        <v>0</v>
      </c>
      <c r="D698" s="28"/>
      <c r="E698" s="19">
        <f>C698*4</f>
        <v>0</v>
      </c>
      <c r="F698" s="29">
        <f>E698*0.8*1.03/22</f>
        <v>0</v>
      </c>
      <c r="G698" s="27">
        <f t="shared" si="167"/>
        <v>0</v>
      </c>
      <c r="H698" s="30" t="s">
        <v>18</v>
      </c>
      <c r="I698" s="27">
        <f t="shared" si="168"/>
        <v>0</v>
      </c>
      <c r="J698" s="19" t="s">
        <v>19</v>
      </c>
      <c r="K698" s="19"/>
      <c r="L698" s="19"/>
      <c r="M698" s="31">
        <f>F698*784/6272</f>
        <v>0</v>
      </c>
      <c r="N698" s="19"/>
      <c r="O698" s="19"/>
      <c r="P698" s="19"/>
      <c r="Q698" s="30" t="s">
        <v>18</v>
      </c>
      <c r="R698" s="19"/>
      <c r="S698" s="19" t="s">
        <v>19</v>
      </c>
      <c r="T698" s="32"/>
      <c r="U698" s="19">
        <f t="shared" si="169"/>
        <v>0</v>
      </c>
      <c r="V698" s="19"/>
      <c r="W698" s="32"/>
      <c r="X698" s="19"/>
    </row>
    <row r="699" spans="1:24" s="20" customFormat="1" ht="19.5" thickBot="1" x14ac:dyDescent="0.35">
      <c r="A699" s="26"/>
      <c r="B699" s="26" t="s">
        <v>25</v>
      </c>
      <c r="C699" s="27">
        <f>C61</f>
        <v>0</v>
      </c>
      <c r="D699" s="28"/>
      <c r="E699" s="19">
        <f>C699*2</f>
        <v>0</v>
      </c>
      <c r="F699" s="29">
        <f>E699*0.76*1.03/22</f>
        <v>0</v>
      </c>
      <c r="G699" s="27">
        <f t="shared" si="167"/>
        <v>0</v>
      </c>
      <c r="H699" s="30" t="s">
        <v>18</v>
      </c>
      <c r="I699" s="27">
        <f t="shared" si="168"/>
        <v>0</v>
      </c>
      <c r="J699" s="19" t="s">
        <v>19</v>
      </c>
      <c r="K699" s="19"/>
      <c r="L699" s="19"/>
      <c r="M699" s="31">
        <f>F699*1568/12544</f>
        <v>0</v>
      </c>
      <c r="N699" s="19"/>
      <c r="O699" s="19"/>
      <c r="P699" s="19"/>
      <c r="Q699" s="30" t="s">
        <v>18</v>
      </c>
      <c r="R699" s="19"/>
      <c r="S699" s="19" t="s">
        <v>19</v>
      </c>
      <c r="T699" s="32"/>
      <c r="U699" s="19">
        <f>E699/272*60</f>
        <v>0</v>
      </c>
      <c r="V699" s="19"/>
      <c r="W699" s="32"/>
      <c r="X699" s="19"/>
    </row>
    <row r="700" spans="1:24" s="20" customFormat="1" ht="19.5" thickBot="1" x14ac:dyDescent="0.35">
      <c r="A700" s="26"/>
      <c r="B700" s="26" t="s">
        <v>30</v>
      </c>
      <c r="C700" s="27">
        <f>C65</f>
        <v>0</v>
      </c>
      <c r="D700" s="28"/>
      <c r="E700" s="19">
        <f>C700*2</f>
        <v>0</v>
      </c>
      <c r="F700" s="29">
        <f>E700*0.76*1.03/22</f>
        <v>0</v>
      </c>
      <c r="G700" s="27">
        <f t="shared" si="167"/>
        <v>0</v>
      </c>
      <c r="H700" s="30" t="s">
        <v>18</v>
      </c>
      <c r="I700" s="27">
        <f t="shared" si="168"/>
        <v>0</v>
      </c>
      <c r="J700" s="19" t="s">
        <v>19</v>
      </c>
      <c r="K700" s="19"/>
      <c r="L700" s="19"/>
      <c r="M700" s="31">
        <f>F700*1568/12544</f>
        <v>0</v>
      </c>
      <c r="N700" s="19"/>
      <c r="O700" s="19"/>
      <c r="P700" s="19"/>
      <c r="Q700" s="30" t="s">
        <v>18</v>
      </c>
      <c r="R700" s="19"/>
      <c r="S700" s="19" t="s">
        <v>19</v>
      </c>
      <c r="T700" s="32"/>
      <c r="U700" s="19">
        <f>E700/272*60</f>
        <v>0</v>
      </c>
      <c r="V700" s="19"/>
      <c r="W700" s="32"/>
      <c r="X700" s="19"/>
    </row>
    <row r="701" spans="1:24" s="20" customFormat="1" ht="19.5" thickBot="1" x14ac:dyDescent="0.35">
      <c r="A701" s="26"/>
      <c r="B701" s="26" t="s">
        <v>22</v>
      </c>
      <c r="C701" s="27">
        <f>C66</f>
        <v>0</v>
      </c>
      <c r="D701" s="28"/>
      <c r="E701" s="19">
        <f>C701*2</f>
        <v>0</v>
      </c>
      <c r="F701" s="29">
        <f>E701*0.76*1.03/22</f>
        <v>0</v>
      </c>
      <c r="G701" s="27">
        <f t="shared" si="167"/>
        <v>0</v>
      </c>
      <c r="H701" s="30" t="s">
        <v>18</v>
      </c>
      <c r="I701" s="27">
        <f t="shared" si="168"/>
        <v>0</v>
      </c>
      <c r="J701" s="19" t="s">
        <v>19</v>
      </c>
      <c r="K701" s="19"/>
      <c r="L701" s="19"/>
      <c r="M701" s="31">
        <f>F701*1568/12544</f>
        <v>0</v>
      </c>
      <c r="N701" s="19"/>
      <c r="O701" s="19"/>
      <c r="P701" s="19"/>
      <c r="Q701" s="30" t="s">
        <v>18</v>
      </c>
      <c r="R701" s="19"/>
      <c r="S701" s="19" t="s">
        <v>19</v>
      </c>
      <c r="T701" s="32"/>
      <c r="U701" s="19">
        <f>E701/272*60</f>
        <v>0</v>
      </c>
      <c r="V701" s="19"/>
      <c r="W701" s="32"/>
      <c r="X701" s="19"/>
    </row>
    <row r="702" spans="1:24" s="20" customFormat="1" ht="19.5" thickBot="1" x14ac:dyDescent="0.35">
      <c r="A702" s="26"/>
      <c r="B702" s="26" t="s">
        <v>33</v>
      </c>
      <c r="C702" s="27">
        <f>C67</f>
        <v>0</v>
      </c>
      <c r="D702" s="28"/>
      <c r="E702" s="19">
        <f>C702*2</f>
        <v>0</v>
      </c>
      <c r="F702" s="29">
        <f>E702*0.76*1.03/22</f>
        <v>0</v>
      </c>
      <c r="G702" s="27">
        <f t="shared" si="167"/>
        <v>0</v>
      </c>
      <c r="H702" s="30" t="s">
        <v>18</v>
      </c>
      <c r="I702" s="27">
        <f t="shared" si="168"/>
        <v>0</v>
      </c>
      <c r="J702" s="19" t="s">
        <v>19</v>
      </c>
      <c r="K702" s="19"/>
      <c r="L702" s="19"/>
      <c r="M702" s="31">
        <f>F702*1568/12544</f>
        <v>0</v>
      </c>
      <c r="N702" s="19"/>
      <c r="O702" s="19"/>
      <c r="P702" s="19"/>
      <c r="Q702" s="30" t="s">
        <v>18</v>
      </c>
      <c r="R702" s="19"/>
      <c r="S702" s="19" t="s">
        <v>19</v>
      </c>
      <c r="T702" s="32"/>
      <c r="U702" s="19">
        <f t="shared" si="169"/>
        <v>0</v>
      </c>
      <c r="V702" s="19"/>
      <c r="W702" s="32"/>
      <c r="X702" s="19"/>
    </row>
    <row r="703" spans="1:24" s="20" customFormat="1" ht="19.5" thickBot="1" x14ac:dyDescent="0.35">
      <c r="A703" s="26"/>
      <c r="B703" s="26" t="s">
        <v>34</v>
      </c>
      <c r="C703" s="27">
        <f>C68</f>
        <v>0</v>
      </c>
      <c r="D703" s="28"/>
      <c r="E703" s="19">
        <f>C703*2</f>
        <v>0</v>
      </c>
      <c r="F703" s="29">
        <f>E703*0.76*1.03/22</f>
        <v>0</v>
      </c>
      <c r="G703" s="27">
        <f t="shared" si="167"/>
        <v>0</v>
      </c>
      <c r="H703" s="30" t="s">
        <v>18</v>
      </c>
      <c r="I703" s="27">
        <f t="shared" si="168"/>
        <v>0</v>
      </c>
      <c r="J703" s="19" t="s">
        <v>19</v>
      </c>
      <c r="K703" s="19"/>
      <c r="L703" s="19"/>
      <c r="M703" s="31">
        <f>F703*1568/12544</f>
        <v>0</v>
      </c>
      <c r="N703" s="19"/>
      <c r="O703" s="19"/>
      <c r="P703" s="19"/>
      <c r="Q703" s="30" t="s">
        <v>18</v>
      </c>
      <c r="R703" s="19"/>
      <c r="S703" s="19" t="s">
        <v>19</v>
      </c>
      <c r="T703" s="32"/>
      <c r="U703" s="19">
        <f>E703/259*60</f>
        <v>0</v>
      </c>
      <c r="V703" s="19"/>
      <c r="W703" s="32"/>
      <c r="X703" s="19"/>
    </row>
    <row r="704" spans="1:24" s="20" customFormat="1" ht="19.5" thickBot="1" x14ac:dyDescent="0.35">
      <c r="A704" s="26"/>
      <c r="B704" s="26" t="s">
        <v>27</v>
      </c>
      <c r="C704" s="27">
        <f>C62</f>
        <v>0</v>
      </c>
      <c r="D704" s="28">
        <f t="shared" ref="D704:D709" si="170">C704*12</f>
        <v>0</v>
      </c>
      <c r="E704" s="19">
        <f>D704*0.28</f>
        <v>0</v>
      </c>
      <c r="F704" s="29">
        <f>E704*0.8*1.03/22</f>
        <v>0</v>
      </c>
      <c r="G704" s="27">
        <f t="shared" si="167"/>
        <v>0</v>
      </c>
      <c r="H704" s="30" t="s">
        <v>18</v>
      </c>
      <c r="I704" s="27">
        <f t="shared" si="168"/>
        <v>0</v>
      </c>
      <c r="J704" s="19" t="s">
        <v>19</v>
      </c>
      <c r="K704" s="19"/>
      <c r="L704" s="19"/>
      <c r="M704" s="31">
        <f>F704*784/6272</f>
        <v>0</v>
      </c>
      <c r="N704" s="19"/>
      <c r="O704" s="19"/>
      <c r="P704" s="19"/>
      <c r="Q704" s="30" t="s">
        <v>18</v>
      </c>
      <c r="R704" s="19"/>
      <c r="S704" s="19" t="s">
        <v>19</v>
      </c>
      <c r="T704" s="32"/>
      <c r="U704" s="19">
        <f>E704/272*60</f>
        <v>0</v>
      </c>
      <c r="V704" s="19"/>
      <c r="W704" s="32"/>
      <c r="X704" s="19"/>
    </row>
    <row r="705" spans="1:24" s="20" customFormat="1" ht="19.5" thickBot="1" x14ac:dyDescent="0.35">
      <c r="A705" s="26"/>
      <c r="B705" s="26" t="s">
        <v>29</v>
      </c>
      <c r="C705" s="27">
        <f>C54</f>
        <v>0</v>
      </c>
      <c r="D705" s="28">
        <f t="shared" si="170"/>
        <v>0</v>
      </c>
      <c r="E705" s="19">
        <f>D705*0.25</f>
        <v>0</v>
      </c>
      <c r="F705" s="29">
        <f>E705*0.76*1.03/22</f>
        <v>0</v>
      </c>
      <c r="G705" s="27">
        <f t="shared" si="167"/>
        <v>0</v>
      </c>
      <c r="H705" s="30" t="s">
        <v>18</v>
      </c>
      <c r="I705" s="27">
        <f t="shared" si="168"/>
        <v>0</v>
      </c>
      <c r="J705" s="19" t="s">
        <v>19</v>
      </c>
      <c r="K705" s="19"/>
      <c r="L705" s="19"/>
      <c r="M705" s="31">
        <f>F705*1568/12544</f>
        <v>0</v>
      </c>
      <c r="N705" s="19"/>
      <c r="O705" s="19"/>
      <c r="P705" s="19"/>
      <c r="Q705" s="30" t="s">
        <v>18</v>
      </c>
      <c r="R705" s="19"/>
      <c r="S705" s="19" t="s">
        <v>19</v>
      </c>
      <c r="T705" s="32"/>
      <c r="U705" s="19">
        <f>E705/272*60</f>
        <v>0</v>
      </c>
      <c r="V705" s="19"/>
      <c r="W705" s="32"/>
      <c r="X705" s="19"/>
    </row>
    <row r="706" spans="1:24" s="20" customFormat="1" ht="19.5" thickBot="1" x14ac:dyDescent="0.35">
      <c r="A706" s="26"/>
      <c r="B706" s="26" t="s">
        <v>296</v>
      </c>
      <c r="C706" s="27">
        <f>C17</f>
        <v>0</v>
      </c>
      <c r="D706" s="28">
        <f t="shared" si="170"/>
        <v>0</v>
      </c>
      <c r="E706" s="19">
        <f>D706*0.25</f>
        <v>0</v>
      </c>
      <c r="F706" s="29">
        <f>E706*0.8*1.01/20</f>
        <v>0</v>
      </c>
      <c r="G706" s="27">
        <f t="shared" si="167"/>
        <v>0</v>
      </c>
      <c r="H706" s="30" t="s">
        <v>18</v>
      </c>
      <c r="I706" s="27">
        <f t="shared" si="168"/>
        <v>0</v>
      </c>
      <c r="J706" s="19" t="s">
        <v>19</v>
      </c>
      <c r="K706" s="19"/>
      <c r="L706" s="19"/>
      <c r="M706" s="31">
        <f>F706*2016/16128</f>
        <v>0</v>
      </c>
      <c r="N706" s="19"/>
      <c r="O706" s="19"/>
      <c r="P706" s="19"/>
      <c r="Q706" s="30" t="s">
        <v>18</v>
      </c>
      <c r="R706" s="19"/>
      <c r="S706" s="19" t="s">
        <v>19</v>
      </c>
      <c r="T706" s="32"/>
      <c r="U706" s="19">
        <f>E706/272*60</f>
        <v>0</v>
      </c>
      <c r="V706" s="19"/>
      <c r="W706" s="32"/>
      <c r="X706" s="19"/>
    </row>
    <row r="707" spans="1:24" s="20" customFormat="1" ht="19.5" thickBot="1" x14ac:dyDescent="0.35">
      <c r="A707" s="26"/>
      <c r="B707" s="26" t="s">
        <v>20</v>
      </c>
      <c r="C707" s="27">
        <f>C57</f>
        <v>0</v>
      </c>
      <c r="D707" s="28">
        <f t="shared" si="170"/>
        <v>0</v>
      </c>
      <c r="E707" s="19">
        <f>D707*0.2</f>
        <v>0</v>
      </c>
      <c r="F707" s="29">
        <f>D707*23*0.0087*1.03/21</f>
        <v>0</v>
      </c>
      <c r="G707" s="27">
        <f t="shared" si="167"/>
        <v>0</v>
      </c>
      <c r="H707" s="30" t="s">
        <v>18</v>
      </c>
      <c r="I707" s="27">
        <f t="shared" si="168"/>
        <v>0</v>
      </c>
      <c r="J707" s="19" t="s">
        <v>19</v>
      </c>
      <c r="K707" s="19"/>
      <c r="L707" s="19"/>
      <c r="M707" s="31">
        <f>F707*2352/12544</f>
        <v>0</v>
      </c>
      <c r="N707" s="19"/>
      <c r="O707" s="19"/>
      <c r="P707" s="19"/>
      <c r="Q707" s="30" t="s">
        <v>18</v>
      </c>
      <c r="R707" s="19"/>
      <c r="S707" s="19" t="s">
        <v>19</v>
      </c>
      <c r="T707" s="32"/>
      <c r="U707" s="19">
        <f>E707/207*60</f>
        <v>0</v>
      </c>
      <c r="V707" s="19"/>
      <c r="W707" s="32"/>
      <c r="X707" s="19"/>
    </row>
    <row r="708" spans="1:24" s="20" customFormat="1" ht="38.25" thickBot="1" x14ac:dyDescent="0.35">
      <c r="A708" s="26"/>
      <c r="B708" s="26" t="s">
        <v>35</v>
      </c>
      <c r="C708" s="27">
        <f>C52</f>
        <v>0</v>
      </c>
      <c r="D708" s="28">
        <f t="shared" si="170"/>
        <v>0</v>
      </c>
      <c r="E708" s="19">
        <f>D708*0.2</f>
        <v>0</v>
      </c>
      <c r="F708" s="29">
        <f>D708*23*0.0087*1.03/21</f>
        <v>0</v>
      </c>
      <c r="G708" s="27">
        <f t="shared" si="167"/>
        <v>0</v>
      </c>
      <c r="H708" s="30" t="s">
        <v>18</v>
      </c>
      <c r="I708" s="27">
        <f t="shared" si="168"/>
        <v>0</v>
      </c>
      <c r="J708" s="19" t="s">
        <v>19</v>
      </c>
      <c r="K708" s="19"/>
      <c r="L708" s="19"/>
      <c r="M708" s="31">
        <f>F708*2352/12544</f>
        <v>0</v>
      </c>
      <c r="N708" s="19"/>
      <c r="O708" s="19"/>
      <c r="P708" s="19"/>
      <c r="Q708" s="30" t="s">
        <v>18</v>
      </c>
      <c r="R708" s="19"/>
      <c r="S708" s="19" t="s">
        <v>19</v>
      </c>
      <c r="T708" s="32"/>
      <c r="U708" s="19">
        <f>E708/207*60</f>
        <v>0</v>
      </c>
      <c r="V708" s="19"/>
      <c r="W708" s="32"/>
      <c r="X708" s="19"/>
    </row>
    <row r="709" spans="1:24" s="20" customFormat="1" ht="19.5" thickBot="1" x14ac:dyDescent="0.35">
      <c r="A709" s="26"/>
      <c r="B709" s="26" t="s">
        <v>26</v>
      </c>
      <c r="C709" s="27">
        <f>C53</f>
        <v>0</v>
      </c>
      <c r="D709" s="28">
        <f t="shared" si="170"/>
        <v>0</v>
      </c>
      <c r="E709" s="19">
        <f>D709*0.2</f>
        <v>0</v>
      </c>
      <c r="F709" s="29">
        <f>D709*23*0.0087*1.03/21</f>
        <v>0</v>
      </c>
      <c r="G709" s="27">
        <f t="shared" si="167"/>
        <v>0</v>
      </c>
      <c r="H709" s="30" t="s">
        <v>18</v>
      </c>
      <c r="I709" s="27">
        <f t="shared" si="168"/>
        <v>0</v>
      </c>
      <c r="J709" s="19" t="s">
        <v>19</v>
      </c>
      <c r="K709" s="19"/>
      <c r="L709" s="19"/>
      <c r="M709" s="31">
        <f>F709*2352/12544</f>
        <v>0</v>
      </c>
      <c r="N709" s="19"/>
      <c r="O709" s="19"/>
      <c r="P709" s="19"/>
      <c r="Q709" s="30" t="s">
        <v>18</v>
      </c>
      <c r="R709" s="19"/>
      <c r="S709" s="19" t="s">
        <v>19</v>
      </c>
      <c r="T709" s="32"/>
      <c r="U709" s="19">
        <f>E709/166*60</f>
        <v>0</v>
      </c>
      <c r="V709" s="19"/>
      <c r="W709" s="32"/>
      <c r="X709" s="19"/>
    </row>
    <row r="710" spans="1:24" s="20" customFormat="1" ht="19.5" thickBot="1" x14ac:dyDescent="0.35">
      <c r="A710" s="26"/>
      <c r="B710" s="26" t="s">
        <v>56</v>
      </c>
      <c r="C710" s="27">
        <f>C70</f>
        <v>0</v>
      </c>
      <c r="D710" s="28"/>
      <c r="E710" s="19">
        <f>C710*3</f>
        <v>0</v>
      </c>
      <c r="F710" s="29"/>
      <c r="G710" s="27"/>
      <c r="H710" s="30"/>
      <c r="I710" s="27"/>
      <c r="J710" s="19"/>
      <c r="K710" s="19"/>
      <c r="L710" s="19"/>
      <c r="M710" s="31"/>
      <c r="N710" s="19"/>
      <c r="O710" s="19"/>
      <c r="P710" s="19"/>
      <c r="Q710" s="30"/>
      <c r="R710" s="19"/>
      <c r="S710" s="19"/>
      <c r="T710" s="32"/>
      <c r="U710" s="19"/>
      <c r="V710" s="19"/>
      <c r="W710" s="32"/>
      <c r="X710" s="19"/>
    </row>
    <row r="711" spans="1:24" s="20" customFormat="1" ht="19.5" thickBot="1" x14ac:dyDescent="0.35">
      <c r="A711" s="26"/>
      <c r="B711" s="26" t="s">
        <v>57</v>
      </c>
      <c r="C711" s="27">
        <f>C71</f>
        <v>0</v>
      </c>
      <c r="D711" s="28"/>
      <c r="E711" s="19">
        <f>C711*3</f>
        <v>0</v>
      </c>
      <c r="F711" s="29"/>
      <c r="G711" s="27"/>
      <c r="H711" s="30"/>
      <c r="I711" s="27"/>
      <c r="J711" s="19"/>
      <c r="K711" s="19"/>
      <c r="L711" s="19"/>
      <c r="M711" s="31"/>
      <c r="N711" s="19"/>
      <c r="O711" s="19"/>
      <c r="P711" s="19"/>
      <c r="Q711" s="30"/>
      <c r="R711" s="19"/>
      <c r="S711" s="19"/>
      <c r="T711" s="32"/>
      <c r="U711" s="19"/>
      <c r="V711" s="19"/>
      <c r="W711" s="32"/>
      <c r="X711" s="19"/>
    </row>
    <row r="712" spans="1:24" s="20" customFormat="1" ht="19.5" thickBot="1" x14ac:dyDescent="0.35">
      <c r="A712" s="26"/>
      <c r="B712" s="26" t="s">
        <v>58</v>
      </c>
      <c r="C712" s="27">
        <f>C74</f>
        <v>0</v>
      </c>
      <c r="D712" s="28"/>
      <c r="E712" s="19">
        <f>C712*3</f>
        <v>0</v>
      </c>
      <c r="F712" s="29"/>
      <c r="G712" s="27"/>
      <c r="H712" s="30"/>
      <c r="I712" s="27"/>
      <c r="J712" s="19"/>
      <c r="K712" s="19"/>
      <c r="L712" s="19"/>
      <c r="M712" s="31"/>
      <c r="N712" s="19"/>
      <c r="O712" s="19"/>
      <c r="P712" s="19"/>
      <c r="Q712" s="30"/>
      <c r="R712" s="19"/>
      <c r="S712" s="19"/>
      <c r="T712" s="32"/>
      <c r="U712" s="19"/>
      <c r="V712" s="19"/>
      <c r="W712" s="32"/>
      <c r="X712" s="19"/>
    </row>
    <row r="713" spans="1:24" s="20" customFormat="1" ht="19.5" thickBot="1" x14ac:dyDescent="0.35">
      <c r="A713" s="26"/>
      <c r="B713" s="138" t="s">
        <v>295</v>
      </c>
      <c r="C713" s="27"/>
      <c r="D713" s="28"/>
      <c r="E713" s="19"/>
      <c r="F713" s="29"/>
      <c r="G713" s="27"/>
      <c r="H713" s="30"/>
      <c r="I713" s="27"/>
      <c r="J713" s="19"/>
      <c r="K713" s="19"/>
      <c r="L713" s="19"/>
      <c r="M713" s="31"/>
      <c r="N713" s="19"/>
      <c r="O713" s="19"/>
      <c r="P713" s="19"/>
      <c r="Q713" s="30"/>
      <c r="R713" s="19"/>
      <c r="S713" s="19"/>
      <c r="T713" s="32"/>
      <c r="U713" s="19"/>
      <c r="V713" s="19"/>
      <c r="W713" s="32"/>
      <c r="X713" s="19"/>
    </row>
    <row r="714" spans="1:24" s="20" customFormat="1" ht="38.25" thickBot="1" x14ac:dyDescent="0.35">
      <c r="A714" s="26"/>
      <c r="B714" s="26" t="s">
        <v>45</v>
      </c>
      <c r="C714" s="27">
        <f>C37</f>
        <v>0</v>
      </c>
      <c r="D714" s="28">
        <f>C714*6*28</f>
        <v>0</v>
      </c>
      <c r="E714" s="19">
        <f>D714*0.04</f>
        <v>0</v>
      </c>
      <c r="F714" s="29">
        <f>E714*0.79*1.25/20</f>
        <v>0</v>
      </c>
      <c r="G714" s="27">
        <f>INT(M714)</f>
        <v>0</v>
      </c>
      <c r="H714" s="30" t="s">
        <v>18</v>
      </c>
      <c r="I714" s="27">
        <f>(M714-G714)*64</f>
        <v>0</v>
      </c>
      <c r="J714" s="19" t="s">
        <v>19</v>
      </c>
      <c r="K714" s="19"/>
      <c r="L714" s="19"/>
      <c r="M714" s="31">
        <f>F714*540/4608</f>
        <v>0</v>
      </c>
      <c r="N714" s="19"/>
      <c r="O714" s="19"/>
      <c r="P714" s="19"/>
      <c r="Q714" s="30" t="s">
        <v>18</v>
      </c>
      <c r="R714" s="19"/>
      <c r="S714" s="19" t="s">
        <v>19</v>
      </c>
      <c r="T714" s="32"/>
      <c r="U714" s="19">
        <f>E714/272*60</f>
        <v>0</v>
      </c>
      <c r="V714" s="19"/>
      <c r="W714" s="32"/>
      <c r="X714" s="19"/>
    </row>
    <row r="715" spans="1:24" s="20" customFormat="1" ht="19.5" thickBot="1" x14ac:dyDescent="0.35">
      <c r="A715" s="26"/>
      <c r="B715" s="26" t="s">
        <v>46</v>
      </c>
      <c r="C715" s="27">
        <f>C38</f>
        <v>0</v>
      </c>
      <c r="D715" s="28">
        <f>C715*6*28</f>
        <v>0</v>
      </c>
      <c r="E715" s="19">
        <f>D715*0.04</f>
        <v>0</v>
      </c>
      <c r="F715" s="29">
        <f>E715*0.79*1.25/20</f>
        <v>0</v>
      </c>
      <c r="G715" s="27">
        <f>INT(M715)</f>
        <v>0</v>
      </c>
      <c r="H715" s="30" t="s">
        <v>18</v>
      </c>
      <c r="I715" s="27">
        <f>(M715-G715)*64</f>
        <v>0</v>
      </c>
      <c r="J715" s="19" t="s">
        <v>19</v>
      </c>
      <c r="K715" s="19"/>
      <c r="L715" s="19"/>
      <c r="M715" s="31">
        <f>F715*540/4608</f>
        <v>0</v>
      </c>
      <c r="N715" s="19"/>
      <c r="O715" s="19"/>
      <c r="P715" s="19"/>
      <c r="Q715" s="30" t="s">
        <v>18</v>
      </c>
      <c r="R715" s="19"/>
      <c r="S715" s="19" t="s">
        <v>19</v>
      </c>
      <c r="T715" s="32"/>
      <c r="U715" s="19">
        <f>E715/272*60</f>
        <v>0</v>
      </c>
      <c r="V715" s="19"/>
      <c r="W715" s="32"/>
      <c r="X715" s="19"/>
    </row>
    <row r="716" spans="1:24" s="20" customFormat="1" ht="19.5" thickBot="1" x14ac:dyDescent="0.35">
      <c r="A716" s="26"/>
      <c r="B716" s="26" t="s">
        <v>47</v>
      </c>
      <c r="C716" s="27">
        <f>C39</f>
        <v>0</v>
      </c>
      <c r="D716" s="28">
        <f>C716*6*28</f>
        <v>0</v>
      </c>
      <c r="E716" s="19">
        <f>D716*0.04</f>
        <v>0</v>
      </c>
      <c r="F716" s="29">
        <f>E716*0.79*1.25/20</f>
        <v>0</v>
      </c>
      <c r="G716" s="27">
        <f>INT(M716)</f>
        <v>0</v>
      </c>
      <c r="H716" s="30" t="s">
        <v>18</v>
      </c>
      <c r="I716" s="27">
        <f>(M716-G716)*64</f>
        <v>0</v>
      </c>
      <c r="J716" s="19" t="s">
        <v>19</v>
      </c>
      <c r="K716" s="19"/>
      <c r="L716" s="19"/>
      <c r="M716" s="31">
        <f>F716*540/4608</f>
        <v>0</v>
      </c>
      <c r="N716" s="19"/>
      <c r="O716" s="19"/>
      <c r="P716" s="19"/>
      <c r="Q716" s="30" t="s">
        <v>18</v>
      </c>
      <c r="R716" s="19"/>
      <c r="S716" s="19" t="s">
        <v>19</v>
      </c>
      <c r="T716" s="32"/>
      <c r="U716" s="19">
        <f>E716/272*60</f>
        <v>0</v>
      </c>
      <c r="V716" s="19"/>
      <c r="W716" s="32"/>
      <c r="X716" s="19"/>
    </row>
    <row r="717" spans="1:24" s="20" customFormat="1" ht="19.5" thickBot="1" x14ac:dyDescent="0.35">
      <c r="A717" s="26"/>
      <c r="B717" s="138" t="s">
        <v>297</v>
      </c>
      <c r="C717" s="27"/>
      <c r="D717" s="28"/>
      <c r="E717" s="19"/>
      <c r="F717" s="29"/>
      <c r="G717" s="27"/>
      <c r="H717" s="30"/>
      <c r="I717" s="27"/>
      <c r="J717" s="19"/>
      <c r="K717" s="19"/>
      <c r="L717" s="19"/>
      <c r="M717" s="31"/>
      <c r="N717" s="19"/>
      <c r="O717" s="19"/>
      <c r="P717" s="19"/>
      <c r="Q717" s="30"/>
      <c r="R717" s="19"/>
      <c r="S717" s="19"/>
      <c r="T717" s="32"/>
      <c r="U717" s="19"/>
      <c r="V717" s="19"/>
      <c r="W717" s="32"/>
      <c r="X717" s="19"/>
    </row>
    <row r="718" spans="1:24" s="20" customFormat="1" ht="19.5" thickBot="1" x14ac:dyDescent="0.35">
      <c r="A718" s="26"/>
      <c r="B718" s="26" t="s">
        <v>62</v>
      </c>
      <c r="C718" s="27" t="e">
        <f>#REF!+#REF!+#REF!</f>
        <v>#REF!</v>
      </c>
      <c r="D718" s="28" t="e">
        <f>C718*10</f>
        <v>#REF!</v>
      </c>
      <c r="E718" s="19" t="e">
        <f>D718*0.18</f>
        <v>#REF!</v>
      </c>
      <c r="F718" s="29" t="e">
        <f t="shared" ref="F718:F723" si="171">E718*1.03*0.82/173</f>
        <v>#REF!</v>
      </c>
      <c r="G718" s="27" t="e">
        <f t="shared" ref="G718:G723" si="172">INT(M718)</f>
        <v>#REF!</v>
      </c>
      <c r="H718" s="30" t="s">
        <v>18</v>
      </c>
      <c r="I718" s="27" t="e">
        <f t="shared" ref="I718:I723" si="173">(M718-G718)*64</f>
        <v>#REF!</v>
      </c>
      <c r="J718" s="19" t="s">
        <v>19</v>
      </c>
      <c r="K718" s="19"/>
      <c r="L718" s="19"/>
      <c r="M718" s="31" t="e">
        <f>(F718*11610)/3456</f>
        <v>#REF!</v>
      </c>
      <c r="N718" s="19"/>
      <c r="O718" s="19"/>
      <c r="P718" s="19"/>
      <c r="Q718" s="30" t="s">
        <v>18</v>
      </c>
      <c r="R718" s="19"/>
      <c r="S718" s="19" t="s">
        <v>19</v>
      </c>
      <c r="T718" s="32"/>
      <c r="U718" s="19" t="e">
        <f>E718/207*60</f>
        <v>#REF!</v>
      </c>
      <c r="V718" s="19"/>
      <c r="W718" s="32"/>
      <c r="X718" s="19"/>
    </row>
    <row r="719" spans="1:24" s="20" customFormat="1" ht="19.5" thickBot="1" x14ac:dyDescent="0.35">
      <c r="A719" s="26"/>
      <c r="B719" s="26" t="s">
        <v>63</v>
      </c>
      <c r="C719" s="27" t="e">
        <f>#REF!+#REF!+#REF!</f>
        <v>#REF!</v>
      </c>
      <c r="D719" s="28" t="e">
        <f>C719*10</f>
        <v>#REF!</v>
      </c>
      <c r="E719" s="19" t="e">
        <f>D719*0.18</f>
        <v>#REF!</v>
      </c>
      <c r="F719" s="29" t="e">
        <f t="shared" si="171"/>
        <v>#REF!</v>
      </c>
      <c r="G719" s="27" t="e">
        <f t="shared" si="172"/>
        <v>#REF!</v>
      </c>
      <c r="H719" s="30" t="s">
        <v>18</v>
      </c>
      <c r="I719" s="27" t="e">
        <f t="shared" si="173"/>
        <v>#REF!</v>
      </c>
      <c r="J719" s="19" t="s">
        <v>19</v>
      </c>
      <c r="K719" s="19"/>
      <c r="L719" s="19"/>
      <c r="M719" s="31" t="e">
        <f>(F719*11610)/3456</f>
        <v>#REF!</v>
      </c>
      <c r="N719" s="19"/>
      <c r="O719" s="19"/>
      <c r="P719" s="19"/>
      <c r="Q719" s="30" t="s">
        <v>18</v>
      </c>
      <c r="R719" s="19"/>
      <c r="S719" s="19" t="s">
        <v>19</v>
      </c>
      <c r="T719" s="32"/>
      <c r="U719" s="19" t="e">
        <f>E719/207*60</f>
        <v>#REF!</v>
      </c>
      <c r="V719" s="19"/>
      <c r="W719" s="32"/>
      <c r="X719" s="19"/>
    </row>
    <row r="720" spans="1:24" s="20" customFormat="1" ht="19.5" thickBot="1" x14ac:dyDescent="0.35">
      <c r="A720" s="26"/>
      <c r="B720" s="26" t="s">
        <v>64</v>
      </c>
      <c r="C720" s="27" t="e">
        <f>#REF!+#REF!+#REF!</f>
        <v>#REF!</v>
      </c>
      <c r="D720" s="28" t="e">
        <f>C720*10</f>
        <v>#REF!</v>
      </c>
      <c r="E720" s="19" t="e">
        <f>D720*0.18</f>
        <v>#REF!</v>
      </c>
      <c r="F720" s="29" t="e">
        <f t="shared" si="171"/>
        <v>#REF!</v>
      </c>
      <c r="G720" s="27" t="e">
        <f t="shared" si="172"/>
        <v>#REF!</v>
      </c>
      <c r="H720" s="30" t="s">
        <v>18</v>
      </c>
      <c r="I720" s="27" t="e">
        <f t="shared" si="173"/>
        <v>#REF!</v>
      </c>
      <c r="J720" s="19" t="s">
        <v>19</v>
      </c>
      <c r="K720" s="19"/>
      <c r="L720" s="19"/>
      <c r="M720" s="31" t="e">
        <f>(F720*11610)/3456</f>
        <v>#REF!</v>
      </c>
      <c r="N720" s="19"/>
      <c r="O720" s="19"/>
      <c r="P720" s="19"/>
      <c r="Q720" s="30" t="s">
        <v>18</v>
      </c>
      <c r="R720" s="19"/>
      <c r="S720" s="19" t="s">
        <v>19</v>
      </c>
      <c r="T720" s="32"/>
      <c r="U720" s="19" t="e">
        <f>E720/207*60</f>
        <v>#REF!</v>
      </c>
      <c r="V720" s="19"/>
      <c r="W720" s="32"/>
      <c r="X720" s="19"/>
    </row>
    <row r="721" spans="1:24" s="20" customFormat="1" ht="19.5" thickBot="1" x14ac:dyDescent="0.35">
      <c r="A721" s="26"/>
      <c r="B721" s="26" t="s">
        <v>65</v>
      </c>
      <c r="C721" s="27" t="e">
        <f>#REF!+#REF!+#REF!</f>
        <v>#REF!</v>
      </c>
      <c r="D721" s="28" t="e">
        <f>C721*26</f>
        <v>#REF!</v>
      </c>
      <c r="E721" s="19" t="e">
        <f>D721*0.15</f>
        <v>#REF!</v>
      </c>
      <c r="F721" s="29" t="e">
        <f t="shared" si="171"/>
        <v>#REF!</v>
      </c>
      <c r="G721" s="27" t="e">
        <f t="shared" si="172"/>
        <v>#REF!</v>
      </c>
      <c r="H721" s="30" t="s">
        <v>18</v>
      </c>
      <c r="I721" s="27" t="e">
        <f t="shared" si="173"/>
        <v>#REF!</v>
      </c>
      <c r="J721" s="19" t="s">
        <v>19</v>
      </c>
      <c r="K721" s="19"/>
      <c r="L721" s="19"/>
      <c r="M721" s="31" t="e">
        <f>(F721*8480)/3456</f>
        <v>#REF!</v>
      </c>
      <c r="N721" s="19"/>
      <c r="O721" s="19"/>
      <c r="P721" s="19"/>
      <c r="Q721" s="30" t="s">
        <v>18</v>
      </c>
      <c r="R721" s="19"/>
      <c r="S721" s="19" t="s">
        <v>19</v>
      </c>
      <c r="T721" s="32"/>
      <c r="U721" s="19" t="e">
        <f>E721/259*60</f>
        <v>#REF!</v>
      </c>
      <c r="V721" s="19"/>
      <c r="W721" s="32"/>
      <c r="X721" s="19"/>
    </row>
    <row r="722" spans="1:24" s="20" customFormat="1" ht="19.5" thickBot="1" x14ac:dyDescent="0.35">
      <c r="A722" s="26"/>
      <c r="B722" s="26" t="s">
        <v>68</v>
      </c>
      <c r="C722" s="27" t="e">
        <f>#REF!+#REF!+#REF!</f>
        <v>#REF!</v>
      </c>
      <c r="D722" s="28" t="e">
        <f>C722*10</f>
        <v>#REF!</v>
      </c>
      <c r="E722" s="19" t="e">
        <f>D722*0.25</f>
        <v>#REF!</v>
      </c>
      <c r="F722" s="29" t="e">
        <f t="shared" si="171"/>
        <v>#REF!</v>
      </c>
      <c r="G722" s="27" t="e">
        <f t="shared" si="172"/>
        <v>#REF!</v>
      </c>
      <c r="H722" s="30" t="s">
        <v>18</v>
      </c>
      <c r="I722" s="27" t="e">
        <f t="shared" si="173"/>
        <v>#REF!</v>
      </c>
      <c r="J722" s="19" t="s">
        <v>19</v>
      </c>
      <c r="K722" s="19"/>
      <c r="L722" s="19"/>
      <c r="M722" s="31" t="e">
        <f>(F722*8480)/3456</f>
        <v>#REF!</v>
      </c>
      <c r="N722" s="19"/>
      <c r="O722" s="19"/>
      <c r="P722" s="19"/>
      <c r="Q722" s="30" t="s">
        <v>18</v>
      </c>
      <c r="R722" s="19"/>
      <c r="S722" s="19" t="s">
        <v>19</v>
      </c>
      <c r="T722" s="32"/>
      <c r="U722" s="19" t="e">
        <f>E722/272*60</f>
        <v>#REF!</v>
      </c>
      <c r="V722" s="19"/>
      <c r="W722" s="32"/>
      <c r="X722" s="19"/>
    </row>
    <row r="723" spans="1:24" s="20" customFormat="1" ht="19.5" thickBot="1" x14ac:dyDescent="0.35">
      <c r="A723" s="26"/>
      <c r="B723" s="26" t="s">
        <v>71</v>
      </c>
      <c r="C723" s="27" t="e">
        <f>#REF!+#REF!+#REF!</f>
        <v>#REF!</v>
      </c>
      <c r="D723" s="28" t="e">
        <f>C723*10</f>
        <v>#REF!</v>
      </c>
      <c r="E723" s="19" t="e">
        <f>D723*0.25</f>
        <v>#REF!</v>
      </c>
      <c r="F723" s="29" t="e">
        <f t="shared" si="171"/>
        <v>#REF!</v>
      </c>
      <c r="G723" s="27" t="e">
        <f t="shared" si="172"/>
        <v>#REF!</v>
      </c>
      <c r="H723" s="30" t="s">
        <v>18</v>
      </c>
      <c r="I723" s="27" t="e">
        <f t="shared" si="173"/>
        <v>#REF!</v>
      </c>
      <c r="J723" s="19" t="s">
        <v>19</v>
      </c>
      <c r="K723" s="19"/>
      <c r="L723" s="19"/>
      <c r="M723" s="31" t="e">
        <f>(F723*8480)/3456</f>
        <v>#REF!</v>
      </c>
      <c r="N723" s="19"/>
      <c r="O723" s="19"/>
      <c r="P723" s="19"/>
      <c r="Q723" s="30" t="s">
        <v>18</v>
      </c>
      <c r="R723" s="19"/>
      <c r="S723" s="19" t="s">
        <v>19</v>
      </c>
      <c r="T723" s="32"/>
      <c r="U723" s="19" t="e">
        <f>E723/272*60</f>
        <v>#REF!</v>
      </c>
      <c r="V723" s="19"/>
      <c r="W723" s="32"/>
      <c r="X723" s="19"/>
    </row>
    <row r="724" spans="1:24" s="20" customFormat="1" ht="19.5" thickBot="1" x14ac:dyDescent="0.35">
      <c r="A724" s="26"/>
      <c r="B724" s="138" t="s">
        <v>298</v>
      </c>
      <c r="C724" s="27"/>
      <c r="D724" s="28"/>
      <c r="E724" s="19"/>
      <c r="F724" s="29"/>
      <c r="G724" s="27"/>
      <c r="H724" s="30"/>
      <c r="I724" s="27"/>
      <c r="J724" s="19"/>
      <c r="K724" s="19"/>
      <c r="L724" s="19"/>
      <c r="M724" s="31"/>
      <c r="N724" s="19"/>
      <c r="O724" s="19"/>
      <c r="P724" s="19"/>
      <c r="Q724" s="30"/>
      <c r="R724" s="19"/>
      <c r="S724" s="19"/>
      <c r="T724" s="32"/>
      <c r="U724" s="19"/>
      <c r="V724" s="19"/>
      <c r="W724" s="32"/>
      <c r="X724" s="19"/>
    </row>
    <row r="725" spans="1:24" s="20" customFormat="1" ht="19.5" thickBot="1" x14ac:dyDescent="0.35">
      <c r="A725" s="26"/>
      <c r="B725" s="138" t="s">
        <v>286</v>
      </c>
      <c r="C725" s="27"/>
      <c r="D725" s="28"/>
      <c r="E725" s="19"/>
      <c r="F725" s="29"/>
      <c r="G725" s="27"/>
      <c r="H725" s="30"/>
      <c r="I725" s="27"/>
      <c r="J725" s="19"/>
      <c r="K725" s="19"/>
      <c r="L725" s="19"/>
      <c r="M725" s="31"/>
      <c r="N725" s="19"/>
      <c r="O725" s="19"/>
      <c r="P725" s="19"/>
      <c r="Q725" s="30"/>
      <c r="R725" s="19"/>
      <c r="S725" s="19"/>
      <c r="T725" s="32"/>
      <c r="U725" s="19"/>
      <c r="V725" s="19"/>
      <c r="W725" s="32"/>
      <c r="X725" s="19"/>
    </row>
    <row r="726" spans="1:24" s="20" customFormat="1" ht="19.5" thickBot="1" x14ac:dyDescent="0.35">
      <c r="A726" s="41"/>
      <c r="B726" s="41" t="s">
        <v>94</v>
      </c>
      <c r="C726" s="42" t="e">
        <f>#REF!+C166+C187</f>
        <v>#REF!</v>
      </c>
      <c r="D726" s="43" t="e">
        <f>C726*18</f>
        <v>#REF!</v>
      </c>
      <c r="E726" s="40" t="e">
        <f>D726*0.2</f>
        <v>#REF!</v>
      </c>
      <c r="F726" s="50" t="e">
        <f>E726*1.03*0.8/147</f>
        <v>#REF!</v>
      </c>
      <c r="G726" s="42" t="e">
        <f t="shared" ref="G726:G740" si="174">INT(M726)</f>
        <v>#REF!</v>
      </c>
      <c r="H726" s="45" t="s">
        <v>18</v>
      </c>
      <c r="I726" s="42" t="e">
        <f t="shared" ref="I726:I740" si="175">(M726-G726)*64</f>
        <v>#REF!</v>
      </c>
      <c r="J726" s="40" t="s">
        <v>19</v>
      </c>
      <c r="K726" s="40"/>
      <c r="L726" s="40"/>
      <c r="M726" s="46" t="e">
        <f>(F726*5675)/3456</f>
        <v>#REF!</v>
      </c>
      <c r="N726" s="40"/>
      <c r="O726" s="40"/>
      <c r="P726" s="40"/>
      <c r="Q726" s="45" t="s">
        <v>18</v>
      </c>
      <c r="R726" s="40"/>
      <c r="S726" s="40" t="s">
        <v>19</v>
      </c>
      <c r="T726" s="47"/>
      <c r="U726" s="40" t="e">
        <f>E726/220*60</f>
        <v>#REF!</v>
      </c>
      <c r="V726" s="40"/>
      <c r="W726" s="47"/>
      <c r="X726" s="40"/>
    </row>
    <row r="727" spans="1:24" s="20" customFormat="1" ht="19.5" thickBot="1" x14ac:dyDescent="0.35">
      <c r="A727" s="41"/>
      <c r="B727" s="41" t="s">
        <v>78</v>
      </c>
      <c r="C727" s="42" t="e">
        <f>#REF!+#REF!+C242</f>
        <v>#REF!</v>
      </c>
      <c r="D727" s="43" t="e">
        <f>C727*18</f>
        <v>#REF!</v>
      </c>
      <c r="E727" s="40" t="e">
        <f>D727*0.2</f>
        <v>#REF!</v>
      </c>
      <c r="F727" s="50" t="e">
        <f>E727*1.03*0.8/90</f>
        <v>#REF!</v>
      </c>
      <c r="G727" s="42" t="e">
        <f t="shared" si="174"/>
        <v>#REF!</v>
      </c>
      <c r="H727" s="45" t="s">
        <v>18</v>
      </c>
      <c r="I727" s="42" t="e">
        <f t="shared" si="175"/>
        <v>#REF!</v>
      </c>
      <c r="J727" s="40" t="s">
        <v>19</v>
      </c>
      <c r="K727" s="40"/>
      <c r="L727" s="40"/>
      <c r="M727" s="46" t="e">
        <f>((F727*100)/0.0275)/3456</f>
        <v>#REF!</v>
      </c>
      <c r="N727" s="40"/>
      <c r="O727" s="40"/>
      <c r="P727" s="40"/>
      <c r="Q727" s="45" t="s">
        <v>18</v>
      </c>
      <c r="R727" s="40"/>
      <c r="S727" s="40" t="s">
        <v>19</v>
      </c>
      <c r="T727" s="47"/>
      <c r="U727" s="40" t="e">
        <f>E727/220*60</f>
        <v>#REF!</v>
      </c>
      <c r="V727" s="40"/>
      <c r="W727" s="47"/>
      <c r="X727" s="40"/>
    </row>
    <row r="728" spans="1:24" s="20" customFormat="1" ht="19.5" thickBot="1" x14ac:dyDescent="0.35">
      <c r="A728" s="41"/>
      <c r="B728" s="41" t="s">
        <v>95</v>
      </c>
      <c r="C728" s="42" t="e">
        <f>#REF!+#REF!+C161</f>
        <v>#REF!</v>
      </c>
      <c r="D728" s="43" t="e">
        <f>C728*18</f>
        <v>#REF!</v>
      </c>
      <c r="E728" s="40" t="e">
        <f>D728*0.2</f>
        <v>#REF!</v>
      </c>
      <c r="F728" s="50" t="e">
        <f>E728*1.03*0.8/147</f>
        <v>#REF!</v>
      </c>
      <c r="G728" s="42" t="e">
        <f t="shared" si="174"/>
        <v>#REF!</v>
      </c>
      <c r="H728" s="45" t="s">
        <v>18</v>
      </c>
      <c r="I728" s="42" t="e">
        <f t="shared" si="175"/>
        <v>#REF!</v>
      </c>
      <c r="J728" s="40" t="s">
        <v>19</v>
      </c>
      <c r="K728" s="40"/>
      <c r="L728" s="40"/>
      <c r="M728" s="46" t="e">
        <f>(F728*5675)/3456</f>
        <v>#REF!</v>
      </c>
      <c r="N728" s="40"/>
      <c r="O728" s="40"/>
      <c r="P728" s="40"/>
      <c r="Q728" s="45" t="s">
        <v>18</v>
      </c>
      <c r="R728" s="40"/>
      <c r="S728" s="40" t="s">
        <v>19</v>
      </c>
      <c r="T728" s="47"/>
      <c r="U728" s="40" t="e">
        <f>E728/220*60</f>
        <v>#REF!</v>
      </c>
      <c r="V728" s="40"/>
      <c r="W728" s="47"/>
      <c r="X728" s="40"/>
    </row>
    <row r="729" spans="1:24" s="20" customFormat="1" ht="19.5" thickBot="1" x14ac:dyDescent="0.35">
      <c r="A729" s="41"/>
      <c r="B729" s="41" t="s">
        <v>226</v>
      </c>
      <c r="C729" s="42" t="e">
        <f>#REF!+#REF!+C164</f>
        <v>#REF!</v>
      </c>
      <c r="D729" s="43" t="e">
        <f t="shared" ref="D729:D734" si="176">C729*10</f>
        <v>#REF!</v>
      </c>
      <c r="E729" s="40" t="e">
        <f>D729*0.36</f>
        <v>#REF!</v>
      </c>
      <c r="F729" s="50" t="e">
        <f>E729*1.03*0.8/147</f>
        <v>#REF!</v>
      </c>
      <c r="G729" s="42" t="e">
        <f t="shared" si="174"/>
        <v>#REF!</v>
      </c>
      <c r="H729" s="45" t="s">
        <v>18</v>
      </c>
      <c r="I729" s="42" t="e">
        <f t="shared" si="175"/>
        <v>#REF!</v>
      </c>
      <c r="J729" s="40" t="s">
        <v>19</v>
      </c>
      <c r="K729" s="40"/>
      <c r="L729" s="40"/>
      <c r="M729" s="46" t="e">
        <f>(F729*6447)/3456</f>
        <v>#REF!</v>
      </c>
      <c r="N729" s="40"/>
      <c r="O729" s="40"/>
      <c r="P729" s="40"/>
      <c r="Q729" s="45" t="s">
        <v>18</v>
      </c>
      <c r="R729" s="40"/>
      <c r="S729" s="40" t="s">
        <v>19</v>
      </c>
      <c r="T729" s="47"/>
      <c r="U729" s="40" t="e">
        <f>E729/220*60</f>
        <v>#REF!</v>
      </c>
      <c r="V729" s="40"/>
      <c r="W729" s="47"/>
      <c r="X729" s="40"/>
    </row>
    <row r="730" spans="1:24" s="20" customFormat="1" ht="19.5" thickBot="1" x14ac:dyDescent="0.35">
      <c r="A730" s="41"/>
      <c r="B730" s="41" t="s">
        <v>290</v>
      </c>
      <c r="C730" s="42" t="e">
        <f>#REF!+#REF!+C169</f>
        <v>#REF!</v>
      </c>
      <c r="D730" s="43" t="e">
        <f t="shared" si="176"/>
        <v>#REF!</v>
      </c>
      <c r="E730" s="40" t="e">
        <f>D730*0.36</f>
        <v>#REF!</v>
      </c>
      <c r="F730" s="50" t="e">
        <f>E730*1.03*0.8/147</f>
        <v>#REF!</v>
      </c>
      <c r="G730" s="42" t="e">
        <f t="shared" si="174"/>
        <v>#REF!</v>
      </c>
      <c r="H730" s="45" t="s">
        <v>18</v>
      </c>
      <c r="I730" s="42" t="e">
        <f t="shared" si="175"/>
        <v>#REF!</v>
      </c>
      <c r="J730" s="40" t="s">
        <v>19</v>
      </c>
      <c r="K730" s="40"/>
      <c r="L730" s="40"/>
      <c r="M730" s="46" t="e">
        <f>(F730*6447)/3456</f>
        <v>#REF!</v>
      </c>
      <c r="N730" s="40"/>
      <c r="O730" s="40"/>
      <c r="P730" s="40"/>
      <c r="Q730" s="45" t="s">
        <v>18</v>
      </c>
      <c r="R730" s="40"/>
      <c r="S730" s="40" t="s">
        <v>19</v>
      </c>
      <c r="T730" s="47"/>
      <c r="U730" s="40" t="e">
        <f>E730/220*60</f>
        <v>#REF!</v>
      </c>
      <c r="V730" s="40"/>
      <c r="W730" s="47"/>
      <c r="X730" s="40"/>
    </row>
    <row r="731" spans="1:24" s="20" customFormat="1" ht="19.5" thickBot="1" x14ac:dyDescent="0.35">
      <c r="A731" s="41"/>
      <c r="B731" s="41" t="s">
        <v>84</v>
      </c>
      <c r="C731" s="42" t="e">
        <f>#REF!+#REF!+#REF!</f>
        <v>#REF!</v>
      </c>
      <c r="D731" s="43" t="e">
        <f t="shared" si="176"/>
        <v>#REF!</v>
      </c>
      <c r="E731" s="45" t="e">
        <f t="shared" ref="E731:E736" si="177">D731*0.25</f>
        <v>#REF!</v>
      </c>
      <c r="F731" s="50" t="e">
        <f>E731*1.03*0.72/147</f>
        <v>#REF!</v>
      </c>
      <c r="G731" s="42" t="e">
        <f t="shared" si="174"/>
        <v>#REF!</v>
      </c>
      <c r="H731" s="45" t="s">
        <v>18</v>
      </c>
      <c r="I731" s="42" t="e">
        <f t="shared" si="175"/>
        <v>#REF!</v>
      </c>
      <c r="J731" s="40" t="s">
        <v>19</v>
      </c>
      <c r="K731" s="40"/>
      <c r="L731" s="40"/>
      <c r="M731" s="46" t="e">
        <f>(F731*7177/3456)</f>
        <v>#REF!</v>
      </c>
      <c r="N731" s="40"/>
      <c r="O731" s="40"/>
      <c r="P731" s="40"/>
      <c r="Q731" s="14" t="s">
        <v>18</v>
      </c>
      <c r="R731" s="40"/>
      <c r="S731" s="40" t="s">
        <v>19</v>
      </c>
      <c r="T731" s="47"/>
      <c r="U731" s="40" t="e">
        <f t="shared" ref="U731:U739" si="178">E731/259*60</f>
        <v>#REF!</v>
      </c>
      <c r="V731" s="40"/>
      <c r="W731" s="47"/>
      <c r="X731" s="40"/>
    </row>
    <row r="732" spans="1:24" s="20" customFormat="1" ht="19.5" thickBot="1" x14ac:dyDescent="0.35">
      <c r="A732" s="41"/>
      <c r="B732" s="41" t="s">
        <v>83</v>
      </c>
      <c r="C732" s="42" t="e">
        <f>#REF!+#REF!+#REF!</f>
        <v>#REF!</v>
      </c>
      <c r="D732" s="43" t="e">
        <f t="shared" si="176"/>
        <v>#REF!</v>
      </c>
      <c r="E732" s="45" t="e">
        <f t="shared" si="177"/>
        <v>#REF!</v>
      </c>
      <c r="F732" s="50" t="e">
        <f>E732*1.03*0.72/147</f>
        <v>#REF!</v>
      </c>
      <c r="G732" s="42" t="e">
        <f t="shared" si="174"/>
        <v>#REF!</v>
      </c>
      <c r="H732" s="45" t="s">
        <v>18</v>
      </c>
      <c r="I732" s="42" t="e">
        <f t="shared" si="175"/>
        <v>#REF!</v>
      </c>
      <c r="J732" s="40" t="s">
        <v>19</v>
      </c>
      <c r="K732" s="40"/>
      <c r="L732" s="40"/>
      <c r="M732" s="46" t="e">
        <f>(F732*8448/3456)</f>
        <v>#REF!</v>
      </c>
      <c r="N732" s="40"/>
      <c r="O732" s="40"/>
      <c r="P732" s="40"/>
      <c r="Q732" s="14" t="s">
        <v>18</v>
      </c>
      <c r="R732" s="40"/>
      <c r="S732" s="40" t="s">
        <v>19</v>
      </c>
      <c r="T732" s="47"/>
      <c r="U732" s="40" t="e">
        <f t="shared" si="178"/>
        <v>#REF!</v>
      </c>
      <c r="V732" s="40"/>
      <c r="W732" s="47"/>
      <c r="X732" s="40"/>
    </row>
    <row r="733" spans="1:24" s="20" customFormat="1" ht="19.5" thickBot="1" x14ac:dyDescent="0.35">
      <c r="A733" s="41"/>
      <c r="B733" s="41" t="s">
        <v>87</v>
      </c>
      <c r="C733" s="42" t="e">
        <f>#REF!+#REF!+#REF!</f>
        <v>#REF!</v>
      </c>
      <c r="D733" s="43" t="e">
        <f t="shared" si="176"/>
        <v>#REF!</v>
      </c>
      <c r="E733" s="45" t="e">
        <f t="shared" si="177"/>
        <v>#REF!</v>
      </c>
      <c r="F733" s="50" t="e">
        <f>E733*1.03*0.72/147</f>
        <v>#REF!</v>
      </c>
      <c r="G733" s="42" t="e">
        <f t="shared" si="174"/>
        <v>#REF!</v>
      </c>
      <c r="H733" s="45" t="s">
        <v>18</v>
      </c>
      <c r="I733" s="42" t="e">
        <f t="shared" si="175"/>
        <v>#REF!</v>
      </c>
      <c r="J733" s="40" t="s">
        <v>19</v>
      </c>
      <c r="K733" s="40"/>
      <c r="L733" s="40"/>
      <c r="M733" s="46" t="e">
        <f>(F733*8448/3456)</f>
        <v>#REF!</v>
      </c>
      <c r="N733" s="40"/>
      <c r="O733" s="40"/>
      <c r="P733" s="40"/>
      <c r="Q733" s="14" t="s">
        <v>18</v>
      </c>
      <c r="R733" s="40"/>
      <c r="S733" s="40" t="s">
        <v>19</v>
      </c>
      <c r="T733" s="47"/>
      <c r="U733" s="40" t="e">
        <f t="shared" si="178"/>
        <v>#REF!</v>
      </c>
      <c r="V733" s="40"/>
      <c r="W733" s="47"/>
      <c r="X733" s="40"/>
    </row>
    <row r="734" spans="1:24" s="20" customFormat="1" ht="38.25" thickBot="1" x14ac:dyDescent="0.35">
      <c r="A734" s="41"/>
      <c r="B734" s="41" t="s">
        <v>284</v>
      </c>
      <c r="C734" s="42" t="e">
        <f>#REF!+#REF!+#REF!</f>
        <v>#REF!</v>
      </c>
      <c r="D734" s="43" t="e">
        <f t="shared" si="176"/>
        <v>#REF!</v>
      </c>
      <c r="E734" s="45" t="e">
        <f t="shared" si="177"/>
        <v>#REF!</v>
      </c>
      <c r="F734" s="50" t="e">
        <f>E734*1.03*0.72/147</f>
        <v>#REF!</v>
      </c>
      <c r="G734" s="42" t="e">
        <f t="shared" si="174"/>
        <v>#REF!</v>
      </c>
      <c r="H734" s="45" t="s">
        <v>18</v>
      </c>
      <c r="I734" s="42" t="e">
        <f t="shared" si="175"/>
        <v>#REF!</v>
      </c>
      <c r="J734" s="40" t="s">
        <v>19</v>
      </c>
      <c r="K734" s="40"/>
      <c r="L734" s="40"/>
      <c r="M734" s="46" t="e">
        <f>(F734*7177/3456)</f>
        <v>#REF!</v>
      </c>
      <c r="N734" s="40"/>
      <c r="O734" s="40"/>
      <c r="P734" s="40"/>
      <c r="Q734" s="14" t="s">
        <v>18</v>
      </c>
      <c r="R734" s="40"/>
      <c r="S734" s="40" t="s">
        <v>19</v>
      </c>
      <c r="T734" s="47"/>
      <c r="U734" s="40" t="e">
        <f t="shared" si="178"/>
        <v>#REF!</v>
      </c>
      <c r="V734" s="40"/>
      <c r="W734" s="47"/>
      <c r="X734" s="40"/>
    </row>
    <row r="735" spans="1:24" s="20" customFormat="1" ht="38.25" thickBot="1" x14ac:dyDescent="0.35">
      <c r="A735" s="41"/>
      <c r="B735" s="41" t="s">
        <v>282</v>
      </c>
      <c r="C735" s="42" t="e">
        <f>#REF!+C171+C151</f>
        <v>#REF!</v>
      </c>
      <c r="D735" s="43" t="e">
        <f>C735*20</f>
        <v>#REF!</v>
      </c>
      <c r="E735" s="45" t="e">
        <f t="shared" si="177"/>
        <v>#REF!</v>
      </c>
      <c r="F735" s="50" t="e">
        <f>E735*1.001*0.72/147</f>
        <v>#REF!</v>
      </c>
      <c r="G735" s="42" t="e">
        <f t="shared" si="174"/>
        <v>#REF!</v>
      </c>
      <c r="H735" s="45" t="s">
        <v>18</v>
      </c>
      <c r="I735" s="42" t="e">
        <f t="shared" si="175"/>
        <v>#REF!</v>
      </c>
      <c r="J735" s="40" t="s">
        <v>19</v>
      </c>
      <c r="K735" s="40"/>
      <c r="L735" s="40"/>
      <c r="M735" s="46" t="e">
        <f>(F735*7177/3456)</f>
        <v>#REF!</v>
      </c>
      <c r="N735" s="40"/>
      <c r="O735" s="40"/>
      <c r="P735" s="40"/>
      <c r="Q735" s="14" t="s">
        <v>18</v>
      </c>
      <c r="R735" s="40"/>
      <c r="S735" s="40" t="s">
        <v>19</v>
      </c>
      <c r="T735" s="47"/>
      <c r="U735" s="40" t="e">
        <f t="shared" si="178"/>
        <v>#REF!</v>
      </c>
      <c r="V735" s="40"/>
      <c r="W735" s="47"/>
      <c r="X735" s="40"/>
    </row>
    <row r="736" spans="1:24" s="20" customFormat="1" ht="19.5" thickBot="1" x14ac:dyDescent="0.35">
      <c r="A736" s="41"/>
      <c r="B736" s="41" t="s">
        <v>283</v>
      </c>
      <c r="C736" s="42" t="e">
        <f>#REF!+C172+C152</f>
        <v>#REF!</v>
      </c>
      <c r="D736" s="43" t="e">
        <f>C736*20</f>
        <v>#REF!</v>
      </c>
      <c r="E736" s="45" t="e">
        <f t="shared" si="177"/>
        <v>#REF!</v>
      </c>
      <c r="F736" s="50" t="e">
        <f>E736*1.001*0.72/147</f>
        <v>#REF!</v>
      </c>
      <c r="G736" s="42" t="e">
        <f t="shared" si="174"/>
        <v>#REF!</v>
      </c>
      <c r="H736" s="45" t="s">
        <v>18</v>
      </c>
      <c r="I736" s="42" t="e">
        <f t="shared" si="175"/>
        <v>#REF!</v>
      </c>
      <c r="J736" s="40" t="s">
        <v>19</v>
      </c>
      <c r="K736" s="40"/>
      <c r="L736" s="40"/>
      <c r="M736" s="46" t="e">
        <f>(F736*7177/3456)</f>
        <v>#REF!</v>
      </c>
      <c r="N736" s="40"/>
      <c r="O736" s="40"/>
      <c r="P736" s="40"/>
      <c r="Q736" s="14" t="s">
        <v>18</v>
      </c>
      <c r="R736" s="40"/>
      <c r="S736" s="40" t="s">
        <v>19</v>
      </c>
      <c r="T736" s="47"/>
      <c r="U736" s="40" t="e">
        <f t="shared" si="178"/>
        <v>#REF!</v>
      </c>
      <c r="V736" s="40"/>
      <c r="W736" s="47"/>
      <c r="X736" s="40"/>
    </row>
    <row r="737" spans="1:24" s="20" customFormat="1" ht="19.5" thickBot="1" x14ac:dyDescent="0.35">
      <c r="A737" s="41"/>
      <c r="B737" s="41" t="s">
        <v>89</v>
      </c>
      <c r="C737" s="42" t="e">
        <f>#REF!+C173+C155</f>
        <v>#REF!</v>
      </c>
      <c r="D737" s="43" t="e">
        <f>C737*144</f>
        <v>#REF!</v>
      </c>
      <c r="E737" s="45" t="e">
        <f>D737*0.025</f>
        <v>#REF!</v>
      </c>
      <c r="F737" s="50" t="e">
        <f>E737*1.03*0.72/147</f>
        <v>#REF!</v>
      </c>
      <c r="G737" s="42" t="e">
        <f t="shared" si="174"/>
        <v>#REF!</v>
      </c>
      <c r="H737" s="45" t="s">
        <v>18</v>
      </c>
      <c r="I737" s="42" t="e">
        <f t="shared" si="175"/>
        <v>#REF!</v>
      </c>
      <c r="J737" s="40" t="s">
        <v>19</v>
      </c>
      <c r="K737" s="40"/>
      <c r="L737" s="40"/>
      <c r="M737" s="46" t="e">
        <f>(F737*8448/3456)</f>
        <v>#REF!</v>
      </c>
      <c r="N737" s="40"/>
      <c r="O737" s="40"/>
      <c r="P737" s="40"/>
      <c r="Q737" s="14" t="s">
        <v>18</v>
      </c>
      <c r="R737" s="40"/>
      <c r="S737" s="40" t="s">
        <v>19</v>
      </c>
      <c r="T737" s="47"/>
      <c r="U737" s="40" t="e">
        <f t="shared" si="178"/>
        <v>#REF!</v>
      </c>
      <c r="V737" s="40"/>
      <c r="W737" s="47"/>
      <c r="X737" s="40"/>
    </row>
    <row r="738" spans="1:24" s="20" customFormat="1" ht="19.5" thickBot="1" x14ac:dyDescent="0.35">
      <c r="A738" s="41"/>
      <c r="B738" s="41" t="s">
        <v>219</v>
      </c>
      <c r="C738" s="42" t="e">
        <f>#REF!+C174+C156</f>
        <v>#REF!</v>
      </c>
      <c r="D738" s="43" t="e">
        <f>C738*10</f>
        <v>#REF!</v>
      </c>
      <c r="E738" s="45" t="e">
        <f>D738*0.2</f>
        <v>#REF!</v>
      </c>
      <c r="F738" s="50" t="e">
        <f>E738*1.03*0.72/147</f>
        <v>#REF!</v>
      </c>
      <c r="G738" s="42" t="e">
        <f t="shared" si="174"/>
        <v>#REF!</v>
      </c>
      <c r="H738" s="45" t="s">
        <v>18</v>
      </c>
      <c r="I738" s="42" t="e">
        <f t="shared" si="175"/>
        <v>#REF!</v>
      </c>
      <c r="J738" s="40" t="s">
        <v>19</v>
      </c>
      <c r="K738" s="40"/>
      <c r="L738" s="40"/>
      <c r="M738" s="46" t="e">
        <f>(F738*8400/3456)</f>
        <v>#REF!</v>
      </c>
      <c r="N738" s="40"/>
      <c r="O738" s="40"/>
      <c r="P738" s="40"/>
      <c r="Q738" s="14" t="s">
        <v>18</v>
      </c>
      <c r="R738" s="40"/>
      <c r="S738" s="40" t="s">
        <v>19</v>
      </c>
      <c r="T738" s="47"/>
      <c r="U738" s="40" t="e">
        <f t="shared" si="178"/>
        <v>#REF!</v>
      </c>
      <c r="V738" s="40"/>
      <c r="W738" s="47"/>
      <c r="X738" s="40"/>
    </row>
    <row r="739" spans="1:24" s="20" customFormat="1" ht="19.5" thickBot="1" x14ac:dyDescent="0.35">
      <c r="A739" s="41"/>
      <c r="B739" s="41" t="s">
        <v>86</v>
      </c>
      <c r="C739" s="42" t="e">
        <f>#REF!+C175+C157</f>
        <v>#REF!</v>
      </c>
      <c r="D739" s="43" t="e">
        <f>C739*10</f>
        <v>#REF!</v>
      </c>
      <c r="E739" s="45" t="e">
        <f>D739*0.2</f>
        <v>#REF!</v>
      </c>
      <c r="F739" s="50" t="e">
        <f>E739*1.03*0.72/147</f>
        <v>#REF!</v>
      </c>
      <c r="G739" s="42" t="e">
        <f t="shared" si="174"/>
        <v>#REF!</v>
      </c>
      <c r="H739" s="45" t="s">
        <v>18</v>
      </c>
      <c r="I739" s="42" t="e">
        <f t="shared" si="175"/>
        <v>#REF!</v>
      </c>
      <c r="J739" s="40" t="s">
        <v>19</v>
      </c>
      <c r="K739" s="40"/>
      <c r="L739" s="40"/>
      <c r="M739" s="46" t="e">
        <f>(F739*8400/3456)</f>
        <v>#REF!</v>
      </c>
      <c r="N739" s="40"/>
      <c r="O739" s="40"/>
      <c r="P739" s="40"/>
      <c r="Q739" s="14" t="s">
        <v>18</v>
      </c>
      <c r="R739" s="40"/>
      <c r="S739" s="40" t="s">
        <v>19</v>
      </c>
      <c r="T739" s="47"/>
      <c r="U739" s="40" t="e">
        <f t="shared" si="178"/>
        <v>#REF!</v>
      </c>
      <c r="V739" s="40"/>
      <c r="W739" s="47"/>
      <c r="X739" s="40"/>
    </row>
    <row r="740" spans="1:24" s="20" customFormat="1" ht="19.5" thickBot="1" x14ac:dyDescent="0.35">
      <c r="A740" s="41"/>
      <c r="B740" s="41" t="s">
        <v>98</v>
      </c>
      <c r="C740" s="42" t="e">
        <f>#REF!+C176+C160</f>
        <v>#REF!</v>
      </c>
      <c r="D740" s="43" t="e">
        <f>C740*10</f>
        <v>#REF!</v>
      </c>
      <c r="E740" s="40" t="e">
        <f>D740*0.2</f>
        <v>#REF!</v>
      </c>
      <c r="F740" s="50" t="e">
        <f>E740*1.03*0.8/147</f>
        <v>#REF!</v>
      </c>
      <c r="G740" s="42" t="e">
        <f t="shared" si="174"/>
        <v>#REF!</v>
      </c>
      <c r="H740" s="45" t="s">
        <v>18</v>
      </c>
      <c r="I740" s="42" t="e">
        <f t="shared" si="175"/>
        <v>#REF!</v>
      </c>
      <c r="J740" s="40" t="s">
        <v>19</v>
      </c>
      <c r="K740" s="40"/>
      <c r="L740" s="40"/>
      <c r="M740" s="46" t="e">
        <f>(F740*9483)/3456</f>
        <v>#REF!</v>
      </c>
      <c r="N740" s="40"/>
      <c r="O740" s="40"/>
      <c r="P740" s="40"/>
      <c r="Q740" s="14" t="s">
        <v>18</v>
      </c>
      <c r="R740" s="40"/>
      <c r="S740" s="40" t="s">
        <v>19</v>
      </c>
      <c r="T740" s="47"/>
      <c r="U740" s="40" t="e">
        <f>E740/220*60</f>
        <v>#REF!</v>
      </c>
      <c r="V740" s="40"/>
      <c r="W740" s="47"/>
      <c r="X740" s="40"/>
    </row>
    <row r="741" spans="1:24" s="20" customFormat="1" ht="19.5" thickBot="1" x14ac:dyDescent="0.35">
      <c r="A741" s="26"/>
      <c r="B741" s="138" t="s">
        <v>299</v>
      </c>
      <c r="C741" s="27"/>
      <c r="D741" s="28"/>
      <c r="E741" s="19"/>
      <c r="F741" s="29"/>
      <c r="G741" s="27"/>
      <c r="H741" s="30"/>
      <c r="I741" s="27"/>
      <c r="J741" s="19"/>
      <c r="K741" s="19"/>
      <c r="L741" s="19"/>
      <c r="M741" s="31"/>
      <c r="N741" s="19"/>
      <c r="O741" s="19"/>
      <c r="P741" s="19"/>
      <c r="Q741" s="30"/>
      <c r="R741" s="19"/>
      <c r="S741" s="19"/>
      <c r="T741" s="32"/>
      <c r="U741" s="19"/>
      <c r="V741" s="19"/>
      <c r="W741" s="32"/>
      <c r="X741" s="19"/>
    </row>
    <row r="742" spans="1:24" s="20" customFormat="1" ht="19.5" thickBot="1" x14ac:dyDescent="0.35">
      <c r="A742" s="41"/>
      <c r="B742" s="41" t="s">
        <v>99</v>
      </c>
      <c r="C742" s="42" t="e">
        <f>#REF!+#REF!+#REF!</f>
        <v>#REF!</v>
      </c>
      <c r="D742" s="43"/>
      <c r="E742" s="45" t="e">
        <f>C742*4</f>
        <v>#REF!</v>
      </c>
      <c r="F742" s="50" t="e">
        <f>E742*1.03*0.8/147</f>
        <v>#REF!</v>
      </c>
      <c r="G742" s="42" t="e">
        <f t="shared" ref="G742:G747" si="179">INT(M742)</f>
        <v>#REF!</v>
      </c>
      <c r="H742" s="45" t="s">
        <v>18</v>
      </c>
      <c r="I742" s="42" t="e">
        <f t="shared" ref="I742:I747" si="180">(M742-G742)*64</f>
        <v>#REF!</v>
      </c>
      <c r="J742" s="40" t="s">
        <v>19</v>
      </c>
      <c r="K742" s="40"/>
      <c r="L742" s="40"/>
      <c r="M742" s="46" t="e">
        <f>(F742*5444/3456)</f>
        <v>#REF!</v>
      </c>
      <c r="N742" s="40"/>
      <c r="O742" s="40"/>
      <c r="P742" s="40"/>
      <c r="Q742" s="14" t="s">
        <v>18</v>
      </c>
      <c r="R742" s="40"/>
      <c r="S742" s="40" t="s">
        <v>19</v>
      </c>
      <c r="T742" s="47"/>
      <c r="U742" s="40" t="e">
        <f t="shared" ref="U742:U747" si="181">E742/324*60</f>
        <v>#REF!</v>
      </c>
      <c r="V742" s="40"/>
      <c r="W742" s="47"/>
      <c r="X742" s="40"/>
    </row>
    <row r="743" spans="1:24" s="20" customFormat="1" ht="19.5" thickBot="1" x14ac:dyDescent="0.35">
      <c r="A743" s="41"/>
      <c r="B743" s="41" t="s">
        <v>85</v>
      </c>
      <c r="C743" s="42" t="e">
        <f>#REF!+#REF!+C165</f>
        <v>#REF!</v>
      </c>
      <c r="D743" s="43"/>
      <c r="E743" s="45" t="e">
        <f>C743*2.5</f>
        <v>#REF!</v>
      </c>
      <c r="F743" s="50" t="e">
        <f>E743*1.03*0.72/147</f>
        <v>#REF!</v>
      </c>
      <c r="G743" s="42" t="e">
        <f t="shared" si="179"/>
        <v>#REF!</v>
      </c>
      <c r="H743" s="45" t="s">
        <v>18</v>
      </c>
      <c r="I743" s="42" t="e">
        <f t="shared" si="180"/>
        <v>#REF!</v>
      </c>
      <c r="J743" s="40" t="s">
        <v>19</v>
      </c>
      <c r="K743" s="40"/>
      <c r="L743" s="40"/>
      <c r="M743" s="46" t="e">
        <f>(F743*6049/3456)</f>
        <v>#REF!</v>
      </c>
      <c r="N743" s="40"/>
      <c r="O743" s="40"/>
      <c r="P743" s="40"/>
      <c r="Q743" s="14" t="s">
        <v>18</v>
      </c>
      <c r="R743" s="40"/>
      <c r="S743" s="40" t="s">
        <v>19</v>
      </c>
      <c r="T743" s="47"/>
      <c r="U743" s="40" t="e">
        <f t="shared" si="181"/>
        <v>#REF!</v>
      </c>
      <c r="V743" s="40"/>
      <c r="W743" s="47"/>
      <c r="X743" s="40"/>
    </row>
    <row r="744" spans="1:24" s="20" customFormat="1" ht="19.5" thickBot="1" x14ac:dyDescent="0.35">
      <c r="A744" s="41"/>
      <c r="B744" s="41" t="s">
        <v>88</v>
      </c>
      <c r="C744" s="42" t="e">
        <f>#REF!+#REF!+C167</f>
        <v>#REF!</v>
      </c>
      <c r="D744" s="43"/>
      <c r="E744" s="45" t="e">
        <f>C744*2.5</f>
        <v>#REF!</v>
      </c>
      <c r="F744" s="50" t="e">
        <f>E744*1.03*0.72/147</f>
        <v>#REF!</v>
      </c>
      <c r="G744" s="42" t="e">
        <f t="shared" si="179"/>
        <v>#REF!</v>
      </c>
      <c r="H744" s="45" t="s">
        <v>18</v>
      </c>
      <c r="I744" s="42" t="e">
        <f t="shared" si="180"/>
        <v>#REF!</v>
      </c>
      <c r="J744" s="40" t="s">
        <v>19</v>
      </c>
      <c r="K744" s="40"/>
      <c r="L744" s="40"/>
      <c r="M744" s="46" t="e">
        <f>(F744*6049/3456)</f>
        <v>#REF!</v>
      </c>
      <c r="N744" s="40"/>
      <c r="O744" s="40"/>
      <c r="P744" s="40"/>
      <c r="Q744" s="14" t="s">
        <v>18</v>
      </c>
      <c r="R744" s="40"/>
      <c r="S744" s="40" t="s">
        <v>19</v>
      </c>
      <c r="T744" s="47"/>
      <c r="U744" s="40" t="e">
        <f t="shared" si="181"/>
        <v>#REF!</v>
      </c>
      <c r="V744" s="40"/>
      <c r="W744" s="47"/>
      <c r="X744" s="40"/>
    </row>
    <row r="745" spans="1:24" s="20" customFormat="1" ht="19.5" thickBot="1" x14ac:dyDescent="0.35">
      <c r="A745" s="41"/>
      <c r="B745" s="41" t="s">
        <v>97</v>
      </c>
      <c r="C745" s="42" t="e">
        <f>#REF!+#REF!+#REF!</f>
        <v>#REF!</v>
      </c>
      <c r="D745" s="43"/>
      <c r="E745" s="45" t="e">
        <f>C745*2.5</f>
        <v>#REF!</v>
      </c>
      <c r="F745" s="50" t="e">
        <f>E745*1.03*0.8/147</f>
        <v>#REF!</v>
      </c>
      <c r="G745" s="42" t="e">
        <f t="shared" si="179"/>
        <v>#REF!</v>
      </c>
      <c r="H745" s="45" t="s">
        <v>18</v>
      </c>
      <c r="I745" s="42" t="e">
        <f t="shared" si="180"/>
        <v>#REF!</v>
      </c>
      <c r="J745" s="40" t="s">
        <v>19</v>
      </c>
      <c r="K745" s="40"/>
      <c r="L745" s="40"/>
      <c r="M745" s="46" t="e">
        <f>(F745*5444/3456)</f>
        <v>#REF!</v>
      </c>
      <c r="N745" s="40"/>
      <c r="O745" s="40"/>
      <c r="P745" s="40"/>
      <c r="Q745" s="14" t="s">
        <v>18</v>
      </c>
      <c r="R745" s="40"/>
      <c r="S745" s="40" t="s">
        <v>19</v>
      </c>
      <c r="T745" s="47"/>
      <c r="U745" s="40" t="e">
        <f t="shared" si="181"/>
        <v>#REF!</v>
      </c>
      <c r="V745" s="40"/>
      <c r="W745" s="47"/>
      <c r="X745" s="40"/>
    </row>
    <row r="746" spans="1:24" s="54" customFormat="1" ht="19.5" thickBot="1" x14ac:dyDescent="0.35">
      <c r="A746" s="41"/>
      <c r="B746" s="41" t="s">
        <v>96</v>
      </c>
      <c r="C746" s="42" t="e">
        <f>#REF!+#REF!+#REF!</f>
        <v>#REF!</v>
      </c>
      <c r="D746" s="43"/>
      <c r="E746" s="45" t="e">
        <f>C746*3</f>
        <v>#REF!</v>
      </c>
      <c r="F746" s="50" t="e">
        <f>E746*1.03*0.8/147</f>
        <v>#REF!</v>
      </c>
      <c r="G746" s="42" t="e">
        <f t="shared" si="179"/>
        <v>#REF!</v>
      </c>
      <c r="H746" s="45" t="s">
        <v>18</v>
      </c>
      <c r="I746" s="42" t="e">
        <f t="shared" si="180"/>
        <v>#REF!</v>
      </c>
      <c r="J746" s="40" t="s">
        <v>19</v>
      </c>
      <c r="K746" s="40"/>
      <c r="L746" s="40"/>
      <c r="M746" s="46" t="e">
        <f>(F746*5444/3456)</f>
        <v>#REF!</v>
      </c>
      <c r="N746" s="40"/>
      <c r="O746" s="40"/>
      <c r="P746" s="40"/>
      <c r="Q746" s="14" t="s">
        <v>18</v>
      </c>
      <c r="R746" s="40"/>
      <c r="S746" s="40" t="s">
        <v>19</v>
      </c>
      <c r="T746" s="47"/>
      <c r="U746" s="40" t="e">
        <f t="shared" si="181"/>
        <v>#REF!</v>
      </c>
      <c r="V746" s="40"/>
      <c r="W746" s="47"/>
      <c r="X746" s="40"/>
    </row>
    <row r="747" spans="1:24" s="20" customFormat="1" ht="19.5" thickBot="1" x14ac:dyDescent="0.35">
      <c r="A747" s="41"/>
      <c r="B747" s="41" t="s">
        <v>222</v>
      </c>
      <c r="C747" s="42" t="e">
        <f>#REF!+#REF!+C162</f>
        <v>#REF!</v>
      </c>
      <c r="D747" s="43"/>
      <c r="E747" s="45" t="e">
        <f>C747*4</f>
        <v>#REF!</v>
      </c>
      <c r="F747" s="50" t="e">
        <f>E747*1.03*0.72/147</f>
        <v>#REF!</v>
      </c>
      <c r="G747" s="42" t="e">
        <f t="shared" si="179"/>
        <v>#REF!</v>
      </c>
      <c r="H747" s="45" t="s">
        <v>18</v>
      </c>
      <c r="I747" s="42" t="e">
        <f t="shared" si="180"/>
        <v>#REF!</v>
      </c>
      <c r="J747" s="40" t="s">
        <v>19</v>
      </c>
      <c r="K747" s="40"/>
      <c r="L747" s="40"/>
      <c r="M747" s="46" t="e">
        <f>(F747*6049/3456)</f>
        <v>#REF!</v>
      </c>
      <c r="N747" s="40"/>
      <c r="O747" s="40"/>
      <c r="P747" s="40"/>
      <c r="Q747" s="14" t="s">
        <v>18</v>
      </c>
      <c r="R747" s="40"/>
      <c r="S747" s="40" t="s">
        <v>19</v>
      </c>
      <c r="T747" s="47"/>
      <c r="U747" s="40" t="e">
        <f t="shared" si="181"/>
        <v>#REF!</v>
      </c>
      <c r="V747" s="40"/>
      <c r="W747" s="47"/>
      <c r="X747" s="40"/>
    </row>
    <row r="748" spans="1:24" s="20" customFormat="1" ht="19.5" thickBot="1" x14ac:dyDescent="0.35">
      <c r="A748" s="26"/>
      <c r="B748" s="68" t="s">
        <v>309</v>
      </c>
      <c r="C748" s="27"/>
      <c r="D748" s="28"/>
      <c r="E748" s="69" t="e">
        <f>E747+E746+E745+E744+E743+E742+E740+E739+E738+E737+E736+E735+E733+E734++E732+E731+E730+E728+E729+E727+E726</f>
        <v>#REF!</v>
      </c>
      <c r="F748" s="36"/>
      <c r="G748" s="27"/>
      <c r="H748" s="30"/>
      <c r="I748" s="27"/>
      <c r="J748" s="19"/>
      <c r="K748" s="19"/>
      <c r="L748" s="19"/>
      <c r="M748" s="31"/>
      <c r="N748" s="19"/>
      <c r="O748" s="19"/>
      <c r="P748" s="19"/>
      <c r="Q748" s="35"/>
      <c r="R748" s="19"/>
      <c r="S748" s="19"/>
      <c r="T748" s="32"/>
      <c r="U748" s="19"/>
      <c r="V748" s="19"/>
      <c r="W748" s="32"/>
      <c r="X748" s="19"/>
    </row>
    <row r="749" spans="1:24" s="20" customFormat="1" ht="19.5" thickBot="1" x14ac:dyDescent="0.35">
      <c r="A749" s="68"/>
      <c r="B749" s="68" t="s">
        <v>148</v>
      </c>
      <c r="C749" s="27"/>
      <c r="D749" s="28"/>
      <c r="E749" s="69">
        <f>E716+E715+E714+E712+E711+E710+E709+E708+E707+E706+E705+E704+E703+E702+E701+E700+E699+E698+E697+E696</f>
        <v>0</v>
      </c>
      <c r="F749" s="36"/>
      <c r="G749" s="27"/>
      <c r="H749" s="30"/>
      <c r="I749" s="27"/>
      <c r="J749" s="19"/>
      <c r="K749" s="19"/>
      <c r="L749" s="19"/>
      <c r="M749" s="31"/>
      <c r="N749" s="19"/>
      <c r="O749" s="19"/>
      <c r="P749" s="19"/>
      <c r="Q749" s="35"/>
      <c r="R749" s="19"/>
      <c r="S749" s="19"/>
      <c r="T749" s="32"/>
      <c r="U749" s="19"/>
      <c r="V749" s="19"/>
      <c r="W749" s="32"/>
      <c r="X749" s="19"/>
    </row>
    <row r="750" spans="1:24" s="20" customFormat="1" ht="19.5" thickBot="1" x14ac:dyDescent="0.35">
      <c r="A750" s="67"/>
      <c r="B750" s="928" t="s">
        <v>301</v>
      </c>
      <c r="C750" s="931"/>
      <c r="D750" s="931"/>
      <c r="E750" s="931"/>
      <c r="F750" s="931"/>
      <c r="G750" s="931"/>
      <c r="H750" s="931"/>
      <c r="I750" s="931"/>
      <c r="J750" s="931"/>
      <c r="K750" s="931"/>
      <c r="L750" s="931"/>
      <c r="M750" s="931"/>
      <c r="N750" s="931"/>
      <c r="O750" s="931"/>
      <c r="P750" s="931"/>
      <c r="Q750" s="931"/>
      <c r="R750" s="931"/>
      <c r="S750" s="931"/>
      <c r="T750" s="931"/>
      <c r="U750" s="931"/>
      <c r="V750" s="931"/>
      <c r="W750" s="931"/>
      <c r="X750" s="932"/>
    </row>
    <row r="751" spans="1:24" s="20" customFormat="1" ht="19.5" thickBot="1" x14ac:dyDescent="0.35">
      <c r="A751" s="71"/>
      <c r="B751" s="137" t="s">
        <v>294</v>
      </c>
      <c r="C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</row>
    <row r="752" spans="1:24" s="20" customFormat="1" ht="19.5" thickBot="1" x14ac:dyDescent="0.35">
      <c r="A752" s="26"/>
      <c r="B752" s="26" t="s">
        <v>248</v>
      </c>
      <c r="C752" s="27">
        <f>C242*2</f>
        <v>0</v>
      </c>
      <c r="D752" s="28"/>
      <c r="E752" s="19">
        <f>C752*4</f>
        <v>0</v>
      </c>
      <c r="F752" s="29">
        <f>E752*0.8*1.03/22</f>
        <v>0</v>
      </c>
      <c r="G752" s="27">
        <f t="shared" ref="G752:G764" si="182">INT(M752)</f>
        <v>0</v>
      </c>
      <c r="H752" s="30" t="s">
        <v>18</v>
      </c>
      <c r="I752" s="27">
        <f t="shared" ref="I752:I764" si="183">(M752-G752)*64</f>
        <v>0</v>
      </c>
      <c r="J752" s="19" t="s">
        <v>19</v>
      </c>
      <c r="K752" s="19"/>
      <c r="L752" s="19"/>
      <c r="M752" s="31">
        <f>F752*784/6272</f>
        <v>0</v>
      </c>
      <c r="N752" s="19"/>
      <c r="O752" s="19"/>
      <c r="P752" s="19"/>
      <c r="Q752" s="30" t="s">
        <v>18</v>
      </c>
      <c r="R752" s="19"/>
      <c r="S752" s="19" t="s">
        <v>19</v>
      </c>
      <c r="T752" s="32"/>
      <c r="U752" s="19">
        <f t="shared" ref="U752:U758" si="184">E752/272*60</f>
        <v>0</v>
      </c>
      <c r="V752" s="19"/>
      <c r="W752" s="32"/>
      <c r="X752" s="19"/>
    </row>
    <row r="753" spans="1:24" s="20" customFormat="1" ht="38.25" thickBot="1" x14ac:dyDescent="0.35">
      <c r="A753" s="26"/>
      <c r="B753" s="26" t="s">
        <v>249</v>
      </c>
      <c r="C753" s="27">
        <f>C161*2</f>
        <v>0</v>
      </c>
      <c r="D753" s="28"/>
      <c r="E753" s="19">
        <f>C753*4</f>
        <v>0</v>
      </c>
      <c r="F753" s="29">
        <f>E753*0.8*1.03/22</f>
        <v>0</v>
      </c>
      <c r="G753" s="27">
        <f t="shared" si="182"/>
        <v>0</v>
      </c>
      <c r="H753" s="30" t="s">
        <v>18</v>
      </c>
      <c r="I753" s="27">
        <f t="shared" si="183"/>
        <v>0</v>
      </c>
      <c r="J753" s="19" t="s">
        <v>19</v>
      </c>
      <c r="K753" s="19"/>
      <c r="L753" s="19"/>
      <c r="M753" s="31">
        <f>F753*784/6272</f>
        <v>0</v>
      </c>
      <c r="N753" s="19"/>
      <c r="O753" s="19"/>
      <c r="P753" s="19"/>
      <c r="Q753" s="30" t="s">
        <v>18</v>
      </c>
      <c r="R753" s="19"/>
      <c r="S753" s="19" t="s">
        <v>19</v>
      </c>
      <c r="T753" s="32"/>
      <c r="U753" s="19">
        <f t="shared" si="184"/>
        <v>0</v>
      </c>
      <c r="V753" s="19"/>
      <c r="W753" s="32"/>
      <c r="X753" s="19"/>
    </row>
    <row r="754" spans="1:24" s="20" customFormat="1" ht="38.25" thickBot="1" x14ac:dyDescent="0.35">
      <c r="A754" s="26"/>
      <c r="B754" s="26" t="s">
        <v>250</v>
      </c>
      <c r="C754" s="27">
        <f>C164*2</f>
        <v>0</v>
      </c>
      <c r="D754" s="28"/>
      <c r="E754" s="19">
        <f>C754*4</f>
        <v>0</v>
      </c>
      <c r="F754" s="29">
        <f>E754*0.8*1.03/22</f>
        <v>0</v>
      </c>
      <c r="G754" s="27">
        <f t="shared" si="182"/>
        <v>0</v>
      </c>
      <c r="H754" s="30" t="s">
        <v>18</v>
      </c>
      <c r="I754" s="27">
        <f t="shared" si="183"/>
        <v>0</v>
      </c>
      <c r="J754" s="19" t="s">
        <v>19</v>
      </c>
      <c r="K754" s="19"/>
      <c r="L754" s="19"/>
      <c r="M754" s="31">
        <f>F754*784/6272</f>
        <v>0</v>
      </c>
      <c r="N754" s="19"/>
      <c r="O754" s="19"/>
      <c r="P754" s="19"/>
      <c r="Q754" s="30" t="s">
        <v>18</v>
      </c>
      <c r="R754" s="19"/>
      <c r="S754" s="19" t="s">
        <v>19</v>
      </c>
      <c r="T754" s="32"/>
      <c r="U754" s="19">
        <f t="shared" si="184"/>
        <v>0</v>
      </c>
      <c r="V754" s="19"/>
      <c r="W754" s="32"/>
      <c r="X754" s="19"/>
    </row>
    <row r="755" spans="1:24" s="20" customFormat="1" ht="19.5" thickBot="1" x14ac:dyDescent="0.35">
      <c r="A755" s="26"/>
      <c r="B755" s="26" t="s">
        <v>25</v>
      </c>
      <c r="C755" s="27">
        <f>C169</f>
        <v>0</v>
      </c>
      <c r="D755" s="28"/>
      <c r="E755" s="19">
        <f>C755*2</f>
        <v>0</v>
      </c>
      <c r="F755" s="29">
        <f>E755*0.76*1.03/22</f>
        <v>0</v>
      </c>
      <c r="G755" s="27">
        <f t="shared" si="182"/>
        <v>0</v>
      </c>
      <c r="H755" s="30" t="s">
        <v>18</v>
      </c>
      <c r="I755" s="27">
        <f t="shared" si="183"/>
        <v>0</v>
      </c>
      <c r="J755" s="19" t="s">
        <v>19</v>
      </c>
      <c r="K755" s="19"/>
      <c r="L755" s="19"/>
      <c r="M755" s="31">
        <f>F755*1568/12544</f>
        <v>0</v>
      </c>
      <c r="N755" s="19"/>
      <c r="O755" s="19"/>
      <c r="P755" s="19"/>
      <c r="Q755" s="30" t="s">
        <v>18</v>
      </c>
      <c r="R755" s="19"/>
      <c r="S755" s="19" t="s">
        <v>19</v>
      </c>
      <c r="T755" s="32"/>
      <c r="U755" s="19">
        <f t="shared" si="184"/>
        <v>0</v>
      </c>
      <c r="V755" s="19"/>
      <c r="W755" s="32"/>
      <c r="X755" s="19"/>
    </row>
    <row r="756" spans="1:24" s="20" customFormat="1" ht="19.5" thickBot="1" x14ac:dyDescent="0.35">
      <c r="A756" s="26"/>
      <c r="B756" s="26" t="s">
        <v>30</v>
      </c>
      <c r="C756" s="27" t="e">
        <f>#REF!</f>
        <v>#REF!</v>
      </c>
      <c r="D756" s="28"/>
      <c r="E756" s="19" t="e">
        <f>C756*2</f>
        <v>#REF!</v>
      </c>
      <c r="F756" s="29" t="e">
        <f>E756*0.76*1.03/22</f>
        <v>#REF!</v>
      </c>
      <c r="G756" s="27" t="e">
        <f t="shared" si="182"/>
        <v>#REF!</v>
      </c>
      <c r="H756" s="30" t="s">
        <v>18</v>
      </c>
      <c r="I756" s="27" t="e">
        <f t="shared" si="183"/>
        <v>#REF!</v>
      </c>
      <c r="J756" s="19" t="s">
        <v>19</v>
      </c>
      <c r="K756" s="19"/>
      <c r="L756" s="19"/>
      <c r="M756" s="31" t="e">
        <f>F756*1568/12544</f>
        <v>#REF!</v>
      </c>
      <c r="N756" s="19"/>
      <c r="O756" s="19"/>
      <c r="P756" s="19"/>
      <c r="Q756" s="30" t="s">
        <v>18</v>
      </c>
      <c r="R756" s="19"/>
      <c r="S756" s="19" t="s">
        <v>19</v>
      </c>
      <c r="T756" s="32"/>
      <c r="U756" s="19" t="e">
        <f t="shared" si="184"/>
        <v>#REF!</v>
      </c>
      <c r="V756" s="19"/>
      <c r="W756" s="32"/>
      <c r="X756" s="19"/>
    </row>
    <row r="757" spans="1:24" s="20" customFormat="1" ht="19.5" thickBot="1" x14ac:dyDescent="0.35">
      <c r="A757" s="26"/>
      <c r="B757" s="26" t="s">
        <v>22</v>
      </c>
      <c r="C757" s="27">
        <f>C151</f>
        <v>0</v>
      </c>
      <c r="D757" s="28"/>
      <c r="E757" s="19">
        <f>C757*2</f>
        <v>0</v>
      </c>
      <c r="F757" s="29">
        <f>E757*0.76*1.03/22</f>
        <v>0</v>
      </c>
      <c r="G757" s="27">
        <f t="shared" si="182"/>
        <v>0</v>
      </c>
      <c r="H757" s="30" t="s">
        <v>18</v>
      </c>
      <c r="I757" s="27">
        <f t="shared" si="183"/>
        <v>0</v>
      </c>
      <c r="J757" s="19" t="s">
        <v>19</v>
      </c>
      <c r="K757" s="19"/>
      <c r="L757" s="19"/>
      <c r="M757" s="31">
        <f>F757*1568/12544</f>
        <v>0</v>
      </c>
      <c r="N757" s="19"/>
      <c r="O757" s="19"/>
      <c r="P757" s="19"/>
      <c r="Q757" s="30" t="s">
        <v>18</v>
      </c>
      <c r="R757" s="19"/>
      <c r="S757" s="19" t="s">
        <v>19</v>
      </c>
      <c r="T757" s="32"/>
      <c r="U757" s="19">
        <f t="shared" si="184"/>
        <v>0</v>
      </c>
      <c r="V757" s="19"/>
      <c r="W757" s="32"/>
      <c r="X757" s="19"/>
    </row>
    <row r="758" spans="1:24" s="20" customFormat="1" ht="19.5" thickBot="1" x14ac:dyDescent="0.35">
      <c r="A758" s="26"/>
      <c r="B758" s="26" t="s">
        <v>33</v>
      </c>
      <c r="C758" s="27">
        <f>C152</f>
        <v>0</v>
      </c>
      <c r="D758" s="28"/>
      <c r="E758" s="19">
        <f>C758*2</f>
        <v>0</v>
      </c>
      <c r="F758" s="29">
        <f>E758*0.76*1.03/22</f>
        <v>0</v>
      </c>
      <c r="G758" s="27">
        <f t="shared" si="182"/>
        <v>0</v>
      </c>
      <c r="H758" s="30" t="s">
        <v>18</v>
      </c>
      <c r="I758" s="27">
        <f t="shared" si="183"/>
        <v>0</v>
      </c>
      <c r="J758" s="19" t="s">
        <v>19</v>
      </c>
      <c r="K758" s="19"/>
      <c r="L758" s="19"/>
      <c r="M758" s="31">
        <f>F758*1568/12544</f>
        <v>0</v>
      </c>
      <c r="N758" s="19"/>
      <c r="O758" s="19"/>
      <c r="P758" s="19"/>
      <c r="Q758" s="30" t="s">
        <v>18</v>
      </c>
      <c r="R758" s="19"/>
      <c r="S758" s="19" t="s">
        <v>19</v>
      </c>
      <c r="T758" s="32"/>
      <c r="U758" s="19">
        <f t="shared" si="184"/>
        <v>0</v>
      </c>
      <c r="V758" s="19"/>
      <c r="W758" s="32"/>
      <c r="X758" s="19"/>
    </row>
    <row r="759" spans="1:24" s="20" customFormat="1" ht="19.5" thickBot="1" x14ac:dyDescent="0.35">
      <c r="A759" s="26"/>
      <c r="B759" s="26" t="s">
        <v>34</v>
      </c>
      <c r="C759" s="27">
        <f>C155</f>
        <v>0</v>
      </c>
      <c r="D759" s="28"/>
      <c r="E759" s="19">
        <f>C759*2</f>
        <v>0</v>
      </c>
      <c r="F759" s="29">
        <f>E759*0.76*1.03/22</f>
        <v>0</v>
      </c>
      <c r="G759" s="27">
        <f t="shared" si="182"/>
        <v>0</v>
      </c>
      <c r="H759" s="30" t="s">
        <v>18</v>
      </c>
      <c r="I759" s="27">
        <f t="shared" si="183"/>
        <v>0</v>
      </c>
      <c r="J759" s="19" t="s">
        <v>19</v>
      </c>
      <c r="K759" s="19"/>
      <c r="L759" s="19"/>
      <c r="M759" s="31">
        <f>F759*1568/12544</f>
        <v>0</v>
      </c>
      <c r="N759" s="19"/>
      <c r="O759" s="19"/>
      <c r="P759" s="19"/>
      <c r="Q759" s="30" t="s">
        <v>18</v>
      </c>
      <c r="R759" s="19"/>
      <c r="S759" s="19" t="s">
        <v>19</v>
      </c>
      <c r="T759" s="32"/>
      <c r="U759" s="19">
        <f>E759/259*60</f>
        <v>0</v>
      </c>
      <c r="V759" s="19"/>
      <c r="W759" s="32"/>
      <c r="X759" s="19"/>
    </row>
    <row r="760" spans="1:24" s="20" customFormat="1" ht="19.5" thickBot="1" x14ac:dyDescent="0.35">
      <c r="A760" s="26"/>
      <c r="B760" s="26" t="s">
        <v>27</v>
      </c>
      <c r="C760" s="27" t="e">
        <f>#REF!</f>
        <v>#REF!</v>
      </c>
      <c r="D760" s="28" t="e">
        <f>C760*12</f>
        <v>#REF!</v>
      </c>
      <c r="E760" s="19" t="e">
        <f>D760*0.28</f>
        <v>#REF!</v>
      </c>
      <c r="F760" s="29" t="e">
        <f>E760*0.8*1.03/22</f>
        <v>#REF!</v>
      </c>
      <c r="G760" s="27" t="e">
        <f t="shared" si="182"/>
        <v>#REF!</v>
      </c>
      <c r="H760" s="30" t="s">
        <v>18</v>
      </c>
      <c r="I760" s="27" t="e">
        <f t="shared" si="183"/>
        <v>#REF!</v>
      </c>
      <c r="J760" s="19" t="s">
        <v>19</v>
      </c>
      <c r="K760" s="19"/>
      <c r="L760" s="19"/>
      <c r="M760" s="31" t="e">
        <f>F760*784/6272</f>
        <v>#REF!</v>
      </c>
      <c r="N760" s="19"/>
      <c r="O760" s="19"/>
      <c r="P760" s="19"/>
      <c r="Q760" s="30" t="s">
        <v>18</v>
      </c>
      <c r="R760" s="19"/>
      <c r="S760" s="19" t="s">
        <v>19</v>
      </c>
      <c r="T760" s="32"/>
      <c r="U760" s="19" t="e">
        <f>E760/272*60</f>
        <v>#REF!</v>
      </c>
      <c r="V760" s="19"/>
      <c r="W760" s="32"/>
      <c r="X760" s="19"/>
    </row>
    <row r="761" spans="1:24" s="20" customFormat="1" ht="19.5" thickBot="1" x14ac:dyDescent="0.35">
      <c r="A761" s="26"/>
      <c r="B761" s="26" t="s">
        <v>29</v>
      </c>
      <c r="C761" s="27" t="e">
        <f>#REF!</f>
        <v>#REF!</v>
      </c>
      <c r="D761" s="28" t="e">
        <f>C761*12</f>
        <v>#REF!</v>
      </c>
      <c r="E761" s="19" t="e">
        <f>D761*0.25</f>
        <v>#REF!</v>
      </c>
      <c r="F761" s="29" t="e">
        <f>E761*0.76*1.03/22</f>
        <v>#REF!</v>
      </c>
      <c r="G761" s="27" t="e">
        <f t="shared" si="182"/>
        <v>#REF!</v>
      </c>
      <c r="H761" s="30" t="s">
        <v>18</v>
      </c>
      <c r="I761" s="27" t="e">
        <f t="shared" si="183"/>
        <v>#REF!</v>
      </c>
      <c r="J761" s="19" t="s">
        <v>19</v>
      </c>
      <c r="K761" s="19"/>
      <c r="L761" s="19"/>
      <c r="M761" s="31" t="e">
        <f>F761*1568/12544</f>
        <v>#REF!</v>
      </c>
      <c r="N761" s="19"/>
      <c r="O761" s="19"/>
      <c r="P761" s="19"/>
      <c r="Q761" s="30" t="s">
        <v>18</v>
      </c>
      <c r="R761" s="19"/>
      <c r="S761" s="19" t="s">
        <v>19</v>
      </c>
      <c r="T761" s="32"/>
      <c r="U761" s="19" t="e">
        <f>E761/272*60</f>
        <v>#REF!</v>
      </c>
      <c r="V761" s="19"/>
      <c r="W761" s="32"/>
      <c r="X761" s="19"/>
    </row>
    <row r="762" spans="1:24" s="20" customFormat="1" ht="19.5" thickBot="1" x14ac:dyDescent="0.35">
      <c r="A762" s="26"/>
      <c r="B762" s="26" t="s">
        <v>296</v>
      </c>
      <c r="C762" s="27">
        <f>C79</f>
        <v>0</v>
      </c>
      <c r="D762" s="28">
        <f>C762*12</f>
        <v>0</v>
      </c>
      <c r="E762" s="19">
        <f>D762*0.25</f>
        <v>0</v>
      </c>
      <c r="F762" s="29">
        <f>E762*0.8*1.01/20</f>
        <v>0</v>
      </c>
      <c r="G762" s="27">
        <f t="shared" si="182"/>
        <v>0</v>
      </c>
      <c r="H762" s="30" t="s">
        <v>18</v>
      </c>
      <c r="I762" s="27">
        <f t="shared" si="183"/>
        <v>0</v>
      </c>
      <c r="J762" s="19" t="s">
        <v>19</v>
      </c>
      <c r="K762" s="19"/>
      <c r="L762" s="19"/>
      <c r="M762" s="31">
        <f>F762*2016/16128</f>
        <v>0</v>
      </c>
      <c r="N762" s="19"/>
      <c r="O762" s="19"/>
      <c r="P762" s="19"/>
      <c r="Q762" s="30" t="s">
        <v>18</v>
      </c>
      <c r="R762" s="19"/>
      <c r="S762" s="19" t="s">
        <v>19</v>
      </c>
      <c r="T762" s="32"/>
      <c r="U762" s="19">
        <f>E762/272*60</f>
        <v>0</v>
      </c>
      <c r="V762" s="19"/>
      <c r="W762" s="32"/>
      <c r="X762" s="19"/>
    </row>
    <row r="763" spans="1:24" s="20" customFormat="1" ht="19.5" thickBot="1" x14ac:dyDescent="0.35">
      <c r="A763" s="26"/>
      <c r="B763" s="26" t="s">
        <v>20</v>
      </c>
      <c r="C763" s="27">
        <f>C187</f>
        <v>0</v>
      </c>
      <c r="D763" s="28">
        <f>C763*12</f>
        <v>0</v>
      </c>
      <c r="E763" s="19">
        <f>D763*0.2</f>
        <v>0</v>
      </c>
      <c r="F763" s="29">
        <f>D763*23*0.0087*1.03/21</f>
        <v>0</v>
      </c>
      <c r="G763" s="27">
        <f t="shared" si="182"/>
        <v>0</v>
      </c>
      <c r="H763" s="30" t="s">
        <v>18</v>
      </c>
      <c r="I763" s="27">
        <f t="shared" si="183"/>
        <v>0</v>
      </c>
      <c r="J763" s="19" t="s">
        <v>19</v>
      </c>
      <c r="K763" s="19"/>
      <c r="L763" s="19"/>
      <c r="M763" s="31">
        <f>F763*2352/12544</f>
        <v>0</v>
      </c>
      <c r="N763" s="19"/>
      <c r="O763" s="19"/>
      <c r="P763" s="19"/>
      <c r="Q763" s="30" t="s">
        <v>18</v>
      </c>
      <c r="R763" s="19"/>
      <c r="S763" s="19" t="s">
        <v>19</v>
      </c>
      <c r="T763" s="32"/>
      <c r="U763" s="19">
        <f>E763/207*60</f>
        <v>0</v>
      </c>
      <c r="V763" s="19"/>
      <c r="W763" s="32"/>
      <c r="X763" s="19"/>
    </row>
    <row r="764" spans="1:24" s="20" customFormat="1" ht="38.25" thickBot="1" x14ac:dyDescent="0.35">
      <c r="A764" s="26"/>
      <c r="B764" s="26" t="s">
        <v>35</v>
      </c>
      <c r="C764" s="27" t="e">
        <f>#REF!</f>
        <v>#REF!</v>
      </c>
      <c r="D764" s="28" t="e">
        <f>C764*12</f>
        <v>#REF!</v>
      </c>
      <c r="E764" s="19" t="e">
        <f>D764*0.2</f>
        <v>#REF!</v>
      </c>
      <c r="F764" s="29" t="e">
        <f>D764*23*0.0087*1.03/21</f>
        <v>#REF!</v>
      </c>
      <c r="G764" s="27" t="e">
        <f t="shared" si="182"/>
        <v>#REF!</v>
      </c>
      <c r="H764" s="30" t="s">
        <v>18</v>
      </c>
      <c r="I764" s="27" t="e">
        <f t="shared" si="183"/>
        <v>#REF!</v>
      </c>
      <c r="J764" s="19" t="s">
        <v>19</v>
      </c>
      <c r="K764" s="19"/>
      <c r="L764" s="19"/>
      <c r="M764" s="31" t="e">
        <f>F764*2352/12544</f>
        <v>#REF!</v>
      </c>
      <c r="N764" s="19"/>
      <c r="O764" s="19"/>
      <c r="P764" s="19"/>
      <c r="Q764" s="30" t="s">
        <v>18</v>
      </c>
      <c r="R764" s="19"/>
      <c r="S764" s="19" t="s">
        <v>19</v>
      </c>
      <c r="T764" s="32"/>
      <c r="U764" s="19" t="e">
        <f>E764/207*60</f>
        <v>#REF!</v>
      </c>
      <c r="V764" s="19"/>
      <c r="W764" s="32"/>
      <c r="X764" s="19"/>
    </row>
    <row r="765" spans="1:24" s="20" customFormat="1" ht="19.5" thickBot="1" x14ac:dyDescent="0.35">
      <c r="A765" s="26"/>
      <c r="B765" s="26" t="s">
        <v>56</v>
      </c>
      <c r="C765" s="27">
        <f>C157</f>
        <v>0</v>
      </c>
      <c r="D765" s="28"/>
      <c r="E765" s="19">
        <f>C765*3</f>
        <v>0</v>
      </c>
      <c r="F765" s="29"/>
      <c r="G765" s="27"/>
      <c r="H765" s="30"/>
      <c r="I765" s="27"/>
      <c r="J765" s="19"/>
      <c r="K765" s="19"/>
      <c r="L765" s="19"/>
      <c r="M765" s="31"/>
      <c r="N765" s="19"/>
      <c r="O765" s="19"/>
      <c r="P765" s="19"/>
      <c r="Q765" s="30"/>
      <c r="R765" s="19"/>
      <c r="S765" s="19"/>
      <c r="T765" s="32"/>
      <c r="U765" s="19"/>
      <c r="V765" s="19"/>
      <c r="W765" s="32"/>
      <c r="X765" s="19"/>
    </row>
    <row r="766" spans="1:24" s="20" customFormat="1" ht="19.5" thickBot="1" x14ac:dyDescent="0.35">
      <c r="A766" s="26"/>
      <c r="B766" s="26" t="s">
        <v>57</v>
      </c>
      <c r="C766" s="27">
        <f>C160</f>
        <v>0</v>
      </c>
      <c r="D766" s="28"/>
      <c r="E766" s="19">
        <f>C766*3</f>
        <v>0</v>
      </c>
      <c r="F766" s="29"/>
      <c r="G766" s="27"/>
      <c r="H766" s="30"/>
      <c r="I766" s="27"/>
      <c r="J766" s="19"/>
      <c r="K766" s="19"/>
      <c r="L766" s="19"/>
      <c r="M766" s="31"/>
      <c r="N766" s="19"/>
      <c r="O766" s="19"/>
      <c r="P766" s="19"/>
      <c r="Q766" s="30"/>
      <c r="R766" s="19"/>
      <c r="S766" s="19"/>
      <c r="T766" s="32"/>
      <c r="U766" s="19"/>
      <c r="V766" s="19"/>
      <c r="W766" s="32"/>
      <c r="X766" s="19"/>
    </row>
    <row r="767" spans="1:24" s="20" customFormat="1" ht="19.5" thickBot="1" x14ac:dyDescent="0.35">
      <c r="A767" s="26"/>
      <c r="B767" s="26" t="s">
        <v>58</v>
      </c>
      <c r="C767" s="27">
        <f>C148</f>
        <v>0</v>
      </c>
      <c r="D767" s="28"/>
      <c r="E767" s="19">
        <f>C767*3</f>
        <v>0</v>
      </c>
      <c r="F767" s="29"/>
      <c r="G767" s="27"/>
      <c r="H767" s="30"/>
      <c r="I767" s="27"/>
      <c r="J767" s="19"/>
      <c r="K767" s="19"/>
      <c r="L767" s="19"/>
      <c r="M767" s="31"/>
      <c r="N767" s="19"/>
      <c r="O767" s="19"/>
      <c r="P767" s="19"/>
      <c r="Q767" s="30"/>
      <c r="R767" s="19"/>
      <c r="S767" s="19"/>
      <c r="T767" s="32"/>
      <c r="U767" s="19"/>
      <c r="V767" s="19"/>
      <c r="W767" s="32"/>
      <c r="X767" s="19"/>
    </row>
    <row r="768" spans="1:24" s="20" customFormat="1" ht="19.5" thickBot="1" x14ac:dyDescent="0.35">
      <c r="A768" s="26"/>
      <c r="B768" s="138" t="s">
        <v>295</v>
      </c>
      <c r="C768" s="27"/>
      <c r="D768" s="28"/>
      <c r="E768" s="19"/>
      <c r="F768" s="29"/>
      <c r="G768" s="27"/>
      <c r="H768" s="30"/>
      <c r="I768" s="27"/>
      <c r="J768" s="19"/>
      <c r="K768" s="19"/>
      <c r="L768" s="19"/>
      <c r="M768" s="31"/>
      <c r="N768" s="19"/>
      <c r="O768" s="19"/>
      <c r="P768" s="19"/>
      <c r="Q768" s="30"/>
      <c r="R768" s="19"/>
      <c r="S768" s="19"/>
      <c r="T768" s="32"/>
      <c r="U768" s="19"/>
      <c r="V768" s="19"/>
      <c r="W768" s="32"/>
      <c r="X768" s="19"/>
    </row>
    <row r="769" spans="1:24" s="20" customFormat="1" ht="38.25" thickBot="1" x14ac:dyDescent="0.35">
      <c r="A769" s="26"/>
      <c r="B769" s="26" t="s">
        <v>45</v>
      </c>
      <c r="C769" s="27" t="e">
        <f>#REF!</f>
        <v>#REF!</v>
      </c>
      <c r="D769" s="28" t="e">
        <f>C769*6*28</f>
        <v>#REF!</v>
      </c>
      <c r="E769" s="19" t="e">
        <f>D769*0.04</f>
        <v>#REF!</v>
      </c>
      <c r="F769" s="29" t="e">
        <f>E769*0.79*1.25/20</f>
        <v>#REF!</v>
      </c>
      <c r="G769" s="27" t="e">
        <f>INT(M769)</f>
        <v>#REF!</v>
      </c>
      <c r="H769" s="30" t="s">
        <v>18</v>
      </c>
      <c r="I769" s="27" t="e">
        <f>(M769-G769)*64</f>
        <v>#REF!</v>
      </c>
      <c r="J769" s="19" t="s">
        <v>19</v>
      </c>
      <c r="K769" s="19"/>
      <c r="L769" s="19"/>
      <c r="M769" s="31" t="e">
        <f>F769*540/4608</f>
        <v>#REF!</v>
      </c>
      <c r="N769" s="19"/>
      <c r="O769" s="19"/>
      <c r="P769" s="19"/>
      <c r="Q769" s="30" t="s">
        <v>18</v>
      </c>
      <c r="R769" s="19"/>
      <c r="S769" s="19" t="s">
        <v>19</v>
      </c>
      <c r="T769" s="32"/>
      <c r="U769" s="19" t="e">
        <f>E769/272*60</f>
        <v>#REF!</v>
      </c>
      <c r="V769" s="19"/>
      <c r="W769" s="32"/>
      <c r="X769" s="19"/>
    </row>
    <row r="770" spans="1:24" s="20" customFormat="1" ht="19.5" thickBot="1" x14ac:dyDescent="0.35">
      <c r="A770" s="26"/>
      <c r="B770" s="26" t="s">
        <v>46</v>
      </c>
      <c r="C770" s="27" t="e">
        <f>#REF!</f>
        <v>#REF!</v>
      </c>
      <c r="D770" s="28" t="e">
        <f>C770*6*28</f>
        <v>#REF!</v>
      </c>
      <c r="E770" s="19" t="e">
        <f>D770*0.04</f>
        <v>#REF!</v>
      </c>
      <c r="F770" s="29" t="e">
        <f>E770*0.79*1.25/20</f>
        <v>#REF!</v>
      </c>
      <c r="G770" s="27" t="e">
        <f>INT(M770)</f>
        <v>#REF!</v>
      </c>
      <c r="H770" s="30" t="s">
        <v>18</v>
      </c>
      <c r="I770" s="27" t="e">
        <f>(M770-G770)*64</f>
        <v>#REF!</v>
      </c>
      <c r="J770" s="19" t="s">
        <v>19</v>
      </c>
      <c r="K770" s="19"/>
      <c r="L770" s="19"/>
      <c r="M770" s="31" t="e">
        <f>F770*540/4608</f>
        <v>#REF!</v>
      </c>
      <c r="N770" s="19"/>
      <c r="O770" s="19"/>
      <c r="P770" s="19"/>
      <c r="Q770" s="30" t="s">
        <v>18</v>
      </c>
      <c r="R770" s="19"/>
      <c r="S770" s="19" t="s">
        <v>19</v>
      </c>
      <c r="T770" s="32"/>
      <c r="U770" s="19" t="e">
        <f>E770/272*60</f>
        <v>#REF!</v>
      </c>
      <c r="V770" s="19"/>
      <c r="W770" s="32"/>
      <c r="X770" s="19"/>
    </row>
    <row r="771" spans="1:24" s="20" customFormat="1" ht="19.5" thickBot="1" x14ac:dyDescent="0.35">
      <c r="A771" s="26"/>
      <c r="B771" s="26" t="s">
        <v>47</v>
      </c>
      <c r="C771" s="27" t="e">
        <f>#REF!</f>
        <v>#REF!</v>
      </c>
      <c r="D771" s="28" t="e">
        <f>C771*6*28</f>
        <v>#REF!</v>
      </c>
      <c r="E771" s="19" t="e">
        <f>D771*0.04</f>
        <v>#REF!</v>
      </c>
      <c r="F771" s="29" t="e">
        <f>E771*0.79*1.25/20</f>
        <v>#REF!</v>
      </c>
      <c r="G771" s="27" t="e">
        <f>INT(M771)</f>
        <v>#REF!</v>
      </c>
      <c r="H771" s="30" t="s">
        <v>18</v>
      </c>
      <c r="I771" s="27" t="e">
        <f>(M771-G771)*64</f>
        <v>#REF!</v>
      </c>
      <c r="J771" s="19" t="s">
        <v>19</v>
      </c>
      <c r="K771" s="19"/>
      <c r="L771" s="19"/>
      <c r="M771" s="31" t="e">
        <f>F771*540/4608</f>
        <v>#REF!</v>
      </c>
      <c r="N771" s="19"/>
      <c r="O771" s="19"/>
      <c r="P771" s="19"/>
      <c r="Q771" s="30" t="s">
        <v>18</v>
      </c>
      <c r="R771" s="19"/>
      <c r="S771" s="19" t="s">
        <v>19</v>
      </c>
      <c r="T771" s="32"/>
      <c r="U771" s="19" t="e">
        <f>E771/272*60</f>
        <v>#REF!</v>
      </c>
      <c r="V771" s="19"/>
      <c r="W771" s="32"/>
      <c r="X771" s="19"/>
    </row>
    <row r="772" spans="1:24" s="20" customFormat="1" ht="19.5" thickBot="1" x14ac:dyDescent="0.35">
      <c r="A772" s="26"/>
      <c r="B772" s="138" t="s">
        <v>297</v>
      </c>
      <c r="C772" s="27"/>
      <c r="D772" s="28"/>
      <c r="E772" s="19"/>
      <c r="F772" s="29"/>
      <c r="G772" s="27"/>
      <c r="H772" s="30"/>
      <c r="I772" s="27"/>
      <c r="J772" s="19"/>
      <c r="K772" s="19"/>
      <c r="L772" s="19"/>
      <c r="M772" s="31"/>
      <c r="N772" s="19"/>
      <c r="O772" s="19"/>
      <c r="P772" s="19"/>
      <c r="Q772" s="30"/>
      <c r="R772" s="19"/>
      <c r="S772" s="19"/>
      <c r="T772" s="32"/>
      <c r="U772" s="19"/>
      <c r="V772" s="19"/>
      <c r="W772" s="32"/>
      <c r="X772" s="19"/>
    </row>
    <row r="773" spans="1:24" s="20" customFormat="1" ht="19.5" thickBot="1" x14ac:dyDescent="0.35">
      <c r="A773" s="26"/>
      <c r="B773" s="26" t="s">
        <v>62</v>
      </c>
      <c r="C773" s="27" t="e">
        <f>#REF!+#REF!+#REF!</f>
        <v>#REF!</v>
      </c>
      <c r="D773" s="28" t="e">
        <f>C773*10</f>
        <v>#REF!</v>
      </c>
      <c r="E773" s="19" t="e">
        <f>D773*0.18</f>
        <v>#REF!</v>
      </c>
      <c r="F773" s="29" t="e">
        <f t="shared" ref="F773:F778" si="185">E773*1.03*0.82/173</f>
        <v>#REF!</v>
      </c>
      <c r="G773" s="27" t="e">
        <f t="shared" ref="G773:G778" si="186">INT(M773)</f>
        <v>#REF!</v>
      </c>
      <c r="H773" s="30" t="s">
        <v>18</v>
      </c>
      <c r="I773" s="27" t="e">
        <f t="shared" ref="I773:I778" si="187">(M773-G773)*64</f>
        <v>#REF!</v>
      </c>
      <c r="J773" s="19" t="s">
        <v>19</v>
      </c>
      <c r="K773" s="19"/>
      <c r="L773" s="19"/>
      <c r="M773" s="31" t="e">
        <f>(F773*11610)/3456</f>
        <v>#REF!</v>
      </c>
      <c r="N773" s="19"/>
      <c r="O773" s="19"/>
      <c r="P773" s="19"/>
      <c r="Q773" s="30" t="s">
        <v>18</v>
      </c>
      <c r="R773" s="19"/>
      <c r="S773" s="19" t="s">
        <v>19</v>
      </c>
      <c r="T773" s="32"/>
      <c r="U773" s="19" t="e">
        <f>E773/207*60</f>
        <v>#REF!</v>
      </c>
      <c r="V773" s="19"/>
      <c r="W773" s="32"/>
      <c r="X773" s="19"/>
    </row>
    <row r="774" spans="1:24" s="20" customFormat="1" ht="19.5" thickBot="1" x14ac:dyDescent="0.35">
      <c r="A774" s="26"/>
      <c r="B774" s="26" t="s">
        <v>63</v>
      </c>
      <c r="C774" s="27" t="e">
        <f>#REF!+#REF!+#REF!</f>
        <v>#REF!</v>
      </c>
      <c r="D774" s="28" t="e">
        <f>C774*10</f>
        <v>#REF!</v>
      </c>
      <c r="E774" s="19" t="e">
        <f>D774*0.18</f>
        <v>#REF!</v>
      </c>
      <c r="F774" s="29" t="e">
        <f t="shared" si="185"/>
        <v>#REF!</v>
      </c>
      <c r="G774" s="27" t="e">
        <f t="shared" si="186"/>
        <v>#REF!</v>
      </c>
      <c r="H774" s="30" t="s">
        <v>18</v>
      </c>
      <c r="I774" s="27" t="e">
        <f t="shared" si="187"/>
        <v>#REF!</v>
      </c>
      <c r="J774" s="19" t="s">
        <v>19</v>
      </c>
      <c r="K774" s="19"/>
      <c r="L774" s="19"/>
      <c r="M774" s="31" t="e">
        <f>(F774*11610)/3456</f>
        <v>#REF!</v>
      </c>
      <c r="N774" s="19"/>
      <c r="O774" s="19"/>
      <c r="P774" s="19"/>
      <c r="Q774" s="30" t="s">
        <v>18</v>
      </c>
      <c r="R774" s="19"/>
      <c r="S774" s="19" t="s">
        <v>19</v>
      </c>
      <c r="T774" s="32"/>
      <c r="U774" s="19" t="e">
        <f>E774/207*60</f>
        <v>#REF!</v>
      </c>
      <c r="V774" s="19"/>
      <c r="W774" s="32"/>
      <c r="X774" s="19"/>
    </row>
    <row r="775" spans="1:24" s="20" customFormat="1" ht="19.5" thickBot="1" x14ac:dyDescent="0.35">
      <c r="A775" s="26"/>
      <c r="B775" s="26" t="s">
        <v>64</v>
      </c>
      <c r="C775" s="27" t="e">
        <f>#REF!+#REF!+#REF!</f>
        <v>#REF!</v>
      </c>
      <c r="D775" s="28" t="e">
        <f>C775*10</f>
        <v>#REF!</v>
      </c>
      <c r="E775" s="19" t="e">
        <f>D775*0.18</f>
        <v>#REF!</v>
      </c>
      <c r="F775" s="29" t="e">
        <f t="shared" si="185"/>
        <v>#REF!</v>
      </c>
      <c r="G775" s="27" t="e">
        <f t="shared" si="186"/>
        <v>#REF!</v>
      </c>
      <c r="H775" s="30" t="s">
        <v>18</v>
      </c>
      <c r="I775" s="27" t="e">
        <f t="shared" si="187"/>
        <v>#REF!</v>
      </c>
      <c r="J775" s="19" t="s">
        <v>19</v>
      </c>
      <c r="K775" s="19"/>
      <c r="L775" s="19"/>
      <c r="M775" s="31" t="e">
        <f>(F775*11610)/3456</f>
        <v>#REF!</v>
      </c>
      <c r="N775" s="19"/>
      <c r="O775" s="19"/>
      <c r="P775" s="19"/>
      <c r="Q775" s="30" t="s">
        <v>18</v>
      </c>
      <c r="R775" s="19"/>
      <c r="S775" s="19" t="s">
        <v>19</v>
      </c>
      <c r="T775" s="32"/>
      <c r="U775" s="19" t="e">
        <f>E775/207*60</f>
        <v>#REF!</v>
      </c>
      <c r="V775" s="19"/>
      <c r="W775" s="32"/>
      <c r="X775" s="19"/>
    </row>
    <row r="776" spans="1:24" s="20" customFormat="1" ht="19.5" thickBot="1" x14ac:dyDescent="0.35">
      <c r="A776" s="26"/>
      <c r="B776" s="26" t="s">
        <v>65</v>
      </c>
      <c r="C776" s="27" t="e">
        <f>#REF!+#REF!+#REF!</f>
        <v>#REF!</v>
      </c>
      <c r="D776" s="28" t="e">
        <f>C776*26</f>
        <v>#REF!</v>
      </c>
      <c r="E776" s="19" t="e">
        <f>D776*0.15</f>
        <v>#REF!</v>
      </c>
      <c r="F776" s="29" t="e">
        <f t="shared" si="185"/>
        <v>#REF!</v>
      </c>
      <c r="G776" s="27" t="e">
        <f t="shared" si="186"/>
        <v>#REF!</v>
      </c>
      <c r="H776" s="30" t="s">
        <v>18</v>
      </c>
      <c r="I776" s="27" t="e">
        <f t="shared" si="187"/>
        <v>#REF!</v>
      </c>
      <c r="J776" s="19" t="s">
        <v>19</v>
      </c>
      <c r="K776" s="19"/>
      <c r="L776" s="19"/>
      <c r="M776" s="31" t="e">
        <f>(F776*8480)/3456</f>
        <v>#REF!</v>
      </c>
      <c r="N776" s="19"/>
      <c r="O776" s="19"/>
      <c r="P776" s="19"/>
      <c r="Q776" s="30" t="s">
        <v>18</v>
      </c>
      <c r="R776" s="19"/>
      <c r="S776" s="19" t="s">
        <v>19</v>
      </c>
      <c r="T776" s="32"/>
      <c r="U776" s="19" t="e">
        <f>E776/259*60</f>
        <v>#REF!</v>
      </c>
      <c r="V776" s="19"/>
      <c r="W776" s="32"/>
      <c r="X776" s="19"/>
    </row>
    <row r="777" spans="1:24" s="20" customFormat="1" ht="19.5" thickBot="1" x14ac:dyDescent="0.35">
      <c r="A777" s="26"/>
      <c r="B777" s="26" t="s">
        <v>68</v>
      </c>
      <c r="C777" s="27" t="e">
        <f>#REF!+#REF!+#REF!</f>
        <v>#REF!</v>
      </c>
      <c r="D777" s="28" t="e">
        <f>C777*10</f>
        <v>#REF!</v>
      </c>
      <c r="E777" s="19" t="e">
        <f>D777*0.25</f>
        <v>#REF!</v>
      </c>
      <c r="F777" s="29" t="e">
        <f t="shared" si="185"/>
        <v>#REF!</v>
      </c>
      <c r="G777" s="27" t="e">
        <f t="shared" si="186"/>
        <v>#REF!</v>
      </c>
      <c r="H777" s="30" t="s">
        <v>18</v>
      </c>
      <c r="I777" s="27" t="e">
        <f t="shared" si="187"/>
        <v>#REF!</v>
      </c>
      <c r="J777" s="19" t="s">
        <v>19</v>
      </c>
      <c r="K777" s="19"/>
      <c r="L777" s="19"/>
      <c r="M777" s="31" t="e">
        <f>(F777*8480)/3456</f>
        <v>#REF!</v>
      </c>
      <c r="N777" s="19"/>
      <c r="O777" s="19"/>
      <c r="P777" s="19"/>
      <c r="Q777" s="30" t="s">
        <v>18</v>
      </c>
      <c r="R777" s="19"/>
      <c r="S777" s="19" t="s">
        <v>19</v>
      </c>
      <c r="T777" s="32"/>
      <c r="U777" s="19" t="e">
        <f>E777/272*60</f>
        <v>#REF!</v>
      </c>
      <c r="V777" s="19"/>
      <c r="W777" s="32"/>
      <c r="X777" s="19"/>
    </row>
    <row r="778" spans="1:24" s="20" customFormat="1" ht="19.5" thickBot="1" x14ac:dyDescent="0.35">
      <c r="A778" s="26"/>
      <c r="B778" s="26" t="s">
        <v>71</v>
      </c>
      <c r="C778" s="27" t="e">
        <f>#REF!+#REF!+#REF!</f>
        <v>#REF!</v>
      </c>
      <c r="D778" s="28" t="e">
        <f>C778*10</f>
        <v>#REF!</v>
      </c>
      <c r="E778" s="19" t="e">
        <f>D778*0.25</f>
        <v>#REF!</v>
      </c>
      <c r="F778" s="29" t="e">
        <f t="shared" si="185"/>
        <v>#REF!</v>
      </c>
      <c r="G778" s="27" t="e">
        <f t="shared" si="186"/>
        <v>#REF!</v>
      </c>
      <c r="H778" s="30" t="s">
        <v>18</v>
      </c>
      <c r="I778" s="27" t="e">
        <f t="shared" si="187"/>
        <v>#REF!</v>
      </c>
      <c r="J778" s="19" t="s">
        <v>19</v>
      </c>
      <c r="K778" s="19"/>
      <c r="L778" s="19"/>
      <c r="M778" s="31" t="e">
        <f>(F778*8480)/3456</f>
        <v>#REF!</v>
      </c>
      <c r="N778" s="19"/>
      <c r="O778" s="19"/>
      <c r="P778" s="19"/>
      <c r="Q778" s="30" t="s">
        <v>18</v>
      </c>
      <c r="R778" s="19"/>
      <c r="S778" s="19" t="s">
        <v>19</v>
      </c>
      <c r="T778" s="32"/>
      <c r="U778" s="19" t="e">
        <f>E778/272*60</f>
        <v>#REF!</v>
      </c>
      <c r="V778" s="19"/>
      <c r="W778" s="32"/>
      <c r="X778" s="19"/>
    </row>
    <row r="779" spans="1:24" s="20" customFormat="1" ht="19.5" thickBot="1" x14ac:dyDescent="0.35">
      <c r="A779" s="26"/>
      <c r="B779" s="138" t="s">
        <v>298</v>
      </c>
      <c r="C779" s="27"/>
      <c r="D779" s="28"/>
      <c r="E779" s="19"/>
      <c r="F779" s="29"/>
      <c r="G779" s="27"/>
      <c r="H779" s="30"/>
      <c r="I779" s="27"/>
      <c r="J779" s="19"/>
      <c r="K779" s="19"/>
      <c r="L779" s="19"/>
      <c r="M779" s="31"/>
      <c r="N779" s="19"/>
      <c r="O779" s="19"/>
      <c r="P779" s="19"/>
      <c r="Q779" s="30"/>
      <c r="R779" s="19"/>
      <c r="S779" s="19"/>
      <c r="T779" s="32"/>
      <c r="U779" s="19"/>
      <c r="V779" s="19"/>
      <c r="W779" s="32"/>
      <c r="X779" s="19"/>
    </row>
    <row r="780" spans="1:24" s="20" customFormat="1" ht="19.5" thickBot="1" x14ac:dyDescent="0.35">
      <c r="A780" s="26"/>
      <c r="B780" s="138" t="s">
        <v>286</v>
      </c>
      <c r="C780" s="27"/>
      <c r="D780" s="28"/>
      <c r="E780" s="19"/>
      <c r="F780" s="29"/>
      <c r="G780" s="27"/>
      <c r="H780" s="30"/>
      <c r="I780" s="27"/>
      <c r="J780" s="19"/>
      <c r="K780" s="19"/>
      <c r="L780" s="19"/>
      <c r="M780" s="31"/>
      <c r="N780" s="19"/>
      <c r="O780" s="19"/>
      <c r="P780" s="19"/>
      <c r="Q780" s="30"/>
      <c r="R780" s="19"/>
      <c r="S780" s="19"/>
      <c r="T780" s="32"/>
      <c r="U780" s="19"/>
      <c r="V780" s="19"/>
      <c r="W780" s="32"/>
      <c r="X780" s="19"/>
    </row>
    <row r="781" spans="1:24" s="20" customFormat="1" ht="19.5" thickBot="1" x14ac:dyDescent="0.35">
      <c r="A781" s="41"/>
      <c r="B781" s="41" t="s">
        <v>94</v>
      </c>
      <c r="C781" s="42" t="e">
        <f>#REF!+#REF!+#REF!</f>
        <v>#REF!</v>
      </c>
      <c r="D781" s="43" t="e">
        <f>C781*18</f>
        <v>#REF!</v>
      </c>
      <c r="E781" s="40" t="e">
        <f>D781*0.2</f>
        <v>#REF!</v>
      </c>
      <c r="F781" s="50" t="e">
        <f>E781*1.03*0.8/147</f>
        <v>#REF!</v>
      </c>
      <c r="G781" s="42" t="e">
        <f t="shared" ref="G781:G795" si="188">INT(M781)</f>
        <v>#REF!</v>
      </c>
      <c r="H781" s="45" t="s">
        <v>18</v>
      </c>
      <c r="I781" s="42" t="e">
        <f t="shared" ref="I781:I795" si="189">(M781-G781)*64</f>
        <v>#REF!</v>
      </c>
      <c r="J781" s="40" t="s">
        <v>19</v>
      </c>
      <c r="K781" s="40"/>
      <c r="L781" s="40"/>
      <c r="M781" s="46" t="e">
        <f>(F781*5675)/3456</f>
        <v>#REF!</v>
      </c>
      <c r="N781" s="40"/>
      <c r="O781" s="40"/>
      <c r="P781" s="40"/>
      <c r="Q781" s="45" t="s">
        <v>18</v>
      </c>
      <c r="R781" s="40"/>
      <c r="S781" s="40" t="s">
        <v>19</v>
      </c>
      <c r="T781" s="47"/>
      <c r="U781" s="40" t="e">
        <f>E781/220*60</f>
        <v>#REF!</v>
      </c>
      <c r="V781" s="40"/>
      <c r="W781" s="47"/>
      <c r="X781" s="40"/>
    </row>
    <row r="782" spans="1:24" s="20" customFormat="1" ht="19.5" thickBot="1" x14ac:dyDescent="0.35">
      <c r="A782" s="41"/>
      <c r="B782" s="41" t="s">
        <v>78</v>
      </c>
      <c r="C782" s="42" t="e">
        <f>#REF!+#REF!+#REF!</f>
        <v>#REF!</v>
      </c>
      <c r="D782" s="43" t="e">
        <f>C782*18</f>
        <v>#REF!</v>
      </c>
      <c r="E782" s="40" t="e">
        <f>D782*0.2</f>
        <v>#REF!</v>
      </c>
      <c r="F782" s="50" t="e">
        <f>E782*1.03*0.8/90</f>
        <v>#REF!</v>
      </c>
      <c r="G782" s="42" t="e">
        <f t="shared" si="188"/>
        <v>#REF!</v>
      </c>
      <c r="H782" s="45" t="s">
        <v>18</v>
      </c>
      <c r="I782" s="42" t="e">
        <f t="shared" si="189"/>
        <v>#REF!</v>
      </c>
      <c r="J782" s="40" t="s">
        <v>19</v>
      </c>
      <c r="K782" s="40"/>
      <c r="L782" s="40"/>
      <c r="M782" s="46" t="e">
        <f>((F782*100)/0.0275)/3456</f>
        <v>#REF!</v>
      </c>
      <c r="N782" s="40"/>
      <c r="O782" s="40"/>
      <c r="P782" s="40"/>
      <c r="Q782" s="45" t="s">
        <v>18</v>
      </c>
      <c r="R782" s="40"/>
      <c r="S782" s="40" t="s">
        <v>19</v>
      </c>
      <c r="T782" s="47"/>
      <c r="U782" s="40" t="e">
        <f>E782/220*60</f>
        <v>#REF!</v>
      </c>
      <c r="V782" s="40"/>
      <c r="W782" s="47"/>
      <c r="X782" s="40"/>
    </row>
    <row r="783" spans="1:24" s="20" customFormat="1" ht="19.5" thickBot="1" x14ac:dyDescent="0.35">
      <c r="A783" s="41"/>
      <c r="B783" s="41" t="s">
        <v>95</v>
      </c>
      <c r="C783" s="42" t="e">
        <f>#REF!+#REF!+#REF!</f>
        <v>#REF!</v>
      </c>
      <c r="D783" s="43" t="e">
        <f>C783*18</f>
        <v>#REF!</v>
      </c>
      <c r="E783" s="40" t="e">
        <f>D783*0.2</f>
        <v>#REF!</v>
      </c>
      <c r="F783" s="50" t="e">
        <f>E783*1.03*0.8/147</f>
        <v>#REF!</v>
      </c>
      <c r="G783" s="42" t="e">
        <f t="shared" si="188"/>
        <v>#REF!</v>
      </c>
      <c r="H783" s="45" t="s">
        <v>18</v>
      </c>
      <c r="I783" s="42" t="e">
        <f t="shared" si="189"/>
        <v>#REF!</v>
      </c>
      <c r="J783" s="40" t="s">
        <v>19</v>
      </c>
      <c r="K783" s="40"/>
      <c r="L783" s="40"/>
      <c r="M783" s="46" t="e">
        <f>(F783*5675)/3456</f>
        <v>#REF!</v>
      </c>
      <c r="N783" s="40"/>
      <c r="O783" s="40"/>
      <c r="P783" s="40"/>
      <c r="Q783" s="45" t="s">
        <v>18</v>
      </c>
      <c r="R783" s="40"/>
      <c r="S783" s="40" t="s">
        <v>19</v>
      </c>
      <c r="T783" s="47"/>
      <c r="U783" s="40" t="e">
        <f>E783/220*60</f>
        <v>#REF!</v>
      </c>
      <c r="V783" s="40"/>
      <c r="W783" s="47"/>
      <c r="X783" s="40"/>
    </row>
    <row r="784" spans="1:24" s="20" customFormat="1" ht="19.5" thickBot="1" x14ac:dyDescent="0.35">
      <c r="A784" s="41"/>
      <c r="B784" s="41" t="s">
        <v>226</v>
      </c>
      <c r="C784" s="42" t="e">
        <f>#REF!+#REF!+#REF!</f>
        <v>#REF!</v>
      </c>
      <c r="D784" s="43" t="e">
        <f t="shared" ref="D784:D789" si="190">C784*10</f>
        <v>#REF!</v>
      </c>
      <c r="E784" s="40" t="e">
        <f>D784*0.36</f>
        <v>#REF!</v>
      </c>
      <c r="F784" s="50" t="e">
        <f>E784*1.03*0.8/147</f>
        <v>#REF!</v>
      </c>
      <c r="G784" s="42" t="e">
        <f t="shared" si="188"/>
        <v>#REF!</v>
      </c>
      <c r="H784" s="45" t="s">
        <v>18</v>
      </c>
      <c r="I784" s="42" t="e">
        <f t="shared" si="189"/>
        <v>#REF!</v>
      </c>
      <c r="J784" s="40" t="s">
        <v>19</v>
      </c>
      <c r="K784" s="40"/>
      <c r="L784" s="40"/>
      <c r="M784" s="46" t="e">
        <f>(F784*6447)/3456</f>
        <v>#REF!</v>
      </c>
      <c r="N784" s="40"/>
      <c r="O784" s="40"/>
      <c r="P784" s="40"/>
      <c r="Q784" s="45" t="s">
        <v>18</v>
      </c>
      <c r="R784" s="40"/>
      <c r="S784" s="40" t="s">
        <v>19</v>
      </c>
      <c r="T784" s="47"/>
      <c r="U784" s="40" t="e">
        <f>E784/220*60</f>
        <v>#REF!</v>
      </c>
      <c r="V784" s="40"/>
      <c r="W784" s="47"/>
      <c r="X784" s="40"/>
    </row>
    <row r="785" spans="1:24" s="20" customFormat="1" ht="19.5" thickBot="1" x14ac:dyDescent="0.35">
      <c r="A785" s="41"/>
      <c r="B785" s="41" t="s">
        <v>290</v>
      </c>
      <c r="C785" s="42" t="e">
        <f>#REF!+#REF!+#REF!</f>
        <v>#REF!</v>
      </c>
      <c r="D785" s="43" t="e">
        <f t="shared" si="190"/>
        <v>#REF!</v>
      </c>
      <c r="E785" s="40" t="e">
        <f>D785*0.36</f>
        <v>#REF!</v>
      </c>
      <c r="F785" s="50" t="e">
        <f>E785*1.03*0.8/147</f>
        <v>#REF!</v>
      </c>
      <c r="G785" s="42" t="e">
        <f t="shared" si="188"/>
        <v>#REF!</v>
      </c>
      <c r="H785" s="45" t="s">
        <v>18</v>
      </c>
      <c r="I785" s="42" t="e">
        <f t="shared" si="189"/>
        <v>#REF!</v>
      </c>
      <c r="J785" s="40" t="s">
        <v>19</v>
      </c>
      <c r="K785" s="40"/>
      <c r="L785" s="40"/>
      <c r="M785" s="46" t="e">
        <f>(F785*6447)/3456</f>
        <v>#REF!</v>
      </c>
      <c r="N785" s="40"/>
      <c r="O785" s="40"/>
      <c r="P785" s="40"/>
      <c r="Q785" s="45" t="s">
        <v>18</v>
      </c>
      <c r="R785" s="40"/>
      <c r="S785" s="40" t="s">
        <v>19</v>
      </c>
      <c r="T785" s="47"/>
      <c r="U785" s="40" t="e">
        <f>E785/220*60</f>
        <v>#REF!</v>
      </c>
      <c r="V785" s="40"/>
      <c r="W785" s="47"/>
      <c r="X785" s="40"/>
    </row>
    <row r="786" spans="1:24" s="20" customFormat="1" ht="19.5" thickBot="1" x14ac:dyDescent="0.35">
      <c r="A786" s="41"/>
      <c r="B786" s="41" t="s">
        <v>84</v>
      </c>
      <c r="C786" s="42" t="e">
        <f>#REF!+#REF!+#REF!</f>
        <v>#REF!</v>
      </c>
      <c r="D786" s="43" t="e">
        <f t="shared" si="190"/>
        <v>#REF!</v>
      </c>
      <c r="E786" s="45" t="e">
        <f t="shared" ref="E786:E791" si="191">D786*0.25</f>
        <v>#REF!</v>
      </c>
      <c r="F786" s="50" t="e">
        <f>E786*1.03*0.72/147</f>
        <v>#REF!</v>
      </c>
      <c r="G786" s="42" t="e">
        <f t="shared" si="188"/>
        <v>#REF!</v>
      </c>
      <c r="H786" s="45" t="s">
        <v>18</v>
      </c>
      <c r="I786" s="42" t="e">
        <f t="shared" si="189"/>
        <v>#REF!</v>
      </c>
      <c r="J786" s="40" t="s">
        <v>19</v>
      </c>
      <c r="K786" s="40"/>
      <c r="L786" s="40"/>
      <c r="M786" s="46" t="e">
        <f>(F786*7177/3456)</f>
        <v>#REF!</v>
      </c>
      <c r="N786" s="40"/>
      <c r="O786" s="40"/>
      <c r="P786" s="40"/>
      <c r="Q786" s="14" t="s">
        <v>18</v>
      </c>
      <c r="R786" s="40"/>
      <c r="S786" s="40" t="s">
        <v>19</v>
      </c>
      <c r="T786" s="47"/>
      <c r="U786" s="40" t="e">
        <f t="shared" ref="U786:U794" si="192">E786/259*60</f>
        <v>#REF!</v>
      </c>
      <c r="V786" s="40"/>
      <c r="W786" s="47"/>
      <c r="X786" s="40"/>
    </row>
    <row r="787" spans="1:24" s="20" customFormat="1" ht="19.5" thickBot="1" x14ac:dyDescent="0.35">
      <c r="A787" s="41"/>
      <c r="B787" s="41" t="s">
        <v>83</v>
      </c>
      <c r="C787" s="42" t="e">
        <f>#REF!+#REF!+#REF!</f>
        <v>#REF!</v>
      </c>
      <c r="D787" s="43" t="e">
        <f t="shared" si="190"/>
        <v>#REF!</v>
      </c>
      <c r="E787" s="45" t="e">
        <f t="shared" si="191"/>
        <v>#REF!</v>
      </c>
      <c r="F787" s="50" t="e">
        <f>E787*1.03*0.72/147</f>
        <v>#REF!</v>
      </c>
      <c r="G787" s="42" t="e">
        <f t="shared" si="188"/>
        <v>#REF!</v>
      </c>
      <c r="H787" s="45" t="s">
        <v>18</v>
      </c>
      <c r="I787" s="42" t="e">
        <f t="shared" si="189"/>
        <v>#REF!</v>
      </c>
      <c r="J787" s="40" t="s">
        <v>19</v>
      </c>
      <c r="K787" s="40"/>
      <c r="L787" s="40"/>
      <c r="M787" s="46" t="e">
        <f>(F787*8448/3456)</f>
        <v>#REF!</v>
      </c>
      <c r="N787" s="40"/>
      <c r="O787" s="40"/>
      <c r="P787" s="40"/>
      <c r="Q787" s="14" t="s">
        <v>18</v>
      </c>
      <c r="R787" s="40"/>
      <c r="S787" s="40" t="s">
        <v>19</v>
      </c>
      <c r="T787" s="47"/>
      <c r="U787" s="40" t="e">
        <f t="shared" si="192"/>
        <v>#REF!</v>
      </c>
      <c r="V787" s="40"/>
      <c r="W787" s="47"/>
      <c r="X787" s="40"/>
    </row>
    <row r="788" spans="1:24" s="20" customFormat="1" ht="19.5" thickBot="1" x14ac:dyDescent="0.35">
      <c r="A788" s="41"/>
      <c r="B788" s="41" t="s">
        <v>87</v>
      </c>
      <c r="C788" s="42" t="e">
        <f>#REF!+#REF!+#REF!</f>
        <v>#REF!</v>
      </c>
      <c r="D788" s="43" t="e">
        <f t="shared" si="190"/>
        <v>#REF!</v>
      </c>
      <c r="E788" s="45" t="e">
        <f t="shared" si="191"/>
        <v>#REF!</v>
      </c>
      <c r="F788" s="50" t="e">
        <f>E788*1.03*0.72/147</f>
        <v>#REF!</v>
      </c>
      <c r="G788" s="42" t="e">
        <f t="shared" si="188"/>
        <v>#REF!</v>
      </c>
      <c r="H788" s="45" t="s">
        <v>18</v>
      </c>
      <c r="I788" s="42" t="e">
        <f t="shared" si="189"/>
        <v>#REF!</v>
      </c>
      <c r="J788" s="40" t="s">
        <v>19</v>
      </c>
      <c r="K788" s="40"/>
      <c r="L788" s="40"/>
      <c r="M788" s="46" t="e">
        <f>(F788*8448/3456)</f>
        <v>#REF!</v>
      </c>
      <c r="N788" s="40"/>
      <c r="O788" s="40"/>
      <c r="P788" s="40"/>
      <c r="Q788" s="14" t="s">
        <v>18</v>
      </c>
      <c r="R788" s="40"/>
      <c r="S788" s="40" t="s">
        <v>19</v>
      </c>
      <c r="T788" s="47"/>
      <c r="U788" s="40" t="e">
        <f t="shared" si="192"/>
        <v>#REF!</v>
      </c>
      <c r="V788" s="40"/>
      <c r="W788" s="47"/>
      <c r="X788" s="40"/>
    </row>
    <row r="789" spans="1:24" s="20" customFormat="1" ht="38.25" thickBot="1" x14ac:dyDescent="0.35">
      <c r="A789" s="41"/>
      <c r="B789" s="41" t="s">
        <v>284</v>
      </c>
      <c r="C789" s="42" t="e">
        <f>#REF!+#REF!+#REF!</f>
        <v>#REF!</v>
      </c>
      <c r="D789" s="43" t="e">
        <f t="shared" si="190"/>
        <v>#REF!</v>
      </c>
      <c r="E789" s="45" t="e">
        <f t="shared" si="191"/>
        <v>#REF!</v>
      </c>
      <c r="F789" s="50" t="e">
        <f>E789*1.03*0.72/147</f>
        <v>#REF!</v>
      </c>
      <c r="G789" s="42" t="e">
        <f t="shared" si="188"/>
        <v>#REF!</v>
      </c>
      <c r="H789" s="45" t="s">
        <v>18</v>
      </c>
      <c r="I789" s="42" t="e">
        <f t="shared" si="189"/>
        <v>#REF!</v>
      </c>
      <c r="J789" s="40" t="s">
        <v>19</v>
      </c>
      <c r="K789" s="40"/>
      <c r="L789" s="40"/>
      <c r="M789" s="46" t="e">
        <f>(F789*7177/3456)</f>
        <v>#REF!</v>
      </c>
      <c r="N789" s="40"/>
      <c r="O789" s="40"/>
      <c r="P789" s="40"/>
      <c r="Q789" s="14" t="s">
        <v>18</v>
      </c>
      <c r="R789" s="40"/>
      <c r="S789" s="40" t="s">
        <v>19</v>
      </c>
      <c r="T789" s="47"/>
      <c r="U789" s="40" t="e">
        <f t="shared" si="192"/>
        <v>#REF!</v>
      </c>
      <c r="V789" s="40"/>
      <c r="W789" s="47"/>
      <c r="X789" s="40"/>
    </row>
    <row r="790" spans="1:24" s="20" customFormat="1" ht="38.25" thickBot="1" x14ac:dyDescent="0.35">
      <c r="A790" s="41"/>
      <c r="B790" s="41" t="s">
        <v>282</v>
      </c>
      <c r="C790" s="42" t="e">
        <f>#REF!+#REF!+#REF!</f>
        <v>#REF!</v>
      </c>
      <c r="D790" s="43" t="e">
        <f>C790*20</f>
        <v>#REF!</v>
      </c>
      <c r="E790" s="45" t="e">
        <f t="shared" si="191"/>
        <v>#REF!</v>
      </c>
      <c r="F790" s="50" t="e">
        <f>E790*1.001*0.72/147</f>
        <v>#REF!</v>
      </c>
      <c r="G790" s="42" t="e">
        <f t="shared" si="188"/>
        <v>#REF!</v>
      </c>
      <c r="H790" s="45" t="s">
        <v>18</v>
      </c>
      <c r="I790" s="42" t="e">
        <f t="shared" si="189"/>
        <v>#REF!</v>
      </c>
      <c r="J790" s="40" t="s">
        <v>19</v>
      </c>
      <c r="K790" s="40"/>
      <c r="L790" s="40"/>
      <c r="M790" s="46" t="e">
        <f>(F790*7177/3456)</f>
        <v>#REF!</v>
      </c>
      <c r="N790" s="40"/>
      <c r="O790" s="40"/>
      <c r="P790" s="40"/>
      <c r="Q790" s="14" t="s">
        <v>18</v>
      </c>
      <c r="R790" s="40"/>
      <c r="S790" s="40" t="s">
        <v>19</v>
      </c>
      <c r="T790" s="47"/>
      <c r="U790" s="40" t="e">
        <f t="shared" si="192"/>
        <v>#REF!</v>
      </c>
      <c r="V790" s="40"/>
      <c r="W790" s="47"/>
      <c r="X790" s="40"/>
    </row>
    <row r="791" spans="1:24" s="20" customFormat="1" ht="19.5" thickBot="1" x14ac:dyDescent="0.35">
      <c r="A791" s="41"/>
      <c r="B791" s="41" t="s">
        <v>283</v>
      </c>
      <c r="C791" s="42" t="e">
        <f>#REF!+#REF!+#REF!</f>
        <v>#REF!</v>
      </c>
      <c r="D791" s="43" t="e">
        <f>C791*20</f>
        <v>#REF!</v>
      </c>
      <c r="E791" s="45" t="e">
        <f t="shared" si="191"/>
        <v>#REF!</v>
      </c>
      <c r="F791" s="50" t="e">
        <f>E791*1.001*0.72/147</f>
        <v>#REF!</v>
      </c>
      <c r="G791" s="42" t="e">
        <f t="shared" si="188"/>
        <v>#REF!</v>
      </c>
      <c r="H791" s="45" t="s">
        <v>18</v>
      </c>
      <c r="I791" s="42" t="e">
        <f t="shared" si="189"/>
        <v>#REF!</v>
      </c>
      <c r="J791" s="40" t="s">
        <v>19</v>
      </c>
      <c r="K791" s="40"/>
      <c r="L791" s="40"/>
      <c r="M791" s="46" t="e">
        <f>(F791*7177/3456)</f>
        <v>#REF!</v>
      </c>
      <c r="N791" s="40"/>
      <c r="O791" s="40"/>
      <c r="P791" s="40"/>
      <c r="Q791" s="14" t="s">
        <v>18</v>
      </c>
      <c r="R791" s="40"/>
      <c r="S791" s="40" t="s">
        <v>19</v>
      </c>
      <c r="T791" s="47"/>
      <c r="U791" s="40" t="e">
        <f t="shared" si="192"/>
        <v>#REF!</v>
      </c>
      <c r="V791" s="40"/>
      <c r="W791" s="47"/>
      <c r="X791" s="40"/>
    </row>
    <row r="792" spans="1:24" s="20" customFormat="1" ht="19.5" thickBot="1" x14ac:dyDescent="0.35">
      <c r="A792" s="41"/>
      <c r="B792" s="41" t="s">
        <v>89</v>
      </c>
      <c r="C792" s="42" t="e">
        <f>#REF!+#REF!+#REF!</f>
        <v>#REF!</v>
      </c>
      <c r="D792" s="43" t="e">
        <f>C792*144</f>
        <v>#REF!</v>
      </c>
      <c r="E792" s="45" t="e">
        <f>D792*0.025</f>
        <v>#REF!</v>
      </c>
      <c r="F792" s="50" t="e">
        <f>E792*1.03*0.72/147</f>
        <v>#REF!</v>
      </c>
      <c r="G792" s="42" t="e">
        <f t="shared" si="188"/>
        <v>#REF!</v>
      </c>
      <c r="H792" s="45" t="s">
        <v>18</v>
      </c>
      <c r="I792" s="42" t="e">
        <f t="shared" si="189"/>
        <v>#REF!</v>
      </c>
      <c r="J792" s="40" t="s">
        <v>19</v>
      </c>
      <c r="K792" s="40"/>
      <c r="L792" s="40"/>
      <c r="M792" s="46" t="e">
        <f>(F792*8448/3456)</f>
        <v>#REF!</v>
      </c>
      <c r="N792" s="40"/>
      <c r="O792" s="40"/>
      <c r="P792" s="40"/>
      <c r="Q792" s="14" t="s">
        <v>18</v>
      </c>
      <c r="R792" s="40"/>
      <c r="S792" s="40" t="s">
        <v>19</v>
      </c>
      <c r="T792" s="47"/>
      <c r="U792" s="40" t="e">
        <f t="shared" si="192"/>
        <v>#REF!</v>
      </c>
      <c r="V792" s="40"/>
      <c r="W792" s="47"/>
      <c r="X792" s="40"/>
    </row>
    <row r="793" spans="1:24" s="20" customFormat="1" ht="19.5" thickBot="1" x14ac:dyDescent="0.35">
      <c r="A793" s="41"/>
      <c r="B793" s="41" t="s">
        <v>219</v>
      </c>
      <c r="C793" s="42" t="e">
        <f>#REF!+#REF!+#REF!</f>
        <v>#REF!</v>
      </c>
      <c r="D793" s="43" t="e">
        <f>C793*10</f>
        <v>#REF!</v>
      </c>
      <c r="E793" s="45" t="e">
        <f>D793*0.2</f>
        <v>#REF!</v>
      </c>
      <c r="F793" s="50" t="e">
        <f>E793*1.03*0.72/147</f>
        <v>#REF!</v>
      </c>
      <c r="G793" s="42" t="e">
        <f t="shared" si="188"/>
        <v>#REF!</v>
      </c>
      <c r="H793" s="45" t="s">
        <v>18</v>
      </c>
      <c r="I793" s="42" t="e">
        <f t="shared" si="189"/>
        <v>#REF!</v>
      </c>
      <c r="J793" s="40" t="s">
        <v>19</v>
      </c>
      <c r="K793" s="40"/>
      <c r="L793" s="40"/>
      <c r="M793" s="46" t="e">
        <f>(F793*8400/3456)</f>
        <v>#REF!</v>
      </c>
      <c r="N793" s="40"/>
      <c r="O793" s="40"/>
      <c r="P793" s="40"/>
      <c r="Q793" s="14" t="s">
        <v>18</v>
      </c>
      <c r="R793" s="40"/>
      <c r="S793" s="40" t="s">
        <v>19</v>
      </c>
      <c r="T793" s="47"/>
      <c r="U793" s="40" t="e">
        <f t="shared" si="192"/>
        <v>#REF!</v>
      </c>
      <c r="V793" s="40"/>
      <c r="W793" s="47"/>
      <c r="X793" s="40"/>
    </row>
    <row r="794" spans="1:24" s="20" customFormat="1" ht="19.5" thickBot="1" x14ac:dyDescent="0.35">
      <c r="A794" s="41"/>
      <c r="B794" s="41" t="s">
        <v>86</v>
      </c>
      <c r="C794" s="42" t="e">
        <f>#REF!+#REF!+#REF!</f>
        <v>#REF!</v>
      </c>
      <c r="D794" s="43" t="e">
        <f>C794*10</f>
        <v>#REF!</v>
      </c>
      <c r="E794" s="45" t="e">
        <f>D794*0.2</f>
        <v>#REF!</v>
      </c>
      <c r="F794" s="50" t="e">
        <f>E794*1.03*0.72/147</f>
        <v>#REF!</v>
      </c>
      <c r="G794" s="42" t="e">
        <f t="shared" si="188"/>
        <v>#REF!</v>
      </c>
      <c r="H794" s="45" t="s">
        <v>18</v>
      </c>
      <c r="I794" s="42" t="e">
        <f t="shared" si="189"/>
        <v>#REF!</v>
      </c>
      <c r="J794" s="40" t="s">
        <v>19</v>
      </c>
      <c r="K794" s="40"/>
      <c r="L794" s="40"/>
      <c r="M794" s="46" t="e">
        <f>(F794*8400/3456)</f>
        <v>#REF!</v>
      </c>
      <c r="N794" s="40"/>
      <c r="O794" s="40"/>
      <c r="P794" s="40"/>
      <c r="Q794" s="14" t="s">
        <v>18</v>
      </c>
      <c r="R794" s="40"/>
      <c r="S794" s="40" t="s">
        <v>19</v>
      </c>
      <c r="T794" s="47"/>
      <c r="U794" s="40" t="e">
        <f t="shared" si="192"/>
        <v>#REF!</v>
      </c>
      <c r="V794" s="40"/>
      <c r="W794" s="47"/>
      <c r="X794" s="40"/>
    </row>
    <row r="795" spans="1:24" s="20" customFormat="1" ht="19.5" thickBot="1" x14ac:dyDescent="0.35">
      <c r="A795" s="41"/>
      <c r="B795" s="41" t="s">
        <v>98</v>
      </c>
      <c r="C795" s="42" t="e">
        <f>C635+#REF!+#REF!</f>
        <v>#REF!</v>
      </c>
      <c r="D795" s="43" t="e">
        <f>C795*10</f>
        <v>#REF!</v>
      </c>
      <c r="E795" s="40" t="e">
        <f>D795*0.2</f>
        <v>#REF!</v>
      </c>
      <c r="F795" s="50" t="e">
        <f>E795*1.03*0.8/147</f>
        <v>#REF!</v>
      </c>
      <c r="G795" s="42" t="e">
        <f t="shared" si="188"/>
        <v>#REF!</v>
      </c>
      <c r="H795" s="45" t="s">
        <v>18</v>
      </c>
      <c r="I795" s="42" t="e">
        <f t="shared" si="189"/>
        <v>#REF!</v>
      </c>
      <c r="J795" s="40" t="s">
        <v>19</v>
      </c>
      <c r="K795" s="40"/>
      <c r="L795" s="40"/>
      <c r="M795" s="46" t="e">
        <f>(F795*9483)/3456</f>
        <v>#REF!</v>
      </c>
      <c r="N795" s="40"/>
      <c r="O795" s="40"/>
      <c r="P795" s="40"/>
      <c r="Q795" s="14" t="s">
        <v>18</v>
      </c>
      <c r="R795" s="40"/>
      <c r="S795" s="40" t="s">
        <v>19</v>
      </c>
      <c r="T795" s="47"/>
      <c r="U795" s="40" t="e">
        <f>E795/220*60</f>
        <v>#REF!</v>
      </c>
      <c r="V795" s="40"/>
      <c r="W795" s="47"/>
      <c r="X795" s="40"/>
    </row>
    <row r="796" spans="1:24" s="20" customFormat="1" ht="19.5" thickBot="1" x14ac:dyDescent="0.35">
      <c r="A796" s="26"/>
      <c r="B796" s="138" t="s">
        <v>299</v>
      </c>
      <c r="C796" s="27"/>
      <c r="D796" s="28"/>
      <c r="E796" s="19"/>
      <c r="F796" s="29"/>
      <c r="G796" s="27"/>
      <c r="H796" s="30"/>
      <c r="I796" s="27"/>
      <c r="J796" s="19"/>
      <c r="K796" s="19"/>
      <c r="L796" s="19"/>
      <c r="M796" s="31"/>
      <c r="N796" s="19"/>
      <c r="O796" s="19"/>
      <c r="P796" s="19"/>
      <c r="Q796" s="30"/>
      <c r="R796" s="19"/>
      <c r="S796" s="19"/>
      <c r="T796" s="32"/>
      <c r="U796" s="19"/>
      <c r="V796" s="19"/>
      <c r="W796" s="32"/>
      <c r="X796" s="19"/>
    </row>
    <row r="797" spans="1:24" s="20" customFormat="1" ht="19.5" thickBot="1" x14ac:dyDescent="0.35">
      <c r="A797" s="41"/>
      <c r="B797" s="41" t="s">
        <v>99</v>
      </c>
      <c r="C797" s="42" t="e">
        <f>C658+#REF!+#REF!</f>
        <v>#REF!</v>
      </c>
      <c r="D797" s="43"/>
      <c r="E797" s="45" t="e">
        <f>C797*4</f>
        <v>#REF!</v>
      </c>
      <c r="F797" s="50" t="e">
        <f>E797*1.03*0.8/147</f>
        <v>#REF!</v>
      </c>
      <c r="G797" s="42" t="e">
        <f t="shared" ref="G797:G802" si="193">INT(M797)</f>
        <v>#REF!</v>
      </c>
      <c r="H797" s="45" t="s">
        <v>18</v>
      </c>
      <c r="I797" s="42" t="e">
        <f t="shared" ref="I797:I802" si="194">(M797-G797)*64</f>
        <v>#REF!</v>
      </c>
      <c r="J797" s="40" t="s">
        <v>19</v>
      </c>
      <c r="K797" s="40"/>
      <c r="L797" s="40"/>
      <c r="M797" s="46" t="e">
        <f>(F797*5444/3456)</f>
        <v>#REF!</v>
      </c>
      <c r="N797" s="40"/>
      <c r="O797" s="40"/>
      <c r="P797" s="40"/>
      <c r="Q797" s="14" t="s">
        <v>18</v>
      </c>
      <c r="R797" s="40"/>
      <c r="S797" s="40" t="s">
        <v>19</v>
      </c>
      <c r="T797" s="47"/>
      <c r="U797" s="40" t="e">
        <f t="shared" ref="U797:U802" si="195">E797/324*60</f>
        <v>#REF!</v>
      </c>
      <c r="V797" s="40"/>
      <c r="W797" s="47"/>
      <c r="X797" s="40"/>
    </row>
    <row r="798" spans="1:24" s="20" customFormat="1" ht="19.5" thickBot="1" x14ac:dyDescent="0.35">
      <c r="A798" s="41"/>
      <c r="B798" s="41" t="s">
        <v>85</v>
      </c>
      <c r="C798" s="42" t="e">
        <f>C659+#REF!+#REF!</f>
        <v>#REF!</v>
      </c>
      <c r="D798" s="43"/>
      <c r="E798" s="45" t="e">
        <f>C798*2.5</f>
        <v>#REF!</v>
      </c>
      <c r="F798" s="50" t="e">
        <f>E798*1.03*0.72/147</f>
        <v>#REF!</v>
      </c>
      <c r="G798" s="42" t="e">
        <f t="shared" si="193"/>
        <v>#REF!</v>
      </c>
      <c r="H798" s="45" t="s">
        <v>18</v>
      </c>
      <c r="I798" s="42" t="e">
        <f t="shared" si="194"/>
        <v>#REF!</v>
      </c>
      <c r="J798" s="40" t="s">
        <v>19</v>
      </c>
      <c r="K798" s="40"/>
      <c r="L798" s="40"/>
      <c r="M798" s="46" t="e">
        <f>(F798*6049/3456)</f>
        <v>#REF!</v>
      </c>
      <c r="N798" s="40"/>
      <c r="O798" s="40"/>
      <c r="P798" s="40"/>
      <c r="Q798" s="14" t="s">
        <v>18</v>
      </c>
      <c r="R798" s="40"/>
      <c r="S798" s="40" t="s">
        <v>19</v>
      </c>
      <c r="T798" s="47"/>
      <c r="U798" s="40" t="e">
        <f t="shared" si="195"/>
        <v>#REF!</v>
      </c>
      <c r="V798" s="40"/>
      <c r="W798" s="47"/>
      <c r="X798" s="40"/>
    </row>
    <row r="799" spans="1:24" s="20" customFormat="1" ht="19.5" thickBot="1" x14ac:dyDescent="0.35">
      <c r="A799" s="41"/>
      <c r="B799" s="41" t="s">
        <v>88</v>
      </c>
      <c r="C799" s="42" t="e">
        <f>C660+#REF!+#REF!</f>
        <v>#REF!</v>
      </c>
      <c r="D799" s="43"/>
      <c r="E799" s="45" t="e">
        <f>C799*2.5</f>
        <v>#REF!</v>
      </c>
      <c r="F799" s="50" t="e">
        <f>E799*1.03*0.72/147</f>
        <v>#REF!</v>
      </c>
      <c r="G799" s="42" t="e">
        <f t="shared" si="193"/>
        <v>#REF!</v>
      </c>
      <c r="H799" s="45" t="s">
        <v>18</v>
      </c>
      <c r="I799" s="42" t="e">
        <f t="shared" si="194"/>
        <v>#REF!</v>
      </c>
      <c r="J799" s="40" t="s">
        <v>19</v>
      </c>
      <c r="K799" s="40"/>
      <c r="L799" s="40"/>
      <c r="M799" s="46" t="e">
        <f>(F799*6049/3456)</f>
        <v>#REF!</v>
      </c>
      <c r="N799" s="40"/>
      <c r="O799" s="40"/>
      <c r="P799" s="40"/>
      <c r="Q799" s="14" t="s">
        <v>18</v>
      </c>
      <c r="R799" s="40"/>
      <c r="S799" s="40" t="s">
        <v>19</v>
      </c>
      <c r="T799" s="47"/>
      <c r="U799" s="40" t="e">
        <f t="shared" si="195"/>
        <v>#REF!</v>
      </c>
      <c r="V799" s="40"/>
      <c r="W799" s="47"/>
      <c r="X799" s="40"/>
    </row>
    <row r="800" spans="1:24" s="20" customFormat="1" ht="19.5" thickBot="1" x14ac:dyDescent="0.35">
      <c r="A800" s="41"/>
      <c r="B800" s="41" t="s">
        <v>97</v>
      </c>
      <c r="C800" s="42" t="e">
        <f>C661+#REF!+#REF!</f>
        <v>#REF!</v>
      </c>
      <c r="D800" s="43"/>
      <c r="E800" s="45" t="e">
        <f>C800*2.5</f>
        <v>#REF!</v>
      </c>
      <c r="F800" s="50" t="e">
        <f>E800*1.03*0.8/147</f>
        <v>#REF!</v>
      </c>
      <c r="G800" s="42" t="e">
        <f t="shared" si="193"/>
        <v>#REF!</v>
      </c>
      <c r="H800" s="45" t="s">
        <v>18</v>
      </c>
      <c r="I800" s="42" t="e">
        <f t="shared" si="194"/>
        <v>#REF!</v>
      </c>
      <c r="J800" s="40" t="s">
        <v>19</v>
      </c>
      <c r="K800" s="40"/>
      <c r="L800" s="40"/>
      <c r="M800" s="46" t="e">
        <f>(F800*5444/3456)</f>
        <v>#REF!</v>
      </c>
      <c r="N800" s="40"/>
      <c r="O800" s="40"/>
      <c r="P800" s="40"/>
      <c r="Q800" s="14" t="s">
        <v>18</v>
      </c>
      <c r="R800" s="40"/>
      <c r="S800" s="40" t="s">
        <v>19</v>
      </c>
      <c r="T800" s="47"/>
      <c r="U800" s="40" t="e">
        <f t="shared" si="195"/>
        <v>#REF!</v>
      </c>
      <c r="V800" s="40"/>
      <c r="W800" s="47"/>
      <c r="X800" s="40"/>
    </row>
    <row r="801" spans="1:24" s="54" customFormat="1" ht="19.5" thickBot="1" x14ac:dyDescent="0.35">
      <c r="A801" s="41"/>
      <c r="B801" s="41" t="s">
        <v>96</v>
      </c>
      <c r="C801" s="42" t="e">
        <f>C662+#REF!+#REF!</f>
        <v>#REF!</v>
      </c>
      <c r="D801" s="43"/>
      <c r="E801" s="45" t="e">
        <f>C801*3</f>
        <v>#REF!</v>
      </c>
      <c r="F801" s="50" t="e">
        <f>E801*1.03*0.8/147</f>
        <v>#REF!</v>
      </c>
      <c r="G801" s="42" t="e">
        <f t="shared" si="193"/>
        <v>#REF!</v>
      </c>
      <c r="H801" s="45" t="s">
        <v>18</v>
      </c>
      <c r="I801" s="42" t="e">
        <f t="shared" si="194"/>
        <v>#REF!</v>
      </c>
      <c r="J801" s="40" t="s">
        <v>19</v>
      </c>
      <c r="K801" s="40"/>
      <c r="L801" s="40"/>
      <c r="M801" s="46" t="e">
        <f>(F801*5444/3456)</f>
        <v>#REF!</v>
      </c>
      <c r="N801" s="40"/>
      <c r="O801" s="40"/>
      <c r="P801" s="40"/>
      <c r="Q801" s="14" t="s">
        <v>18</v>
      </c>
      <c r="R801" s="40"/>
      <c r="S801" s="40" t="s">
        <v>19</v>
      </c>
      <c r="T801" s="47"/>
      <c r="U801" s="40" t="e">
        <f t="shared" si="195"/>
        <v>#REF!</v>
      </c>
      <c r="V801" s="40"/>
      <c r="W801" s="47"/>
      <c r="X801" s="40"/>
    </row>
    <row r="802" spans="1:24" s="20" customFormat="1" ht="19.5" thickBot="1" x14ac:dyDescent="0.35">
      <c r="A802" s="41"/>
      <c r="B802" s="41" t="s">
        <v>222</v>
      </c>
      <c r="C802" s="42" t="e">
        <f>C664+#REF!+#REF!</f>
        <v>#REF!</v>
      </c>
      <c r="D802" s="43"/>
      <c r="E802" s="45" t="e">
        <f>C802*4</f>
        <v>#REF!</v>
      </c>
      <c r="F802" s="50" t="e">
        <f>E802*1.03*0.72/147</f>
        <v>#REF!</v>
      </c>
      <c r="G802" s="42" t="e">
        <f t="shared" si="193"/>
        <v>#REF!</v>
      </c>
      <c r="H802" s="45" t="s">
        <v>18</v>
      </c>
      <c r="I802" s="42" t="e">
        <f t="shared" si="194"/>
        <v>#REF!</v>
      </c>
      <c r="J802" s="40" t="s">
        <v>19</v>
      </c>
      <c r="K802" s="40"/>
      <c r="L802" s="40"/>
      <c r="M802" s="46" t="e">
        <f>(F802*6049/3456)</f>
        <v>#REF!</v>
      </c>
      <c r="N802" s="40"/>
      <c r="O802" s="40"/>
      <c r="P802" s="40"/>
      <c r="Q802" s="14" t="s">
        <v>18</v>
      </c>
      <c r="R802" s="40"/>
      <c r="S802" s="40" t="s">
        <v>19</v>
      </c>
      <c r="T802" s="47"/>
      <c r="U802" s="40" t="e">
        <f t="shared" si="195"/>
        <v>#REF!</v>
      </c>
      <c r="V802" s="40"/>
      <c r="W802" s="47"/>
      <c r="X802" s="40"/>
    </row>
    <row r="803" spans="1:24" s="20" customFormat="1" ht="19.5" thickBot="1" x14ac:dyDescent="0.35">
      <c r="A803" s="26"/>
      <c r="B803" s="68" t="s">
        <v>310</v>
      </c>
      <c r="C803" s="27"/>
      <c r="D803" s="28"/>
      <c r="E803" s="69" t="e">
        <f>E802+E801+E800+E799+E798+E797+E795+E794+E793+E792+E790+E791+E789+E788+E787+E786+E785+E784+E783+E782+E781+E778+E777+E776+E774+E775+E773</f>
        <v>#REF!</v>
      </c>
      <c r="F803" s="36"/>
      <c r="G803" s="27"/>
      <c r="H803" s="30"/>
      <c r="I803" s="27"/>
      <c r="J803" s="19"/>
      <c r="K803" s="19"/>
      <c r="L803" s="19"/>
      <c r="M803" s="31"/>
      <c r="N803" s="19"/>
      <c r="O803" s="19"/>
      <c r="P803" s="19"/>
      <c r="Q803" s="35"/>
      <c r="R803" s="19"/>
      <c r="S803" s="19"/>
      <c r="T803" s="32"/>
      <c r="U803" s="19"/>
      <c r="V803" s="19"/>
      <c r="W803" s="32"/>
      <c r="X803" s="19"/>
    </row>
    <row r="804" spans="1:24" s="20" customFormat="1" ht="19.5" thickBot="1" x14ac:dyDescent="0.35">
      <c r="A804" s="26"/>
      <c r="B804" s="68" t="s">
        <v>311</v>
      </c>
      <c r="C804" s="27"/>
      <c r="D804" s="28"/>
      <c r="E804" s="69" t="e">
        <f>E771+E770+E769+E767+E766+E765+E764+E763+E762+E761+E760+E759+E758+E757+E756+E755+E754+E753+E752</f>
        <v>#REF!</v>
      </c>
      <c r="F804" s="36"/>
      <c r="G804" s="27"/>
      <c r="H804" s="30"/>
      <c r="I804" s="27"/>
      <c r="J804" s="19"/>
      <c r="K804" s="19"/>
      <c r="L804" s="19"/>
      <c r="M804" s="31"/>
      <c r="N804" s="19"/>
      <c r="O804" s="19"/>
      <c r="P804" s="19"/>
      <c r="Q804" s="35"/>
      <c r="R804" s="19"/>
      <c r="S804" s="19"/>
      <c r="T804" s="32"/>
      <c r="U804" s="19"/>
      <c r="V804" s="19"/>
      <c r="W804" s="32"/>
      <c r="X804" s="19"/>
    </row>
    <row r="805" spans="1:24" s="20" customFormat="1" ht="19.5" thickBot="1" x14ac:dyDescent="0.35">
      <c r="A805" s="26"/>
      <c r="B805" s="928" t="s">
        <v>133</v>
      </c>
      <c r="C805" s="931"/>
      <c r="D805" s="931"/>
      <c r="E805" s="931"/>
      <c r="F805" s="931"/>
      <c r="G805" s="931"/>
      <c r="H805" s="931"/>
      <c r="I805" s="931"/>
      <c r="J805" s="931"/>
      <c r="K805" s="931"/>
      <c r="L805" s="931"/>
      <c r="M805" s="931"/>
      <c r="N805" s="931"/>
      <c r="O805" s="931"/>
      <c r="P805" s="931"/>
      <c r="Q805" s="931"/>
      <c r="R805" s="931"/>
      <c r="S805" s="931"/>
      <c r="T805" s="931"/>
      <c r="U805" s="931"/>
      <c r="V805" s="931"/>
      <c r="W805" s="931"/>
      <c r="X805" s="932"/>
    </row>
    <row r="806" spans="1:24" s="20" customFormat="1" ht="19.5" thickBot="1" x14ac:dyDescent="0.35">
      <c r="A806" s="26"/>
      <c r="B806" s="26" t="s">
        <v>61</v>
      </c>
      <c r="C806" s="27" t="e">
        <f>#REF!+#REF!+#REF!</f>
        <v>#REF!</v>
      </c>
      <c r="D806" s="28"/>
      <c r="E806" s="19" t="e">
        <f>C806*2.8</f>
        <v>#REF!</v>
      </c>
      <c r="F806" s="29" t="e">
        <f>E806*1.03*0.82/173</f>
        <v>#REF!</v>
      </c>
      <c r="G806" s="27" t="e">
        <f t="shared" ref="G806:G811" si="196">INT(M806)</f>
        <v>#REF!</v>
      </c>
      <c r="H806" s="30" t="s">
        <v>18</v>
      </c>
      <c r="I806" s="27" t="e">
        <f t="shared" ref="I806:I811" si="197">(M806-G806)*64</f>
        <v>#REF!</v>
      </c>
      <c r="J806" s="19" t="s">
        <v>19</v>
      </c>
      <c r="K806" s="19"/>
      <c r="L806" s="19"/>
      <c r="M806" s="31" t="e">
        <f>F806*13307/3456</f>
        <v>#REF!</v>
      </c>
      <c r="N806" s="19"/>
      <c r="O806" s="19"/>
      <c r="P806" s="19"/>
      <c r="Q806" s="30" t="s">
        <v>18</v>
      </c>
      <c r="R806" s="19"/>
      <c r="S806" s="19" t="s">
        <v>19</v>
      </c>
      <c r="T806" s="32"/>
      <c r="U806" s="19" t="e">
        <f>E806/166*60</f>
        <v>#REF!</v>
      </c>
      <c r="V806" s="19"/>
      <c r="W806" s="32"/>
      <c r="X806" s="19"/>
    </row>
    <row r="807" spans="1:24" s="20" customFormat="1" ht="19.5" thickBot="1" x14ac:dyDescent="0.35">
      <c r="A807" s="21"/>
      <c r="B807" s="21" t="s">
        <v>81</v>
      </c>
      <c r="C807" s="27" t="e">
        <f>#REF!+C149+#REF!</f>
        <v>#REF!</v>
      </c>
      <c r="D807" s="28"/>
      <c r="E807" s="30" t="e">
        <f>C807*2.5</f>
        <v>#REF!</v>
      </c>
      <c r="F807" s="36" t="e">
        <f>E807*1.03*0.72/147</f>
        <v>#REF!</v>
      </c>
      <c r="G807" s="27" t="e">
        <f t="shared" si="196"/>
        <v>#REF!</v>
      </c>
      <c r="H807" s="30" t="s">
        <v>18</v>
      </c>
      <c r="I807" s="27" t="e">
        <f t="shared" si="197"/>
        <v>#REF!</v>
      </c>
      <c r="J807" s="19" t="s">
        <v>19</v>
      </c>
      <c r="K807" s="19"/>
      <c r="L807" s="19"/>
      <c r="M807" s="31" t="e">
        <f>(F807*6049/3456)</f>
        <v>#REF!</v>
      </c>
      <c r="N807" s="19"/>
      <c r="O807" s="19"/>
      <c r="P807" s="19"/>
      <c r="Q807" s="35" t="s">
        <v>18</v>
      </c>
      <c r="R807" s="19"/>
      <c r="S807" s="19" t="s">
        <v>19</v>
      </c>
      <c r="T807" s="32"/>
      <c r="U807" s="19" t="e">
        <f>E807/324*60</f>
        <v>#REF!</v>
      </c>
      <c r="V807" s="19"/>
      <c r="W807" s="32"/>
      <c r="X807" s="19"/>
    </row>
    <row r="808" spans="1:24" s="20" customFormat="1" ht="19.5" thickBot="1" x14ac:dyDescent="0.35">
      <c r="A808" s="26"/>
      <c r="B808" s="26" t="s">
        <v>82</v>
      </c>
      <c r="C808" s="27" t="e">
        <f>#REF!+#REF!+C150</f>
        <v>#REF!</v>
      </c>
      <c r="D808" s="28"/>
      <c r="E808" s="30" t="e">
        <f>C808*4</f>
        <v>#REF!</v>
      </c>
      <c r="F808" s="36" t="e">
        <f>E808*1.03*0.72/147</f>
        <v>#REF!</v>
      </c>
      <c r="G808" s="27" t="e">
        <f t="shared" si="196"/>
        <v>#REF!</v>
      </c>
      <c r="H808" s="30" t="s">
        <v>18</v>
      </c>
      <c r="I808" s="27" t="e">
        <f t="shared" si="197"/>
        <v>#REF!</v>
      </c>
      <c r="J808" s="19" t="s">
        <v>19</v>
      </c>
      <c r="K808" s="19"/>
      <c r="L808" s="19"/>
      <c r="M808" s="31" t="e">
        <f>(F808*6049/3456)</f>
        <v>#REF!</v>
      </c>
      <c r="N808" s="19"/>
      <c r="O808" s="19"/>
      <c r="P808" s="19"/>
      <c r="Q808" s="35" t="s">
        <v>18</v>
      </c>
      <c r="R808" s="19"/>
      <c r="S808" s="19" t="s">
        <v>19</v>
      </c>
      <c r="T808" s="32"/>
      <c r="U808" s="19" t="e">
        <f>E808/324*60</f>
        <v>#REF!</v>
      </c>
      <c r="V808" s="19"/>
      <c r="W808" s="32"/>
      <c r="X808" s="19"/>
    </row>
    <row r="809" spans="1:24" s="20" customFormat="1" ht="19.5" thickBot="1" x14ac:dyDescent="0.35">
      <c r="A809" s="21"/>
      <c r="B809" s="21" t="s">
        <v>91</v>
      </c>
      <c r="C809" s="27" t="e">
        <f>#REF!+#REF!+C148</f>
        <v>#REF!</v>
      </c>
      <c r="D809" s="28"/>
      <c r="E809" s="30" t="e">
        <f>C809*2.5</f>
        <v>#REF!</v>
      </c>
      <c r="F809" s="36" t="e">
        <f>E809*1.03*0.72/147</f>
        <v>#REF!</v>
      </c>
      <c r="G809" s="27" t="e">
        <f t="shared" si="196"/>
        <v>#REF!</v>
      </c>
      <c r="H809" s="30" t="s">
        <v>18</v>
      </c>
      <c r="I809" s="27" t="e">
        <f t="shared" si="197"/>
        <v>#REF!</v>
      </c>
      <c r="J809" s="19" t="s">
        <v>19</v>
      </c>
      <c r="K809" s="19"/>
      <c r="L809" s="19"/>
      <c r="M809" s="31" t="e">
        <f>(F809*6049/3456)</f>
        <v>#REF!</v>
      </c>
      <c r="N809" s="19"/>
      <c r="O809" s="19"/>
      <c r="P809" s="19"/>
      <c r="Q809" s="35" t="s">
        <v>18</v>
      </c>
      <c r="R809" s="19"/>
      <c r="S809" s="19" t="s">
        <v>19</v>
      </c>
      <c r="T809" s="32"/>
      <c r="U809" s="19" t="e">
        <f>E809/324*60</f>
        <v>#REF!</v>
      </c>
      <c r="V809" s="19"/>
      <c r="W809" s="32"/>
      <c r="X809" s="19"/>
    </row>
    <row r="810" spans="1:24" s="20" customFormat="1" ht="19.5" thickBot="1" x14ac:dyDescent="0.35">
      <c r="A810" s="26"/>
      <c r="B810" s="26" t="s">
        <v>92</v>
      </c>
      <c r="C810" s="27" t="e">
        <f>#REF!+#REF!+#REF!</f>
        <v>#REF!</v>
      </c>
      <c r="D810" s="28"/>
      <c r="E810" s="30" t="e">
        <f>C810*4</f>
        <v>#REF!</v>
      </c>
      <c r="F810" s="36" t="e">
        <f>E810*1.03*0.8/147</f>
        <v>#REF!</v>
      </c>
      <c r="G810" s="27" t="e">
        <f t="shared" si="196"/>
        <v>#REF!</v>
      </c>
      <c r="H810" s="30" t="s">
        <v>18</v>
      </c>
      <c r="I810" s="27" t="e">
        <f t="shared" si="197"/>
        <v>#REF!</v>
      </c>
      <c r="J810" s="19" t="s">
        <v>19</v>
      </c>
      <c r="K810" s="19"/>
      <c r="L810" s="19"/>
      <c r="M810" s="31" t="e">
        <f>(F810*5444/3456)</f>
        <v>#REF!</v>
      </c>
      <c r="N810" s="19"/>
      <c r="O810" s="19"/>
      <c r="P810" s="19"/>
      <c r="Q810" s="35" t="s">
        <v>18</v>
      </c>
      <c r="R810" s="19"/>
      <c r="S810" s="19" t="s">
        <v>19</v>
      </c>
      <c r="T810" s="32"/>
      <c r="U810" s="19" t="e">
        <f>E810/324*60</f>
        <v>#REF!</v>
      </c>
      <c r="V810" s="19"/>
      <c r="W810" s="32"/>
      <c r="X810" s="19"/>
    </row>
    <row r="811" spans="1:24" s="20" customFormat="1" ht="19.5" thickBot="1" x14ac:dyDescent="0.35">
      <c r="A811" s="26"/>
      <c r="B811" s="26" t="s">
        <v>93</v>
      </c>
      <c r="C811" s="27" t="e">
        <f>#REF!+#REF!+#REF!</f>
        <v>#REF!</v>
      </c>
      <c r="D811" s="28"/>
      <c r="E811" s="30" t="e">
        <f>C811*2.5</f>
        <v>#REF!</v>
      </c>
      <c r="F811" s="36" t="e">
        <f>E811*1.03*0.8/147</f>
        <v>#REF!</v>
      </c>
      <c r="G811" s="27" t="e">
        <f t="shared" si="196"/>
        <v>#REF!</v>
      </c>
      <c r="H811" s="30" t="s">
        <v>18</v>
      </c>
      <c r="I811" s="27" t="e">
        <f t="shared" si="197"/>
        <v>#REF!</v>
      </c>
      <c r="J811" s="19" t="s">
        <v>19</v>
      </c>
      <c r="K811" s="19"/>
      <c r="L811" s="19"/>
      <c r="M811" s="31" t="e">
        <f>(F811*5444/3456)</f>
        <v>#REF!</v>
      </c>
      <c r="N811" s="19"/>
      <c r="O811" s="19"/>
      <c r="P811" s="19"/>
      <c r="Q811" s="35" t="s">
        <v>18</v>
      </c>
      <c r="R811" s="19"/>
      <c r="S811" s="19" t="s">
        <v>19</v>
      </c>
      <c r="T811" s="32"/>
      <c r="U811" s="19" t="e">
        <f>E811/324*60</f>
        <v>#REF!</v>
      </c>
      <c r="V811" s="19"/>
      <c r="W811" s="32"/>
      <c r="X811" s="19"/>
    </row>
    <row r="812" spans="1:24" s="20" customFormat="1" ht="19.5" thickBot="1" x14ac:dyDescent="0.35">
      <c r="A812" s="70"/>
      <c r="B812" s="68" t="s">
        <v>134</v>
      </c>
      <c r="C812" s="27"/>
      <c r="D812" s="28"/>
      <c r="E812" s="30" t="e">
        <f>SUM(E806:E811)</f>
        <v>#REF!</v>
      </c>
      <c r="F812" s="36"/>
      <c r="G812" s="27"/>
      <c r="H812" s="30"/>
      <c r="I812" s="27"/>
      <c r="J812" s="19"/>
      <c r="K812" s="19"/>
      <c r="L812" s="19"/>
      <c r="M812" s="31"/>
      <c r="N812" s="19"/>
      <c r="O812" s="19"/>
      <c r="P812" s="19"/>
      <c r="Q812" s="35"/>
      <c r="R812" s="19"/>
      <c r="S812" s="19"/>
      <c r="T812" s="32"/>
      <c r="U812" s="19"/>
      <c r="V812" s="19"/>
      <c r="W812" s="32"/>
      <c r="X812" s="19"/>
    </row>
    <row r="813" spans="1:24" s="20" customFormat="1" ht="19.5" thickBot="1" x14ac:dyDescent="0.35">
      <c r="A813" s="67"/>
      <c r="B813" s="928" t="s">
        <v>135</v>
      </c>
      <c r="C813" s="931"/>
      <c r="D813" s="931"/>
      <c r="E813" s="931"/>
      <c r="F813" s="931"/>
      <c r="G813" s="931"/>
      <c r="H813" s="931"/>
      <c r="I813" s="931"/>
      <c r="J813" s="931"/>
      <c r="K813" s="931"/>
      <c r="L813" s="931"/>
      <c r="M813" s="931"/>
      <c r="N813" s="931"/>
      <c r="O813" s="931"/>
      <c r="P813" s="931"/>
      <c r="Q813" s="931"/>
      <c r="R813" s="931"/>
      <c r="S813" s="931"/>
      <c r="T813" s="931"/>
      <c r="U813" s="931"/>
      <c r="V813" s="931"/>
      <c r="W813" s="931"/>
      <c r="X813" s="932"/>
    </row>
    <row r="814" spans="1:24" s="20" customFormat="1" ht="19.5" thickBot="1" x14ac:dyDescent="0.35">
      <c r="A814" s="26"/>
      <c r="B814" s="26" t="s">
        <v>246</v>
      </c>
      <c r="C814" s="33" t="e">
        <f>#REF!+#REF!+#REF!</f>
        <v>#REF!</v>
      </c>
      <c r="D814" s="28" t="e">
        <f>C814*10</f>
        <v>#REF!</v>
      </c>
      <c r="E814" s="19" t="e">
        <f>D814*0.25</f>
        <v>#REF!</v>
      </c>
      <c r="F814" s="29" t="e">
        <f>E814*1.03*0.82/173</f>
        <v>#REF!</v>
      </c>
      <c r="G814" s="27" t="e">
        <f>INT(M814)</f>
        <v>#REF!</v>
      </c>
      <c r="H814" s="30" t="s">
        <v>18</v>
      </c>
      <c r="I814" s="27" t="e">
        <f>(M814-G814)*64</f>
        <v>#REF!</v>
      </c>
      <c r="J814" s="19" t="s">
        <v>19</v>
      </c>
      <c r="K814" s="19"/>
      <c r="L814" s="19"/>
      <c r="M814" s="31" t="e">
        <f>(F814*8480)/3456</f>
        <v>#REF!</v>
      </c>
      <c r="N814" s="19"/>
      <c r="O814" s="19"/>
      <c r="P814" s="19"/>
      <c r="Q814" s="30"/>
      <c r="R814" s="19"/>
      <c r="S814" s="19"/>
      <c r="T814" s="32">
        <v>5</v>
      </c>
      <c r="U814" s="19" t="e">
        <f>E814/272*60</f>
        <v>#REF!</v>
      </c>
      <c r="V814" s="19"/>
      <c r="W814" s="32"/>
      <c r="X814" s="19"/>
    </row>
    <row r="815" spans="1:24" s="20" customFormat="1" ht="19.5" thickBot="1" x14ac:dyDescent="0.35">
      <c r="A815" s="26"/>
      <c r="B815" s="26" t="s">
        <v>66</v>
      </c>
      <c r="C815" s="27" t="e">
        <f>#REF!+#REF!+#REF!</f>
        <v>#REF!</v>
      </c>
      <c r="D815" s="28" t="e">
        <f>C815*10</f>
        <v>#REF!</v>
      </c>
      <c r="E815" s="19" t="e">
        <f>D815*0.25</f>
        <v>#REF!</v>
      </c>
      <c r="F815" s="29" t="e">
        <f>E815*1.03*0.82/173</f>
        <v>#REF!</v>
      </c>
      <c r="G815" s="27" t="e">
        <f>INT(M815)</f>
        <v>#REF!</v>
      </c>
      <c r="H815" s="30" t="s">
        <v>18</v>
      </c>
      <c r="I815" s="27" t="e">
        <f>(M815-G815)*64</f>
        <v>#REF!</v>
      </c>
      <c r="J815" s="19" t="s">
        <v>19</v>
      </c>
      <c r="K815" s="19"/>
      <c r="L815" s="19"/>
      <c r="M815" s="31" t="e">
        <f>(F815*8480)/3456</f>
        <v>#REF!</v>
      </c>
      <c r="N815" s="19"/>
      <c r="O815" s="19"/>
      <c r="P815" s="19"/>
      <c r="Q815" s="30" t="s">
        <v>18</v>
      </c>
      <c r="R815" s="19"/>
      <c r="S815" s="19" t="s">
        <v>19</v>
      </c>
      <c r="T815" s="32"/>
      <c r="U815" s="19" t="e">
        <f>E815/272*60</f>
        <v>#REF!</v>
      </c>
      <c r="V815" s="19"/>
      <c r="W815" s="32"/>
      <c r="X815" s="19"/>
    </row>
    <row r="816" spans="1:24" s="20" customFormat="1" ht="19.5" thickBot="1" x14ac:dyDescent="0.35">
      <c r="A816" s="26"/>
      <c r="B816" s="26" t="s">
        <v>67</v>
      </c>
      <c r="C816" s="27" t="e">
        <f>#REF!+#REF!+#REF!</f>
        <v>#REF!</v>
      </c>
      <c r="D816" s="28" t="e">
        <f>C816*10</f>
        <v>#REF!</v>
      </c>
      <c r="E816" s="19" t="e">
        <f>D816*0.25</f>
        <v>#REF!</v>
      </c>
      <c r="F816" s="29" t="e">
        <f>E816*1.03*0.82/173</f>
        <v>#REF!</v>
      </c>
      <c r="G816" s="27" t="e">
        <f>INT(M816)</f>
        <v>#REF!</v>
      </c>
      <c r="H816" s="30" t="s">
        <v>18</v>
      </c>
      <c r="I816" s="27" t="e">
        <f>(M816-G816)*64</f>
        <v>#REF!</v>
      </c>
      <c r="J816" s="19" t="s">
        <v>19</v>
      </c>
      <c r="K816" s="19"/>
      <c r="L816" s="19"/>
      <c r="M816" s="31" t="e">
        <f>(F816*8480)/3456</f>
        <v>#REF!</v>
      </c>
      <c r="N816" s="19"/>
      <c r="O816" s="19"/>
      <c r="P816" s="19"/>
      <c r="Q816" s="30" t="s">
        <v>18</v>
      </c>
      <c r="R816" s="19"/>
      <c r="S816" s="19" t="s">
        <v>19</v>
      </c>
      <c r="T816" s="32"/>
      <c r="U816" s="19" t="e">
        <f>E816/272*60</f>
        <v>#REF!</v>
      </c>
      <c r="V816" s="19"/>
      <c r="W816" s="32"/>
      <c r="X816" s="19"/>
    </row>
    <row r="817" spans="1:24" s="20" customFormat="1" ht="19.5" thickBot="1" x14ac:dyDescent="0.35">
      <c r="A817" s="26"/>
      <c r="B817" s="68" t="s">
        <v>134</v>
      </c>
      <c r="C817" s="27"/>
      <c r="D817" s="28"/>
      <c r="E817" s="30" t="e">
        <f>E816+E815+E814</f>
        <v>#REF!</v>
      </c>
      <c r="F817" s="27"/>
      <c r="G817" s="30"/>
      <c r="H817" s="27"/>
      <c r="I817" s="19"/>
      <c r="J817" s="19"/>
      <c r="K817" s="19"/>
      <c r="L817" s="31"/>
      <c r="M817" s="31"/>
      <c r="N817" s="19"/>
      <c r="O817" s="19"/>
      <c r="P817" s="19"/>
      <c r="Q817" s="35"/>
      <c r="R817" s="19"/>
      <c r="S817" s="19"/>
      <c r="T817" s="32"/>
      <c r="U817" s="19"/>
      <c r="V817" s="19"/>
      <c r="W817" s="32"/>
      <c r="X817" s="19"/>
    </row>
    <row r="818" spans="1:24" s="20" customFormat="1" ht="19.5" thickBot="1" x14ac:dyDescent="0.25">
      <c r="A818" s="933" t="s">
        <v>136</v>
      </c>
      <c r="B818" s="933"/>
      <c r="C818" s="933"/>
      <c r="D818" s="933"/>
      <c r="E818" s="933"/>
      <c r="F818" s="933"/>
      <c r="G818" s="933"/>
      <c r="H818" s="933"/>
      <c r="I818" s="933"/>
      <c r="J818" s="933"/>
      <c r="K818" s="933"/>
      <c r="L818" s="933"/>
      <c r="M818" s="933"/>
      <c r="N818" s="933"/>
      <c r="O818" s="933"/>
      <c r="P818" s="933"/>
      <c r="Q818" s="933"/>
      <c r="R818" s="933"/>
      <c r="S818" s="933"/>
      <c r="T818" s="933"/>
      <c r="U818" s="933"/>
      <c r="V818" s="933"/>
      <c r="W818" s="933"/>
      <c r="X818" s="934"/>
    </row>
    <row r="819" spans="1:24" s="20" customFormat="1" ht="19.5" thickBot="1" x14ac:dyDescent="0.35">
      <c r="A819" s="26"/>
      <c r="B819" s="26" t="s">
        <v>48</v>
      </c>
      <c r="C819" s="27">
        <f>C85</f>
        <v>0</v>
      </c>
      <c r="D819" s="28"/>
      <c r="E819" s="19">
        <f>C819*4</f>
        <v>0</v>
      </c>
      <c r="F819" s="29">
        <f>E819*1.03*0.82/173</f>
        <v>0</v>
      </c>
      <c r="G819" s="27">
        <f>INT(M819)</f>
        <v>0</v>
      </c>
      <c r="H819" s="30" t="s">
        <v>18</v>
      </c>
      <c r="I819" s="27">
        <f>(M819-G819)*64</f>
        <v>0</v>
      </c>
      <c r="J819" s="19" t="s">
        <v>19</v>
      </c>
      <c r="K819" s="19"/>
      <c r="L819" s="19"/>
      <c r="M819" s="31">
        <f>(F819*8480)/3456</f>
        <v>0</v>
      </c>
      <c r="N819" s="19"/>
      <c r="O819" s="19"/>
      <c r="P819" s="19"/>
      <c r="Q819" s="30" t="s">
        <v>18</v>
      </c>
      <c r="R819" s="19"/>
      <c r="S819" s="19" t="s">
        <v>19</v>
      </c>
      <c r="T819" s="32"/>
      <c r="U819" s="19">
        <f>E819/272*60</f>
        <v>0</v>
      </c>
      <c r="V819" s="19"/>
      <c r="W819" s="32"/>
      <c r="X819" s="19"/>
    </row>
    <row r="820" spans="1:24" s="20" customFormat="1" ht="19.5" thickBot="1" x14ac:dyDescent="0.35">
      <c r="A820" s="26"/>
      <c r="B820" s="26" t="s">
        <v>49</v>
      </c>
      <c r="C820" s="27">
        <f>C86</f>
        <v>0</v>
      </c>
      <c r="D820" s="28"/>
      <c r="E820" s="19">
        <f>C820*4</f>
        <v>0</v>
      </c>
      <c r="F820" s="29">
        <f>E820*1.03*0.82/173</f>
        <v>0</v>
      </c>
      <c r="G820" s="27">
        <f>INT(M820)</f>
        <v>0</v>
      </c>
      <c r="H820" s="30" t="s">
        <v>18</v>
      </c>
      <c r="I820" s="27">
        <f>(M820-G820)*64</f>
        <v>0</v>
      </c>
      <c r="J820" s="19" t="s">
        <v>19</v>
      </c>
      <c r="K820" s="19"/>
      <c r="L820" s="19"/>
      <c r="M820" s="31">
        <f>(F820*8480)/3456</f>
        <v>0</v>
      </c>
      <c r="N820" s="19"/>
      <c r="O820" s="19"/>
      <c r="P820" s="19"/>
      <c r="Q820" s="30" t="s">
        <v>18</v>
      </c>
      <c r="R820" s="19"/>
      <c r="S820" s="19" t="s">
        <v>19</v>
      </c>
      <c r="T820" s="32"/>
      <c r="U820" s="19">
        <f>E820/272*60</f>
        <v>0</v>
      </c>
      <c r="V820" s="19"/>
      <c r="W820" s="32"/>
      <c r="X820" s="19"/>
    </row>
    <row r="821" spans="1:24" s="20" customFormat="1" ht="19.5" thickBot="1" x14ac:dyDescent="0.35">
      <c r="A821" s="26"/>
      <c r="B821" s="26" t="s">
        <v>50</v>
      </c>
      <c r="C821" s="27">
        <f>C87</f>
        <v>0</v>
      </c>
      <c r="D821" s="28"/>
      <c r="E821" s="19">
        <f>C821*4</f>
        <v>0</v>
      </c>
      <c r="F821" s="29">
        <f>E821*1.03*0.82/173</f>
        <v>0</v>
      </c>
      <c r="G821" s="27">
        <f>INT(M821)</f>
        <v>0</v>
      </c>
      <c r="H821" s="30" t="s">
        <v>18</v>
      </c>
      <c r="I821" s="27">
        <f>(M821-G821)*64</f>
        <v>0</v>
      </c>
      <c r="J821" s="19" t="s">
        <v>19</v>
      </c>
      <c r="K821" s="19"/>
      <c r="L821" s="19"/>
      <c r="M821" s="31">
        <f>(F821*8480)/3456</f>
        <v>0</v>
      </c>
      <c r="N821" s="19"/>
      <c r="O821" s="19"/>
      <c r="P821" s="19"/>
      <c r="Q821" s="30" t="s">
        <v>18</v>
      </c>
      <c r="R821" s="19"/>
      <c r="S821" s="19" t="s">
        <v>19</v>
      </c>
      <c r="T821" s="32"/>
      <c r="U821" s="19">
        <f>E821/272*60</f>
        <v>0</v>
      </c>
      <c r="V821" s="19"/>
      <c r="W821" s="32"/>
      <c r="X821" s="19"/>
    </row>
    <row r="822" spans="1:24" s="20" customFormat="1" ht="19.5" thickBot="1" x14ac:dyDescent="0.35">
      <c r="A822" s="26"/>
      <c r="B822" s="26" t="s">
        <v>280</v>
      </c>
      <c r="C822" s="27">
        <f>C88</f>
        <v>0</v>
      </c>
      <c r="D822" s="28"/>
      <c r="E822" s="19">
        <f>C822*4.8</f>
        <v>0</v>
      </c>
      <c r="F822" s="29">
        <f>E822*1.03*0.82/173</f>
        <v>0</v>
      </c>
      <c r="G822" s="27">
        <f>INT(M822)</f>
        <v>0</v>
      </c>
      <c r="H822" s="30" t="s">
        <v>18</v>
      </c>
      <c r="I822" s="27">
        <f>(M822-G822)*64</f>
        <v>0</v>
      </c>
      <c r="J822" s="19" t="s">
        <v>19</v>
      </c>
      <c r="K822" s="19"/>
      <c r="L822" s="19"/>
      <c r="M822" s="31">
        <f>(F822*8480)/3456</f>
        <v>0</v>
      </c>
      <c r="N822" s="19"/>
      <c r="O822" s="19"/>
      <c r="P822" s="19"/>
      <c r="Q822" s="30" t="s">
        <v>18</v>
      </c>
      <c r="R822" s="19"/>
      <c r="S822" s="19" t="s">
        <v>19</v>
      </c>
      <c r="T822" s="32"/>
      <c r="U822" s="19">
        <f>E822/272*60</f>
        <v>0</v>
      </c>
      <c r="V822" s="19"/>
      <c r="W822" s="32"/>
      <c r="X822" s="19"/>
    </row>
    <row r="823" spans="1:24" s="20" customFormat="1" ht="19.5" thickBot="1" x14ac:dyDescent="0.35">
      <c r="A823" s="26"/>
      <c r="B823" s="68" t="s">
        <v>134</v>
      </c>
      <c r="C823" s="27"/>
      <c r="D823" s="28"/>
      <c r="E823" s="30">
        <f>SUM(E819:E822)</f>
        <v>0</v>
      </c>
      <c r="F823" s="27"/>
      <c r="G823" s="30"/>
      <c r="H823" s="27"/>
      <c r="I823" s="19"/>
      <c r="J823" s="19"/>
      <c r="K823" s="19"/>
      <c r="L823" s="31"/>
      <c r="M823" s="31"/>
      <c r="N823" s="19"/>
      <c r="O823" s="19"/>
      <c r="P823" s="19"/>
      <c r="Q823" s="35"/>
      <c r="R823" s="19"/>
      <c r="S823" s="19"/>
      <c r="T823" s="32"/>
      <c r="U823" s="19"/>
      <c r="V823" s="19"/>
      <c r="W823" s="32"/>
      <c r="X823" s="19"/>
    </row>
    <row r="824" spans="1:24" s="20" customFormat="1" ht="19.5" thickBot="1" x14ac:dyDescent="0.35">
      <c r="A824" s="67"/>
      <c r="B824" s="928" t="s">
        <v>137</v>
      </c>
      <c r="C824" s="929"/>
      <c r="D824" s="929"/>
      <c r="E824" s="929"/>
      <c r="F824" s="929"/>
      <c r="G824" s="929"/>
      <c r="H824" s="929"/>
      <c r="I824" s="929"/>
      <c r="J824" s="929"/>
      <c r="K824" s="929"/>
      <c r="L824" s="929"/>
      <c r="M824" s="929"/>
      <c r="N824" s="929"/>
      <c r="O824" s="929"/>
      <c r="P824" s="929"/>
      <c r="Q824" s="929"/>
      <c r="R824" s="929"/>
      <c r="S824" s="929"/>
      <c r="T824" s="929"/>
      <c r="U824" s="929"/>
      <c r="V824" s="929"/>
      <c r="W824" s="929"/>
      <c r="X824" s="930"/>
    </row>
    <row r="825" spans="1:24" s="128" customFormat="1" ht="19.5" thickBot="1" x14ac:dyDescent="0.35">
      <c r="A825" s="129"/>
      <c r="B825" s="130" t="s">
        <v>287</v>
      </c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</row>
    <row r="826" spans="1:24" s="128" customFormat="1" ht="19.5" thickBot="1" x14ac:dyDescent="0.35">
      <c r="A826" s="129"/>
      <c r="B826" s="130" t="s">
        <v>286</v>
      </c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</row>
    <row r="827" spans="1:24" s="20" customFormat="1" ht="38.25" thickBot="1" x14ac:dyDescent="0.35">
      <c r="A827" s="41"/>
      <c r="B827" s="41" t="s">
        <v>302</v>
      </c>
      <c r="C827" s="42"/>
      <c r="D827" s="43">
        <f>C827*14</f>
        <v>0</v>
      </c>
      <c r="E827" s="64">
        <f>D827*0.25</f>
        <v>0</v>
      </c>
      <c r="F827" s="50">
        <f t="shared" ref="F827:F832" si="198">E827*1.03*0.99/147</f>
        <v>0</v>
      </c>
      <c r="G827" s="42">
        <f>INT(M827)</f>
        <v>0</v>
      </c>
      <c r="H827" s="14" t="s">
        <v>18</v>
      </c>
      <c r="I827" s="42">
        <f>(M827-G827)*64</f>
        <v>0</v>
      </c>
      <c r="J827" s="14" t="s">
        <v>19</v>
      </c>
      <c r="K827" s="40"/>
      <c r="L827" s="40"/>
      <c r="M827" s="52">
        <f>(F827*7000)/2880</f>
        <v>0</v>
      </c>
      <c r="N827" s="40"/>
      <c r="O827" s="40"/>
      <c r="P827" s="40"/>
      <c r="Q827" s="14" t="s">
        <v>18</v>
      </c>
      <c r="R827" s="40"/>
      <c r="S827" s="40" t="s">
        <v>19</v>
      </c>
      <c r="T827" s="47"/>
      <c r="U827" s="40">
        <f>E827/390*60</f>
        <v>0</v>
      </c>
      <c r="V827" s="40"/>
      <c r="W827" s="47"/>
      <c r="X827" s="40"/>
    </row>
    <row r="828" spans="1:24" s="20" customFormat="1" ht="19.5" thickBot="1" x14ac:dyDescent="0.35">
      <c r="A828" s="41"/>
      <c r="B828" s="41" t="s">
        <v>303</v>
      </c>
      <c r="C828" s="42"/>
      <c r="D828" s="43">
        <f>C828*16</f>
        <v>0</v>
      </c>
      <c r="E828" s="40">
        <f>D828*0.34</f>
        <v>0</v>
      </c>
      <c r="F828" s="50">
        <f t="shared" si="198"/>
        <v>0</v>
      </c>
      <c r="G828" s="42">
        <f>INT(M828)</f>
        <v>0</v>
      </c>
      <c r="H828" s="45" t="s">
        <v>18</v>
      </c>
      <c r="I828" s="42">
        <f>(M828-G828)*64</f>
        <v>0</v>
      </c>
      <c r="J828" s="40" t="s">
        <v>19</v>
      </c>
      <c r="K828" s="40"/>
      <c r="L828" s="40"/>
      <c r="M828" s="52">
        <f>(F828*5202)/2880</f>
        <v>0</v>
      </c>
      <c r="N828" s="40"/>
      <c r="O828" s="40"/>
      <c r="P828" s="40"/>
      <c r="Q828" s="14" t="s">
        <v>18</v>
      </c>
      <c r="R828" s="40"/>
      <c r="S828" s="40" t="s">
        <v>19</v>
      </c>
      <c r="T828" s="47"/>
      <c r="U828" s="40"/>
      <c r="V828" s="40"/>
      <c r="W828" s="47"/>
      <c r="X828" s="40"/>
    </row>
    <row r="829" spans="1:24" s="20" customFormat="1" ht="19.5" thickBot="1" x14ac:dyDescent="0.35">
      <c r="A829" s="41"/>
      <c r="B829" s="41" t="s">
        <v>244</v>
      </c>
      <c r="C829" s="42" t="e">
        <f>#REF!+#REF!+#REF!</f>
        <v>#REF!</v>
      </c>
      <c r="D829" s="43" t="e">
        <f>C829*14</f>
        <v>#REF!</v>
      </c>
      <c r="E829" s="64" t="e">
        <f>D829*0.25</f>
        <v>#REF!</v>
      </c>
      <c r="F829" s="50" t="e">
        <f t="shared" si="198"/>
        <v>#REF!</v>
      </c>
      <c r="G829" s="42" t="e">
        <f>INT(M829)</f>
        <v>#REF!</v>
      </c>
      <c r="H829" s="14" t="s">
        <v>18</v>
      </c>
      <c r="I829" s="42" t="e">
        <f>(M829-G829)*64</f>
        <v>#REF!</v>
      </c>
      <c r="J829" s="14" t="s">
        <v>19</v>
      </c>
      <c r="K829" s="40"/>
      <c r="L829" s="40"/>
      <c r="M829" s="52" t="e">
        <f>(F829*7000)/2880</f>
        <v>#REF!</v>
      </c>
      <c r="N829" s="40"/>
      <c r="O829" s="40"/>
      <c r="P829" s="40"/>
      <c r="Q829" s="14" t="s">
        <v>18</v>
      </c>
      <c r="R829" s="40"/>
      <c r="S829" s="40" t="s">
        <v>19</v>
      </c>
      <c r="T829" s="47"/>
      <c r="U829" s="40" t="e">
        <f>E829/390*60</f>
        <v>#REF!</v>
      </c>
      <c r="V829" s="40"/>
      <c r="W829" s="47"/>
      <c r="X829" s="40"/>
    </row>
    <row r="830" spans="1:24" s="20" customFormat="1" ht="19.5" thickBot="1" x14ac:dyDescent="0.35">
      <c r="A830" s="41"/>
      <c r="B830" s="41" t="s">
        <v>245</v>
      </c>
      <c r="C830" s="42" t="e">
        <f>#REF!+#REF!+#REF!</f>
        <v>#REF!</v>
      </c>
      <c r="D830" s="43" t="e">
        <f>C830*14</f>
        <v>#REF!</v>
      </c>
      <c r="E830" s="64" t="e">
        <f>D830*0.25</f>
        <v>#REF!</v>
      </c>
      <c r="F830" s="50" t="e">
        <f t="shared" si="198"/>
        <v>#REF!</v>
      </c>
      <c r="G830" s="42" t="e">
        <f>INT(M830)</f>
        <v>#REF!</v>
      </c>
      <c r="H830" s="14" t="s">
        <v>18</v>
      </c>
      <c r="I830" s="42" t="e">
        <f>(M830-G830)*64</f>
        <v>#REF!</v>
      </c>
      <c r="J830" s="14" t="s">
        <v>19</v>
      </c>
      <c r="K830" s="40"/>
      <c r="L830" s="40"/>
      <c r="M830" s="52" t="e">
        <f>(F830*7000)/2880</f>
        <v>#REF!</v>
      </c>
      <c r="N830" s="40"/>
      <c r="O830" s="40"/>
      <c r="P830" s="40"/>
      <c r="Q830" s="14" t="s">
        <v>18</v>
      </c>
      <c r="R830" s="40"/>
      <c r="S830" s="40" t="s">
        <v>19</v>
      </c>
      <c r="T830" s="47"/>
      <c r="U830" s="40" t="e">
        <f>E830/390*60</f>
        <v>#REF!</v>
      </c>
      <c r="V830" s="40"/>
      <c r="W830" s="47"/>
      <c r="X830" s="40"/>
    </row>
    <row r="831" spans="1:24" s="20" customFormat="1" ht="19.5" thickBot="1" x14ac:dyDescent="0.35">
      <c r="A831" s="41"/>
      <c r="B831" s="41" t="s">
        <v>293</v>
      </c>
      <c r="C831" s="42" t="e">
        <f>#REF!+#REF!+#REF!</f>
        <v>#REF!</v>
      </c>
      <c r="D831" s="43" t="e">
        <f>C831*12</f>
        <v>#REF!</v>
      </c>
      <c r="E831" s="63" t="e">
        <f>D831*0.3</f>
        <v>#REF!</v>
      </c>
      <c r="F831" s="50" t="e">
        <f t="shared" si="198"/>
        <v>#REF!</v>
      </c>
      <c r="G831" s="42" t="e">
        <f>INT(M831)</f>
        <v>#REF!</v>
      </c>
      <c r="H831" s="45" t="s">
        <v>18</v>
      </c>
      <c r="I831" s="42" t="e">
        <f>(M831-G831)*64</f>
        <v>#REF!</v>
      </c>
      <c r="J831" s="40" t="s">
        <v>19</v>
      </c>
      <c r="K831" s="40"/>
      <c r="L831" s="40"/>
      <c r="M831" s="52" t="e">
        <f>(F831*5927)/2880</f>
        <v>#REF!</v>
      </c>
      <c r="N831" s="40"/>
      <c r="O831" s="40"/>
      <c r="P831" s="40"/>
      <c r="Q831" s="14" t="s">
        <v>18</v>
      </c>
      <c r="R831" s="40"/>
      <c r="S831" s="40" t="s">
        <v>19</v>
      </c>
      <c r="T831" s="47"/>
      <c r="U831" s="40" t="e">
        <f>E831/403*60</f>
        <v>#REF!</v>
      </c>
      <c r="V831" s="40"/>
      <c r="W831" s="47"/>
      <c r="X831" s="40"/>
    </row>
    <row r="832" spans="1:24" s="20" customFormat="1" ht="19.5" thickBot="1" x14ac:dyDescent="0.35">
      <c r="A832" s="41"/>
      <c r="B832" s="41" t="s">
        <v>114</v>
      </c>
      <c r="C832" s="42" t="e">
        <f>#REF!+#REF!+#REF!</f>
        <v>#REF!</v>
      </c>
      <c r="D832" s="43" t="e">
        <f t="shared" ref="D832:D838" si="199">C832*12</f>
        <v>#REF!</v>
      </c>
      <c r="E832" s="40" t="e">
        <f>D832*0.25</f>
        <v>#REF!</v>
      </c>
      <c r="F832" s="50" t="e">
        <f t="shared" si="198"/>
        <v>#REF!</v>
      </c>
      <c r="G832" s="42" t="e">
        <f t="shared" ref="G832:G849" si="200">INT(M832)</f>
        <v>#REF!</v>
      </c>
      <c r="H832" s="45" t="s">
        <v>18</v>
      </c>
      <c r="I832" s="42" t="e">
        <f t="shared" ref="I832:I849" si="201">(M832-G832)*64</f>
        <v>#REF!</v>
      </c>
      <c r="J832" s="40" t="s">
        <v>19</v>
      </c>
      <c r="K832" s="40"/>
      <c r="L832" s="40"/>
      <c r="M832" s="52" t="e">
        <f>(F832*6966)/2880</f>
        <v>#REF!</v>
      </c>
      <c r="N832" s="40"/>
      <c r="O832" s="40"/>
      <c r="P832" s="40"/>
      <c r="Q832" s="14" t="s">
        <v>18</v>
      </c>
      <c r="R832" s="40"/>
      <c r="S832" s="40" t="s">
        <v>19</v>
      </c>
      <c r="T832" s="47"/>
      <c r="U832" s="40" t="e">
        <f>E832/226*60</f>
        <v>#REF!</v>
      </c>
      <c r="V832" s="40"/>
      <c r="W832" s="47"/>
      <c r="X832" s="40"/>
    </row>
    <row r="833" spans="1:24" s="20" customFormat="1" ht="19.5" thickBot="1" x14ac:dyDescent="0.35">
      <c r="A833" s="41"/>
      <c r="B833" s="41" t="s">
        <v>79</v>
      </c>
      <c r="C833" s="42" t="e">
        <f>#REF!+#REF!+#REF!</f>
        <v>#REF!</v>
      </c>
      <c r="D833" s="43" t="e">
        <f t="shared" si="199"/>
        <v>#REF!</v>
      </c>
      <c r="E833" s="40" t="e">
        <f>D833*0.25</f>
        <v>#REF!</v>
      </c>
      <c r="F833" s="50" t="e">
        <f>E833*1.03*0.99/90</f>
        <v>#REF!</v>
      </c>
      <c r="G833" s="42" t="e">
        <f t="shared" si="200"/>
        <v>#REF!</v>
      </c>
      <c r="H833" s="45" t="s">
        <v>18</v>
      </c>
      <c r="I833" s="42" t="e">
        <f t="shared" si="201"/>
        <v>#REF!</v>
      </c>
      <c r="J833" s="40" t="s">
        <v>19</v>
      </c>
      <c r="K833" s="40"/>
      <c r="L833" s="40"/>
      <c r="M833" s="52" t="e">
        <f>((F833*100)/0.022)/2880</f>
        <v>#REF!</v>
      </c>
      <c r="N833" s="40"/>
      <c r="O833" s="40"/>
      <c r="P833" s="40"/>
      <c r="Q833" s="14" t="s">
        <v>18</v>
      </c>
      <c r="R833" s="40"/>
      <c r="S833" s="40" t="s">
        <v>19</v>
      </c>
      <c r="T833" s="47"/>
      <c r="U833" s="40" t="e">
        <f>E833/226*60</f>
        <v>#REF!</v>
      </c>
      <c r="V833" s="40"/>
      <c r="W833" s="47"/>
      <c r="X833" s="40"/>
    </row>
    <row r="834" spans="1:24" s="20" customFormat="1" ht="19.5" thickBot="1" x14ac:dyDescent="0.35">
      <c r="A834" s="41"/>
      <c r="B834" s="41" t="s">
        <v>80</v>
      </c>
      <c r="C834" s="42" t="e">
        <f>#REF!+#REF!+#REF!</f>
        <v>#REF!</v>
      </c>
      <c r="D834" s="43" t="e">
        <f t="shared" si="199"/>
        <v>#REF!</v>
      </c>
      <c r="E834" s="40" t="e">
        <f>D834*0.25</f>
        <v>#REF!</v>
      </c>
      <c r="F834" s="50" t="e">
        <f>E834*1.03*0.99/90</f>
        <v>#REF!</v>
      </c>
      <c r="G834" s="42" t="e">
        <f t="shared" si="200"/>
        <v>#REF!</v>
      </c>
      <c r="H834" s="45" t="s">
        <v>18</v>
      </c>
      <c r="I834" s="42" t="e">
        <f t="shared" si="201"/>
        <v>#REF!</v>
      </c>
      <c r="J834" s="40" t="s">
        <v>19</v>
      </c>
      <c r="K834" s="40"/>
      <c r="L834" s="40"/>
      <c r="M834" s="52" t="e">
        <f>((F834*100)/0.022)/2880</f>
        <v>#REF!</v>
      </c>
      <c r="N834" s="40"/>
      <c r="O834" s="40"/>
      <c r="P834" s="40"/>
      <c r="Q834" s="14" t="s">
        <v>18</v>
      </c>
      <c r="R834" s="40"/>
      <c r="S834" s="40" t="s">
        <v>19</v>
      </c>
      <c r="T834" s="47"/>
      <c r="U834" s="40" t="e">
        <f>E834/226*60</f>
        <v>#REF!</v>
      </c>
      <c r="V834" s="40"/>
      <c r="W834" s="47"/>
      <c r="X834" s="40"/>
    </row>
    <row r="835" spans="1:24" s="20" customFormat="1" ht="19.5" thickBot="1" x14ac:dyDescent="0.35">
      <c r="A835" s="41"/>
      <c r="B835" s="41" t="s">
        <v>117</v>
      </c>
      <c r="C835" s="42" t="e">
        <f>#REF!+#REF!+#REF!</f>
        <v>#REF!</v>
      </c>
      <c r="D835" s="43" t="e">
        <f t="shared" si="199"/>
        <v>#REF!</v>
      </c>
      <c r="E835" s="40" t="e">
        <f>D835*0.26</f>
        <v>#REF!</v>
      </c>
      <c r="F835" s="50" t="e">
        <f t="shared" ref="F835:F849" si="202">E835*1.03*0.99/147</f>
        <v>#REF!</v>
      </c>
      <c r="G835" s="42" t="e">
        <f t="shared" si="200"/>
        <v>#REF!</v>
      </c>
      <c r="H835" s="45" t="s">
        <v>18</v>
      </c>
      <c r="I835" s="42" t="e">
        <f t="shared" si="201"/>
        <v>#REF!</v>
      </c>
      <c r="J835" s="40" t="s">
        <v>19</v>
      </c>
      <c r="K835" s="40"/>
      <c r="L835" s="40"/>
      <c r="M835" s="52" t="e">
        <f>(F835*6743)/2880</f>
        <v>#REF!</v>
      </c>
      <c r="N835" s="40"/>
      <c r="O835" s="40"/>
      <c r="P835" s="40"/>
      <c r="Q835" s="14" t="s">
        <v>18</v>
      </c>
      <c r="R835" s="40"/>
      <c r="S835" s="40" t="s">
        <v>19</v>
      </c>
      <c r="T835" s="47"/>
      <c r="U835" s="40" t="e">
        <f>E835/237*60</f>
        <v>#REF!</v>
      </c>
      <c r="V835" s="40"/>
      <c r="W835" s="47"/>
      <c r="X835" s="40"/>
    </row>
    <row r="836" spans="1:24" s="20" customFormat="1" ht="19.5" thickBot="1" x14ac:dyDescent="0.35">
      <c r="A836" s="41"/>
      <c r="B836" s="41" t="s">
        <v>107</v>
      </c>
      <c r="C836" s="42" t="e">
        <f>#REF!+#REF!+#REF!</f>
        <v>#REF!</v>
      </c>
      <c r="D836" s="43" t="e">
        <f t="shared" si="199"/>
        <v>#REF!</v>
      </c>
      <c r="E836" s="40" t="e">
        <f>D836*0.26</f>
        <v>#REF!</v>
      </c>
      <c r="F836" s="50" t="e">
        <f t="shared" si="202"/>
        <v>#REF!</v>
      </c>
      <c r="G836" s="42" t="e">
        <f t="shared" si="200"/>
        <v>#REF!</v>
      </c>
      <c r="H836" s="45" t="s">
        <v>18</v>
      </c>
      <c r="I836" s="42" t="e">
        <f t="shared" si="201"/>
        <v>#REF!</v>
      </c>
      <c r="J836" s="40" t="s">
        <v>19</v>
      </c>
      <c r="K836" s="40"/>
      <c r="L836" s="40"/>
      <c r="M836" s="52" t="e">
        <f>(F836*6743)/2880</f>
        <v>#REF!</v>
      </c>
      <c r="N836" s="40"/>
      <c r="O836" s="40"/>
      <c r="P836" s="40"/>
      <c r="Q836" s="14" t="s">
        <v>18</v>
      </c>
      <c r="R836" s="40"/>
      <c r="S836" s="40" t="s">
        <v>19</v>
      </c>
      <c r="T836" s="47"/>
      <c r="U836" s="40" t="e">
        <f>E836/237*60</f>
        <v>#REF!</v>
      </c>
      <c r="V836" s="40"/>
      <c r="W836" s="47"/>
      <c r="X836" s="40"/>
    </row>
    <row r="837" spans="1:24" s="20" customFormat="1" ht="19.5" thickBot="1" x14ac:dyDescent="0.35">
      <c r="A837" s="41"/>
      <c r="B837" s="41" t="s">
        <v>106</v>
      </c>
      <c r="C837" s="42" t="e">
        <f>#REF!+#REF!+#REF!</f>
        <v>#REF!</v>
      </c>
      <c r="D837" s="43" t="e">
        <f t="shared" si="199"/>
        <v>#REF!</v>
      </c>
      <c r="E837" s="40" t="e">
        <f>D837*0.26</f>
        <v>#REF!</v>
      </c>
      <c r="F837" s="50" t="e">
        <f t="shared" si="202"/>
        <v>#REF!</v>
      </c>
      <c r="G837" s="42" t="e">
        <f t="shared" si="200"/>
        <v>#REF!</v>
      </c>
      <c r="H837" s="45" t="s">
        <v>18</v>
      </c>
      <c r="I837" s="42" t="e">
        <f t="shared" si="201"/>
        <v>#REF!</v>
      </c>
      <c r="J837" s="40" t="s">
        <v>19</v>
      </c>
      <c r="K837" s="40"/>
      <c r="L837" s="40"/>
      <c r="M837" s="52" t="e">
        <f>(F837*6743)/2880</f>
        <v>#REF!</v>
      </c>
      <c r="N837" s="40"/>
      <c r="O837" s="40"/>
      <c r="P837" s="40"/>
      <c r="Q837" s="14" t="s">
        <v>18</v>
      </c>
      <c r="R837" s="40"/>
      <c r="S837" s="40" t="s">
        <v>19</v>
      </c>
      <c r="T837" s="47"/>
      <c r="U837" s="40" t="e">
        <f>E837/237*60</f>
        <v>#REF!</v>
      </c>
      <c r="V837" s="40"/>
      <c r="W837" s="47"/>
      <c r="X837" s="40"/>
    </row>
    <row r="838" spans="1:24" s="20" customFormat="1" ht="19.5" thickBot="1" x14ac:dyDescent="0.35">
      <c r="A838" s="41"/>
      <c r="B838" s="41" t="s">
        <v>114</v>
      </c>
      <c r="C838" s="42" t="e">
        <f>#REF!+#REF!+#REF!</f>
        <v>#REF!</v>
      </c>
      <c r="D838" s="43" t="e">
        <f t="shared" si="199"/>
        <v>#REF!</v>
      </c>
      <c r="E838" s="64" t="e">
        <f>D838*0.25</f>
        <v>#REF!</v>
      </c>
      <c r="F838" s="50" t="e">
        <f t="shared" si="202"/>
        <v>#REF!</v>
      </c>
      <c r="G838" s="42" t="e">
        <f t="shared" si="200"/>
        <v>#REF!</v>
      </c>
      <c r="H838" s="14" t="s">
        <v>18</v>
      </c>
      <c r="I838" s="42" t="e">
        <f t="shared" si="201"/>
        <v>#REF!</v>
      </c>
      <c r="J838" s="14" t="s">
        <v>19</v>
      </c>
      <c r="K838" s="40"/>
      <c r="L838" s="40"/>
      <c r="M838" s="52" t="e">
        <f>(F838*7000)/2880</f>
        <v>#REF!</v>
      </c>
      <c r="N838" s="40"/>
      <c r="O838" s="40"/>
      <c r="P838" s="40"/>
      <c r="Q838" s="14" t="s">
        <v>18</v>
      </c>
      <c r="R838" s="40"/>
      <c r="S838" s="40" t="s">
        <v>19</v>
      </c>
      <c r="T838" s="47"/>
      <c r="U838" s="40" t="e">
        <f>E838/390*60</f>
        <v>#REF!</v>
      </c>
      <c r="V838" s="40"/>
      <c r="W838" s="47"/>
      <c r="X838" s="40"/>
    </row>
    <row r="839" spans="1:24" s="20" customFormat="1" ht="19.5" thickBot="1" x14ac:dyDescent="0.35">
      <c r="A839" s="41"/>
      <c r="B839" s="41" t="s">
        <v>109</v>
      </c>
      <c r="C839" s="42" t="e">
        <f>#REF!+#REF!+#REF!</f>
        <v>#REF!</v>
      </c>
      <c r="D839" s="43" t="e">
        <f>C839*14</f>
        <v>#REF!</v>
      </c>
      <c r="E839" s="40" t="e">
        <f>D839*0.2</f>
        <v>#REF!</v>
      </c>
      <c r="F839" s="50" t="e">
        <f t="shared" si="202"/>
        <v>#REF!</v>
      </c>
      <c r="G839" s="42" t="e">
        <f t="shared" si="200"/>
        <v>#REF!</v>
      </c>
      <c r="H839" s="45" t="s">
        <v>18</v>
      </c>
      <c r="I839" s="42" t="e">
        <f t="shared" si="201"/>
        <v>#REF!</v>
      </c>
      <c r="J839" s="40" t="s">
        <v>19</v>
      </c>
      <c r="K839" s="40"/>
      <c r="L839" s="40"/>
      <c r="M839" s="46" t="e">
        <f>F839*8698/2880</f>
        <v>#REF!</v>
      </c>
      <c r="N839" s="40"/>
      <c r="O839" s="40"/>
      <c r="P839" s="40"/>
      <c r="Q839" s="14" t="s">
        <v>18</v>
      </c>
      <c r="R839" s="40"/>
      <c r="S839" s="40" t="s">
        <v>19</v>
      </c>
      <c r="T839" s="47"/>
      <c r="U839" s="40" t="e">
        <f>E839/259*60</f>
        <v>#REF!</v>
      </c>
      <c r="V839" s="40"/>
      <c r="W839" s="47"/>
      <c r="X839" s="40"/>
    </row>
    <row r="840" spans="1:24" s="20" customFormat="1" ht="19.5" thickBot="1" x14ac:dyDescent="0.35">
      <c r="A840" s="41"/>
      <c r="B840" s="41" t="s">
        <v>110</v>
      </c>
      <c r="C840" s="42" t="e">
        <f>#REF!+#REF!+#REF!</f>
        <v>#REF!</v>
      </c>
      <c r="D840" s="43" t="e">
        <f t="shared" ref="D840:D846" si="203">C840*12</f>
        <v>#REF!</v>
      </c>
      <c r="E840" s="45" t="e">
        <f>D840*0.26</f>
        <v>#REF!</v>
      </c>
      <c r="F840" s="50" t="e">
        <f t="shared" si="202"/>
        <v>#REF!</v>
      </c>
      <c r="G840" s="42" t="e">
        <f t="shared" si="200"/>
        <v>#REF!</v>
      </c>
      <c r="H840" s="45" t="s">
        <v>18</v>
      </c>
      <c r="I840" s="42" t="e">
        <f t="shared" si="201"/>
        <v>#REF!</v>
      </c>
      <c r="J840" s="40" t="s">
        <v>19</v>
      </c>
      <c r="K840" s="40"/>
      <c r="L840" s="40"/>
      <c r="M840" s="52" t="e">
        <f>(F840*6966)/2880</f>
        <v>#REF!</v>
      </c>
      <c r="N840" s="40"/>
      <c r="O840" s="40"/>
      <c r="P840" s="40"/>
      <c r="Q840" s="14" t="s">
        <v>18</v>
      </c>
      <c r="R840" s="40"/>
      <c r="S840" s="40" t="s">
        <v>19</v>
      </c>
      <c r="T840" s="47"/>
      <c r="U840" s="40" t="e">
        <f>E840/237*60</f>
        <v>#REF!</v>
      </c>
      <c r="V840" s="40"/>
      <c r="W840" s="47"/>
      <c r="X840" s="40"/>
    </row>
    <row r="841" spans="1:24" s="20" customFormat="1" ht="19.5" thickBot="1" x14ac:dyDescent="0.35">
      <c r="A841" s="41"/>
      <c r="B841" s="41" t="s">
        <v>111</v>
      </c>
      <c r="C841" s="42" t="e">
        <f>#REF!+#REF!+#REF!</f>
        <v>#REF!</v>
      </c>
      <c r="D841" s="43" t="e">
        <f t="shared" si="203"/>
        <v>#REF!</v>
      </c>
      <c r="E841" s="45" t="e">
        <f t="shared" ref="E841:E846" si="204">D841*0.25</f>
        <v>#REF!</v>
      </c>
      <c r="F841" s="50" t="e">
        <f t="shared" si="202"/>
        <v>#REF!</v>
      </c>
      <c r="G841" s="42" t="e">
        <f t="shared" si="200"/>
        <v>#REF!</v>
      </c>
      <c r="H841" s="45" t="s">
        <v>18</v>
      </c>
      <c r="I841" s="42" t="e">
        <f t="shared" si="201"/>
        <v>#REF!</v>
      </c>
      <c r="J841" s="40" t="s">
        <v>19</v>
      </c>
      <c r="K841" s="40"/>
      <c r="L841" s="40"/>
      <c r="M841" s="52" t="e">
        <f>(F841*6966)/2880</f>
        <v>#REF!</v>
      </c>
      <c r="N841" s="40"/>
      <c r="O841" s="40"/>
      <c r="P841" s="40"/>
      <c r="Q841" s="14" t="s">
        <v>18</v>
      </c>
      <c r="R841" s="40"/>
      <c r="S841" s="40" t="s">
        <v>19</v>
      </c>
      <c r="T841" s="47"/>
      <c r="U841" s="40" t="e">
        <f t="shared" ref="U841:U846" si="205">E841/226*60</f>
        <v>#REF!</v>
      </c>
      <c r="V841" s="40"/>
      <c r="W841" s="47"/>
      <c r="X841" s="40"/>
    </row>
    <row r="842" spans="1:24" s="20" customFormat="1" ht="19.5" thickBot="1" x14ac:dyDescent="0.35">
      <c r="A842" s="41"/>
      <c r="B842" s="41" t="s">
        <v>103</v>
      </c>
      <c r="C842" s="42" t="e">
        <f>#REF!+#REF!+#REF!</f>
        <v>#REF!</v>
      </c>
      <c r="D842" s="43" t="e">
        <f t="shared" si="203"/>
        <v>#REF!</v>
      </c>
      <c r="E842" s="45" t="e">
        <f t="shared" si="204"/>
        <v>#REF!</v>
      </c>
      <c r="F842" s="50" t="e">
        <f t="shared" si="202"/>
        <v>#REF!</v>
      </c>
      <c r="G842" s="42" t="e">
        <f t="shared" si="200"/>
        <v>#REF!</v>
      </c>
      <c r="H842" s="14" t="s">
        <v>18</v>
      </c>
      <c r="I842" s="42" t="e">
        <f t="shared" si="201"/>
        <v>#REF!</v>
      </c>
      <c r="J842" s="14" t="s">
        <v>19</v>
      </c>
      <c r="K842" s="40"/>
      <c r="L842" s="40"/>
      <c r="M842" s="52" t="e">
        <f>(F842*7000)/2880</f>
        <v>#REF!</v>
      </c>
      <c r="N842" s="40"/>
      <c r="O842" s="40"/>
      <c r="P842" s="40"/>
      <c r="Q842" s="14" t="s">
        <v>18</v>
      </c>
      <c r="R842" s="40"/>
      <c r="S842" s="40" t="s">
        <v>19</v>
      </c>
      <c r="T842" s="47"/>
      <c r="U842" s="40" t="e">
        <f t="shared" si="205"/>
        <v>#REF!</v>
      </c>
      <c r="V842" s="40"/>
      <c r="W842" s="47"/>
      <c r="X842" s="40"/>
    </row>
    <row r="843" spans="1:24" s="20" customFormat="1" ht="19.5" thickBot="1" x14ac:dyDescent="0.35">
      <c r="A843" s="41"/>
      <c r="B843" s="41" t="s">
        <v>104</v>
      </c>
      <c r="C843" s="42" t="e">
        <f>#REF!+#REF!+#REF!</f>
        <v>#REF!</v>
      </c>
      <c r="D843" s="43" t="e">
        <f t="shared" si="203"/>
        <v>#REF!</v>
      </c>
      <c r="E843" s="45" t="e">
        <f t="shared" si="204"/>
        <v>#REF!</v>
      </c>
      <c r="F843" s="50" t="e">
        <f t="shared" si="202"/>
        <v>#REF!</v>
      </c>
      <c r="G843" s="42" t="e">
        <f t="shared" si="200"/>
        <v>#REF!</v>
      </c>
      <c r="H843" s="45" t="s">
        <v>18</v>
      </c>
      <c r="I843" s="42" t="e">
        <f t="shared" si="201"/>
        <v>#REF!</v>
      </c>
      <c r="J843" s="40" t="s">
        <v>19</v>
      </c>
      <c r="K843" s="40"/>
      <c r="L843" s="40"/>
      <c r="M843" s="52" t="e">
        <f>(F843*6966)/2880</f>
        <v>#REF!</v>
      </c>
      <c r="N843" s="40"/>
      <c r="O843" s="40"/>
      <c r="P843" s="40"/>
      <c r="Q843" s="14" t="s">
        <v>18</v>
      </c>
      <c r="R843" s="40"/>
      <c r="S843" s="40" t="s">
        <v>19</v>
      </c>
      <c r="T843" s="47"/>
      <c r="U843" s="40" t="e">
        <f t="shared" si="205"/>
        <v>#REF!</v>
      </c>
      <c r="V843" s="40"/>
      <c r="W843" s="47"/>
      <c r="X843" s="40"/>
    </row>
    <row r="844" spans="1:24" s="20" customFormat="1" ht="19.5" thickBot="1" x14ac:dyDescent="0.35">
      <c r="A844" s="41"/>
      <c r="B844" s="41" t="s">
        <v>112</v>
      </c>
      <c r="C844" s="42" t="e">
        <f>#REF!+#REF!+#REF!</f>
        <v>#REF!</v>
      </c>
      <c r="D844" s="43" t="e">
        <f t="shared" si="203"/>
        <v>#REF!</v>
      </c>
      <c r="E844" s="45" t="e">
        <f t="shared" si="204"/>
        <v>#REF!</v>
      </c>
      <c r="F844" s="50" t="e">
        <f t="shared" si="202"/>
        <v>#REF!</v>
      </c>
      <c r="G844" s="42" t="e">
        <f t="shared" si="200"/>
        <v>#REF!</v>
      </c>
      <c r="H844" s="45" t="s">
        <v>18</v>
      </c>
      <c r="I844" s="42" t="e">
        <f t="shared" si="201"/>
        <v>#REF!</v>
      </c>
      <c r="J844" s="40" t="s">
        <v>19</v>
      </c>
      <c r="K844" s="40"/>
      <c r="L844" s="40"/>
      <c r="M844" s="52" t="e">
        <f>(F844*6966)/2880</f>
        <v>#REF!</v>
      </c>
      <c r="N844" s="40"/>
      <c r="O844" s="40"/>
      <c r="P844" s="40"/>
      <c r="Q844" s="14" t="s">
        <v>18</v>
      </c>
      <c r="R844" s="40"/>
      <c r="S844" s="40" t="s">
        <v>19</v>
      </c>
      <c r="T844" s="47"/>
      <c r="U844" s="40" t="e">
        <f t="shared" si="205"/>
        <v>#REF!</v>
      </c>
      <c r="V844" s="40"/>
      <c r="W844" s="47"/>
      <c r="X844" s="40"/>
    </row>
    <row r="845" spans="1:24" s="20" customFormat="1" ht="19.5" thickBot="1" x14ac:dyDescent="0.35">
      <c r="A845" s="41"/>
      <c r="B845" s="41" t="s">
        <v>105</v>
      </c>
      <c r="C845" s="42" t="e">
        <f>#REF!+#REF!+#REF!</f>
        <v>#REF!</v>
      </c>
      <c r="D845" s="43" t="e">
        <f t="shared" si="203"/>
        <v>#REF!</v>
      </c>
      <c r="E845" s="40" t="e">
        <f t="shared" si="204"/>
        <v>#REF!</v>
      </c>
      <c r="F845" s="50" t="e">
        <f t="shared" si="202"/>
        <v>#REF!</v>
      </c>
      <c r="G845" s="42" t="e">
        <f t="shared" si="200"/>
        <v>#REF!</v>
      </c>
      <c r="H845" s="45" t="s">
        <v>18</v>
      </c>
      <c r="I845" s="42" t="e">
        <f t="shared" si="201"/>
        <v>#REF!</v>
      </c>
      <c r="J845" s="40" t="s">
        <v>19</v>
      </c>
      <c r="K845" s="40"/>
      <c r="L845" s="40"/>
      <c r="M845" s="52" t="e">
        <f>(F845*6966)/2880</f>
        <v>#REF!</v>
      </c>
      <c r="N845" s="40"/>
      <c r="O845" s="40"/>
      <c r="P845" s="40"/>
      <c r="Q845" s="14" t="s">
        <v>18</v>
      </c>
      <c r="R845" s="40"/>
      <c r="S845" s="40" t="s">
        <v>19</v>
      </c>
      <c r="T845" s="47"/>
      <c r="U845" s="40" t="e">
        <f t="shared" si="205"/>
        <v>#REF!</v>
      </c>
      <c r="V845" s="40"/>
      <c r="W845" s="47"/>
      <c r="X845" s="40"/>
    </row>
    <row r="846" spans="1:24" s="20" customFormat="1" ht="19.5" thickBot="1" x14ac:dyDescent="0.35">
      <c r="A846" s="41"/>
      <c r="B846" s="41" t="s">
        <v>113</v>
      </c>
      <c r="C846" s="42" t="e">
        <f>#REF!+#REF!+#REF!</f>
        <v>#REF!</v>
      </c>
      <c r="D846" s="43" t="e">
        <f t="shared" si="203"/>
        <v>#REF!</v>
      </c>
      <c r="E846" s="40" t="e">
        <f t="shared" si="204"/>
        <v>#REF!</v>
      </c>
      <c r="F846" s="50" t="e">
        <f t="shared" si="202"/>
        <v>#REF!</v>
      </c>
      <c r="G846" s="42" t="e">
        <f t="shared" si="200"/>
        <v>#REF!</v>
      </c>
      <c r="H846" s="45" t="s">
        <v>18</v>
      </c>
      <c r="I846" s="42" t="e">
        <f t="shared" si="201"/>
        <v>#REF!</v>
      </c>
      <c r="J846" s="40" t="s">
        <v>19</v>
      </c>
      <c r="K846" s="40"/>
      <c r="L846" s="40"/>
      <c r="M846" s="52" t="e">
        <f>(F846*6966)/2880</f>
        <v>#REF!</v>
      </c>
      <c r="N846" s="40"/>
      <c r="O846" s="40"/>
      <c r="P846" s="40"/>
      <c r="Q846" s="14" t="s">
        <v>18</v>
      </c>
      <c r="R846" s="40"/>
      <c r="S846" s="40" t="s">
        <v>19</v>
      </c>
      <c r="T846" s="47"/>
      <c r="U846" s="40" t="e">
        <f t="shared" si="205"/>
        <v>#REF!</v>
      </c>
      <c r="V846" s="40"/>
      <c r="W846" s="47"/>
      <c r="X846" s="40"/>
    </row>
    <row r="847" spans="1:24" s="20" customFormat="1" ht="19.5" thickBot="1" x14ac:dyDescent="0.35">
      <c r="A847" s="41"/>
      <c r="B847" s="41" t="s">
        <v>228</v>
      </c>
      <c r="C847" s="42" t="e">
        <f>#REF!+#REF!+#REF!</f>
        <v>#REF!</v>
      </c>
      <c r="D847" s="43" t="e">
        <f>C847*16</f>
        <v>#REF!</v>
      </c>
      <c r="E847" s="40" t="e">
        <f>D847*0.34</f>
        <v>#REF!</v>
      </c>
      <c r="F847" s="50" t="e">
        <f t="shared" si="202"/>
        <v>#REF!</v>
      </c>
      <c r="G847" s="42" t="e">
        <f t="shared" si="200"/>
        <v>#REF!</v>
      </c>
      <c r="H847" s="45" t="s">
        <v>18</v>
      </c>
      <c r="I847" s="42" t="e">
        <f t="shared" si="201"/>
        <v>#REF!</v>
      </c>
      <c r="J847" s="40" t="s">
        <v>19</v>
      </c>
      <c r="K847" s="40"/>
      <c r="L847" s="40"/>
      <c r="M847" s="52" t="e">
        <f>(F847*5202)/2880</f>
        <v>#REF!</v>
      </c>
      <c r="N847" s="40"/>
      <c r="O847" s="40"/>
      <c r="P847" s="40"/>
      <c r="Q847" s="14" t="s">
        <v>18</v>
      </c>
      <c r="R847" s="40"/>
      <c r="S847" s="40" t="s">
        <v>19</v>
      </c>
      <c r="T847" s="47"/>
      <c r="U847" s="40"/>
      <c r="V847" s="40"/>
      <c r="W847" s="47"/>
      <c r="X847" s="40"/>
    </row>
    <row r="848" spans="1:24" s="20" customFormat="1" ht="19.5" thickBot="1" x14ac:dyDescent="0.35">
      <c r="A848" s="41"/>
      <c r="B848" s="41" t="s">
        <v>247</v>
      </c>
      <c r="C848" s="42" t="e">
        <f>#REF!+#REF!+#REF!</f>
        <v>#REF!</v>
      </c>
      <c r="D848" s="43" t="e">
        <f>C848*16</f>
        <v>#REF!</v>
      </c>
      <c r="E848" s="40" t="e">
        <f>D848*0.34</f>
        <v>#REF!</v>
      </c>
      <c r="F848" s="50" t="e">
        <f t="shared" si="202"/>
        <v>#REF!</v>
      </c>
      <c r="G848" s="42" t="e">
        <f t="shared" si="200"/>
        <v>#REF!</v>
      </c>
      <c r="H848" s="45" t="s">
        <v>18</v>
      </c>
      <c r="I848" s="42" t="e">
        <f t="shared" si="201"/>
        <v>#REF!</v>
      </c>
      <c r="J848" s="40" t="s">
        <v>19</v>
      </c>
      <c r="K848" s="40"/>
      <c r="L848" s="40"/>
      <c r="M848" s="52" t="e">
        <f>(F848*5202)/2880</f>
        <v>#REF!</v>
      </c>
      <c r="N848" s="40"/>
      <c r="O848" s="40"/>
      <c r="P848" s="40"/>
      <c r="Q848" s="14" t="s">
        <v>18</v>
      </c>
      <c r="R848" s="40"/>
      <c r="S848" s="40" t="s">
        <v>19</v>
      </c>
      <c r="T848" s="47"/>
      <c r="U848" s="40"/>
      <c r="V848" s="40"/>
      <c r="W848" s="47"/>
      <c r="X848" s="40"/>
    </row>
    <row r="849" spans="1:24" s="20" customFormat="1" ht="19.5" thickBot="1" x14ac:dyDescent="0.35">
      <c r="A849" s="41"/>
      <c r="B849" s="41" t="s">
        <v>101</v>
      </c>
      <c r="C849" s="42" t="e">
        <f>#REF!+#REF!+#REF!</f>
        <v>#REF!</v>
      </c>
      <c r="D849" s="55" t="e">
        <f>C849*26</f>
        <v>#REF!</v>
      </c>
      <c r="E849" s="56" t="e">
        <f>D849*0.13</f>
        <v>#REF!</v>
      </c>
      <c r="F849" s="50" t="e">
        <f t="shared" si="202"/>
        <v>#REF!</v>
      </c>
      <c r="G849" s="42" t="e">
        <f t="shared" si="200"/>
        <v>#REF!</v>
      </c>
      <c r="H849" s="45" t="s">
        <v>18</v>
      </c>
      <c r="I849" s="42" t="e">
        <f t="shared" si="201"/>
        <v>#REF!</v>
      </c>
      <c r="J849" s="40" t="s">
        <v>19</v>
      </c>
      <c r="K849" s="40"/>
      <c r="L849" s="40"/>
      <c r="M849" s="52" t="e">
        <f>(F849*6681)/2880</f>
        <v>#REF!</v>
      </c>
      <c r="N849" s="40"/>
      <c r="O849" s="40"/>
      <c r="P849" s="40"/>
      <c r="Q849" s="45" t="s">
        <v>18</v>
      </c>
      <c r="R849" s="40"/>
      <c r="S849" s="40" t="s">
        <v>19</v>
      </c>
      <c r="T849" s="47"/>
      <c r="U849" s="40" t="e">
        <f>E849/237*60</f>
        <v>#REF!</v>
      </c>
      <c r="V849" s="40"/>
      <c r="W849" s="47"/>
      <c r="X849" s="40"/>
    </row>
    <row r="850" spans="1:24" s="128" customFormat="1" ht="19.5" thickBot="1" x14ac:dyDescent="0.35">
      <c r="A850" s="129"/>
      <c r="B850" s="130" t="s">
        <v>288</v>
      </c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</row>
    <row r="851" spans="1:24" s="20" customFormat="1" ht="19.5" thickBot="1" x14ac:dyDescent="0.35">
      <c r="A851" s="41"/>
      <c r="B851" s="41" t="s">
        <v>304</v>
      </c>
      <c r="C851" s="42"/>
      <c r="D851" s="43"/>
      <c r="E851" s="63">
        <f>C851*2.4</f>
        <v>0</v>
      </c>
      <c r="F851" s="50">
        <f>E851*1.03*0.99/147</f>
        <v>0</v>
      </c>
      <c r="G851" s="42">
        <f t="shared" ref="G851:G862" si="206">INT(M851)</f>
        <v>0</v>
      </c>
      <c r="H851" s="14" t="s">
        <v>18</v>
      </c>
      <c r="I851" s="42">
        <f t="shared" ref="I851:I862" si="207">(M851-G851)*64</f>
        <v>0</v>
      </c>
      <c r="J851" s="14" t="s">
        <v>19</v>
      </c>
      <c r="K851" s="40"/>
      <c r="L851" s="40"/>
      <c r="M851" s="46">
        <f>F851*4983/2880</f>
        <v>0</v>
      </c>
      <c r="N851" s="40"/>
      <c r="O851" s="40"/>
      <c r="P851" s="40"/>
      <c r="Q851" s="14" t="s">
        <v>18</v>
      </c>
      <c r="R851" s="40"/>
      <c r="S851" s="40" t="s">
        <v>19</v>
      </c>
      <c r="T851" s="47"/>
      <c r="U851" s="40">
        <f>E851/420*60</f>
        <v>0</v>
      </c>
      <c r="V851" s="3"/>
      <c r="W851" s="47"/>
      <c r="X851" s="40"/>
    </row>
    <row r="852" spans="1:24" s="54" customFormat="1" ht="19.5" thickBot="1" x14ac:dyDescent="0.35">
      <c r="A852" s="41"/>
      <c r="B852" s="41" t="s">
        <v>305</v>
      </c>
      <c r="C852" s="42"/>
      <c r="D852" s="43"/>
      <c r="E852" s="45">
        <f>C852*3.2</f>
        <v>0</v>
      </c>
      <c r="F852" s="50">
        <f>E852*1.03*0.99/147</f>
        <v>0</v>
      </c>
      <c r="G852" s="42">
        <f t="shared" si="206"/>
        <v>0</v>
      </c>
      <c r="H852" s="14" t="s">
        <v>18</v>
      </c>
      <c r="I852" s="42">
        <f t="shared" si="207"/>
        <v>0</v>
      </c>
      <c r="J852" s="14" t="s">
        <v>19</v>
      </c>
      <c r="K852" s="40"/>
      <c r="L852" s="40"/>
      <c r="M852" s="46">
        <f>F852*4983/2880</f>
        <v>0</v>
      </c>
      <c r="N852" s="40"/>
      <c r="O852" s="40"/>
      <c r="P852" s="40"/>
      <c r="Q852" s="14" t="s">
        <v>18</v>
      </c>
      <c r="R852" s="40"/>
      <c r="S852" s="40" t="s">
        <v>19</v>
      </c>
      <c r="T852" s="47"/>
      <c r="U852" s="40">
        <f>E852/259*60</f>
        <v>0</v>
      </c>
      <c r="V852" s="40"/>
      <c r="W852" s="47"/>
      <c r="X852" s="40"/>
    </row>
    <row r="853" spans="1:24" s="20" customFormat="1" ht="19.5" thickBot="1" x14ac:dyDescent="0.35">
      <c r="A853" s="41"/>
      <c r="B853" s="41" t="s">
        <v>306</v>
      </c>
      <c r="C853" s="42"/>
      <c r="D853" s="43"/>
      <c r="E853" s="45">
        <f>C853*4</f>
        <v>0</v>
      </c>
      <c r="F853" s="50">
        <f>E853*1.03*0.99/147</f>
        <v>0</v>
      </c>
      <c r="G853" s="42">
        <f t="shared" si="206"/>
        <v>0</v>
      </c>
      <c r="H853" s="14" t="s">
        <v>18</v>
      </c>
      <c r="I853" s="42">
        <f t="shared" si="207"/>
        <v>0</v>
      </c>
      <c r="J853" s="14" t="s">
        <v>19</v>
      </c>
      <c r="K853" s="40"/>
      <c r="L853" s="40"/>
      <c r="M853" s="46">
        <f>F853*4983/2880</f>
        <v>0</v>
      </c>
      <c r="N853" s="40"/>
      <c r="O853" s="40"/>
      <c r="P853" s="40"/>
      <c r="Q853" s="14" t="s">
        <v>18</v>
      </c>
      <c r="R853" s="40"/>
      <c r="S853" s="40" t="s">
        <v>19</v>
      </c>
      <c r="T853" s="47"/>
      <c r="U853" s="40">
        <f>E853/259*60</f>
        <v>0</v>
      </c>
      <c r="V853" s="40"/>
      <c r="W853" s="47"/>
      <c r="X853" s="40"/>
    </row>
    <row r="854" spans="1:24" s="20" customFormat="1" ht="19.5" thickBot="1" x14ac:dyDescent="0.35">
      <c r="A854" s="41"/>
      <c r="B854" s="41" t="s">
        <v>100</v>
      </c>
      <c r="C854" s="42" t="e">
        <f>#REF!+#REF!+#REF!</f>
        <v>#REF!</v>
      </c>
      <c r="D854" s="43"/>
      <c r="E854" s="45" t="e">
        <f>C854*4</f>
        <v>#REF!</v>
      </c>
      <c r="F854" s="50" t="e">
        <f>E854*1.2*1/147</f>
        <v>#REF!</v>
      </c>
      <c r="G854" s="42" t="e">
        <f t="shared" si="206"/>
        <v>#REF!</v>
      </c>
      <c r="H854" s="45" t="s">
        <v>18</v>
      </c>
      <c r="I854" s="42" t="e">
        <f t="shared" si="207"/>
        <v>#REF!</v>
      </c>
      <c r="J854" s="40" t="s">
        <v>19</v>
      </c>
      <c r="K854" s="40"/>
      <c r="L854" s="40"/>
      <c r="M854" s="46" t="e">
        <f>F854*5719/2880</f>
        <v>#REF!</v>
      </c>
      <c r="N854" s="40"/>
      <c r="O854" s="40"/>
      <c r="P854" s="40"/>
      <c r="Q854" s="14" t="s">
        <v>18</v>
      </c>
      <c r="R854" s="40"/>
      <c r="S854" s="40" t="s">
        <v>19</v>
      </c>
      <c r="T854" s="47"/>
      <c r="U854" s="40" t="e">
        <f>E854/237*60</f>
        <v>#REF!</v>
      </c>
      <c r="V854" s="40"/>
      <c r="W854" s="47"/>
      <c r="X854" s="40"/>
    </row>
    <row r="855" spans="1:24" s="20" customFormat="1" ht="19.5" thickBot="1" x14ac:dyDescent="0.35">
      <c r="A855" s="41"/>
      <c r="B855" s="41" t="s">
        <v>225</v>
      </c>
      <c r="C855" s="42" t="e">
        <f>#REF!+#REF!+#REF!</f>
        <v>#REF!</v>
      </c>
      <c r="D855" s="43"/>
      <c r="E855" s="63" t="e">
        <f>C855*2.4</f>
        <v>#REF!</v>
      </c>
      <c r="F855" s="50" t="e">
        <f>E855*1.03*0.99/147</f>
        <v>#REF!</v>
      </c>
      <c r="G855" s="42" t="e">
        <f t="shared" si="206"/>
        <v>#REF!</v>
      </c>
      <c r="H855" s="14" t="s">
        <v>18</v>
      </c>
      <c r="I855" s="42" t="e">
        <f t="shared" si="207"/>
        <v>#REF!</v>
      </c>
      <c r="J855" s="14" t="s">
        <v>19</v>
      </c>
      <c r="K855" s="40"/>
      <c r="L855" s="40"/>
      <c r="M855" s="46" t="e">
        <f>F855*4983/2880</f>
        <v>#REF!</v>
      </c>
      <c r="N855" s="40"/>
      <c r="O855" s="40"/>
      <c r="P855" s="40"/>
      <c r="Q855" s="14" t="s">
        <v>18</v>
      </c>
      <c r="R855" s="40"/>
      <c r="S855" s="40" t="s">
        <v>19</v>
      </c>
      <c r="T855" s="47"/>
      <c r="U855" s="40" t="e">
        <f>E855/420*60</f>
        <v>#REF!</v>
      </c>
      <c r="V855" s="3"/>
      <c r="W855" s="47"/>
      <c r="X855" s="40"/>
    </row>
    <row r="856" spans="1:24" s="54" customFormat="1" ht="19.5" thickBot="1" x14ac:dyDescent="0.35">
      <c r="A856" s="41"/>
      <c r="B856" s="41" t="s">
        <v>229</v>
      </c>
      <c r="C856" s="42" t="e">
        <f>#REF!+#REF!+#REF!</f>
        <v>#REF!</v>
      </c>
      <c r="D856" s="43"/>
      <c r="E856" s="45" t="e">
        <f>C856*3.2</f>
        <v>#REF!</v>
      </c>
      <c r="F856" s="50" t="e">
        <f>E856*1.03*0.99/147</f>
        <v>#REF!</v>
      </c>
      <c r="G856" s="42" t="e">
        <f t="shared" si="206"/>
        <v>#REF!</v>
      </c>
      <c r="H856" s="14" t="s">
        <v>18</v>
      </c>
      <c r="I856" s="42" t="e">
        <f t="shared" si="207"/>
        <v>#REF!</v>
      </c>
      <c r="J856" s="14" t="s">
        <v>19</v>
      </c>
      <c r="K856" s="40"/>
      <c r="L856" s="40"/>
      <c r="M856" s="46" t="e">
        <f>F856*4983/2880</f>
        <v>#REF!</v>
      </c>
      <c r="N856" s="40"/>
      <c r="O856" s="40"/>
      <c r="P856" s="40"/>
      <c r="Q856" s="14" t="s">
        <v>18</v>
      </c>
      <c r="R856" s="40"/>
      <c r="S856" s="40" t="s">
        <v>19</v>
      </c>
      <c r="T856" s="47"/>
      <c r="U856" s="40" t="e">
        <f>E856/259*60</f>
        <v>#REF!</v>
      </c>
      <c r="V856" s="40"/>
      <c r="W856" s="47"/>
      <c r="X856" s="40"/>
    </row>
    <row r="857" spans="1:24" s="54" customFormat="1" ht="19.5" thickBot="1" x14ac:dyDescent="0.35">
      <c r="A857" s="41"/>
      <c r="B857" s="41" t="s">
        <v>115</v>
      </c>
      <c r="C857" s="42" t="e">
        <f>#REF!+#REF!+#REF!</f>
        <v>#REF!</v>
      </c>
      <c r="D857" s="43"/>
      <c r="E857" s="45" t="e">
        <f>C857*3.2</f>
        <v>#REF!</v>
      </c>
      <c r="F857" s="50" t="e">
        <f>E857*1.03*0.99/147</f>
        <v>#REF!</v>
      </c>
      <c r="G857" s="42" t="e">
        <f t="shared" si="206"/>
        <v>#REF!</v>
      </c>
      <c r="H857" s="14" t="s">
        <v>18</v>
      </c>
      <c r="I857" s="42" t="e">
        <f t="shared" si="207"/>
        <v>#REF!</v>
      </c>
      <c r="J857" s="14" t="s">
        <v>19</v>
      </c>
      <c r="K857" s="40"/>
      <c r="L857" s="40"/>
      <c r="M857" s="46" t="e">
        <f>F857*4983/2880</f>
        <v>#REF!</v>
      </c>
      <c r="N857" s="40"/>
      <c r="O857" s="40"/>
      <c r="P857" s="40"/>
      <c r="Q857" s="14" t="s">
        <v>18</v>
      </c>
      <c r="R857" s="40"/>
      <c r="S857" s="40" t="s">
        <v>19</v>
      </c>
      <c r="T857" s="47"/>
      <c r="U857" s="40" t="e">
        <f>E857/259*60</f>
        <v>#REF!</v>
      </c>
      <c r="V857" s="40"/>
      <c r="W857" s="47"/>
      <c r="X857" s="40"/>
    </row>
    <row r="858" spans="1:24" s="20" customFormat="1" ht="19.5" thickBot="1" x14ac:dyDescent="0.35">
      <c r="A858" s="41"/>
      <c r="B858" s="41" t="s">
        <v>123</v>
      </c>
      <c r="C858" s="42" t="e">
        <f>#REF!+#REF!+#REF!</f>
        <v>#REF!</v>
      </c>
      <c r="D858" s="43"/>
      <c r="E858" s="45" t="e">
        <f>C858*4</f>
        <v>#REF!</v>
      </c>
      <c r="F858" s="50" t="e">
        <f>E858*1.03*0.99/147</f>
        <v>#REF!</v>
      </c>
      <c r="G858" s="42" t="e">
        <f t="shared" si="206"/>
        <v>#REF!</v>
      </c>
      <c r="H858" s="14" t="s">
        <v>18</v>
      </c>
      <c r="I858" s="42" t="e">
        <f t="shared" si="207"/>
        <v>#REF!</v>
      </c>
      <c r="J858" s="14" t="s">
        <v>19</v>
      </c>
      <c r="K858" s="40"/>
      <c r="L858" s="40"/>
      <c r="M858" s="46" t="e">
        <f>F858*4983/2880</f>
        <v>#REF!</v>
      </c>
      <c r="N858" s="40"/>
      <c r="O858" s="40"/>
      <c r="P858" s="40"/>
      <c r="Q858" s="14" t="s">
        <v>18</v>
      </c>
      <c r="R858" s="40"/>
      <c r="S858" s="40" t="s">
        <v>19</v>
      </c>
      <c r="T858" s="47"/>
      <c r="U858" s="40" t="e">
        <f>E858/259*60</f>
        <v>#REF!</v>
      </c>
      <c r="V858" s="40"/>
      <c r="W858" s="47"/>
      <c r="X858" s="40"/>
    </row>
    <row r="859" spans="1:24" s="20" customFormat="1" ht="19.5" thickBot="1" x14ac:dyDescent="0.35">
      <c r="A859" s="41"/>
      <c r="B859" s="41" t="s">
        <v>221</v>
      </c>
      <c r="C859" s="42" t="e">
        <f>#REF!+#REF!+#REF!</f>
        <v>#REF!</v>
      </c>
      <c r="D859" s="43"/>
      <c r="E859" s="45" t="e">
        <f>C859*4</f>
        <v>#REF!</v>
      </c>
      <c r="F859" s="50" t="e">
        <f>E859*1.03*0.99/147</f>
        <v>#REF!</v>
      </c>
      <c r="G859" s="42" t="e">
        <f t="shared" si="206"/>
        <v>#REF!</v>
      </c>
      <c r="H859" s="14" t="s">
        <v>18</v>
      </c>
      <c r="I859" s="42" t="e">
        <f t="shared" si="207"/>
        <v>#REF!</v>
      </c>
      <c r="J859" s="14" t="s">
        <v>19</v>
      </c>
      <c r="K859" s="40"/>
      <c r="L859" s="40"/>
      <c r="M859" s="46" t="e">
        <f>F859*4983/2880</f>
        <v>#REF!</v>
      </c>
      <c r="N859" s="40"/>
      <c r="O859" s="40"/>
      <c r="P859" s="40"/>
      <c r="Q859" s="14" t="s">
        <v>18</v>
      </c>
      <c r="R859" s="40"/>
      <c r="S859" s="40" t="s">
        <v>19</v>
      </c>
      <c r="T859" s="47"/>
      <c r="U859" s="40" t="e">
        <f>E859/259*60</f>
        <v>#REF!</v>
      </c>
      <c r="V859" s="40"/>
      <c r="W859" s="47"/>
      <c r="X859" s="40"/>
    </row>
    <row r="860" spans="1:24" s="20" customFormat="1" ht="19.5" thickBot="1" x14ac:dyDescent="0.35">
      <c r="A860" s="41"/>
      <c r="B860" s="41" t="s">
        <v>116</v>
      </c>
      <c r="C860" s="42" t="e">
        <f>#REF!+#REF!+#REF!</f>
        <v>#REF!</v>
      </c>
      <c r="D860" s="43"/>
      <c r="E860" s="45" t="e">
        <f>C860*4</f>
        <v>#REF!</v>
      </c>
      <c r="F860" s="50" t="e">
        <f>E860*1.2*0.9/147</f>
        <v>#REF!</v>
      </c>
      <c r="G860" s="42" t="e">
        <f t="shared" si="206"/>
        <v>#REF!</v>
      </c>
      <c r="H860" s="45" t="s">
        <v>18</v>
      </c>
      <c r="I860" s="42" t="e">
        <f t="shared" si="207"/>
        <v>#REF!</v>
      </c>
      <c r="J860" s="40" t="s">
        <v>19</v>
      </c>
      <c r="K860" s="40"/>
      <c r="L860" s="40"/>
      <c r="M860" s="46" t="e">
        <f>(F860*6049/3456)</f>
        <v>#REF!</v>
      </c>
      <c r="N860" s="40"/>
      <c r="O860" s="40"/>
      <c r="P860" s="40"/>
      <c r="Q860" s="14" t="s">
        <v>18</v>
      </c>
      <c r="R860" s="40"/>
      <c r="S860" s="40" t="s">
        <v>19</v>
      </c>
      <c r="T860" s="47"/>
      <c r="U860" s="40" t="e">
        <f>E860/324*60</f>
        <v>#REF!</v>
      </c>
      <c r="V860" s="40"/>
      <c r="W860" s="47"/>
      <c r="X860" s="40"/>
    </row>
    <row r="861" spans="1:24" s="20" customFormat="1" ht="19.5" thickBot="1" x14ac:dyDescent="0.35">
      <c r="A861" s="41"/>
      <c r="B861" s="41" t="s">
        <v>90</v>
      </c>
      <c r="C861" s="42" t="e">
        <f>#REF!+#REF!+#REF!</f>
        <v>#REF!</v>
      </c>
      <c r="D861" s="43"/>
      <c r="E861" s="45" t="e">
        <f>C861*3</f>
        <v>#REF!</v>
      </c>
      <c r="F861" s="50" t="e">
        <f>E861*1.2*0.9/147</f>
        <v>#REF!</v>
      </c>
      <c r="G861" s="42" t="e">
        <f t="shared" si="206"/>
        <v>#REF!</v>
      </c>
      <c r="H861" s="45" t="s">
        <v>18</v>
      </c>
      <c r="I861" s="42" t="e">
        <f t="shared" si="207"/>
        <v>#REF!</v>
      </c>
      <c r="J861" s="40" t="s">
        <v>19</v>
      </c>
      <c r="K861" s="40"/>
      <c r="L861" s="40"/>
      <c r="M861" s="46" t="e">
        <f>(F861*6049/3456)</f>
        <v>#REF!</v>
      </c>
      <c r="N861" s="40"/>
      <c r="O861" s="40"/>
      <c r="P861" s="40"/>
      <c r="Q861" s="14" t="s">
        <v>18</v>
      </c>
      <c r="R861" s="40"/>
      <c r="S861" s="40" t="s">
        <v>19</v>
      </c>
      <c r="T861" s="47"/>
      <c r="U861" s="40" t="e">
        <f>E861/324*60</f>
        <v>#REF!</v>
      </c>
      <c r="V861" s="40"/>
      <c r="W861" s="47"/>
      <c r="X861" s="40"/>
    </row>
    <row r="862" spans="1:24" s="20" customFormat="1" ht="19.5" thickBot="1" x14ac:dyDescent="0.35">
      <c r="A862" s="41"/>
      <c r="B862" s="41" t="s">
        <v>108</v>
      </c>
      <c r="C862" s="42" t="e">
        <f>#REF!+#REF!+#REF!</f>
        <v>#REF!</v>
      </c>
      <c r="D862" s="43"/>
      <c r="E862" s="45" t="e">
        <f>C862*3</f>
        <v>#REF!</v>
      </c>
      <c r="F862" s="50" t="e">
        <f>E862*1.2*1/147</f>
        <v>#REF!</v>
      </c>
      <c r="G862" s="42" t="e">
        <f t="shared" si="206"/>
        <v>#REF!</v>
      </c>
      <c r="H862" s="45" t="s">
        <v>18</v>
      </c>
      <c r="I862" s="42" t="e">
        <f t="shared" si="207"/>
        <v>#REF!</v>
      </c>
      <c r="J862" s="40" t="s">
        <v>19</v>
      </c>
      <c r="K862" s="40"/>
      <c r="L862" s="40"/>
      <c r="M862" s="46" t="e">
        <f>F862*5719/2880</f>
        <v>#REF!</v>
      </c>
      <c r="N862" s="40"/>
      <c r="O862" s="40"/>
      <c r="P862" s="40"/>
      <c r="Q862" s="14" t="s">
        <v>18</v>
      </c>
      <c r="R862" s="40"/>
      <c r="S862" s="40" t="s">
        <v>19</v>
      </c>
      <c r="T862" s="47"/>
      <c r="U862" s="40" t="e">
        <f>E862/237*60</f>
        <v>#REF!</v>
      </c>
      <c r="V862" s="40"/>
      <c r="W862" s="47"/>
      <c r="X862" s="40"/>
    </row>
    <row r="863" spans="1:24" s="20" customFormat="1" ht="19.5" thickBot="1" x14ac:dyDescent="0.35">
      <c r="A863" s="51"/>
      <c r="B863" s="51" t="s">
        <v>134</v>
      </c>
      <c r="C863" s="42"/>
      <c r="D863" s="43"/>
      <c r="E863" s="45" t="e">
        <f>SUM(E825:E862)</f>
        <v>#REF!</v>
      </c>
      <c r="F863" s="50"/>
      <c r="G863" s="42"/>
      <c r="H863" s="45"/>
      <c r="I863" s="42"/>
      <c r="J863" s="40"/>
      <c r="K863" s="40"/>
      <c r="L863" s="40"/>
      <c r="M863" s="46"/>
      <c r="N863" s="40"/>
      <c r="O863" s="40"/>
      <c r="P863" s="40"/>
      <c r="Q863" s="14"/>
      <c r="R863" s="40"/>
      <c r="S863" s="40"/>
      <c r="T863" s="47"/>
      <c r="U863" s="40"/>
      <c r="V863" s="40"/>
      <c r="W863" s="47"/>
      <c r="X863" s="40"/>
    </row>
    <row r="864" spans="1:24" s="20" customFormat="1" ht="19.5" thickBot="1" x14ac:dyDescent="0.35">
      <c r="A864" s="67"/>
      <c r="B864" s="928" t="s">
        <v>138</v>
      </c>
      <c r="C864" s="929"/>
      <c r="D864" s="929"/>
      <c r="E864" s="929"/>
      <c r="F864" s="929"/>
      <c r="G864" s="929"/>
      <c r="H864" s="929"/>
      <c r="I864" s="929"/>
      <c r="J864" s="929"/>
      <c r="K864" s="929"/>
      <c r="L864" s="929"/>
      <c r="M864" s="929"/>
      <c r="N864" s="929"/>
      <c r="O864" s="929"/>
      <c r="P864" s="929"/>
      <c r="Q864" s="929"/>
      <c r="R864" s="929"/>
      <c r="S864" s="929"/>
      <c r="T864" s="929"/>
      <c r="U864" s="929"/>
      <c r="V864" s="929"/>
      <c r="W864" s="929"/>
      <c r="X864" s="930"/>
    </row>
    <row r="865" spans="1:24" s="20" customFormat="1" ht="19.5" thickBot="1" x14ac:dyDescent="0.35">
      <c r="A865" s="132"/>
      <c r="B865" s="133" t="s">
        <v>291</v>
      </c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</row>
    <row r="866" spans="1:24" s="20" customFormat="1" ht="19.5" thickBot="1" x14ac:dyDescent="0.35">
      <c r="A866" s="41"/>
      <c r="B866" s="41" t="s">
        <v>293</v>
      </c>
      <c r="C866" s="42">
        <f>C645</f>
        <v>0</v>
      </c>
      <c r="D866" s="43">
        <f>C866*12</f>
        <v>0</v>
      </c>
      <c r="E866" s="63">
        <f>D866*0.3</f>
        <v>0</v>
      </c>
      <c r="F866" s="50">
        <f t="shared" ref="F866:F880" si="208">E866*1.03*0.99/147</f>
        <v>0</v>
      </c>
      <c r="G866" s="42">
        <f>INT(M866)</f>
        <v>0</v>
      </c>
      <c r="H866" s="45" t="s">
        <v>18</v>
      </c>
      <c r="I866" s="42">
        <f>(M866-G866)*64</f>
        <v>0</v>
      </c>
      <c r="J866" s="40" t="s">
        <v>19</v>
      </c>
      <c r="K866" s="40"/>
      <c r="L866" s="40"/>
      <c r="M866" s="52">
        <f>(F866*5927)/2880</f>
        <v>0</v>
      </c>
      <c r="N866" s="40"/>
      <c r="O866" s="40"/>
      <c r="P866" s="40"/>
      <c r="Q866" s="14" t="s">
        <v>18</v>
      </c>
      <c r="R866" s="40"/>
      <c r="S866" s="40" t="s">
        <v>19</v>
      </c>
      <c r="T866" s="47"/>
      <c r="U866" s="40">
        <f>E866/403*60</f>
        <v>0</v>
      </c>
      <c r="V866" s="40"/>
      <c r="W866" s="47"/>
      <c r="X866" s="40"/>
    </row>
    <row r="867" spans="1:24" s="20" customFormat="1" ht="19.5" thickBot="1" x14ac:dyDescent="0.35">
      <c r="A867" s="41"/>
      <c r="B867" s="41" t="s">
        <v>230</v>
      </c>
      <c r="C867" s="42">
        <f t="shared" ref="C867:C888" si="209">C646</f>
        <v>0</v>
      </c>
      <c r="D867" s="43">
        <f>C867*16</f>
        <v>0</v>
      </c>
      <c r="E867" s="40">
        <f>D867*0.34</f>
        <v>0</v>
      </c>
      <c r="F867" s="50">
        <f t="shared" si="208"/>
        <v>0</v>
      </c>
      <c r="G867" s="42">
        <f t="shared" ref="G867:G880" si="210">INT(M867)</f>
        <v>0</v>
      </c>
      <c r="H867" s="45" t="s">
        <v>18</v>
      </c>
      <c r="I867" s="42">
        <f t="shared" ref="I867:I880" si="211">(M867-G867)*64</f>
        <v>0</v>
      </c>
      <c r="J867" s="40" t="s">
        <v>19</v>
      </c>
      <c r="K867" s="40"/>
      <c r="L867" s="40"/>
      <c r="M867" s="52">
        <f>(F867*5202)/2880</f>
        <v>0</v>
      </c>
      <c r="N867" s="40"/>
      <c r="O867" s="40"/>
      <c r="P867" s="40"/>
      <c r="Q867" s="14" t="s">
        <v>18</v>
      </c>
      <c r="R867" s="40"/>
      <c r="S867" s="40" t="s">
        <v>19</v>
      </c>
      <c r="T867" s="47"/>
      <c r="U867" s="40"/>
      <c r="V867" s="40"/>
      <c r="W867" s="47"/>
      <c r="X867" s="40"/>
    </row>
    <row r="868" spans="1:24" s="20" customFormat="1" ht="19.5" thickBot="1" x14ac:dyDescent="0.35">
      <c r="A868" s="41"/>
      <c r="B868" s="41" t="s">
        <v>224</v>
      </c>
      <c r="C868" s="42">
        <f t="shared" si="209"/>
        <v>0</v>
      </c>
      <c r="D868" s="43">
        <f>C868*16</f>
        <v>0</v>
      </c>
      <c r="E868" s="40">
        <f>D868*0.34</f>
        <v>0</v>
      </c>
      <c r="F868" s="50">
        <f t="shared" si="208"/>
        <v>0</v>
      </c>
      <c r="G868" s="42">
        <f t="shared" si="210"/>
        <v>0</v>
      </c>
      <c r="H868" s="45" t="s">
        <v>18</v>
      </c>
      <c r="I868" s="42">
        <f t="shared" si="211"/>
        <v>0</v>
      </c>
      <c r="J868" s="40" t="s">
        <v>19</v>
      </c>
      <c r="K868" s="40"/>
      <c r="L868" s="40"/>
      <c r="M868" s="52">
        <f>(F868*5202)/2880</f>
        <v>0</v>
      </c>
      <c r="N868" s="40"/>
      <c r="O868" s="40"/>
      <c r="P868" s="40"/>
      <c r="Q868" s="14" t="s">
        <v>18</v>
      </c>
      <c r="R868" s="40"/>
      <c r="S868" s="40" t="s">
        <v>19</v>
      </c>
      <c r="T868" s="47"/>
      <c r="U868" s="40"/>
      <c r="V868" s="40"/>
      <c r="W868" s="47"/>
      <c r="X868" s="40"/>
    </row>
    <row r="869" spans="1:24" s="20" customFormat="1" ht="19.5" thickBot="1" x14ac:dyDescent="0.35">
      <c r="A869" s="41"/>
      <c r="B869" s="41" t="s">
        <v>109</v>
      </c>
      <c r="C869" s="42">
        <f t="shared" si="209"/>
        <v>0</v>
      </c>
      <c r="D869" s="43">
        <f>C869*14</f>
        <v>0</v>
      </c>
      <c r="E869" s="64">
        <f>D869*0.2</f>
        <v>0</v>
      </c>
      <c r="F869" s="50">
        <f t="shared" si="208"/>
        <v>0</v>
      </c>
      <c r="G869" s="42">
        <f t="shared" si="210"/>
        <v>0</v>
      </c>
      <c r="H869" s="45" t="s">
        <v>18</v>
      </c>
      <c r="I869" s="42">
        <f t="shared" si="211"/>
        <v>0</v>
      </c>
      <c r="J869" s="40" t="s">
        <v>19</v>
      </c>
      <c r="K869" s="40"/>
      <c r="L869" s="40"/>
      <c r="M869" s="46">
        <f>F869*8698/2880</f>
        <v>0</v>
      </c>
      <c r="N869" s="40"/>
      <c r="O869" s="40"/>
      <c r="P869" s="40"/>
      <c r="Q869" s="14" t="s">
        <v>18</v>
      </c>
      <c r="R869" s="40"/>
      <c r="S869" s="40" t="s">
        <v>19</v>
      </c>
      <c r="T869" s="47"/>
      <c r="U869" s="40">
        <f>E869/313*60</f>
        <v>0</v>
      </c>
      <c r="V869" s="40"/>
      <c r="W869" s="47"/>
      <c r="X869" s="40"/>
    </row>
    <row r="870" spans="1:24" s="20" customFormat="1" ht="19.5" thickBot="1" x14ac:dyDescent="0.35">
      <c r="A870" s="41"/>
      <c r="B870" s="41" t="s">
        <v>107</v>
      </c>
      <c r="C870" s="42">
        <f t="shared" si="209"/>
        <v>0</v>
      </c>
      <c r="D870" s="43">
        <f t="shared" ref="D870:D876" si="212">C870*12</f>
        <v>0</v>
      </c>
      <c r="E870" s="64">
        <f>D870*0.26</f>
        <v>0</v>
      </c>
      <c r="F870" s="50">
        <f t="shared" si="208"/>
        <v>0</v>
      </c>
      <c r="G870" s="42">
        <f t="shared" si="210"/>
        <v>0</v>
      </c>
      <c r="H870" s="45" t="s">
        <v>18</v>
      </c>
      <c r="I870" s="42">
        <f t="shared" si="211"/>
        <v>0</v>
      </c>
      <c r="J870" s="40" t="s">
        <v>19</v>
      </c>
      <c r="K870" s="40"/>
      <c r="L870" s="40"/>
      <c r="M870" s="52">
        <f>(F870*6743)/2880</f>
        <v>0</v>
      </c>
      <c r="N870" s="40"/>
      <c r="O870" s="40"/>
      <c r="P870" s="40"/>
      <c r="Q870" s="14" t="s">
        <v>18</v>
      </c>
      <c r="R870" s="40"/>
      <c r="S870" s="40" t="s">
        <v>19</v>
      </c>
      <c r="T870" s="47"/>
      <c r="U870" s="40">
        <f>E870/403*60</f>
        <v>0</v>
      </c>
      <c r="V870" s="40"/>
      <c r="W870" s="47"/>
      <c r="X870" s="40"/>
    </row>
    <row r="871" spans="1:24" s="20" customFormat="1" ht="19.5" thickBot="1" x14ac:dyDescent="0.35">
      <c r="A871" s="41"/>
      <c r="B871" s="41" t="s">
        <v>125</v>
      </c>
      <c r="C871" s="42">
        <f t="shared" si="209"/>
        <v>0</v>
      </c>
      <c r="D871" s="43">
        <f t="shared" si="212"/>
        <v>0</v>
      </c>
      <c r="E871" s="63">
        <f>D871*0.26</f>
        <v>0</v>
      </c>
      <c r="F871" s="50">
        <f t="shared" si="208"/>
        <v>0</v>
      </c>
      <c r="G871" s="42">
        <f t="shared" si="210"/>
        <v>0</v>
      </c>
      <c r="H871" s="45" t="s">
        <v>18</v>
      </c>
      <c r="I871" s="42">
        <f t="shared" si="211"/>
        <v>0</v>
      </c>
      <c r="J871" s="40" t="s">
        <v>19</v>
      </c>
      <c r="K871" s="40"/>
      <c r="L871" s="40"/>
      <c r="M871" s="52">
        <f>(F871*6743)/2880</f>
        <v>0</v>
      </c>
      <c r="N871" s="40"/>
      <c r="O871" s="40"/>
      <c r="P871" s="40"/>
      <c r="Q871" s="14" t="s">
        <v>18</v>
      </c>
      <c r="R871" s="40"/>
      <c r="S871" s="40" t="s">
        <v>19</v>
      </c>
      <c r="T871" s="47"/>
      <c r="U871" s="40">
        <f>E871/403*60</f>
        <v>0</v>
      </c>
      <c r="V871" s="40"/>
      <c r="W871" s="47"/>
      <c r="X871" s="40"/>
    </row>
    <row r="872" spans="1:24" s="20" customFormat="1" ht="19.5" thickBot="1" x14ac:dyDescent="0.35">
      <c r="A872" s="41"/>
      <c r="B872" s="41" t="s">
        <v>233</v>
      </c>
      <c r="C872" s="42">
        <f t="shared" si="209"/>
        <v>0</v>
      </c>
      <c r="D872" s="43">
        <f t="shared" si="212"/>
        <v>0</v>
      </c>
      <c r="E872" s="64">
        <f>D872*0.25</f>
        <v>0</v>
      </c>
      <c r="F872" s="50">
        <f t="shared" si="208"/>
        <v>0</v>
      </c>
      <c r="G872" s="42">
        <f t="shared" si="210"/>
        <v>0</v>
      </c>
      <c r="H872" s="14" t="s">
        <v>18</v>
      </c>
      <c r="I872" s="42">
        <f t="shared" si="211"/>
        <v>0</v>
      </c>
      <c r="J872" s="14" t="s">
        <v>19</v>
      </c>
      <c r="K872" s="40"/>
      <c r="L872" s="40"/>
      <c r="M872" s="52">
        <f>(F872*7000)/2880</f>
        <v>0</v>
      </c>
      <c r="N872" s="40"/>
      <c r="O872" s="40"/>
      <c r="P872" s="40"/>
      <c r="Q872" s="14" t="s">
        <v>18</v>
      </c>
      <c r="R872" s="40"/>
      <c r="S872" s="40" t="s">
        <v>19</v>
      </c>
      <c r="T872" s="47"/>
      <c r="U872" s="40">
        <f>E872/390*60</f>
        <v>0</v>
      </c>
      <c r="V872" s="40"/>
      <c r="W872" s="47"/>
      <c r="X872" s="40"/>
    </row>
    <row r="873" spans="1:24" s="20" customFormat="1" ht="19.5" thickBot="1" x14ac:dyDescent="0.35">
      <c r="A873" s="41"/>
      <c r="B873" s="41" t="s">
        <v>117</v>
      </c>
      <c r="C873" s="42">
        <f t="shared" si="209"/>
        <v>0</v>
      </c>
      <c r="D873" s="43">
        <f t="shared" si="212"/>
        <v>0</v>
      </c>
      <c r="E873" s="64">
        <f>D873*0.26</f>
        <v>0</v>
      </c>
      <c r="F873" s="50">
        <f t="shared" si="208"/>
        <v>0</v>
      </c>
      <c r="G873" s="42">
        <f t="shared" si="210"/>
        <v>0</v>
      </c>
      <c r="H873" s="45" t="s">
        <v>18</v>
      </c>
      <c r="I873" s="42">
        <f t="shared" si="211"/>
        <v>0</v>
      </c>
      <c r="J873" s="40" t="s">
        <v>19</v>
      </c>
      <c r="K873" s="40"/>
      <c r="L873" s="40"/>
      <c r="M873" s="52">
        <f>(F873*6743)/2880</f>
        <v>0</v>
      </c>
      <c r="N873" s="40"/>
      <c r="O873" s="40"/>
      <c r="P873" s="40"/>
      <c r="Q873" s="14" t="s">
        <v>18</v>
      </c>
      <c r="R873" s="40"/>
      <c r="S873" s="40" t="s">
        <v>19</v>
      </c>
      <c r="T873" s="47"/>
      <c r="U873" s="40">
        <f>E873/390*60</f>
        <v>0</v>
      </c>
      <c r="V873" s="40"/>
      <c r="W873" s="47"/>
      <c r="X873" s="40"/>
    </row>
    <row r="874" spans="1:24" s="20" customFormat="1" ht="19.5" thickBot="1" x14ac:dyDescent="0.35">
      <c r="A874" s="41"/>
      <c r="B874" s="41" t="s">
        <v>110</v>
      </c>
      <c r="C874" s="42">
        <f t="shared" si="209"/>
        <v>0</v>
      </c>
      <c r="D874" s="43">
        <f t="shared" si="212"/>
        <v>0</v>
      </c>
      <c r="E874" s="63">
        <f>D874*0.26</f>
        <v>0</v>
      </c>
      <c r="F874" s="50">
        <f t="shared" si="208"/>
        <v>0</v>
      </c>
      <c r="G874" s="42">
        <f t="shared" si="210"/>
        <v>0</v>
      </c>
      <c r="H874" s="45" t="s">
        <v>18</v>
      </c>
      <c r="I874" s="42">
        <f t="shared" si="211"/>
        <v>0</v>
      </c>
      <c r="J874" s="40" t="s">
        <v>19</v>
      </c>
      <c r="K874" s="40"/>
      <c r="L874" s="40"/>
      <c r="M874" s="52">
        <f>(F874*6966)/2880</f>
        <v>0</v>
      </c>
      <c r="N874" s="40"/>
      <c r="O874" s="40"/>
      <c r="P874" s="40"/>
      <c r="Q874" s="14" t="s">
        <v>18</v>
      </c>
      <c r="R874" s="40"/>
      <c r="S874" s="40" t="s">
        <v>19</v>
      </c>
      <c r="T874" s="47"/>
      <c r="U874" s="40">
        <f>E874/403*60</f>
        <v>0</v>
      </c>
      <c r="V874" s="40"/>
      <c r="W874" s="47"/>
      <c r="X874" s="40"/>
    </row>
    <row r="875" spans="1:24" s="20" customFormat="1" ht="19.5" thickBot="1" x14ac:dyDescent="0.35">
      <c r="A875" s="41"/>
      <c r="B875" s="41" t="s">
        <v>104</v>
      </c>
      <c r="C875" s="42">
        <f t="shared" si="209"/>
        <v>0</v>
      </c>
      <c r="D875" s="43">
        <f t="shared" si="212"/>
        <v>0</v>
      </c>
      <c r="E875" s="63">
        <f>D875*0.25</f>
        <v>0</v>
      </c>
      <c r="F875" s="50">
        <f t="shared" si="208"/>
        <v>0</v>
      </c>
      <c r="G875" s="42">
        <f t="shared" si="210"/>
        <v>0</v>
      </c>
      <c r="H875" s="14" t="s">
        <v>18</v>
      </c>
      <c r="I875" s="42">
        <f t="shared" si="211"/>
        <v>0</v>
      </c>
      <c r="J875" s="14" t="s">
        <v>19</v>
      </c>
      <c r="K875" s="40"/>
      <c r="L875" s="40"/>
      <c r="M875" s="52">
        <f>(F875*7000)/2880</f>
        <v>0</v>
      </c>
      <c r="N875" s="40"/>
      <c r="O875" s="40"/>
      <c r="P875" s="40"/>
      <c r="Q875" s="14" t="s">
        <v>18</v>
      </c>
      <c r="R875" s="40"/>
      <c r="S875" s="40" t="s">
        <v>19</v>
      </c>
      <c r="T875" s="47"/>
      <c r="U875" s="40">
        <f>E875/390*60</f>
        <v>0</v>
      </c>
      <c r="V875" s="40"/>
      <c r="W875" s="47"/>
      <c r="X875" s="40"/>
    </row>
    <row r="876" spans="1:24" s="20" customFormat="1" ht="19.5" thickBot="1" x14ac:dyDescent="0.35">
      <c r="A876" s="41"/>
      <c r="B876" s="41" t="s">
        <v>112</v>
      </c>
      <c r="C876" s="42">
        <f t="shared" si="209"/>
        <v>0</v>
      </c>
      <c r="D876" s="43">
        <f t="shared" si="212"/>
        <v>0</v>
      </c>
      <c r="E876" s="63">
        <f>D876*0.25</f>
        <v>0</v>
      </c>
      <c r="F876" s="50">
        <f t="shared" si="208"/>
        <v>0</v>
      </c>
      <c r="G876" s="42">
        <f t="shared" si="210"/>
        <v>0</v>
      </c>
      <c r="H876" s="14" t="s">
        <v>18</v>
      </c>
      <c r="I876" s="42">
        <f t="shared" si="211"/>
        <v>0</v>
      </c>
      <c r="J876" s="14" t="s">
        <v>19</v>
      </c>
      <c r="K876" s="40"/>
      <c r="L876" s="40"/>
      <c r="M876" s="52">
        <f>(F876*7000)/2880</f>
        <v>0</v>
      </c>
      <c r="N876" s="40"/>
      <c r="O876" s="40"/>
      <c r="P876" s="40"/>
      <c r="Q876" s="45" t="s">
        <v>18</v>
      </c>
      <c r="R876" s="40"/>
      <c r="S876" s="40" t="s">
        <v>19</v>
      </c>
      <c r="T876" s="47"/>
      <c r="U876" s="40">
        <f>E876/403*60</f>
        <v>0</v>
      </c>
      <c r="V876" s="40"/>
      <c r="W876" s="47"/>
      <c r="X876" s="40"/>
    </row>
    <row r="877" spans="1:24" s="20" customFormat="1" ht="19.5" thickBot="1" x14ac:dyDescent="0.35">
      <c r="A877" s="41"/>
      <c r="B877" s="41" t="s">
        <v>224</v>
      </c>
      <c r="C877" s="42">
        <f t="shared" si="209"/>
        <v>0</v>
      </c>
      <c r="D877" s="43">
        <f>C877*16</f>
        <v>0</v>
      </c>
      <c r="E877" s="40">
        <f>D877*0.34</f>
        <v>0</v>
      </c>
      <c r="F877" s="50">
        <f t="shared" si="208"/>
        <v>0</v>
      </c>
      <c r="G877" s="42">
        <f t="shared" si="210"/>
        <v>0</v>
      </c>
      <c r="H877" s="45" t="s">
        <v>18</v>
      </c>
      <c r="I877" s="42">
        <f t="shared" si="211"/>
        <v>0</v>
      </c>
      <c r="J877" s="40" t="s">
        <v>19</v>
      </c>
      <c r="K877" s="40"/>
      <c r="L877" s="40"/>
      <c r="M877" s="52">
        <f>(F877*5202)/2880</f>
        <v>0</v>
      </c>
      <c r="N877" s="40"/>
      <c r="O877" s="40"/>
      <c r="P877" s="40"/>
      <c r="Q877" s="14" t="s">
        <v>18</v>
      </c>
      <c r="R877" s="40"/>
      <c r="S877" s="40" t="s">
        <v>19</v>
      </c>
      <c r="T877" s="47"/>
      <c r="U877" s="40"/>
      <c r="V877" s="40"/>
      <c r="W877" s="47"/>
      <c r="X877" s="40"/>
    </row>
    <row r="878" spans="1:24" s="20" customFormat="1" ht="19.5" thickBot="1" x14ac:dyDescent="0.35">
      <c r="A878" s="41"/>
      <c r="B878" s="41" t="s">
        <v>105</v>
      </c>
      <c r="C878" s="42">
        <f t="shared" si="209"/>
        <v>0</v>
      </c>
      <c r="D878" s="43">
        <f>C878*12</f>
        <v>0</v>
      </c>
      <c r="E878" s="64">
        <f>D878*0.25</f>
        <v>0</v>
      </c>
      <c r="F878" s="50">
        <f t="shared" si="208"/>
        <v>0</v>
      </c>
      <c r="G878" s="42">
        <f t="shared" si="210"/>
        <v>0</v>
      </c>
      <c r="H878" s="14" t="s">
        <v>18</v>
      </c>
      <c r="I878" s="42">
        <f t="shared" si="211"/>
        <v>0</v>
      </c>
      <c r="J878" s="14" t="s">
        <v>19</v>
      </c>
      <c r="K878" s="40"/>
      <c r="L878" s="40"/>
      <c r="M878" s="52">
        <f>(F878*7000)/2880</f>
        <v>0</v>
      </c>
      <c r="N878" s="40"/>
      <c r="O878" s="40"/>
      <c r="P878" s="40"/>
      <c r="Q878" s="14" t="s">
        <v>18</v>
      </c>
      <c r="R878" s="40"/>
      <c r="S878" s="40" t="s">
        <v>19</v>
      </c>
      <c r="T878" s="47"/>
      <c r="U878" s="40">
        <f>E878/390*60</f>
        <v>0</v>
      </c>
      <c r="V878" s="40"/>
      <c r="W878" s="47"/>
      <c r="X878" s="40"/>
    </row>
    <row r="879" spans="1:24" s="20" customFormat="1" ht="19.5" thickBot="1" x14ac:dyDescent="0.35">
      <c r="A879" s="41"/>
      <c r="B879" s="41" t="s">
        <v>127</v>
      </c>
      <c r="C879" s="42">
        <f t="shared" si="209"/>
        <v>0</v>
      </c>
      <c r="D879" s="43">
        <f>C879*12</f>
        <v>0</v>
      </c>
      <c r="E879" s="63">
        <f>D879*0.25</f>
        <v>0</v>
      </c>
      <c r="F879" s="50">
        <f t="shared" si="208"/>
        <v>0</v>
      </c>
      <c r="G879" s="42">
        <f t="shared" si="210"/>
        <v>0</v>
      </c>
      <c r="H879" s="14" t="s">
        <v>18</v>
      </c>
      <c r="I879" s="42">
        <f t="shared" si="211"/>
        <v>0</v>
      </c>
      <c r="J879" s="14" t="s">
        <v>19</v>
      </c>
      <c r="K879" s="40"/>
      <c r="L879" s="40"/>
      <c r="M879" s="52">
        <f>(F879*7000)/2880</f>
        <v>0</v>
      </c>
      <c r="N879" s="40"/>
      <c r="O879" s="40"/>
      <c r="P879" s="40"/>
      <c r="Q879" s="14" t="s">
        <v>18</v>
      </c>
      <c r="R879" s="40"/>
      <c r="S879" s="40" t="s">
        <v>19</v>
      </c>
      <c r="T879" s="47"/>
      <c r="U879" s="40">
        <f>E879/390*60</f>
        <v>0</v>
      </c>
      <c r="V879" s="40"/>
      <c r="W879" s="47"/>
      <c r="X879" s="40"/>
    </row>
    <row r="880" spans="1:24" s="20" customFormat="1" ht="19.5" thickBot="1" x14ac:dyDescent="0.35">
      <c r="A880" s="41"/>
      <c r="B880" s="41" t="s">
        <v>124</v>
      </c>
      <c r="C880" s="42">
        <f t="shared" si="209"/>
        <v>0</v>
      </c>
      <c r="D880" s="43">
        <f>C880*12</f>
        <v>0</v>
      </c>
      <c r="E880" s="64">
        <f>D880*0.25</f>
        <v>0</v>
      </c>
      <c r="F880" s="50">
        <f t="shared" si="208"/>
        <v>0</v>
      </c>
      <c r="G880" s="42">
        <f t="shared" si="210"/>
        <v>0</v>
      </c>
      <c r="H880" s="14" t="s">
        <v>18</v>
      </c>
      <c r="I880" s="42">
        <f t="shared" si="211"/>
        <v>0</v>
      </c>
      <c r="J880" s="14" t="s">
        <v>19</v>
      </c>
      <c r="K880" s="40"/>
      <c r="L880" s="40"/>
      <c r="M880" s="52">
        <f>(F880*7000)/2880</f>
        <v>0</v>
      </c>
      <c r="N880" s="40"/>
      <c r="O880" s="40"/>
      <c r="P880" s="40"/>
      <c r="Q880" s="14" t="s">
        <v>18</v>
      </c>
      <c r="R880" s="40"/>
      <c r="S880" s="40" t="s">
        <v>19</v>
      </c>
      <c r="T880" s="47"/>
      <c r="U880" s="40">
        <f>E880/390*60</f>
        <v>0</v>
      </c>
      <c r="V880" s="40"/>
      <c r="W880" s="47"/>
      <c r="X880" s="40"/>
    </row>
    <row r="881" spans="1:24" s="20" customFormat="1" ht="19.5" thickBot="1" x14ac:dyDescent="0.35">
      <c r="A881" s="132"/>
      <c r="B881" s="133" t="s">
        <v>292</v>
      </c>
      <c r="C881" s="42">
        <f t="shared" si="209"/>
        <v>0</v>
      </c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</row>
    <row r="882" spans="1:24" s="20" customFormat="1" ht="19.5" thickBot="1" x14ac:dyDescent="0.35">
      <c r="A882" s="41"/>
      <c r="B882" s="41" t="s">
        <v>123</v>
      </c>
      <c r="C882" s="42">
        <f t="shared" si="209"/>
        <v>0</v>
      </c>
      <c r="D882" s="43"/>
      <c r="E882" s="63">
        <f>C882*4</f>
        <v>0</v>
      </c>
      <c r="F882" s="50">
        <f>E882*1.03*0.99/147</f>
        <v>0</v>
      </c>
      <c r="G882" s="42">
        <f t="shared" ref="G882:G888" si="213">INT(M882)</f>
        <v>0</v>
      </c>
      <c r="H882" s="14" t="s">
        <v>18</v>
      </c>
      <c r="I882" s="42">
        <f t="shared" ref="I882:I888" si="214">(M882-G882)*64</f>
        <v>0</v>
      </c>
      <c r="J882" s="14" t="s">
        <v>19</v>
      </c>
      <c r="K882" s="40"/>
      <c r="L882" s="40"/>
      <c r="M882" s="46">
        <f>F882*4983/2880</f>
        <v>0</v>
      </c>
      <c r="N882" s="40"/>
      <c r="O882" s="40"/>
      <c r="P882" s="40"/>
      <c r="Q882" s="14" t="s">
        <v>18</v>
      </c>
      <c r="R882" s="40"/>
      <c r="S882" s="40" t="s">
        <v>19</v>
      </c>
      <c r="T882" s="47"/>
      <c r="U882" s="40">
        <f>E882/420*60</f>
        <v>0</v>
      </c>
      <c r="V882" s="40"/>
      <c r="W882" s="47"/>
      <c r="X882" s="40"/>
    </row>
    <row r="883" spans="1:24" s="20" customFormat="1" ht="19.5" thickBot="1" x14ac:dyDescent="0.35">
      <c r="A883" s="41"/>
      <c r="B883" s="41" t="s">
        <v>126</v>
      </c>
      <c r="C883" s="42">
        <f t="shared" si="209"/>
        <v>0</v>
      </c>
      <c r="D883" s="43"/>
      <c r="E883" s="63">
        <f>C883*4</f>
        <v>0</v>
      </c>
      <c r="F883" s="50">
        <f>E883*1.03*0.99/147</f>
        <v>0</v>
      </c>
      <c r="G883" s="42">
        <f t="shared" si="213"/>
        <v>0</v>
      </c>
      <c r="H883" s="14" t="s">
        <v>18</v>
      </c>
      <c r="I883" s="42">
        <f t="shared" si="214"/>
        <v>0</v>
      </c>
      <c r="J883" s="14" t="s">
        <v>19</v>
      </c>
      <c r="K883" s="40"/>
      <c r="L883" s="40"/>
      <c r="M883" s="46">
        <f>F883*5444/2880</f>
        <v>0</v>
      </c>
      <c r="N883" s="40"/>
      <c r="O883" s="40"/>
      <c r="P883" s="40"/>
      <c r="Q883" s="14" t="s">
        <v>18</v>
      </c>
      <c r="R883" s="40"/>
      <c r="S883" s="40" t="s">
        <v>19</v>
      </c>
      <c r="T883" s="47"/>
      <c r="U883" s="40">
        <f>E883/420*60</f>
        <v>0</v>
      </c>
      <c r="V883" s="40"/>
      <c r="W883" s="47"/>
      <c r="X883" s="40"/>
    </row>
    <row r="884" spans="1:24" s="20" customFormat="1" ht="19.5" thickBot="1" x14ac:dyDescent="0.35">
      <c r="A884" s="41"/>
      <c r="B884" s="41" t="s">
        <v>100</v>
      </c>
      <c r="C884" s="42">
        <f t="shared" si="209"/>
        <v>0</v>
      </c>
      <c r="D884" s="43"/>
      <c r="E884" s="63">
        <f>C884*4</f>
        <v>0</v>
      </c>
      <c r="F884" s="50">
        <f>E884*1.2*1/147</f>
        <v>0</v>
      </c>
      <c r="G884" s="42">
        <f t="shared" si="213"/>
        <v>0</v>
      </c>
      <c r="H884" s="45" t="s">
        <v>18</v>
      </c>
      <c r="I884" s="42">
        <f t="shared" si="214"/>
        <v>0</v>
      </c>
      <c r="J884" s="40" t="s">
        <v>19</v>
      </c>
      <c r="K884" s="40"/>
      <c r="L884" s="40"/>
      <c r="M884" s="46">
        <f>F884*5719/2880</f>
        <v>0</v>
      </c>
      <c r="N884" s="40"/>
      <c r="O884" s="40"/>
      <c r="P884" s="40"/>
      <c r="Q884" s="14" t="s">
        <v>18</v>
      </c>
      <c r="R884" s="40"/>
      <c r="S884" s="40" t="s">
        <v>19</v>
      </c>
      <c r="T884" s="47"/>
      <c r="U884" s="40">
        <f>E884/420*60</f>
        <v>0</v>
      </c>
      <c r="V884" s="40"/>
      <c r="W884" s="47"/>
      <c r="X884" s="40"/>
    </row>
    <row r="885" spans="1:24" s="20" customFormat="1" ht="19.5" thickBot="1" x14ac:dyDescent="0.35">
      <c r="A885" s="41"/>
      <c r="B885" s="41" t="s">
        <v>225</v>
      </c>
      <c r="C885" s="42">
        <f t="shared" si="209"/>
        <v>0</v>
      </c>
      <c r="D885" s="43"/>
      <c r="E885" s="63">
        <f>C885*2.4</f>
        <v>0</v>
      </c>
      <c r="F885" s="50">
        <f>E885*1.03*0.99/147</f>
        <v>0</v>
      </c>
      <c r="G885" s="42">
        <f t="shared" si="213"/>
        <v>0</v>
      </c>
      <c r="H885" s="14" t="s">
        <v>18</v>
      </c>
      <c r="I885" s="42">
        <f t="shared" si="214"/>
        <v>0</v>
      </c>
      <c r="J885" s="14" t="s">
        <v>19</v>
      </c>
      <c r="K885" s="40"/>
      <c r="L885" s="40"/>
      <c r="M885" s="46">
        <f>F885*4983/2880</f>
        <v>0</v>
      </c>
      <c r="N885" s="40"/>
      <c r="O885" s="40"/>
      <c r="P885" s="40"/>
      <c r="Q885" s="14" t="s">
        <v>18</v>
      </c>
      <c r="R885" s="40"/>
      <c r="S885" s="40" t="s">
        <v>19</v>
      </c>
      <c r="T885" s="47"/>
      <c r="U885" s="40">
        <f>E885/420*60</f>
        <v>0</v>
      </c>
      <c r="V885" s="3"/>
      <c r="W885" s="47"/>
      <c r="X885" s="40"/>
    </row>
    <row r="886" spans="1:24" s="54" customFormat="1" ht="19.5" thickBot="1" x14ac:dyDescent="0.35">
      <c r="A886" s="41"/>
      <c r="B886" s="41" t="s">
        <v>102</v>
      </c>
      <c r="C886" s="42">
        <f t="shared" si="209"/>
        <v>0</v>
      </c>
      <c r="D886" s="43"/>
      <c r="E886" s="45">
        <f>C886*3.2</f>
        <v>0</v>
      </c>
      <c r="F886" s="50">
        <f>E886*1.03*0.99/147</f>
        <v>0</v>
      </c>
      <c r="G886" s="42">
        <f t="shared" si="213"/>
        <v>0</v>
      </c>
      <c r="H886" s="14" t="s">
        <v>18</v>
      </c>
      <c r="I886" s="42">
        <f t="shared" si="214"/>
        <v>0</v>
      </c>
      <c r="J886" s="14" t="s">
        <v>19</v>
      </c>
      <c r="K886" s="40"/>
      <c r="L886" s="40"/>
      <c r="M886" s="46">
        <f>F886*4983/2880</f>
        <v>0</v>
      </c>
      <c r="N886" s="40"/>
      <c r="O886" s="40"/>
      <c r="P886" s="40"/>
      <c r="Q886" s="14" t="s">
        <v>18</v>
      </c>
      <c r="R886" s="40"/>
      <c r="S886" s="40" t="s">
        <v>19</v>
      </c>
      <c r="T886" s="47"/>
      <c r="U886" s="40">
        <f>E886/259*60</f>
        <v>0</v>
      </c>
      <c r="V886" s="40"/>
      <c r="W886" s="47"/>
      <c r="X886" s="40"/>
    </row>
    <row r="887" spans="1:24" s="54" customFormat="1" ht="19.5" thickBot="1" x14ac:dyDescent="0.35">
      <c r="A887" s="41"/>
      <c r="B887" s="41" t="s">
        <v>115</v>
      </c>
      <c r="C887" s="42">
        <f t="shared" si="209"/>
        <v>0</v>
      </c>
      <c r="D887" s="43"/>
      <c r="E887" s="45">
        <f>C887*3.2</f>
        <v>0</v>
      </c>
      <c r="F887" s="50">
        <f>E887*1.03*0.99/147</f>
        <v>0</v>
      </c>
      <c r="G887" s="42">
        <f t="shared" si="213"/>
        <v>0</v>
      </c>
      <c r="H887" s="14" t="s">
        <v>18</v>
      </c>
      <c r="I887" s="42">
        <f t="shared" si="214"/>
        <v>0</v>
      </c>
      <c r="J887" s="14" t="s">
        <v>19</v>
      </c>
      <c r="K887" s="40"/>
      <c r="L887" s="40"/>
      <c r="M887" s="46">
        <f>F887*4983/2880</f>
        <v>0</v>
      </c>
      <c r="N887" s="40"/>
      <c r="O887" s="40"/>
      <c r="P887" s="40"/>
      <c r="Q887" s="14" t="s">
        <v>18</v>
      </c>
      <c r="R887" s="40"/>
      <c r="S887" s="40" t="s">
        <v>19</v>
      </c>
      <c r="T887" s="47"/>
      <c r="U887" s="40">
        <f>E887/259*60</f>
        <v>0</v>
      </c>
      <c r="V887" s="40"/>
      <c r="W887" s="47"/>
      <c r="X887" s="40"/>
    </row>
    <row r="888" spans="1:24" s="20" customFormat="1" ht="19.5" thickBot="1" x14ac:dyDescent="0.35">
      <c r="A888" s="41"/>
      <c r="B888" s="41" t="s">
        <v>108</v>
      </c>
      <c r="C888" s="42">
        <f t="shared" si="209"/>
        <v>0</v>
      </c>
      <c r="D888" s="43"/>
      <c r="E888" s="45">
        <f>C888*3</f>
        <v>0</v>
      </c>
      <c r="F888" s="50">
        <f>E888*1.2*1/147</f>
        <v>0</v>
      </c>
      <c r="G888" s="42">
        <f t="shared" si="213"/>
        <v>0</v>
      </c>
      <c r="H888" s="45" t="s">
        <v>18</v>
      </c>
      <c r="I888" s="42">
        <f t="shared" si="214"/>
        <v>0</v>
      </c>
      <c r="J888" s="40" t="s">
        <v>19</v>
      </c>
      <c r="K888" s="40"/>
      <c r="L888" s="40"/>
      <c r="M888" s="46">
        <f>F888*5719/2880</f>
        <v>0</v>
      </c>
      <c r="N888" s="40"/>
      <c r="O888" s="40"/>
      <c r="P888" s="40"/>
      <c r="Q888" s="14" t="s">
        <v>18</v>
      </c>
      <c r="R888" s="40"/>
      <c r="S888" s="40" t="s">
        <v>19</v>
      </c>
      <c r="T888" s="47"/>
      <c r="U888" s="40">
        <f>E888/237*60</f>
        <v>0</v>
      </c>
      <c r="V888" s="40"/>
      <c r="W888" s="47"/>
      <c r="X888" s="40"/>
    </row>
    <row r="889" spans="1:24" s="20" customFormat="1" ht="19.5" thickBot="1" x14ac:dyDescent="0.35">
      <c r="A889" s="70"/>
      <c r="B889" s="68" t="s">
        <v>134</v>
      </c>
      <c r="C889" s="27"/>
      <c r="D889" s="28"/>
      <c r="E889" s="30">
        <f>SUM(E865:E888)</f>
        <v>0</v>
      </c>
      <c r="F889" s="36"/>
      <c r="G889" s="27"/>
      <c r="H889" s="30"/>
      <c r="I889" s="27"/>
      <c r="J889" s="19"/>
      <c r="K889" s="19"/>
      <c r="L889" s="19"/>
      <c r="M889" s="31"/>
      <c r="N889" s="19"/>
      <c r="O889" s="19"/>
      <c r="P889" s="19"/>
      <c r="Q889" s="35"/>
      <c r="R889" s="19"/>
      <c r="S889" s="19"/>
      <c r="T889" s="32"/>
      <c r="U889" s="67"/>
      <c r="V889" s="19"/>
      <c r="W889" s="32"/>
      <c r="X889" s="19"/>
    </row>
    <row r="890" spans="1:24" s="20" customFormat="1" ht="19.5" thickBot="1" x14ac:dyDescent="0.35">
      <c r="A890" s="67"/>
      <c r="B890" s="920" t="s">
        <v>139</v>
      </c>
      <c r="C890" s="920"/>
      <c r="D890" s="920"/>
      <c r="E890" s="920"/>
      <c r="F890" s="920"/>
      <c r="G890" s="920"/>
      <c r="H890" s="920"/>
      <c r="I890" s="920"/>
      <c r="J890" s="920"/>
      <c r="K890" s="920"/>
      <c r="L890" s="920"/>
      <c r="M890" s="920"/>
      <c r="N890" s="920"/>
      <c r="O890" s="920"/>
      <c r="P890" s="920"/>
      <c r="Q890" s="920"/>
      <c r="R890" s="920"/>
      <c r="S890" s="920"/>
      <c r="T890" s="920"/>
      <c r="U890" s="920"/>
      <c r="V890" s="920"/>
      <c r="W890" s="920"/>
      <c r="X890" s="920"/>
    </row>
    <row r="891" spans="1:24" s="20" customFormat="1" ht="19.5" thickBot="1" x14ac:dyDescent="0.35">
      <c r="A891" s="71"/>
      <c r="B891" s="137" t="s">
        <v>294</v>
      </c>
      <c r="C891" s="136"/>
      <c r="D891" s="136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</row>
    <row r="892" spans="1:24" s="20" customFormat="1" ht="19.5" thickBot="1" x14ac:dyDescent="0.35">
      <c r="A892" s="26"/>
      <c r="B892" s="26" t="s">
        <v>248</v>
      </c>
      <c r="C892" s="27">
        <f t="shared" ref="C892:C902" si="215">C752</f>
        <v>0</v>
      </c>
      <c r="D892" s="28"/>
      <c r="E892" s="19">
        <f>C892*4</f>
        <v>0</v>
      </c>
      <c r="F892" s="29">
        <f>E892*0.8*1.03/22</f>
        <v>0</v>
      </c>
      <c r="G892" s="27">
        <f t="shared" ref="G892:G902" si="216">INT(M892)</f>
        <v>0</v>
      </c>
      <c r="H892" s="30" t="s">
        <v>18</v>
      </c>
      <c r="I892" s="27">
        <f t="shared" ref="I892:I902" si="217">(M892-G892)*64</f>
        <v>0</v>
      </c>
      <c r="J892" s="19" t="s">
        <v>19</v>
      </c>
      <c r="K892" s="19"/>
      <c r="L892" s="19"/>
      <c r="M892" s="31">
        <f>F892*784/6272</f>
        <v>0</v>
      </c>
      <c r="N892" s="19"/>
      <c r="O892" s="19"/>
      <c r="P892" s="19"/>
      <c r="Q892" s="30" t="s">
        <v>18</v>
      </c>
      <c r="R892" s="19"/>
      <c r="S892" s="19" t="s">
        <v>19</v>
      </c>
      <c r="T892" s="32"/>
      <c r="U892" s="19">
        <f t="shared" ref="U892:U898" si="218">E892/272*60</f>
        <v>0</v>
      </c>
      <c r="V892" s="19"/>
      <c r="W892" s="32"/>
      <c r="X892" s="19"/>
    </row>
    <row r="893" spans="1:24" s="20" customFormat="1" ht="38.25" thickBot="1" x14ac:dyDescent="0.35">
      <c r="A893" s="26"/>
      <c r="B893" s="26" t="s">
        <v>249</v>
      </c>
      <c r="C893" s="27">
        <f t="shared" si="215"/>
        <v>0</v>
      </c>
      <c r="D893" s="28"/>
      <c r="E893" s="19">
        <f>C893*4</f>
        <v>0</v>
      </c>
      <c r="F893" s="29">
        <f>E893*0.8*1.03/22</f>
        <v>0</v>
      </c>
      <c r="G893" s="27">
        <f t="shared" si="216"/>
        <v>0</v>
      </c>
      <c r="H893" s="30" t="s">
        <v>18</v>
      </c>
      <c r="I893" s="27">
        <f t="shared" si="217"/>
        <v>0</v>
      </c>
      <c r="J893" s="19" t="s">
        <v>19</v>
      </c>
      <c r="K893" s="19"/>
      <c r="L893" s="19"/>
      <c r="M893" s="31">
        <f>F893*784/6272</f>
        <v>0</v>
      </c>
      <c r="N893" s="19"/>
      <c r="O893" s="19"/>
      <c r="P893" s="19"/>
      <c r="Q893" s="30" t="s">
        <v>18</v>
      </c>
      <c r="R893" s="19"/>
      <c r="S893" s="19" t="s">
        <v>19</v>
      </c>
      <c r="T893" s="32"/>
      <c r="U893" s="19">
        <f t="shared" si="218"/>
        <v>0</v>
      </c>
      <c r="V893" s="19"/>
      <c r="W893" s="32"/>
      <c r="X893" s="19"/>
    </row>
    <row r="894" spans="1:24" s="20" customFormat="1" ht="38.25" thickBot="1" x14ac:dyDescent="0.35">
      <c r="A894" s="26"/>
      <c r="B894" s="26" t="s">
        <v>250</v>
      </c>
      <c r="C894" s="27">
        <f t="shared" si="215"/>
        <v>0</v>
      </c>
      <c r="D894" s="28"/>
      <c r="E894" s="19">
        <f>C894*4</f>
        <v>0</v>
      </c>
      <c r="F894" s="29">
        <f>E894*0.8*1.03/22</f>
        <v>0</v>
      </c>
      <c r="G894" s="27">
        <f t="shared" si="216"/>
        <v>0</v>
      </c>
      <c r="H894" s="30" t="s">
        <v>18</v>
      </c>
      <c r="I894" s="27">
        <f t="shared" si="217"/>
        <v>0</v>
      </c>
      <c r="J894" s="19" t="s">
        <v>19</v>
      </c>
      <c r="K894" s="19"/>
      <c r="L894" s="19"/>
      <c r="M894" s="31">
        <f>F894*784/6272</f>
        <v>0</v>
      </c>
      <c r="N894" s="19"/>
      <c r="O894" s="19"/>
      <c r="P894" s="19"/>
      <c r="Q894" s="30" t="s">
        <v>18</v>
      </c>
      <c r="R894" s="19"/>
      <c r="S894" s="19" t="s">
        <v>19</v>
      </c>
      <c r="T894" s="32"/>
      <c r="U894" s="19">
        <f t="shared" si="218"/>
        <v>0</v>
      </c>
      <c r="V894" s="19"/>
      <c r="W894" s="32"/>
      <c r="X894" s="19"/>
    </row>
    <row r="895" spans="1:24" s="20" customFormat="1" ht="19.5" thickBot="1" x14ac:dyDescent="0.35">
      <c r="A895" s="26"/>
      <c r="B895" s="26" t="s">
        <v>25</v>
      </c>
      <c r="C895" s="27">
        <f t="shared" si="215"/>
        <v>0</v>
      </c>
      <c r="D895" s="28"/>
      <c r="E895" s="19">
        <f>C895*2</f>
        <v>0</v>
      </c>
      <c r="F895" s="29">
        <f>E895*0.76*1.03/22</f>
        <v>0</v>
      </c>
      <c r="G895" s="27">
        <f t="shared" si="216"/>
        <v>0</v>
      </c>
      <c r="H895" s="30" t="s">
        <v>18</v>
      </c>
      <c r="I895" s="27">
        <f t="shared" si="217"/>
        <v>0</v>
      </c>
      <c r="J895" s="19" t="s">
        <v>19</v>
      </c>
      <c r="K895" s="19"/>
      <c r="L895" s="19"/>
      <c r="M895" s="31">
        <f>F895*1568/12544</f>
        <v>0</v>
      </c>
      <c r="N895" s="19"/>
      <c r="O895" s="19"/>
      <c r="P895" s="19"/>
      <c r="Q895" s="30" t="s">
        <v>18</v>
      </c>
      <c r="R895" s="19"/>
      <c r="S895" s="19" t="s">
        <v>19</v>
      </c>
      <c r="T895" s="32"/>
      <c r="U895" s="19">
        <f t="shared" si="218"/>
        <v>0</v>
      </c>
      <c r="V895" s="19"/>
      <c r="W895" s="32"/>
      <c r="X895" s="19"/>
    </row>
    <row r="896" spans="1:24" s="20" customFormat="1" ht="19.5" thickBot="1" x14ac:dyDescent="0.35">
      <c r="A896" s="26"/>
      <c r="B896" s="26" t="s">
        <v>30</v>
      </c>
      <c r="C896" s="27" t="e">
        <f t="shared" si="215"/>
        <v>#REF!</v>
      </c>
      <c r="D896" s="28"/>
      <c r="E896" s="19" t="e">
        <f>C896*2</f>
        <v>#REF!</v>
      </c>
      <c r="F896" s="29" t="e">
        <f>E896*0.76*1.03/22</f>
        <v>#REF!</v>
      </c>
      <c r="G896" s="27" t="e">
        <f t="shared" si="216"/>
        <v>#REF!</v>
      </c>
      <c r="H896" s="30" t="s">
        <v>18</v>
      </c>
      <c r="I896" s="27" t="e">
        <f t="shared" si="217"/>
        <v>#REF!</v>
      </c>
      <c r="J896" s="19" t="s">
        <v>19</v>
      </c>
      <c r="K896" s="19"/>
      <c r="L896" s="19"/>
      <c r="M896" s="31" t="e">
        <f>F896*1568/12544</f>
        <v>#REF!</v>
      </c>
      <c r="N896" s="19"/>
      <c r="O896" s="19"/>
      <c r="P896" s="19"/>
      <c r="Q896" s="30" t="s">
        <v>18</v>
      </c>
      <c r="R896" s="19"/>
      <c r="S896" s="19" t="s">
        <v>19</v>
      </c>
      <c r="T896" s="32"/>
      <c r="U896" s="19" t="e">
        <f t="shared" si="218"/>
        <v>#REF!</v>
      </c>
      <c r="V896" s="19"/>
      <c r="W896" s="32"/>
      <c r="X896" s="19"/>
    </row>
    <row r="897" spans="1:24" s="20" customFormat="1" ht="19.5" thickBot="1" x14ac:dyDescent="0.35">
      <c r="A897" s="26"/>
      <c r="B897" s="26" t="s">
        <v>22</v>
      </c>
      <c r="C897" s="27">
        <f t="shared" si="215"/>
        <v>0</v>
      </c>
      <c r="D897" s="28"/>
      <c r="E897" s="19">
        <f>C897*2</f>
        <v>0</v>
      </c>
      <c r="F897" s="29">
        <f>E897*0.76*1.03/22</f>
        <v>0</v>
      </c>
      <c r="G897" s="27">
        <f t="shared" si="216"/>
        <v>0</v>
      </c>
      <c r="H897" s="30" t="s">
        <v>18</v>
      </c>
      <c r="I897" s="27">
        <f t="shared" si="217"/>
        <v>0</v>
      </c>
      <c r="J897" s="19" t="s">
        <v>19</v>
      </c>
      <c r="K897" s="19"/>
      <c r="L897" s="19"/>
      <c r="M897" s="31">
        <f>F897*1568/12544</f>
        <v>0</v>
      </c>
      <c r="N897" s="19"/>
      <c r="O897" s="19"/>
      <c r="P897" s="19"/>
      <c r="Q897" s="30" t="s">
        <v>18</v>
      </c>
      <c r="R897" s="19"/>
      <c r="S897" s="19" t="s">
        <v>19</v>
      </c>
      <c r="T897" s="32"/>
      <c r="U897" s="19">
        <f t="shared" si="218"/>
        <v>0</v>
      </c>
      <c r="V897" s="19"/>
      <c r="W897" s="32"/>
      <c r="X897" s="19"/>
    </row>
    <row r="898" spans="1:24" s="20" customFormat="1" ht="19.5" thickBot="1" x14ac:dyDescent="0.35">
      <c r="A898" s="26"/>
      <c r="B898" s="26" t="s">
        <v>33</v>
      </c>
      <c r="C898" s="27">
        <f t="shared" si="215"/>
        <v>0</v>
      </c>
      <c r="D898" s="28"/>
      <c r="E898" s="19">
        <f>C898*2</f>
        <v>0</v>
      </c>
      <c r="F898" s="29">
        <f>E898*0.76*1.03/22</f>
        <v>0</v>
      </c>
      <c r="G898" s="27">
        <f t="shared" si="216"/>
        <v>0</v>
      </c>
      <c r="H898" s="30" t="s">
        <v>18</v>
      </c>
      <c r="I898" s="27">
        <f t="shared" si="217"/>
        <v>0</v>
      </c>
      <c r="J898" s="19" t="s">
        <v>19</v>
      </c>
      <c r="K898" s="19"/>
      <c r="L898" s="19"/>
      <c r="M898" s="31">
        <f>F898*1568/12544</f>
        <v>0</v>
      </c>
      <c r="N898" s="19"/>
      <c r="O898" s="19"/>
      <c r="P898" s="19"/>
      <c r="Q898" s="30" t="s">
        <v>18</v>
      </c>
      <c r="R898" s="19"/>
      <c r="S898" s="19" t="s">
        <v>19</v>
      </c>
      <c r="T898" s="32"/>
      <c r="U898" s="19">
        <f t="shared" si="218"/>
        <v>0</v>
      </c>
      <c r="V898" s="19"/>
      <c r="W898" s="32"/>
      <c r="X898" s="19"/>
    </row>
    <row r="899" spans="1:24" s="20" customFormat="1" ht="19.5" thickBot="1" x14ac:dyDescent="0.35">
      <c r="A899" s="26"/>
      <c r="B899" s="26" t="s">
        <v>34</v>
      </c>
      <c r="C899" s="27">
        <f t="shared" si="215"/>
        <v>0</v>
      </c>
      <c r="D899" s="28"/>
      <c r="E899" s="19">
        <f>C899*2</f>
        <v>0</v>
      </c>
      <c r="F899" s="29">
        <f>E899*0.76*1.03/22</f>
        <v>0</v>
      </c>
      <c r="G899" s="27">
        <f t="shared" si="216"/>
        <v>0</v>
      </c>
      <c r="H899" s="30" t="s">
        <v>18</v>
      </c>
      <c r="I899" s="27">
        <f t="shared" si="217"/>
        <v>0</v>
      </c>
      <c r="J899" s="19" t="s">
        <v>19</v>
      </c>
      <c r="K899" s="19"/>
      <c r="L899" s="19"/>
      <c r="M899" s="31">
        <f>F899*1568/12544</f>
        <v>0</v>
      </c>
      <c r="N899" s="19"/>
      <c r="O899" s="19"/>
      <c r="P899" s="19"/>
      <c r="Q899" s="30" t="s">
        <v>18</v>
      </c>
      <c r="R899" s="19"/>
      <c r="S899" s="19" t="s">
        <v>19</v>
      </c>
      <c r="T899" s="32"/>
      <c r="U899" s="19">
        <f>E899/259*60</f>
        <v>0</v>
      </c>
      <c r="V899" s="19"/>
      <c r="W899" s="32"/>
      <c r="X899" s="19"/>
    </row>
    <row r="900" spans="1:24" s="20" customFormat="1" ht="19.5" thickBot="1" x14ac:dyDescent="0.35">
      <c r="A900" s="26"/>
      <c r="B900" s="26" t="s">
        <v>27</v>
      </c>
      <c r="C900" s="27" t="e">
        <f t="shared" si="215"/>
        <v>#REF!</v>
      </c>
      <c r="D900" s="28" t="e">
        <f>C900*12</f>
        <v>#REF!</v>
      </c>
      <c r="E900" s="19" t="e">
        <f>D900*0.28</f>
        <v>#REF!</v>
      </c>
      <c r="F900" s="29" t="e">
        <f>E900*0.8*1.03/22</f>
        <v>#REF!</v>
      </c>
      <c r="G900" s="27" t="e">
        <f t="shared" si="216"/>
        <v>#REF!</v>
      </c>
      <c r="H900" s="30" t="s">
        <v>18</v>
      </c>
      <c r="I900" s="27" t="e">
        <f t="shared" si="217"/>
        <v>#REF!</v>
      </c>
      <c r="J900" s="19" t="s">
        <v>19</v>
      </c>
      <c r="K900" s="19"/>
      <c r="L900" s="19"/>
      <c r="M900" s="31" t="e">
        <f>F900*784/6272</f>
        <v>#REF!</v>
      </c>
      <c r="N900" s="19"/>
      <c r="O900" s="19"/>
      <c r="P900" s="19"/>
      <c r="Q900" s="30" t="s">
        <v>18</v>
      </c>
      <c r="R900" s="19"/>
      <c r="S900" s="19" t="s">
        <v>19</v>
      </c>
      <c r="T900" s="32"/>
      <c r="U900" s="19" t="e">
        <f>E900/272*60</f>
        <v>#REF!</v>
      </c>
      <c r="V900" s="19"/>
      <c r="W900" s="32"/>
      <c r="X900" s="19"/>
    </row>
    <row r="901" spans="1:24" s="20" customFormat="1" ht="19.5" thickBot="1" x14ac:dyDescent="0.35">
      <c r="A901" s="26"/>
      <c r="B901" s="26" t="s">
        <v>29</v>
      </c>
      <c r="C901" s="27" t="e">
        <f t="shared" si="215"/>
        <v>#REF!</v>
      </c>
      <c r="D901" s="28" t="e">
        <f>C901*12</f>
        <v>#REF!</v>
      </c>
      <c r="E901" s="19" t="e">
        <f>D901*0.25</f>
        <v>#REF!</v>
      </c>
      <c r="F901" s="29" t="e">
        <f>E901*0.76*1.03/22</f>
        <v>#REF!</v>
      </c>
      <c r="G901" s="27" t="e">
        <f t="shared" si="216"/>
        <v>#REF!</v>
      </c>
      <c r="H901" s="30" t="s">
        <v>18</v>
      </c>
      <c r="I901" s="27" t="e">
        <f t="shared" si="217"/>
        <v>#REF!</v>
      </c>
      <c r="J901" s="19" t="s">
        <v>19</v>
      </c>
      <c r="K901" s="19"/>
      <c r="L901" s="19"/>
      <c r="M901" s="31" t="e">
        <f>F901*1568/12544</f>
        <v>#REF!</v>
      </c>
      <c r="N901" s="19"/>
      <c r="O901" s="19"/>
      <c r="P901" s="19"/>
      <c r="Q901" s="30" t="s">
        <v>18</v>
      </c>
      <c r="R901" s="19"/>
      <c r="S901" s="19" t="s">
        <v>19</v>
      </c>
      <c r="T901" s="32"/>
      <c r="U901" s="19" t="e">
        <f>E901/272*60</f>
        <v>#REF!</v>
      </c>
      <c r="V901" s="19"/>
      <c r="W901" s="32"/>
      <c r="X901" s="19"/>
    </row>
    <row r="902" spans="1:24" s="20" customFormat="1" ht="19.5" thickBot="1" x14ac:dyDescent="0.35">
      <c r="A902" s="26"/>
      <c r="B902" s="26" t="s">
        <v>296</v>
      </c>
      <c r="C902" s="27">
        <f t="shared" si="215"/>
        <v>0</v>
      </c>
      <c r="D902" s="28">
        <f>C902*12</f>
        <v>0</v>
      </c>
      <c r="E902" s="19">
        <f>D902*0.25</f>
        <v>0</v>
      </c>
      <c r="F902" s="29">
        <f>E902*0.8*1.01/20</f>
        <v>0</v>
      </c>
      <c r="G902" s="27">
        <f t="shared" si="216"/>
        <v>0</v>
      </c>
      <c r="H902" s="30" t="s">
        <v>18</v>
      </c>
      <c r="I902" s="27">
        <f t="shared" si="217"/>
        <v>0</v>
      </c>
      <c r="J902" s="19" t="s">
        <v>19</v>
      </c>
      <c r="K902" s="19"/>
      <c r="L902" s="19"/>
      <c r="M902" s="31">
        <f>F902*2016/16128</f>
        <v>0</v>
      </c>
      <c r="N902" s="19"/>
      <c r="O902" s="19"/>
      <c r="P902" s="19"/>
      <c r="Q902" s="30" t="s">
        <v>18</v>
      </c>
      <c r="R902" s="19"/>
      <c r="S902" s="19" t="s">
        <v>19</v>
      </c>
      <c r="T902" s="32"/>
      <c r="U902" s="19">
        <f>E902/272*60</f>
        <v>0</v>
      </c>
      <c r="V902" s="19"/>
      <c r="W902" s="32"/>
      <c r="X902" s="19"/>
    </row>
    <row r="903" spans="1:24" s="20" customFormat="1" ht="19.5" thickBot="1" x14ac:dyDescent="0.35">
      <c r="A903" s="26"/>
      <c r="B903" s="26" t="s">
        <v>56</v>
      </c>
      <c r="C903" s="27">
        <f>C765</f>
        <v>0</v>
      </c>
      <c r="D903" s="28"/>
      <c r="E903" s="19">
        <f>C903*3</f>
        <v>0</v>
      </c>
      <c r="F903" s="29"/>
      <c r="G903" s="27"/>
      <c r="H903" s="30"/>
      <c r="I903" s="27"/>
      <c r="J903" s="19"/>
      <c r="K903" s="19"/>
      <c r="L903" s="19"/>
      <c r="M903" s="31"/>
      <c r="N903" s="19"/>
      <c r="O903" s="19"/>
      <c r="P903" s="19"/>
      <c r="Q903" s="30"/>
      <c r="R903" s="19"/>
      <c r="S903" s="19"/>
      <c r="T903" s="32"/>
      <c r="U903" s="19"/>
      <c r="V903" s="19"/>
      <c r="W903" s="32"/>
      <c r="X903" s="19"/>
    </row>
    <row r="904" spans="1:24" s="20" customFormat="1" ht="19.5" thickBot="1" x14ac:dyDescent="0.35">
      <c r="A904" s="26"/>
      <c r="B904" s="26" t="s">
        <v>57</v>
      </c>
      <c r="C904" s="27">
        <f>C766</f>
        <v>0</v>
      </c>
      <c r="D904" s="28"/>
      <c r="E904" s="19">
        <f>C904*3</f>
        <v>0</v>
      </c>
      <c r="F904" s="29"/>
      <c r="G904" s="27"/>
      <c r="H904" s="30"/>
      <c r="I904" s="27"/>
      <c r="J904" s="19"/>
      <c r="K904" s="19"/>
      <c r="L904" s="19"/>
      <c r="M904" s="31"/>
      <c r="N904" s="19"/>
      <c r="O904" s="19"/>
      <c r="P904" s="19"/>
      <c r="Q904" s="30"/>
      <c r="R904" s="19"/>
      <c r="S904" s="19"/>
      <c r="T904" s="32"/>
      <c r="U904" s="19"/>
      <c r="V904" s="19"/>
      <c r="W904" s="32"/>
      <c r="X904" s="19"/>
    </row>
    <row r="905" spans="1:24" s="20" customFormat="1" ht="19.5" thickBot="1" x14ac:dyDescent="0.35">
      <c r="A905" s="26"/>
      <c r="B905" s="26" t="s">
        <v>58</v>
      </c>
      <c r="C905" s="27">
        <f>C767</f>
        <v>0</v>
      </c>
      <c r="D905" s="28"/>
      <c r="E905" s="19">
        <f>C905*3</f>
        <v>0</v>
      </c>
      <c r="F905" s="29"/>
      <c r="G905" s="27"/>
      <c r="H905" s="30"/>
      <c r="I905" s="27"/>
      <c r="J905" s="19"/>
      <c r="K905" s="19"/>
      <c r="L905" s="19"/>
      <c r="M905" s="31"/>
      <c r="N905" s="19"/>
      <c r="O905" s="19"/>
      <c r="P905" s="19"/>
      <c r="Q905" s="30"/>
      <c r="R905" s="19"/>
      <c r="S905" s="19"/>
      <c r="T905" s="32"/>
      <c r="U905" s="19"/>
      <c r="V905" s="19"/>
      <c r="W905" s="32"/>
      <c r="X905" s="19"/>
    </row>
    <row r="906" spans="1:24" s="20" customFormat="1" ht="19.5" thickBot="1" x14ac:dyDescent="0.35">
      <c r="A906" s="26"/>
      <c r="B906" s="138" t="s">
        <v>295</v>
      </c>
      <c r="C906" s="27"/>
      <c r="D906" s="28"/>
      <c r="E906" s="19"/>
      <c r="F906" s="29"/>
      <c r="G906" s="27"/>
      <c r="H906" s="30"/>
      <c r="I906" s="27"/>
      <c r="J906" s="19"/>
      <c r="K906" s="19"/>
      <c r="L906" s="19"/>
      <c r="M906" s="31"/>
      <c r="N906" s="19"/>
      <c r="O906" s="19"/>
      <c r="P906" s="19"/>
      <c r="Q906" s="30"/>
      <c r="R906" s="19"/>
      <c r="S906" s="19"/>
      <c r="T906" s="32"/>
      <c r="U906" s="19"/>
      <c r="V906" s="19"/>
      <c r="W906" s="32"/>
      <c r="X906" s="19"/>
    </row>
    <row r="907" spans="1:24" s="20" customFormat="1" ht="38.25" thickBot="1" x14ac:dyDescent="0.35">
      <c r="A907" s="26"/>
      <c r="B907" s="26" t="s">
        <v>45</v>
      </c>
      <c r="C907" s="27" t="e">
        <f>C769</f>
        <v>#REF!</v>
      </c>
      <c r="D907" s="28" t="e">
        <f>C907*6*28</f>
        <v>#REF!</v>
      </c>
      <c r="E907" s="19" t="e">
        <f>D907*0.04</f>
        <v>#REF!</v>
      </c>
      <c r="F907" s="29" t="e">
        <f>E907*0.79*1.25/20</f>
        <v>#REF!</v>
      </c>
      <c r="G907" s="27" t="e">
        <f>INT(M907)</f>
        <v>#REF!</v>
      </c>
      <c r="H907" s="30" t="s">
        <v>18</v>
      </c>
      <c r="I907" s="27" t="e">
        <f>(M907-G907)*64</f>
        <v>#REF!</v>
      </c>
      <c r="J907" s="19" t="s">
        <v>19</v>
      </c>
      <c r="K907" s="19"/>
      <c r="L907" s="19"/>
      <c r="M907" s="31" t="e">
        <f>F907*540/4608</f>
        <v>#REF!</v>
      </c>
      <c r="N907" s="19"/>
      <c r="O907" s="19"/>
      <c r="P907" s="19"/>
      <c r="Q907" s="30" t="s">
        <v>18</v>
      </c>
      <c r="R907" s="19"/>
      <c r="S907" s="19" t="s">
        <v>19</v>
      </c>
      <c r="T907" s="32"/>
      <c r="U907" s="19" t="e">
        <f>E907/272*60</f>
        <v>#REF!</v>
      </c>
      <c r="V907" s="19"/>
      <c r="W907" s="32"/>
      <c r="X907" s="19"/>
    </row>
    <row r="908" spans="1:24" s="20" customFormat="1" ht="19.5" thickBot="1" x14ac:dyDescent="0.35">
      <c r="A908" s="26"/>
      <c r="B908" s="26" t="s">
        <v>46</v>
      </c>
      <c r="C908" s="27" t="e">
        <f>C770</f>
        <v>#REF!</v>
      </c>
      <c r="D908" s="28" t="e">
        <f>C908*6*28</f>
        <v>#REF!</v>
      </c>
      <c r="E908" s="19" t="e">
        <f>D908*0.04</f>
        <v>#REF!</v>
      </c>
      <c r="F908" s="29" t="e">
        <f>E908*0.79*1.25/20</f>
        <v>#REF!</v>
      </c>
      <c r="G908" s="27" t="e">
        <f>INT(M908)</f>
        <v>#REF!</v>
      </c>
      <c r="H908" s="30" t="s">
        <v>18</v>
      </c>
      <c r="I908" s="27" t="e">
        <f>(M908-G908)*64</f>
        <v>#REF!</v>
      </c>
      <c r="J908" s="19" t="s">
        <v>19</v>
      </c>
      <c r="K908" s="19"/>
      <c r="L908" s="19"/>
      <c r="M908" s="31" t="e">
        <f>F908*540/4608</f>
        <v>#REF!</v>
      </c>
      <c r="N908" s="19"/>
      <c r="O908" s="19"/>
      <c r="P908" s="19"/>
      <c r="Q908" s="30" t="s">
        <v>18</v>
      </c>
      <c r="R908" s="19"/>
      <c r="S908" s="19" t="s">
        <v>19</v>
      </c>
      <c r="T908" s="32"/>
      <c r="U908" s="19" t="e">
        <f>E908/272*60</f>
        <v>#REF!</v>
      </c>
      <c r="V908" s="19"/>
      <c r="W908" s="32"/>
      <c r="X908" s="19"/>
    </row>
    <row r="909" spans="1:24" s="20" customFormat="1" ht="19.5" thickBot="1" x14ac:dyDescent="0.35">
      <c r="A909" s="26"/>
      <c r="B909" s="26" t="s">
        <v>47</v>
      </c>
      <c r="C909" s="27" t="e">
        <f>C771</f>
        <v>#REF!</v>
      </c>
      <c r="D909" s="28" t="e">
        <f>C909*6*28</f>
        <v>#REF!</v>
      </c>
      <c r="E909" s="19" t="e">
        <f>D909*0.04</f>
        <v>#REF!</v>
      </c>
      <c r="F909" s="29" t="e">
        <f>E909*0.79*1.25/20</f>
        <v>#REF!</v>
      </c>
      <c r="G909" s="27" t="e">
        <f>INT(M909)</f>
        <v>#REF!</v>
      </c>
      <c r="H909" s="30" t="s">
        <v>18</v>
      </c>
      <c r="I909" s="27" t="e">
        <f>(M909-G909)*64</f>
        <v>#REF!</v>
      </c>
      <c r="J909" s="19" t="s">
        <v>19</v>
      </c>
      <c r="K909" s="19"/>
      <c r="L909" s="19"/>
      <c r="M909" s="31" t="e">
        <f>F909*540/4608</f>
        <v>#REF!</v>
      </c>
      <c r="N909" s="19"/>
      <c r="O909" s="19"/>
      <c r="P909" s="19"/>
      <c r="Q909" s="30" t="s">
        <v>18</v>
      </c>
      <c r="R909" s="19"/>
      <c r="S909" s="19" t="s">
        <v>19</v>
      </c>
      <c r="T909" s="32"/>
      <c r="U909" s="19" t="e">
        <f>E909/272*60</f>
        <v>#REF!</v>
      </c>
      <c r="V909" s="19"/>
      <c r="W909" s="32"/>
      <c r="X909" s="19"/>
    </row>
    <row r="910" spans="1:24" s="20" customFormat="1" ht="19.5" thickBot="1" x14ac:dyDescent="0.35">
      <c r="A910" s="26"/>
      <c r="B910" s="138" t="s">
        <v>298</v>
      </c>
      <c r="C910" s="27"/>
      <c r="D910" s="28"/>
      <c r="E910" s="19"/>
      <c r="F910" s="29"/>
      <c r="G910" s="27"/>
      <c r="H910" s="30"/>
      <c r="I910" s="27"/>
      <c r="J910" s="19"/>
      <c r="K910" s="19"/>
      <c r="L910" s="19"/>
      <c r="M910" s="31"/>
      <c r="N910" s="19"/>
      <c r="O910" s="19"/>
      <c r="P910" s="19"/>
      <c r="Q910" s="30"/>
      <c r="R910" s="19"/>
      <c r="S910" s="19"/>
      <c r="T910" s="32"/>
      <c r="U910" s="19"/>
      <c r="V910" s="19"/>
      <c r="W910" s="32"/>
      <c r="X910" s="19"/>
    </row>
    <row r="911" spans="1:24" s="20" customFormat="1" ht="19.5" thickBot="1" x14ac:dyDescent="0.35">
      <c r="A911" s="26"/>
      <c r="B911" s="138" t="s">
        <v>286</v>
      </c>
      <c r="C911" s="27"/>
      <c r="D911" s="28"/>
      <c r="E911" s="19"/>
      <c r="F911" s="29"/>
      <c r="G911" s="27"/>
      <c r="H911" s="30"/>
      <c r="I911" s="27"/>
      <c r="J911" s="19"/>
      <c r="K911" s="19"/>
      <c r="L911" s="19"/>
      <c r="M911" s="31"/>
      <c r="N911" s="19"/>
      <c r="O911" s="19"/>
      <c r="P911" s="19"/>
      <c r="Q911" s="30"/>
      <c r="R911" s="19"/>
      <c r="S911" s="19"/>
      <c r="T911" s="32"/>
      <c r="U911" s="19"/>
      <c r="V911" s="19"/>
      <c r="W911" s="32"/>
      <c r="X911" s="19"/>
    </row>
    <row r="912" spans="1:24" s="20" customFormat="1" ht="19.5" thickBot="1" x14ac:dyDescent="0.35">
      <c r="A912" s="41"/>
      <c r="B912" s="41" t="s">
        <v>84</v>
      </c>
      <c r="C912" s="42" t="e">
        <f>C786</f>
        <v>#REF!</v>
      </c>
      <c r="D912" s="43" t="e">
        <f>C912*10</f>
        <v>#REF!</v>
      </c>
      <c r="E912" s="45" t="e">
        <f>D912*0.25</f>
        <v>#REF!</v>
      </c>
      <c r="F912" s="50" t="e">
        <f t="shared" ref="F912:F918" si="219">E912*1.03*0.72/147</f>
        <v>#REF!</v>
      </c>
      <c r="G912" s="42" t="e">
        <f t="shared" ref="G912:G919" si="220">INT(M912)</f>
        <v>#REF!</v>
      </c>
      <c r="H912" s="45" t="s">
        <v>18</v>
      </c>
      <c r="I912" s="42" t="e">
        <f t="shared" ref="I912:I919" si="221">(M912-G912)*64</f>
        <v>#REF!</v>
      </c>
      <c r="J912" s="40" t="s">
        <v>19</v>
      </c>
      <c r="K912" s="40"/>
      <c r="L912" s="40"/>
      <c r="M912" s="46" t="e">
        <f>(F912*7177/3456)</f>
        <v>#REF!</v>
      </c>
      <c r="N912" s="40"/>
      <c r="O912" s="40"/>
      <c r="P912" s="40"/>
      <c r="Q912" s="14" t="s">
        <v>18</v>
      </c>
      <c r="R912" s="40"/>
      <c r="S912" s="40" t="s">
        <v>19</v>
      </c>
      <c r="T912" s="47"/>
      <c r="U912" s="40" t="e">
        <f t="shared" ref="U912:U918" si="222">E912/259*60</f>
        <v>#REF!</v>
      </c>
      <c r="V912" s="40"/>
      <c r="W912" s="47"/>
      <c r="X912" s="40"/>
    </row>
    <row r="913" spans="1:24" s="20" customFormat="1" ht="19.5" thickBot="1" x14ac:dyDescent="0.35">
      <c r="A913" s="41"/>
      <c r="B913" s="41" t="s">
        <v>83</v>
      </c>
      <c r="C913" s="42" t="e">
        <f>C787</f>
        <v>#REF!</v>
      </c>
      <c r="D913" s="43" t="e">
        <f>C913*10</f>
        <v>#REF!</v>
      </c>
      <c r="E913" s="45" t="e">
        <f>D913*0.25</f>
        <v>#REF!</v>
      </c>
      <c r="F913" s="50" t="e">
        <f t="shared" si="219"/>
        <v>#REF!</v>
      </c>
      <c r="G913" s="42" t="e">
        <f t="shared" si="220"/>
        <v>#REF!</v>
      </c>
      <c r="H913" s="45" t="s">
        <v>18</v>
      </c>
      <c r="I913" s="42" t="e">
        <f t="shared" si="221"/>
        <v>#REF!</v>
      </c>
      <c r="J913" s="40" t="s">
        <v>19</v>
      </c>
      <c r="K913" s="40"/>
      <c r="L913" s="40"/>
      <c r="M913" s="46" t="e">
        <f>(F913*8448/3456)</f>
        <v>#REF!</v>
      </c>
      <c r="N913" s="40"/>
      <c r="O913" s="40"/>
      <c r="P913" s="40"/>
      <c r="Q913" s="14" t="s">
        <v>18</v>
      </c>
      <c r="R913" s="40"/>
      <c r="S913" s="40" t="s">
        <v>19</v>
      </c>
      <c r="T913" s="47"/>
      <c r="U913" s="40" t="e">
        <f t="shared" si="222"/>
        <v>#REF!</v>
      </c>
      <c r="V913" s="40"/>
      <c r="W913" s="47"/>
      <c r="X913" s="40"/>
    </row>
    <row r="914" spans="1:24" s="20" customFormat="1" ht="19.5" thickBot="1" x14ac:dyDescent="0.35">
      <c r="A914" s="41"/>
      <c r="B914" s="41" t="s">
        <v>87</v>
      </c>
      <c r="C914" s="42" t="e">
        <f>C788</f>
        <v>#REF!</v>
      </c>
      <c r="D914" s="43" t="e">
        <f>C914*10</f>
        <v>#REF!</v>
      </c>
      <c r="E914" s="45" t="e">
        <f>D914*0.25</f>
        <v>#REF!</v>
      </c>
      <c r="F914" s="50" t="e">
        <f t="shared" si="219"/>
        <v>#REF!</v>
      </c>
      <c r="G914" s="42" t="e">
        <f t="shared" si="220"/>
        <v>#REF!</v>
      </c>
      <c r="H914" s="45" t="s">
        <v>18</v>
      </c>
      <c r="I914" s="42" t="e">
        <f t="shared" si="221"/>
        <v>#REF!</v>
      </c>
      <c r="J914" s="40" t="s">
        <v>19</v>
      </c>
      <c r="K914" s="40"/>
      <c r="L914" s="40"/>
      <c r="M914" s="46" t="e">
        <f>(F914*8448/3456)</f>
        <v>#REF!</v>
      </c>
      <c r="N914" s="40"/>
      <c r="O914" s="40"/>
      <c r="P914" s="40"/>
      <c r="Q914" s="14" t="s">
        <v>18</v>
      </c>
      <c r="R914" s="40"/>
      <c r="S914" s="40" t="s">
        <v>19</v>
      </c>
      <c r="T914" s="47"/>
      <c r="U914" s="40" t="e">
        <f t="shared" si="222"/>
        <v>#REF!</v>
      </c>
      <c r="V914" s="40"/>
      <c r="W914" s="47"/>
      <c r="X914" s="40"/>
    </row>
    <row r="915" spans="1:24" s="20" customFormat="1" ht="38.25" thickBot="1" x14ac:dyDescent="0.35">
      <c r="A915" s="41"/>
      <c r="B915" s="41" t="s">
        <v>284</v>
      </c>
      <c r="C915" s="42" t="e">
        <f>C789</f>
        <v>#REF!</v>
      </c>
      <c r="D915" s="43" t="e">
        <f>C915*10</f>
        <v>#REF!</v>
      </c>
      <c r="E915" s="45" t="e">
        <f>D915*0.25</f>
        <v>#REF!</v>
      </c>
      <c r="F915" s="50" t="e">
        <f t="shared" si="219"/>
        <v>#REF!</v>
      </c>
      <c r="G915" s="42" t="e">
        <f t="shared" si="220"/>
        <v>#REF!</v>
      </c>
      <c r="H915" s="45" t="s">
        <v>18</v>
      </c>
      <c r="I915" s="42" t="e">
        <f t="shared" si="221"/>
        <v>#REF!</v>
      </c>
      <c r="J915" s="40" t="s">
        <v>19</v>
      </c>
      <c r="K915" s="40"/>
      <c r="L915" s="40"/>
      <c r="M915" s="46" t="e">
        <f>(F915*7177/3456)</f>
        <v>#REF!</v>
      </c>
      <c r="N915" s="40"/>
      <c r="O915" s="40"/>
      <c r="P915" s="40"/>
      <c r="Q915" s="14" t="s">
        <v>18</v>
      </c>
      <c r="R915" s="40"/>
      <c r="S915" s="40" t="s">
        <v>19</v>
      </c>
      <c r="T915" s="47"/>
      <c r="U915" s="40" t="e">
        <f t="shared" si="222"/>
        <v>#REF!</v>
      </c>
      <c r="V915" s="40"/>
      <c r="W915" s="47"/>
      <c r="X915" s="40"/>
    </row>
    <row r="916" spans="1:24" s="20" customFormat="1" ht="19.5" thickBot="1" x14ac:dyDescent="0.35">
      <c r="A916" s="41"/>
      <c r="B916" s="41" t="s">
        <v>89</v>
      </c>
      <c r="C916" s="42" t="e">
        <f>C792</f>
        <v>#REF!</v>
      </c>
      <c r="D916" s="43" t="e">
        <f>C916*144</f>
        <v>#REF!</v>
      </c>
      <c r="E916" s="45" t="e">
        <f>D916*0.025</f>
        <v>#REF!</v>
      </c>
      <c r="F916" s="50" t="e">
        <f t="shared" si="219"/>
        <v>#REF!</v>
      </c>
      <c r="G916" s="42" t="e">
        <f t="shared" si="220"/>
        <v>#REF!</v>
      </c>
      <c r="H916" s="45" t="s">
        <v>18</v>
      </c>
      <c r="I916" s="42" t="e">
        <f t="shared" si="221"/>
        <v>#REF!</v>
      </c>
      <c r="J916" s="40" t="s">
        <v>19</v>
      </c>
      <c r="K916" s="40"/>
      <c r="L916" s="40"/>
      <c r="M916" s="46" t="e">
        <f>(F916*8448/3456)</f>
        <v>#REF!</v>
      </c>
      <c r="N916" s="40"/>
      <c r="O916" s="40"/>
      <c r="P916" s="40"/>
      <c r="Q916" s="14" t="s">
        <v>18</v>
      </c>
      <c r="R916" s="40"/>
      <c r="S916" s="40" t="s">
        <v>19</v>
      </c>
      <c r="T916" s="47"/>
      <c r="U916" s="40" t="e">
        <f t="shared" si="222"/>
        <v>#REF!</v>
      </c>
      <c r="V916" s="40"/>
      <c r="W916" s="47"/>
      <c r="X916" s="40"/>
    </row>
    <row r="917" spans="1:24" s="20" customFormat="1" ht="19.5" thickBot="1" x14ac:dyDescent="0.35">
      <c r="A917" s="41"/>
      <c r="B917" s="41" t="s">
        <v>219</v>
      </c>
      <c r="C917" s="42" t="e">
        <f>C793</f>
        <v>#REF!</v>
      </c>
      <c r="D917" s="43" t="e">
        <f>C917*10</f>
        <v>#REF!</v>
      </c>
      <c r="E917" s="45" t="e">
        <f>D917*0.2</f>
        <v>#REF!</v>
      </c>
      <c r="F917" s="50" t="e">
        <f t="shared" si="219"/>
        <v>#REF!</v>
      </c>
      <c r="G917" s="42" t="e">
        <f t="shared" si="220"/>
        <v>#REF!</v>
      </c>
      <c r="H917" s="45" t="s">
        <v>18</v>
      </c>
      <c r="I917" s="42" t="e">
        <f t="shared" si="221"/>
        <v>#REF!</v>
      </c>
      <c r="J917" s="40" t="s">
        <v>19</v>
      </c>
      <c r="K917" s="40"/>
      <c r="L917" s="40"/>
      <c r="M917" s="46" t="e">
        <f>(F917*8400/3456)</f>
        <v>#REF!</v>
      </c>
      <c r="N917" s="40"/>
      <c r="O917" s="40"/>
      <c r="P917" s="40"/>
      <c r="Q917" s="14" t="s">
        <v>18</v>
      </c>
      <c r="R917" s="40"/>
      <c r="S917" s="40" t="s">
        <v>19</v>
      </c>
      <c r="T917" s="47"/>
      <c r="U917" s="40" t="e">
        <f t="shared" si="222"/>
        <v>#REF!</v>
      </c>
      <c r="V917" s="40"/>
      <c r="W917" s="47"/>
      <c r="X917" s="40"/>
    </row>
    <row r="918" spans="1:24" s="20" customFormat="1" ht="19.5" thickBot="1" x14ac:dyDescent="0.35">
      <c r="A918" s="41"/>
      <c r="B918" s="41" t="s">
        <v>86</v>
      </c>
      <c r="C918" s="42" t="e">
        <f>C794</f>
        <v>#REF!</v>
      </c>
      <c r="D918" s="43" t="e">
        <f>C918*10</f>
        <v>#REF!</v>
      </c>
      <c r="E918" s="45" t="e">
        <f>D918*0.2</f>
        <v>#REF!</v>
      </c>
      <c r="F918" s="50" t="e">
        <f t="shared" si="219"/>
        <v>#REF!</v>
      </c>
      <c r="G918" s="42" t="e">
        <f t="shared" si="220"/>
        <v>#REF!</v>
      </c>
      <c r="H918" s="45" t="s">
        <v>18</v>
      </c>
      <c r="I918" s="42" t="e">
        <f t="shared" si="221"/>
        <v>#REF!</v>
      </c>
      <c r="J918" s="40" t="s">
        <v>19</v>
      </c>
      <c r="K918" s="40"/>
      <c r="L918" s="40"/>
      <c r="M918" s="46" t="e">
        <f>(F918*8400/3456)</f>
        <v>#REF!</v>
      </c>
      <c r="N918" s="40"/>
      <c r="O918" s="40"/>
      <c r="P918" s="40"/>
      <c r="Q918" s="14" t="s">
        <v>18</v>
      </c>
      <c r="R918" s="40"/>
      <c r="S918" s="40" t="s">
        <v>19</v>
      </c>
      <c r="T918" s="47"/>
      <c r="U918" s="40" t="e">
        <f t="shared" si="222"/>
        <v>#REF!</v>
      </c>
      <c r="V918" s="40"/>
      <c r="W918" s="47"/>
      <c r="X918" s="40"/>
    </row>
    <row r="919" spans="1:24" s="20" customFormat="1" ht="19.5" thickBot="1" x14ac:dyDescent="0.35">
      <c r="A919" s="41"/>
      <c r="B919" s="41" t="s">
        <v>98</v>
      </c>
      <c r="C919" s="42" t="e">
        <f>C795</f>
        <v>#REF!</v>
      </c>
      <c r="D919" s="43" t="e">
        <f>C919*10</f>
        <v>#REF!</v>
      </c>
      <c r="E919" s="40" t="e">
        <f>D919*0.2</f>
        <v>#REF!</v>
      </c>
      <c r="F919" s="50" t="e">
        <f>E919*1.03*0.8/147</f>
        <v>#REF!</v>
      </c>
      <c r="G919" s="42" t="e">
        <f t="shared" si="220"/>
        <v>#REF!</v>
      </c>
      <c r="H919" s="45" t="s">
        <v>18</v>
      </c>
      <c r="I919" s="42" t="e">
        <f t="shared" si="221"/>
        <v>#REF!</v>
      </c>
      <c r="J919" s="40" t="s">
        <v>19</v>
      </c>
      <c r="K919" s="40"/>
      <c r="L919" s="40"/>
      <c r="M919" s="46" t="e">
        <f>(F919*9483)/3456</f>
        <v>#REF!</v>
      </c>
      <c r="N919" s="40"/>
      <c r="O919" s="40"/>
      <c r="P919" s="40"/>
      <c r="Q919" s="14" t="s">
        <v>18</v>
      </c>
      <c r="R919" s="40"/>
      <c r="S919" s="40" t="s">
        <v>19</v>
      </c>
      <c r="T919" s="47"/>
      <c r="U919" s="40" t="e">
        <f>E919/220*60</f>
        <v>#REF!</v>
      </c>
      <c r="V919" s="40"/>
      <c r="W919" s="47"/>
      <c r="X919" s="40"/>
    </row>
    <row r="920" spans="1:24" s="20" customFormat="1" ht="19.5" thickBot="1" x14ac:dyDescent="0.35">
      <c r="A920" s="26"/>
      <c r="B920" s="138" t="s">
        <v>299</v>
      </c>
      <c r="C920" s="27"/>
      <c r="D920" s="28"/>
      <c r="E920" s="19"/>
      <c r="F920" s="29"/>
      <c r="G920" s="27"/>
      <c r="H920" s="30"/>
      <c r="I920" s="27"/>
      <c r="J920" s="19"/>
      <c r="K920" s="19"/>
      <c r="L920" s="19"/>
      <c r="M920" s="31"/>
      <c r="N920" s="19"/>
      <c r="O920" s="19"/>
      <c r="P920" s="19"/>
      <c r="Q920" s="30"/>
      <c r="R920" s="19"/>
      <c r="S920" s="19"/>
      <c r="T920" s="32"/>
      <c r="U920" s="19"/>
      <c r="V920" s="19"/>
      <c r="W920" s="32"/>
      <c r="X920" s="19"/>
    </row>
    <row r="921" spans="1:24" s="20" customFormat="1" ht="19.5" thickBot="1" x14ac:dyDescent="0.35">
      <c r="A921" s="41"/>
      <c r="B921" s="41" t="s">
        <v>99</v>
      </c>
      <c r="C921" s="42" t="e">
        <f>C797</f>
        <v>#REF!</v>
      </c>
      <c r="D921" s="43"/>
      <c r="E921" s="45" t="e">
        <f>C921*4</f>
        <v>#REF!</v>
      </c>
      <c r="F921" s="50" t="e">
        <f>E921*1.03*0.8/147</f>
        <v>#REF!</v>
      </c>
      <c r="G921" s="42" t="e">
        <f>INT(M921)</f>
        <v>#REF!</v>
      </c>
      <c r="H921" s="45" t="s">
        <v>18</v>
      </c>
      <c r="I921" s="42" t="e">
        <f>(M921-G921)*64</f>
        <v>#REF!</v>
      </c>
      <c r="J921" s="40" t="s">
        <v>19</v>
      </c>
      <c r="K921" s="40"/>
      <c r="L921" s="40"/>
      <c r="M921" s="46" t="e">
        <f>(F921*5444/3456)</f>
        <v>#REF!</v>
      </c>
      <c r="N921" s="40"/>
      <c r="O921" s="40"/>
      <c r="P921" s="40"/>
      <c r="Q921" s="14" t="s">
        <v>18</v>
      </c>
      <c r="R921" s="40"/>
      <c r="S921" s="40" t="s">
        <v>19</v>
      </c>
      <c r="T921" s="47"/>
      <c r="U921" s="40" t="e">
        <f>E921/324*60</f>
        <v>#REF!</v>
      </c>
      <c r="V921" s="40"/>
      <c r="W921" s="47"/>
      <c r="X921" s="40"/>
    </row>
    <row r="922" spans="1:24" s="20" customFormat="1" ht="19.5" thickBot="1" x14ac:dyDescent="0.35">
      <c r="A922" s="41"/>
      <c r="B922" s="41" t="s">
        <v>222</v>
      </c>
      <c r="C922" s="42" t="e">
        <f>C802</f>
        <v>#REF!</v>
      </c>
      <c r="D922" s="43"/>
      <c r="E922" s="45" t="e">
        <f>C922*4</f>
        <v>#REF!</v>
      </c>
      <c r="F922" s="50" t="e">
        <f>E922*1.03*0.72/147</f>
        <v>#REF!</v>
      </c>
      <c r="G922" s="42" t="e">
        <f>INT(M922)</f>
        <v>#REF!</v>
      </c>
      <c r="H922" s="45" t="s">
        <v>18</v>
      </c>
      <c r="I922" s="42" t="e">
        <f>(M922-G922)*64</f>
        <v>#REF!</v>
      </c>
      <c r="J922" s="40" t="s">
        <v>19</v>
      </c>
      <c r="K922" s="40"/>
      <c r="L922" s="40"/>
      <c r="M922" s="46" t="e">
        <f>(F922*6049/3456)</f>
        <v>#REF!</v>
      </c>
      <c r="N922" s="40"/>
      <c r="O922" s="40"/>
      <c r="P922" s="40"/>
      <c r="Q922" s="14" t="s">
        <v>18</v>
      </c>
      <c r="R922" s="40"/>
      <c r="S922" s="40" t="s">
        <v>19</v>
      </c>
      <c r="T922" s="47"/>
      <c r="U922" s="40" t="e">
        <f>E922/324*60</f>
        <v>#REF!</v>
      </c>
      <c r="V922" s="40"/>
      <c r="W922" s="47"/>
      <c r="X922" s="40"/>
    </row>
    <row r="923" spans="1:24" s="20" customFormat="1" ht="19.5" thickBot="1" x14ac:dyDescent="0.35">
      <c r="A923" s="26"/>
      <c r="B923" s="26" t="s">
        <v>82</v>
      </c>
      <c r="C923" s="27" t="e">
        <f>C808</f>
        <v>#REF!</v>
      </c>
      <c r="D923" s="28"/>
      <c r="E923" s="30" t="e">
        <f>C923*4</f>
        <v>#REF!</v>
      </c>
      <c r="F923" s="36" t="e">
        <f>E923*1.03*0.72/147</f>
        <v>#REF!</v>
      </c>
      <c r="G923" s="27" t="e">
        <f>INT(M923)</f>
        <v>#REF!</v>
      </c>
      <c r="H923" s="30" t="s">
        <v>18</v>
      </c>
      <c r="I923" s="27" t="e">
        <f>(M923-G923)*64</f>
        <v>#REF!</v>
      </c>
      <c r="J923" s="19" t="s">
        <v>19</v>
      </c>
      <c r="K923" s="19"/>
      <c r="L923" s="19"/>
      <c r="M923" s="31" t="e">
        <f>(F923*6049/3456)</f>
        <v>#REF!</v>
      </c>
      <c r="N923" s="19"/>
      <c r="O923" s="19"/>
      <c r="P923" s="19"/>
      <c r="Q923" s="35" t="s">
        <v>18</v>
      </c>
      <c r="R923" s="19"/>
      <c r="S923" s="19" t="s">
        <v>19</v>
      </c>
      <c r="T923" s="32"/>
      <c r="U923" s="19" t="e">
        <f>E923/324*60</f>
        <v>#REF!</v>
      </c>
      <c r="V923" s="19"/>
      <c r="W923" s="32"/>
      <c r="X923" s="19"/>
    </row>
    <row r="924" spans="1:24" s="20" customFormat="1" ht="19.5" thickBot="1" x14ac:dyDescent="0.35">
      <c r="A924" s="26"/>
      <c r="B924" s="26" t="s">
        <v>92</v>
      </c>
      <c r="C924" s="27" t="e">
        <f>C810</f>
        <v>#REF!</v>
      </c>
      <c r="D924" s="28"/>
      <c r="E924" s="30" t="e">
        <f>C924*4</f>
        <v>#REF!</v>
      </c>
      <c r="F924" s="36" t="e">
        <f>E924*1.03*0.8/147</f>
        <v>#REF!</v>
      </c>
      <c r="G924" s="27" t="e">
        <f>INT(M924)</f>
        <v>#REF!</v>
      </c>
      <c r="H924" s="30" t="s">
        <v>18</v>
      </c>
      <c r="I924" s="27" t="e">
        <f>(M924-G924)*64</f>
        <v>#REF!</v>
      </c>
      <c r="J924" s="19" t="s">
        <v>19</v>
      </c>
      <c r="K924" s="19"/>
      <c r="L924" s="19"/>
      <c r="M924" s="31" t="e">
        <f>(F924*5444/3456)</f>
        <v>#REF!</v>
      </c>
      <c r="N924" s="19"/>
      <c r="O924" s="19"/>
      <c r="P924" s="19"/>
      <c r="Q924" s="35" t="s">
        <v>18</v>
      </c>
      <c r="R924" s="19"/>
      <c r="S924" s="19" t="s">
        <v>19</v>
      </c>
      <c r="T924" s="32"/>
      <c r="U924" s="19" t="e">
        <f>E924/324*60</f>
        <v>#REF!</v>
      </c>
      <c r="V924" s="19"/>
      <c r="W924" s="32"/>
      <c r="X924" s="19"/>
    </row>
    <row r="925" spans="1:24" s="20" customFormat="1" ht="19.5" thickBot="1" x14ac:dyDescent="0.35">
      <c r="A925" s="26"/>
      <c r="B925" s="26" t="s">
        <v>108</v>
      </c>
      <c r="C925" s="27" t="e">
        <f>C888+C862</f>
        <v>#REF!</v>
      </c>
      <c r="D925" s="28"/>
      <c r="E925" s="30" t="e">
        <f>C925*3</f>
        <v>#REF!</v>
      </c>
      <c r="F925" s="36">
        <v>0</v>
      </c>
      <c r="G925" s="27">
        <v>0</v>
      </c>
      <c r="H925" s="30" t="s">
        <v>18</v>
      </c>
      <c r="I925" s="27">
        <v>0</v>
      </c>
      <c r="J925" s="19" t="s">
        <v>19</v>
      </c>
      <c r="K925" s="19"/>
      <c r="L925" s="19"/>
      <c r="M925" s="31">
        <v>0</v>
      </c>
      <c r="N925" s="19"/>
      <c r="O925" s="19"/>
      <c r="P925" s="19"/>
      <c r="Q925" s="35" t="s">
        <v>18</v>
      </c>
      <c r="R925" s="19"/>
      <c r="S925" s="19" t="s">
        <v>19</v>
      </c>
      <c r="T925" s="32"/>
      <c r="U925" s="19">
        <v>0</v>
      </c>
      <c r="V925" s="19"/>
      <c r="W925" s="32"/>
      <c r="X925" s="19"/>
    </row>
    <row r="926" spans="1:24" s="20" customFormat="1" ht="19.5" thickBot="1" x14ac:dyDescent="0.35">
      <c r="A926" s="26"/>
      <c r="B926" s="26" t="s">
        <v>90</v>
      </c>
      <c r="C926" s="27" t="e">
        <f>C861</f>
        <v>#REF!</v>
      </c>
      <c r="D926" s="28"/>
      <c r="E926" s="30" t="e">
        <f>C926*4</f>
        <v>#REF!</v>
      </c>
      <c r="F926" s="36">
        <v>0</v>
      </c>
      <c r="G926" s="27">
        <v>0</v>
      </c>
      <c r="H926" s="30" t="s">
        <v>18</v>
      </c>
      <c r="I926" s="27">
        <v>0</v>
      </c>
      <c r="J926" s="19" t="s">
        <v>19</v>
      </c>
      <c r="K926" s="19"/>
      <c r="L926" s="19"/>
      <c r="M926" s="31">
        <v>0</v>
      </c>
      <c r="N926" s="19"/>
      <c r="O926" s="19"/>
      <c r="P926" s="19"/>
      <c r="Q926" s="35" t="s">
        <v>18</v>
      </c>
      <c r="R926" s="19"/>
      <c r="S926" s="19" t="s">
        <v>19</v>
      </c>
      <c r="T926" s="32"/>
      <c r="U926" s="19">
        <v>0</v>
      </c>
      <c r="V926" s="19"/>
      <c r="W926" s="32"/>
      <c r="X926" s="19"/>
    </row>
    <row r="927" spans="1:24" s="20" customFormat="1" ht="19.5" thickBot="1" x14ac:dyDescent="0.35">
      <c r="A927" s="26"/>
      <c r="B927" s="26" t="s">
        <v>116</v>
      </c>
      <c r="C927" s="27" t="e">
        <f>C860</f>
        <v>#REF!</v>
      </c>
      <c r="D927" s="28"/>
      <c r="E927" s="30" t="e">
        <f>C927*4</f>
        <v>#REF!</v>
      </c>
      <c r="F927" s="36">
        <v>0</v>
      </c>
      <c r="G927" s="27">
        <v>0</v>
      </c>
      <c r="H927" s="30" t="s">
        <v>18</v>
      </c>
      <c r="I927" s="27">
        <v>0</v>
      </c>
      <c r="J927" s="19" t="s">
        <v>19</v>
      </c>
      <c r="K927" s="19"/>
      <c r="L927" s="19"/>
      <c r="M927" s="31">
        <v>0</v>
      </c>
      <c r="N927" s="19"/>
      <c r="O927" s="19"/>
      <c r="P927" s="19"/>
      <c r="Q927" s="35" t="s">
        <v>18</v>
      </c>
      <c r="R927" s="19"/>
      <c r="S927" s="19" t="s">
        <v>19</v>
      </c>
      <c r="T927" s="32"/>
      <c r="U927" s="19">
        <v>0</v>
      </c>
      <c r="V927" s="19"/>
      <c r="W927" s="32"/>
      <c r="X927" s="19"/>
    </row>
    <row r="928" spans="1:24" s="20" customFormat="1" ht="19.5" thickBot="1" x14ac:dyDescent="0.35">
      <c r="A928" s="26"/>
      <c r="B928" s="26" t="s">
        <v>100</v>
      </c>
      <c r="C928" s="27" t="e">
        <f>C884+C854</f>
        <v>#REF!</v>
      </c>
      <c r="D928" s="28"/>
      <c r="E928" s="30" t="e">
        <f>C928*4</f>
        <v>#REF!</v>
      </c>
      <c r="F928" s="36">
        <v>0</v>
      </c>
      <c r="G928" s="27">
        <v>0</v>
      </c>
      <c r="H928" s="30" t="s">
        <v>18</v>
      </c>
      <c r="I928" s="27">
        <v>0</v>
      </c>
      <c r="J928" s="19" t="s">
        <v>19</v>
      </c>
      <c r="K928" s="19"/>
      <c r="L928" s="19"/>
      <c r="M928" s="31">
        <v>0</v>
      </c>
      <c r="N928" s="19"/>
      <c r="O928" s="19"/>
      <c r="P928" s="19"/>
      <c r="Q928" s="35" t="s">
        <v>18</v>
      </c>
      <c r="R928" s="19"/>
      <c r="S928" s="19" t="s">
        <v>19</v>
      </c>
      <c r="T928" s="32"/>
      <c r="U928" s="19">
        <v>0</v>
      </c>
      <c r="V928" s="19"/>
      <c r="W928" s="32"/>
      <c r="X928" s="19"/>
    </row>
    <row r="929" spans="1:24" s="20" customFormat="1" ht="19.5" thickBot="1" x14ac:dyDescent="0.35">
      <c r="A929" s="26"/>
      <c r="B929" s="68" t="s">
        <v>310</v>
      </c>
      <c r="C929" s="27"/>
      <c r="D929" s="28"/>
      <c r="E929" s="69" t="e">
        <f>E928+E927+E926+E925+E924+E923+E922+E921+E919+E918+E916+E917+E915+E914+E913+E912</f>
        <v>#REF!</v>
      </c>
      <c r="F929" s="36"/>
      <c r="G929" s="27"/>
      <c r="H929" s="30"/>
      <c r="I929" s="27"/>
      <c r="J929" s="19"/>
      <c r="K929" s="19"/>
      <c r="L929" s="19"/>
      <c r="M929" s="31"/>
      <c r="N929" s="19"/>
      <c r="O929" s="19"/>
      <c r="P929" s="19"/>
      <c r="Q929" s="35"/>
      <c r="R929" s="19"/>
      <c r="S929" s="19"/>
      <c r="T929" s="32"/>
      <c r="U929" s="19"/>
      <c r="V929" s="19"/>
      <c r="W929" s="32"/>
      <c r="X929" s="19"/>
    </row>
    <row r="930" spans="1:24" s="20" customFormat="1" ht="19.5" thickBot="1" x14ac:dyDescent="0.35">
      <c r="A930" s="26"/>
      <c r="B930" s="68" t="s">
        <v>311</v>
      </c>
      <c r="C930" s="27"/>
      <c r="D930" s="28"/>
      <c r="E930" s="69" t="e">
        <f>E909+E908+E907+E905+E904+E903+E902+E901+E900+E899+E898+E897+E896+E895+E894+E893+E892</f>
        <v>#REF!</v>
      </c>
      <c r="F930" s="36"/>
      <c r="G930" s="27"/>
      <c r="H930" s="30"/>
      <c r="I930" s="27"/>
      <c r="J930" s="19"/>
      <c r="K930" s="19"/>
      <c r="L930" s="19"/>
      <c r="M930" s="31"/>
      <c r="N930" s="19"/>
      <c r="O930" s="19"/>
      <c r="P930" s="19"/>
      <c r="Q930" s="35"/>
      <c r="R930" s="19"/>
      <c r="S930" s="19"/>
      <c r="T930" s="32"/>
      <c r="U930" s="19"/>
      <c r="V930" s="19"/>
      <c r="W930" s="32"/>
      <c r="X930" s="19"/>
    </row>
    <row r="931" spans="1:24" s="20" customFormat="1" ht="19.5" thickBot="1" x14ac:dyDescent="0.35">
      <c r="A931" s="67"/>
      <c r="B931" s="920" t="s">
        <v>140</v>
      </c>
      <c r="C931" s="920"/>
      <c r="D931" s="920"/>
      <c r="E931" s="920"/>
      <c r="F931" s="920"/>
      <c r="G931" s="920"/>
      <c r="H931" s="920"/>
      <c r="I931" s="920"/>
      <c r="J931" s="920"/>
      <c r="K931" s="920"/>
      <c r="L931" s="920"/>
      <c r="M931" s="920"/>
      <c r="N931" s="920"/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</row>
    <row r="932" spans="1:24" s="20" customFormat="1" ht="19.5" thickBot="1" x14ac:dyDescent="0.35">
      <c r="A932" s="71"/>
      <c r="B932" s="137" t="s">
        <v>294</v>
      </c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</row>
    <row r="933" spans="1:24" s="20" customFormat="1" ht="19.5" thickBot="1" x14ac:dyDescent="0.35">
      <c r="A933" s="26"/>
      <c r="B933" s="26" t="s">
        <v>248</v>
      </c>
      <c r="C933" s="27">
        <f t="shared" ref="C933:C943" si="223">C696/2</f>
        <v>0</v>
      </c>
      <c r="D933" s="28"/>
      <c r="E933" s="19">
        <f>C933*4</f>
        <v>0</v>
      </c>
      <c r="F933" s="29">
        <f>E933*0.8*1.03/22</f>
        <v>0</v>
      </c>
      <c r="G933" s="27">
        <f t="shared" ref="G933:G943" si="224">INT(M933)</f>
        <v>0</v>
      </c>
      <c r="H933" s="30" t="s">
        <v>18</v>
      </c>
      <c r="I933" s="27">
        <f t="shared" ref="I933:I943" si="225">(M933-G933)*64</f>
        <v>0</v>
      </c>
      <c r="J933" s="19" t="s">
        <v>19</v>
      </c>
      <c r="K933" s="19"/>
      <c r="L933" s="19"/>
      <c r="M933" s="31">
        <f>F933*784/6272</f>
        <v>0</v>
      </c>
      <c r="N933" s="19"/>
      <c r="O933" s="19"/>
      <c r="P933" s="19"/>
      <c r="Q933" s="30" t="s">
        <v>18</v>
      </c>
      <c r="R933" s="19"/>
      <c r="S933" s="19" t="s">
        <v>19</v>
      </c>
      <c r="T933" s="32"/>
      <c r="U933" s="19">
        <f t="shared" ref="U933:U939" si="226">E933/272*60</f>
        <v>0</v>
      </c>
      <c r="V933" s="19"/>
      <c r="W933" s="32"/>
      <c r="X933" s="19"/>
    </row>
    <row r="934" spans="1:24" s="20" customFormat="1" ht="38.25" thickBot="1" x14ac:dyDescent="0.35">
      <c r="A934" s="26"/>
      <c r="B934" s="26" t="s">
        <v>249</v>
      </c>
      <c r="C934" s="27">
        <f t="shared" si="223"/>
        <v>0</v>
      </c>
      <c r="D934" s="28"/>
      <c r="E934" s="19">
        <f>C934*4</f>
        <v>0</v>
      </c>
      <c r="F934" s="29">
        <f>E934*0.8*1.03/22</f>
        <v>0</v>
      </c>
      <c r="G934" s="27">
        <f t="shared" si="224"/>
        <v>0</v>
      </c>
      <c r="H934" s="30" t="s">
        <v>18</v>
      </c>
      <c r="I934" s="27">
        <f t="shared" si="225"/>
        <v>0</v>
      </c>
      <c r="J934" s="19" t="s">
        <v>19</v>
      </c>
      <c r="K934" s="19"/>
      <c r="L934" s="19"/>
      <c r="M934" s="31">
        <f>F934*784/6272</f>
        <v>0</v>
      </c>
      <c r="N934" s="19"/>
      <c r="O934" s="19"/>
      <c r="P934" s="19"/>
      <c r="Q934" s="30" t="s">
        <v>18</v>
      </c>
      <c r="R934" s="19"/>
      <c r="S934" s="19" t="s">
        <v>19</v>
      </c>
      <c r="T934" s="32"/>
      <c r="U934" s="19">
        <f t="shared" si="226"/>
        <v>0</v>
      </c>
      <c r="V934" s="19"/>
      <c r="W934" s="32"/>
      <c r="X934" s="19"/>
    </row>
    <row r="935" spans="1:24" s="20" customFormat="1" ht="38.25" thickBot="1" x14ac:dyDescent="0.35">
      <c r="A935" s="26"/>
      <c r="B935" s="26" t="s">
        <v>250</v>
      </c>
      <c r="C935" s="27">
        <f t="shared" si="223"/>
        <v>0</v>
      </c>
      <c r="D935" s="28"/>
      <c r="E935" s="19">
        <f>C935*4</f>
        <v>0</v>
      </c>
      <c r="F935" s="29">
        <f>E935*0.8*1.03/22</f>
        <v>0</v>
      </c>
      <c r="G935" s="27">
        <f t="shared" si="224"/>
        <v>0</v>
      </c>
      <c r="H935" s="30" t="s">
        <v>18</v>
      </c>
      <c r="I935" s="27">
        <f t="shared" si="225"/>
        <v>0</v>
      </c>
      <c r="J935" s="19" t="s">
        <v>19</v>
      </c>
      <c r="K935" s="19"/>
      <c r="L935" s="19"/>
      <c r="M935" s="31">
        <f>F935*784/6272</f>
        <v>0</v>
      </c>
      <c r="N935" s="19"/>
      <c r="O935" s="19"/>
      <c r="P935" s="19"/>
      <c r="Q935" s="30" t="s">
        <v>18</v>
      </c>
      <c r="R935" s="19"/>
      <c r="S935" s="19" t="s">
        <v>19</v>
      </c>
      <c r="T935" s="32"/>
      <c r="U935" s="19">
        <f t="shared" si="226"/>
        <v>0</v>
      </c>
      <c r="V935" s="19"/>
      <c r="W935" s="32"/>
      <c r="X935" s="19"/>
    </row>
    <row r="936" spans="1:24" s="20" customFormat="1" ht="19.5" thickBot="1" x14ac:dyDescent="0.35">
      <c r="A936" s="26"/>
      <c r="B936" s="26" t="s">
        <v>25</v>
      </c>
      <c r="C936" s="27">
        <f t="shared" si="223"/>
        <v>0</v>
      </c>
      <c r="D936" s="28"/>
      <c r="E936" s="19">
        <f>C936*2</f>
        <v>0</v>
      </c>
      <c r="F936" s="29">
        <f>E936*0.76*1.03/22</f>
        <v>0</v>
      </c>
      <c r="G936" s="27">
        <f t="shared" si="224"/>
        <v>0</v>
      </c>
      <c r="H936" s="30" t="s">
        <v>18</v>
      </c>
      <c r="I936" s="27">
        <f t="shared" si="225"/>
        <v>0</v>
      </c>
      <c r="J936" s="19" t="s">
        <v>19</v>
      </c>
      <c r="K936" s="19"/>
      <c r="L936" s="19"/>
      <c r="M936" s="31">
        <f>F936*1568/12544</f>
        <v>0</v>
      </c>
      <c r="N936" s="19"/>
      <c r="O936" s="19"/>
      <c r="P936" s="19"/>
      <c r="Q936" s="30" t="s">
        <v>18</v>
      </c>
      <c r="R936" s="19"/>
      <c r="S936" s="19" t="s">
        <v>19</v>
      </c>
      <c r="T936" s="32"/>
      <c r="U936" s="19">
        <f t="shared" si="226"/>
        <v>0</v>
      </c>
      <c r="V936" s="19"/>
      <c r="W936" s="32"/>
      <c r="X936" s="19"/>
    </row>
    <row r="937" spans="1:24" s="20" customFormat="1" ht="19.5" thickBot="1" x14ac:dyDescent="0.35">
      <c r="A937" s="26"/>
      <c r="B937" s="26" t="s">
        <v>30</v>
      </c>
      <c r="C937" s="27">
        <f t="shared" si="223"/>
        <v>0</v>
      </c>
      <c r="D937" s="28"/>
      <c r="E937" s="19">
        <f>C937*2</f>
        <v>0</v>
      </c>
      <c r="F937" s="29">
        <f>E937*0.76*1.03/22</f>
        <v>0</v>
      </c>
      <c r="G937" s="27">
        <f t="shared" si="224"/>
        <v>0</v>
      </c>
      <c r="H937" s="30" t="s">
        <v>18</v>
      </c>
      <c r="I937" s="27">
        <f t="shared" si="225"/>
        <v>0</v>
      </c>
      <c r="J937" s="19" t="s">
        <v>19</v>
      </c>
      <c r="K937" s="19"/>
      <c r="L937" s="19"/>
      <c r="M937" s="31">
        <f>F937*1568/12544</f>
        <v>0</v>
      </c>
      <c r="N937" s="19"/>
      <c r="O937" s="19"/>
      <c r="P937" s="19"/>
      <c r="Q937" s="30" t="s">
        <v>18</v>
      </c>
      <c r="R937" s="19"/>
      <c r="S937" s="19" t="s">
        <v>19</v>
      </c>
      <c r="T937" s="32"/>
      <c r="U937" s="19">
        <f t="shared" si="226"/>
        <v>0</v>
      </c>
      <c r="V937" s="19"/>
      <c r="W937" s="32"/>
      <c r="X937" s="19"/>
    </row>
    <row r="938" spans="1:24" s="20" customFormat="1" ht="19.5" thickBot="1" x14ac:dyDescent="0.35">
      <c r="A938" s="26"/>
      <c r="B938" s="26" t="s">
        <v>22</v>
      </c>
      <c r="C938" s="27">
        <f t="shared" si="223"/>
        <v>0</v>
      </c>
      <c r="D938" s="28"/>
      <c r="E938" s="19">
        <f>C938*2</f>
        <v>0</v>
      </c>
      <c r="F938" s="29">
        <f>E938*0.76*1.03/22</f>
        <v>0</v>
      </c>
      <c r="G938" s="27">
        <f t="shared" si="224"/>
        <v>0</v>
      </c>
      <c r="H938" s="30" t="s">
        <v>18</v>
      </c>
      <c r="I938" s="27">
        <f t="shared" si="225"/>
        <v>0</v>
      </c>
      <c r="J938" s="19" t="s">
        <v>19</v>
      </c>
      <c r="K938" s="19"/>
      <c r="L938" s="19"/>
      <c r="M938" s="31">
        <f>F938*1568/12544</f>
        <v>0</v>
      </c>
      <c r="N938" s="19"/>
      <c r="O938" s="19"/>
      <c r="P938" s="19"/>
      <c r="Q938" s="30" t="s">
        <v>18</v>
      </c>
      <c r="R938" s="19"/>
      <c r="S938" s="19" t="s">
        <v>19</v>
      </c>
      <c r="T938" s="32"/>
      <c r="U938" s="19">
        <f t="shared" si="226"/>
        <v>0</v>
      </c>
      <c r="V938" s="19"/>
      <c r="W938" s="32"/>
      <c r="X938" s="19"/>
    </row>
    <row r="939" spans="1:24" s="20" customFormat="1" ht="19.5" thickBot="1" x14ac:dyDescent="0.35">
      <c r="A939" s="26"/>
      <c r="B939" s="26" t="s">
        <v>33</v>
      </c>
      <c r="C939" s="27">
        <f t="shared" si="223"/>
        <v>0</v>
      </c>
      <c r="D939" s="28"/>
      <c r="E939" s="19">
        <f>C939*2</f>
        <v>0</v>
      </c>
      <c r="F939" s="29">
        <f>E939*0.76*1.03/22</f>
        <v>0</v>
      </c>
      <c r="G939" s="27">
        <f t="shared" si="224"/>
        <v>0</v>
      </c>
      <c r="H939" s="30" t="s">
        <v>18</v>
      </c>
      <c r="I939" s="27">
        <f t="shared" si="225"/>
        <v>0</v>
      </c>
      <c r="J939" s="19" t="s">
        <v>19</v>
      </c>
      <c r="K939" s="19"/>
      <c r="L939" s="19"/>
      <c r="M939" s="31">
        <f>F939*1568/12544</f>
        <v>0</v>
      </c>
      <c r="N939" s="19"/>
      <c r="O939" s="19"/>
      <c r="P939" s="19"/>
      <c r="Q939" s="30" t="s">
        <v>18</v>
      </c>
      <c r="R939" s="19"/>
      <c r="S939" s="19" t="s">
        <v>19</v>
      </c>
      <c r="T939" s="32"/>
      <c r="U939" s="19">
        <f t="shared" si="226"/>
        <v>0</v>
      </c>
      <c r="V939" s="19"/>
      <c r="W939" s="32"/>
      <c r="X939" s="19"/>
    </row>
    <row r="940" spans="1:24" s="20" customFormat="1" ht="19.5" thickBot="1" x14ac:dyDescent="0.35">
      <c r="A940" s="26"/>
      <c r="B940" s="26" t="s">
        <v>34</v>
      </c>
      <c r="C940" s="27">
        <f t="shared" si="223"/>
        <v>0</v>
      </c>
      <c r="D940" s="28"/>
      <c r="E940" s="19">
        <f>C940*2</f>
        <v>0</v>
      </c>
      <c r="F940" s="29">
        <f>E940*0.76*1.03/22</f>
        <v>0</v>
      </c>
      <c r="G940" s="27">
        <f t="shared" si="224"/>
        <v>0</v>
      </c>
      <c r="H940" s="30" t="s">
        <v>18</v>
      </c>
      <c r="I940" s="27">
        <f t="shared" si="225"/>
        <v>0</v>
      </c>
      <c r="J940" s="19" t="s">
        <v>19</v>
      </c>
      <c r="K940" s="19"/>
      <c r="L940" s="19"/>
      <c r="M940" s="31">
        <f>F940*1568/12544</f>
        <v>0</v>
      </c>
      <c r="N940" s="19"/>
      <c r="O940" s="19"/>
      <c r="P940" s="19"/>
      <c r="Q940" s="30" t="s">
        <v>18</v>
      </c>
      <c r="R940" s="19"/>
      <c r="S940" s="19" t="s">
        <v>19</v>
      </c>
      <c r="T940" s="32"/>
      <c r="U940" s="19">
        <f>E940/259*60</f>
        <v>0</v>
      </c>
      <c r="V940" s="19"/>
      <c r="W940" s="32"/>
      <c r="X940" s="19"/>
    </row>
    <row r="941" spans="1:24" s="20" customFormat="1" ht="19.5" thickBot="1" x14ac:dyDescent="0.35">
      <c r="A941" s="26"/>
      <c r="B941" s="26" t="s">
        <v>27</v>
      </c>
      <c r="C941" s="27">
        <f t="shared" si="223"/>
        <v>0</v>
      </c>
      <c r="D941" s="28">
        <f>C941*12</f>
        <v>0</v>
      </c>
      <c r="E941" s="19">
        <f>D941*0.28</f>
        <v>0</v>
      </c>
      <c r="F941" s="29">
        <f>E941*0.8*1.03/22</f>
        <v>0</v>
      </c>
      <c r="G941" s="27">
        <f t="shared" si="224"/>
        <v>0</v>
      </c>
      <c r="H941" s="30" t="s">
        <v>18</v>
      </c>
      <c r="I941" s="27">
        <f t="shared" si="225"/>
        <v>0</v>
      </c>
      <c r="J941" s="19" t="s">
        <v>19</v>
      </c>
      <c r="K941" s="19"/>
      <c r="L941" s="19"/>
      <c r="M941" s="31">
        <f>F941*784/6272</f>
        <v>0</v>
      </c>
      <c r="N941" s="19"/>
      <c r="O941" s="19"/>
      <c r="P941" s="19"/>
      <c r="Q941" s="30" t="s">
        <v>18</v>
      </c>
      <c r="R941" s="19"/>
      <c r="S941" s="19" t="s">
        <v>19</v>
      </c>
      <c r="T941" s="32"/>
      <c r="U941" s="19">
        <f>E941/272*60</f>
        <v>0</v>
      </c>
      <c r="V941" s="19"/>
      <c r="W941" s="32"/>
      <c r="X941" s="19"/>
    </row>
    <row r="942" spans="1:24" s="20" customFormat="1" ht="19.5" thickBot="1" x14ac:dyDescent="0.35">
      <c r="A942" s="26"/>
      <c r="B942" s="26" t="s">
        <v>29</v>
      </c>
      <c r="C942" s="27">
        <f t="shared" si="223"/>
        <v>0</v>
      </c>
      <c r="D942" s="28">
        <f>C942*12</f>
        <v>0</v>
      </c>
      <c r="E942" s="19">
        <f>D942*0.25</f>
        <v>0</v>
      </c>
      <c r="F942" s="29">
        <f>E942*0.76*1.03/22</f>
        <v>0</v>
      </c>
      <c r="G942" s="27">
        <f t="shared" si="224"/>
        <v>0</v>
      </c>
      <c r="H942" s="30" t="s">
        <v>18</v>
      </c>
      <c r="I942" s="27">
        <f t="shared" si="225"/>
        <v>0</v>
      </c>
      <c r="J942" s="19" t="s">
        <v>19</v>
      </c>
      <c r="K942" s="19"/>
      <c r="L942" s="19"/>
      <c r="M942" s="31">
        <f>F942*1568/12544</f>
        <v>0</v>
      </c>
      <c r="N942" s="19"/>
      <c r="O942" s="19"/>
      <c r="P942" s="19"/>
      <c r="Q942" s="30" t="s">
        <v>18</v>
      </c>
      <c r="R942" s="19"/>
      <c r="S942" s="19" t="s">
        <v>19</v>
      </c>
      <c r="T942" s="32"/>
      <c r="U942" s="19">
        <f>E942/272*60</f>
        <v>0</v>
      </c>
      <c r="V942" s="19"/>
      <c r="W942" s="32"/>
      <c r="X942" s="19"/>
    </row>
    <row r="943" spans="1:24" s="20" customFormat="1" ht="19.5" thickBot="1" x14ac:dyDescent="0.35">
      <c r="A943" s="26"/>
      <c r="B943" s="26" t="s">
        <v>296</v>
      </c>
      <c r="C943" s="27">
        <f t="shared" si="223"/>
        <v>0</v>
      </c>
      <c r="D943" s="28">
        <f>C943*12</f>
        <v>0</v>
      </c>
      <c r="E943" s="19">
        <f>D943*0.25</f>
        <v>0</v>
      </c>
      <c r="F943" s="29">
        <f>E943*0.8*1.01/20</f>
        <v>0</v>
      </c>
      <c r="G943" s="27">
        <f t="shared" si="224"/>
        <v>0</v>
      </c>
      <c r="H943" s="30" t="s">
        <v>18</v>
      </c>
      <c r="I943" s="27">
        <f t="shared" si="225"/>
        <v>0</v>
      </c>
      <c r="J943" s="19" t="s">
        <v>19</v>
      </c>
      <c r="K943" s="19"/>
      <c r="L943" s="19"/>
      <c r="M943" s="31">
        <f>F943*2016/16128</f>
        <v>0</v>
      </c>
      <c r="N943" s="19"/>
      <c r="O943" s="19"/>
      <c r="P943" s="19"/>
      <c r="Q943" s="30" t="s">
        <v>18</v>
      </c>
      <c r="R943" s="19"/>
      <c r="S943" s="19" t="s">
        <v>19</v>
      </c>
      <c r="T943" s="32"/>
      <c r="U943" s="19">
        <f>E943/272*60</f>
        <v>0</v>
      </c>
      <c r="V943" s="19"/>
      <c r="W943" s="32"/>
      <c r="X943" s="19"/>
    </row>
    <row r="944" spans="1:24" s="20" customFormat="1" ht="19.5" thickBot="1" x14ac:dyDescent="0.35">
      <c r="A944" s="26"/>
      <c r="B944" s="26" t="s">
        <v>56</v>
      </c>
      <c r="C944" s="27">
        <f t="shared" ref="C944:C950" si="227">C710/2</f>
        <v>0</v>
      </c>
      <c r="D944" s="28"/>
      <c r="E944" s="19">
        <f>C944*3</f>
        <v>0</v>
      </c>
      <c r="F944" s="29"/>
      <c r="G944" s="27"/>
      <c r="H944" s="30"/>
      <c r="I944" s="27"/>
      <c r="J944" s="19"/>
      <c r="K944" s="19"/>
      <c r="L944" s="19"/>
      <c r="M944" s="31"/>
      <c r="N944" s="19"/>
      <c r="O944" s="19"/>
      <c r="P944" s="19"/>
      <c r="Q944" s="30"/>
      <c r="R944" s="19"/>
      <c r="S944" s="19"/>
      <c r="T944" s="32"/>
      <c r="U944" s="19"/>
      <c r="V944" s="19"/>
      <c r="W944" s="32"/>
      <c r="X944" s="19"/>
    </row>
    <row r="945" spans="1:24" s="20" customFormat="1" ht="19.5" thickBot="1" x14ac:dyDescent="0.35">
      <c r="A945" s="26"/>
      <c r="B945" s="26" t="s">
        <v>57</v>
      </c>
      <c r="C945" s="27">
        <f t="shared" si="227"/>
        <v>0</v>
      </c>
      <c r="D945" s="28"/>
      <c r="E945" s="19">
        <f>C945*3</f>
        <v>0</v>
      </c>
      <c r="F945" s="29"/>
      <c r="G945" s="27"/>
      <c r="H945" s="30"/>
      <c r="I945" s="27"/>
      <c r="J945" s="19"/>
      <c r="K945" s="19"/>
      <c r="L945" s="19"/>
      <c r="M945" s="31"/>
      <c r="N945" s="19"/>
      <c r="O945" s="19"/>
      <c r="P945" s="19"/>
      <c r="Q945" s="30"/>
      <c r="R945" s="19"/>
      <c r="S945" s="19"/>
      <c r="T945" s="32"/>
      <c r="U945" s="19"/>
      <c r="V945" s="19"/>
      <c r="W945" s="32"/>
      <c r="X945" s="19"/>
    </row>
    <row r="946" spans="1:24" s="20" customFormat="1" ht="19.5" thickBot="1" x14ac:dyDescent="0.35">
      <c r="A946" s="26"/>
      <c r="B946" s="26" t="s">
        <v>58</v>
      </c>
      <c r="C946" s="27">
        <f t="shared" si="227"/>
        <v>0</v>
      </c>
      <c r="D946" s="28"/>
      <c r="E946" s="19">
        <f>C946*3</f>
        <v>0</v>
      </c>
      <c r="F946" s="29"/>
      <c r="G946" s="27"/>
      <c r="H946" s="30"/>
      <c r="I946" s="27"/>
      <c r="J946" s="19"/>
      <c r="K946" s="19"/>
      <c r="L946" s="19"/>
      <c r="M946" s="31"/>
      <c r="N946" s="19"/>
      <c r="O946" s="19"/>
      <c r="P946" s="19"/>
      <c r="Q946" s="30"/>
      <c r="R946" s="19"/>
      <c r="S946" s="19"/>
      <c r="T946" s="32"/>
      <c r="U946" s="19"/>
      <c r="V946" s="19"/>
      <c r="W946" s="32"/>
      <c r="X946" s="19"/>
    </row>
    <row r="947" spans="1:24" s="20" customFormat="1" ht="19.5" thickBot="1" x14ac:dyDescent="0.35">
      <c r="A947" s="26"/>
      <c r="B947" s="138" t="s">
        <v>295</v>
      </c>
      <c r="C947" s="27">
        <f t="shared" si="227"/>
        <v>0</v>
      </c>
      <c r="D947" s="28"/>
      <c r="E947" s="19"/>
      <c r="F947" s="29"/>
      <c r="G947" s="27"/>
      <c r="H947" s="30"/>
      <c r="I947" s="27"/>
      <c r="J947" s="19"/>
      <c r="K947" s="19"/>
      <c r="L947" s="19"/>
      <c r="M947" s="31"/>
      <c r="N947" s="19"/>
      <c r="O947" s="19"/>
      <c r="P947" s="19"/>
      <c r="Q947" s="30"/>
      <c r="R947" s="19"/>
      <c r="S947" s="19"/>
      <c r="T947" s="32"/>
      <c r="U947" s="19"/>
      <c r="V947" s="19"/>
      <c r="W947" s="32"/>
      <c r="X947" s="19"/>
    </row>
    <row r="948" spans="1:24" s="20" customFormat="1" ht="38.25" thickBot="1" x14ac:dyDescent="0.35">
      <c r="A948" s="26"/>
      <c r="B948" s="26" t="s">
        <v>45</v>
      </c>
      <c r="C948" s="27">
        <f t="shared" si="227"/>
        <v>0</v>
      </c>
      <c r="D948" s="28">
        <f>C948*6*28</f>
        <v>0</v>
      </c>
      <c r="E948" s="19">
        <f>D948*0.04</f>
        <v>0</v>
      </c>
      <c r="F948" s="29">
        <f>E948*0.79*1.25/20</f>
        <v>0</v>
      </c>
      <c r="G948" s="27">
        <f>INT(M948)</f>
        <v>0</v>
      </c>
      <c r="H948" s="30" t="s">
        <v>18</v>
      </c>
      <c r="I948" s="27">
        <f>(M948-G948)*64</f>
        <v>0</v>
      </c>
      <c r="J948" s="19" t="s">
        <v>19</v>
      </c>
      <c r="K948" s="19"/>
      <c r="L948" s="19"/>
      <c r="M948" s="31">
        <f>F948*540/4608</f>
        <v>0</v>
      </c>
      <c r="N948" s="19"/>
      <c r="O948" s="19"/>
      <c r="P948" s="19"/>
      <c r="Q948" s="30" t="s">
        <v>18</v>
      </c>
      <c r="R948" s="19"/>
      <c r="S948" s="19" t="s">
        <v>19</v>
      </c>
      <c r="T948" s="32"/>
      <c r="U948" s="19">
        <f>E948/272*60</f>
        <v>0</v>
      </c>
      <c r="V948" s="19"/>
      <c r="W948" s="32"/>
      <c r="X948" s="19"/>
    </row>
    <row r="949" spans="1:24" s="20" customFormat="1" ht="19.5" thickBot="1" x14ac:dyDescent="0.35">
      <c r="A949" s="26"/>
      <c r="B949" s="26" t="s">
        <v>46</v>
      </c>
      <c r="C949" s="27">
        <f t="shared" si="227"/>
        <v>0</v>
      </c>
      <c r="D949" s="28">
        <f>C949*6*28</f>
        <v>0</v>
      </c>
      <c r="E949" s="19">
        <f>D949*0.04</f>
        <v>0</v>
      </c>
      <c r="F949" s="29">
        <f>E949*0.79*1.25/20</f>
        <v>0</v>
      </c>
      <c r="G949" s="27">
        <f>INT(M949)</f>
        <v>0</v>
      </c>
      <c r="H949" s="30" t="s">
        <v>18</v>
      </c>
      <c r="I949" s="27">
        <f>(M949-G949)*64</f>
        <v>0</v>
      </c>
      <c r="J949" s="19" t="s">
        <v>19</v>
      </c>
      <c r="K949" s="19"/>
      <c r="L949" s="19"/>
      <c r="M949" s="31">
        <f>F949*540/4608</f>
        <v>0</v>
      </c>
      <c r="N949" s="19"/>
      <c r="O949" s="19"/>
      <c r="P949" s="19"/>
      <c r="Q949" s="30" t="s">
        <v>18</v>
      </c>
      <c r="R949" s="19"/>
      <c r="S949" s="19" t="s">
        <v>19</v>
      </c>
      <c r="T949" s="32"/>
      <c r="U949" s="19">
        <f>E949/272*60</f>
        <v>0</v>
      </c>
      <c r="V949" s="19"/>
      <c r="W949" s="32"/>
      <c r="X949" s="19"/>
    </row>
    <row r="950" spans="1:24" s="20" customFormat="1" ht="19.5" thickBot="1" x14ac:dyDescent="0.35">
      <c r="A950" s="26"/>
      <c r="B950" s="26" t="s">
        <v>47</v>
      </c>
      <c r="C950" s="27">
        <f t="shared" si="227"/>
        <v>0</v>
      </c>
      <c r="D950" s="28">
        <f>C950*6*28</f>
        <v>0</v>
      </c>
      <c r="E950" s="19">
        <f>D950*0.04</f>
        <v>0</v>
      </c>
      <c r="F950" s="29">
        <f>E950*0.79*1.25/20</f>
        <v>0</v>
      </c>
      <c r="G950" s="27">
        <f>INT(M950)</f>
        <v>0</v>
      </c>
      <c r="H950" s="30" t="s">
        <v>18</v>
      </c>
      <c r="I950" s="27">
        <f>(M950-G950)*64</f>
        <v>0</v>
      </c>
      <c r="J950" s="19" t="s">
        <v>19</v>
      </c>
      <c r="K950" s="19"/>
      <c r="L950" s="19"/>
      <c r="M950" s="31">
        <f>F950*540/4608</f>
        <v>0</v>
      </c>
      <c r="N950" s="19"/>
      <c r="O950" s="19"/>
      <c r="P950" s="19"/>
      <c r="Q950" s="30" t="s">
        <v>18</v>
      </c>
      <c r="R950" s="19"/>
      <c r="S950" s="19" t="s">
        <v>19</v>
      </c>
      <c r="T950" s="32"/>
      <c r="U950" s="19">
        <f>E950/272*60</f>
        <v>0</v>
      </c>
      <c r="V950" s="19"/>
      <c r="W950" s="32"/>
      <c r="X950" s="19"/>
    </row>
    <row r="951" spans="1:24" s="20" customFormat="1" ht="19.5" thickBot="1" x14ac:dyDescent="0.35">
      <c r="A951" s="26"/>
      <c r="B951" s="138" t="s">
        <v>298</v>
      </c>
      <c r="C951" s="27">
        <f>C724/2</f>
        <v>0</v>
      </c>
      <c r="D951" s="28"/>
      <c r="E951" s="19"/>
      <c r="F951" s="29"/>
      <c r="G951" s="27"/>
      <c r="H951" s="30"/>
      <c r="I951" s="27"/>
      <c r="J951" s="19"/>
      <c r="K951" s="19"/>
      <c r="L951" s="19"/>
      <c r="M951" s="31"/>
      <c r="N951" s="19"/>
      <c r="O951" s="19"/>
      <c r="P951" s="19"/>
      <c r="Q951" s="30"/>
      <c r="R951" s="19"/>
      <c r="S951" s="19"/>
      <c r="T951" s="32"/>
      <c r="U951" s="19"/>
      <c r="V951" s="19"/>
      <c r="W951" s="32"/>
      <c r="X951" s="19"/>
    </row>
    <row r="952" spans="1:24" s="20" customFormat="1" ht="19.5" thickBot="1" x14ac:dyDescent="0.35">
      <c r="A952" s="26"/>
      <c r="B952" s="138" t="s">
        <v>286</v>
      </c>
      <c r="C952" s="27">
        <f>C725/2</f>
        <v>0</v>
      </c>
      <c r="D952" s="28"/>
      <c r="E952" s="19"/>
      <c r="F952" s="29"/>
      <c r="G952" s="27"/>
      <c r="H952" s="30"/>
      <c r="I952" s="27"/>
      <c r="J952" s="19"/>
      <c r="K952" s="19"/>
      <c r="L952" s="19"/>
      <c r="M952" s="31"/>
      <c r="N952" s="19"/>
      <c r="O952" s="19"/>
      <c r="P952" s="19"/>
      <c r="Q952" s="30"/>
      <c r="R952" s="19"/>
      <c r="S952" s="19"/>
      <c r="T952" s="32"/>
      <c r="U952" s="19"/>
      <c r="V952" s="19"/>
      <c r="W952" s="32"/>
      <c r="X952" s="19"/>
    </row>
    <row r="953" spans="1:24" s="20" customFormat="1" ht="19.5" thickBot="1" x14ac:dyDescent="0.35">
      <c r="A953" s="41"/>
      <c r="B953" s="41" t="s">
        <v>84</v>
      </c>
      <c r="C953" s="27" t="e">
        <f>C731/2</f>
        <v>#REF!</v>
      </c>
      <c r="D953" s="43" t="e">
        <f>C953*10</f>
        <v>#REF!</v>
      </c>
      <c r="E953" s="45" t="e">
        <f>D953*0.25</f>
        <v>#REF!</v>
      </c>
      <c r="F953" s="50" t="e">
        <f t="shared" ref="F953:F959" si="228">E953*1.03*0.72/147</f>
        <v>#REF!</v>
      </c>
      <c r="G953" s="42" t="e">
        <f t="shared" ref="G953:G960" si="229">INT(M953)</f>
        <v>#REF!</v>
      </c>
      <c r="H953" s="45" t="s">
        <v>18</v>
      </c>
      <c r="I953" s="42" t="e">
        <f t="shared" ref="I953:I960" si="230">(M953-G953)*64</f>
        <v>#REF!</v>
      </c>
      <c r="J953" s="40" t="s">
        <v>19</v>
      </c>
      <c r="K953" s="40"/>
      <c r="L953" s="40"/>
      <c r="M953" s="46" t="e">
        <f>(F953*7177/3456)</f>
        <v>#REF!</v>
      </c>
      <c r="N953" s="40"/>
      <c r="O953" s="40"/>
      <c r="P953" s="40"/>
      <c r="Q953" s="14" t="s">
        <v>18</v>
      </c>
      <c r="R953" s="40"/>
      <c r="S953" s="40" t="s">
        <v>19</v>
      </c>
      <c r="T953" s="47"/>
      <c r="U953" s="40" t="e">
        <f t="shared" ref="U953:U959" si="231">E953/259*60</f>
        <v>#REF!</v>
      </c>
      <c r="V953" s="40"/>
      <c r="W953" s="47"/>
      <c r="X953" s="40"/>
    </row>
    <row r="954" spans="1:24" s="20" customFormat="1" ht="19.5" thickBot="1" x14ac:dyDescent="0.35">
      <c r="A954" s="41"/>
      <c r="B954" s="41" t="s">
        <v>83</v>
      </c>
      <c r="C954" s="27" t="e">
        <f>C732/2</f>
        <v>#REF!</v>
      </c>
      <c r="D954" s="43" t="e">
        <f>C954*10</f>
        <v>#REF!</v>
      </c>
      <c r="E954" s="45" t="e">
        <f>D954*0.25</f>
        <v>#REF!</v>
      </c>
      <c r="F954" s="50" t="e">
        <f t="shared" si="228"/>
        <v>#REF!</v>
      </c>
      <c r="G954" s="42" t="e">
        <f t="shared" si="229"/>
        <v>#REF!</v>
      </c>
      <c r="H954" s="45" t="s">
        <v>18</v>
      </c>
      <c r="I954" s="42" t="e">
        <f t="shared" si="230"/>
        <v>#REF!</v>
      </c>
      <c r="J954" s="40" t="s">
        <v>19</v>
      </c>
      <c r="K954" s="40"/>
      <c r="L954" s="40"/>
      <c r="M954" s="46" t="e">
        <f>(F954*8448/3456)</f>
        <v>#REF!</v>
      </c>
      <c r="N954" s="40"/>
      <c r="O954" s="40"/>
      <c r="P954" s="40"/>
      <c r="Q954" s="14" t="s">
        <v>18</v>
      </c>
      <c r="R954" s="40"/>
      <c r="S954" s="40" t="s">
        <v>19</v>
      </c>
      <c r="T954" s="47"/>
      <c r="U954" s="40" t="e">
        <f t="shared" si="231"/>
        <v>#REF!</v>
      </c>
      <c r="V954" s="40"/>
      <c r="W954" s="47"/>
      <c r="X954" s="40"/>
    </row>
    <row r="955" spans="1:24" s="20" customFormat="1" ht="19.5" thickBot="1" x14ac:dyDescent="0.35">
      <c r="A955" s="41"/>
      <c r="B955" s="41" t="s">
        <v>87</v>
      </c>
      <c r="C955" s="27" t="e">
        <f>C733/2</f>
        <v>#REF!</v>
      </c>
      <c r="D955" s="43" t="e">
        <f>C955*10</f>
        <v>#REF!</v>
      </c>
      <c r="E955" s="45" t="e">
        <f>D955*0.25</f>
        <v>#REF!</v>
      </c>
      <c r="F955" s="50" t="e">
        <f t="shared" si="228"/>
        <v>#REF!</v>
      </c>
      <c r="G955" s="42" t="e">
        <f t="shared" si="229"/>
        <v>#REF!</v>
      </c>
      <c r="H955" s="45" t="s">
        <v>18</v>
      </c>
      <c r="I955" s="42" t="e">
        <f t="shared" si="230"/>
        <v>#REF!</v>
      </c>
      <c r="J955" s="40" t="s">
        <v>19</v>
      </c>
      <c r="K955" s="40"/>
      <c r="L955" s="40"/>
      <c r="M955" s="46" t="e">
        <f>(F955*8448/3456)</f>
        <v>#REF!</v>
      </c>
      <c r="N955" s="40"/>
      <c r="O955" s="40"/>
      <c r="P955" s="40"/>
      <c r="Q955" s="14" t="s">
        <v>18</v>
      </c>
      <c r="R955" s="40"/>
      <c r="S955" s="40" t="s">
        <v>19</v>
      </c>
      <c r="T955" s="47"/>
      <c r="U955" s="40" t="e">
        <f t="shared" si="231"/>
        <v>#REF!</v>
      </c>
      <c r="V955" s="40"/>
      <c r="W955" s="47"/>
      <c r="X955" s="40"/>
    </row>
    <row r="956" spans="1:24" s="20" customFormat="1" ht="38.25" thickBot="1" x14ac:dyDescent="0.35">
      <c r="A956" s="41"/>
      <c r="B956" s="41" t="s">
        <v>284</v>
      </c>
      <c r="C956" s="27" t="e">
        <f>C734/2</f>
        <v>#REF!</v>
      </c>
      <c r="D956" s="43" t="e">
        <f>C956*10</f>
        <v>#REF!</v>
      </c>
      <c r="E956" s="45" t="e">
        <f>D956*0.25</f>
        <v>#REF!</v>
      </c>
      <c r="F956" s="50" t="e">
        <f t="shared" si="228"/>
        <v>#REF!</v>
      </c>
      <c r="G956" s="42" t="e">
        <f t="shared" si="229"/>
        <v>#REF!</v>
      </c>
      <c r="H956" s="45" t="s">
        <v>18</v>
      </c>
      <c r="I956" s="42" t="e">
        <f t="shared" si="230"/>
        <v>#REF!</v>
      </c>
      <c r="J956" s="40" t="s">
        <v>19</v>
      </c>
      <c r="K956" s="40"/>
      <c r="L956" s="40"/>
      <c r="M956" s="46" t="e">
        <f>(F956*7177/3456)</f>
        <v>#REF!</v>
      </c>
      <c r="N956" s="40"/>
      <c r="O956" s="40"/>
      <c r="P956" s="40"/>
      <c r="Q956" s="14" t="s">
        <v>18</v>
      </c>
      <c r="R956" s="40"/>
      <c r="S956" s="40" t="s">
        <v>19</v>
      </c>
      <c r="T956" s="47"/>
      <c r="U956" s="40" t="e">
        <f t="shared" si="231"/>
        <v>#REF!</v>
      </c>
      <c r="V956" s="40"/>
      <c r="W956" s="47"/>
      <c r="X956" s="40"/>
    </row>
    <row r="957" spans="1:24" s="20" customFormat="1" ht="19.5" thickBot="1" x14ac:dyDescent="0.35">
      <c r="A957" s="41"/>
      <c r="B957" s="41" t="s">
        <v>89</v>
      </c>
      <c r="C957" s="27" t="e">
        <f t="shared" ref="C957:C962" si="232">C737/2</f>
        <v>#REF!</v>
      </c>
      <c r="D957" s="43" t="e">
        <f>C957*144</f>
        <v>#REF!</v>
      </c>
      <c r="E957" s="45" t="e">
        <f>D957*0.025</f>
        <v>#REF!</v>
      </c>
      <c r="F957" s="50" t="e">
        <f t="shared" si="228"/>
        <v>#REF!</v>
      </c>
      <c r="G957" s="42" t="e">
        <f t="shared" si="229"/>
        <v>#REF!</v>
      </c>
      <c r="H957" s="45" t="s">
        <v>18</v>
      </c>
      <c r="I957" s="42" t="e">
        <f t="shared" si="230"/>
        <v>#REF!</v>
      </c>
      <c r="J957" s="40" t="s">
        <v>19</v>
      </c>
      <c r="K957" s="40"/>
      <c r="L957" s="40"/>
      <c r="M957" s="46" t="e">
        <f>(F957*8448/3456)</f>
        <v>#REF!</v>
      </c>
      <c r="N957" s="40"/>
      <c r="O957" s="40"/>
      <c r="P957" s="40"/>
      <c r="Q957" s="14" t="s">
        <v>18</v>
      </c>
      <c r="R957" s="40"/>
      <c r="S957" s="40" t="s">
        <v>19</v>
      </c>
      <c r="T957" s="47"/>
      <c r="U957" s="40" t="e">
        <f t="shared" si="231"/>
        <v>#REF!</v>
      </c>
      <c r="V957" s="40"/>
      <c r="W957" s="47"/>
      <c r="X957" s="40"/>
    </row>
    <row r="958" spans="1:24" s="20" customFormat="1" ht="19.5" thickBot="1" x14ac:dyDescent="0.35">
      <c r="A958" s="41"/>
      <c r="B958" s="41" t="s">
        <v>219</v>
      </c>
      <c r="C958" s="27" t="e">
        <f t="shared" si="232"/>
        <v>#REF!</v>
      </c>
      <c r="D958" s="43" t="e">
        <f>C958*10</f>
        <v>#REF!</v>
      </c>
      <c r="E958" s="45" t="e">
        <f>D958*0.2</f>
        <v>#REF!</v>
      </c>
      <c r="F958" s="50" t="e">
        <f t="shared" si="228"/>
        <v>#REF!</v>
      </c>
      <c r="G958" s="42" t="e">
        <f t="shared" si="229"/>
        <v>#REF!</v>
      </c>
      <c r="H958" s="45" t="s">
        <v>18</v>
      </c>
      <c r="I958" s="42" t="e">
        <f t="shared" si="230"/>
        <v>#REF!</v>
      </c>
      <c r="J958" s="40" t="s">
        <v>19</v>
      </c>
      <c r="K958" s="40"/>
      <c r="L958" s="40"/>
      <c r="M958" s="46" t="e">
        <f>(F958*8400/3456)</f>
        <v>#REF!</v>
      </c>
      <c r="N958" s="40"/>
      <c r="O958" s="40"/>
      <c r="P958" s="40"/>
      <c r="Q958" s="14" t="s">
        <v>18</v>
      </c>
      <c r="R958" s="40"/>
      <c r="S958" s="40" t="s">
        <v>19</v>
      </c>
      <c r="T958" s="47"/>
      <c r="U958" s="40" t="e">
        <f t="shared" si="231"/>
        <v>#REF!</v>
      </c>
      <c r="V958" s="40"/>
      <c r="W958" s="47"/>
      <c r="X958" s="40"/>
    </row>
    <row r="959" spans="1:24" s="20" customFormat="1" ht="19.5" thickBot="1" x14ac:dyDescent="0.35">
      <c r="A959" s="41"/>
      <c r="B959" s="41" t="s">
        <v>86</v>
      </c>
      <c r="C959" s="27" t="e">
        <f t="shared" si="232"/>
        <v>#REF!</v>
      </c>
      <c r="D959" s="43" t="e">
        <f>C959*10</f>
        <v>#REF!</v>
      </c>
      <c r="E959" s="45" t="e">
        <f>D959*0.2</f>
        <v>#REF!</v>
      </c>
      <c r="F959" s="50" t="e">
        <f t="shared" si="228"/>
        <v>#REF!</v>
      </c>
      <c r="G959" s="42" t="e">
        <f t="shared" si="229"/>
        <v>#REF!</v>
      </c>
      <c r="H959" s="45" t="s">
        <v>18</v>
      </c>
      <c r="I959" s="42" t="e">
        <f t="shared" si="230"/>
        <v>#REF!</v>
      </c>
      <c r="J959" s="40" t="s">
        <v>19</v>
      </c>
      <c r="K959" s="40"/>
      <c r="L959" s="40"/>
      <c r="M959" s="46" t="e">
        <f>(F959*8400/3456)</f>
        <v>#REF!</v>
      </c>
      <c r="N959" s="40"/>
      <c r="O959" s="40"/>
      <c r="P959" s="40"/>
      <c r="Q959" s="14" t="s">
        <v>18</v>
      </c>
      <c r="R959" s="40"/>
      <c r="S959" s="40" t="s">
        <v>19</v>
      </c>
      <c r="T959" s="47"/>
      <c r="U959" s="40" t="e">
        <f t="shared" si="231"/>
        <v>#REF!</v>
      </c>
      <c r="V959" s="40"/>
      <c r="W959" s="47"/>
      <c r="X959" s="40"/>
    </row>
    <row r="960" spans="1:24" s="20" customFormat="1" ht="19.5" thickBot="1" x14ac:dyDescent="0.35">
      <c r="A960" s="41"/>
      <c r="B960" s="41" t="s">
        <v>98</v>
      </c>
      <c r="C960" s="27" t="e">
        <f t="shared" si="232"/>
        <v>#REF!</v>
      </c>
      <c r="D960" s="43" t="e">
        <f>C960*10</f>
        <v>#REF!</v>
      </c>
      <c r="E960" s="40" t="e">
        <f>D960*0.2</f>
        <v>#REF!</v>
      </c>
      <c r="F960" s="50" t="e">
        <f>E960*1.03*0.8/147</f>
        <v>#REF!</v>
      </c>
      <c r="G960" s="42" t="e">
        <f t="shared" si="229"/>
        <v>#REF!</v>
      </c>
      <c r="H960" s="45" t="s">
        <v>18</v>
      </c>
      <c r="I960" s="42" t="e">
        <f t="shared" si="230"/>
        <v>#REF!</v>
      </c>
      <c r="J960" s="40" t="s">
        <v>19</v>
      </c>
      <c r="K960" s="40"/>
      <c r="L960" s="40"/>
      <c r="M960" s="46" t="e">
        <f>(F960*9483)/3456</f>
        <v>#REF!</v>
      </c>
      <c r="N960" s="40"/>
      <c r="O960" s="40"/>
      <c r="P960" s="40"/>
      <c r="Q960" s="14" t="s">
        <v>18</v>
      </c>
      <c r="R960" s="40"/>
      <c r="S960" s="40" t="s">
        <v>19</v>
      </c>
      <c r="T960" s="47"/>
      <c r="U960" s="40" t="e">
        <f>E960/220*60</f>
        <v>#REF!</v>
      </c>
      <c r="V960" s="40"/>
      <c r="W960" s="47"/>
      <c r="X960" s="40"/>
    </row>
    <row r="961" spans="1:24" s="20" customFormat="1" ht="19.5" thickBot="1" x14ac:dyDescent="0.35">
      <c r="A961" s="26"/>
      <c r="B961" s="138" t="s">
        <v>299</v>
      </c>
      <c r="C961" s="27">
        <f t="shared" si="232"/>
        <v>0</v>
      </c>
      <c r="D961" s="28"/>
      <c r="E961" s="19"/>
      <c r="F961" s="29"/>
      <c r="G961" s="27"/>
      <c r="H961" s="30"/>
      <c r="I961" s="27"/>
      <c r="J961" s="19"/>
      <c r="K961" s="19"/>
      <c r="L961" s="19"/>
      <c r="M961" s="31"/>
      <c r="N961" s="19"/>
      <c r="O961" s="19"/>
      <c r="P961" s="19"/>
      <c r="Q961" s="30"/>
      <c r="R961" s="19"/>
      <c r="S961" s="19"/>
      <c r="T961" s="32"/>
      <c r="U961" s="19"/>
      <c r="V961" s="19"/>
      <c r="W961" s="32"/>
      <c r="X961" s="19"/>
    </row>
    <row r="962" spans="1:24" s="20" customFormat="1" ht="19.5" thickBot="1" x14ac:dyDescent="0.35">
      <c r="A962" s="41"/>
      <c r="B962" s="41" t="s">
        <v>99</v>
      </c>
      <c r="C962" s="27" t="e">
        <f t="shared" si="232"/>
        <v>#REF!</v>
      </c>
      <c r="D962" s="43"/>
      <c r="E962" s="45" t="e">
        <f>C962*4</f>
        <v>#REF!</v>
      </c>
      <c r="F962" s="50" t="e">
        <f>E962*1.03*0.8/147</f>
        <v>#REF!</v>
      </c>
      <c r="G962" s="42" t="e">
        <f>INT(M962)</f>
        <v>#REF!</v>
      </c>
      <c r="H962" s="45" t="s">
        <v>18</v>
      </c>
      <c r="I962" s="42" t="e">
        <f>(M962-G962)*64</f>
        <v>#REF!</v>
      </c>
      <c r="J962" s="40" t="s">
        <v>19</v>
      </c>
      <c r="K962" s="40"/>
      <c r="L962" s="40"/>
      <c r="M962" s="46" t="e">
        <f>(F962*5444/3456)</f>
        <v>#REF!</v>
      </c>
      <c r="N962" s="40"/>
      <c r="O962" s="40"/>
      <c r="P962" s="40"/>
      <c r="Q962" s="14" t="s">
        <v>18</v>
      </c>
      <c r="R962" s="40"/>
      <c r="S962" s="40" t="s">
        <v>19</v>
      </c>
      <c r="T962" s="47"/>
      <c r="U962" s="40" t="e">
        <f>E962/324*60</f>
        <v>#REF!</v>
      </c>
      <c r="V962" s="40"/>
      <c r="W962" s="47"/>
      <c r="X962" s="40"/>
    </row>
    <row r="963" spans="1:24" s="20" customFormat="1" ht="19.5" thickBot="1" x14ac:dyDescent="0.35">
      <c r="A963" s="41"/>
      <c r="B963" s="41" t="s">
        <v>222</v>
      </c>
      <c r="C963" s="27" t="e">
        <f>C747/2</f>
        <v>#REF!</v>
      </c>
      <c r="D963" s="43"/>
      <c r="E963" s="45" t="e">
        <f>C963*4</f>
        <v>#REF!</v>
      </c>
      <c r="F963" s="50" t="e">
        <f>E963*1.03*0.72/147</f>
        <v>#REF!</v>
      </c>
      <c r="G963" s="42" t="e">
        <f>INT(M963)</f>
        <v>#REF!</v>
      </c>
      <c r="H963" s="45" t="s">
        <v>18</v>
      </c>
      <c r="I963" s="42" t="e">
        <f>(M963-G963)*64</f>
        <v>#REF!</v>
      </c>
      <c r="J963" s="40" t="s">
        <v>19</v>
      </c>
      <c r="K963" s="40"/>
      <c r="L963" s="40"/>
      <c r="M963" s="46" t="e">
        <f>(F963*6049/3456)</f>
        <v>#REF!</v>
      </c>
      <c r="N963" s="40"/>
      <c r="O963" s="40"/>
      <c r="P963" s="40"/>
      <c r="Q963" s="14" t="s">
        <v>18</v>
      </c>
      <c r="R963" s="40"/>
      <c r="S963" s="40" t="s">
        <v>19</v>
      </c>
      <c r="T963" s="47"/>
      <c r="U963" s="40" t="e">
        <f>E963/324*60</f>
        <v>#REF!</v>
      </c>
      <c r="V963" s="40"/>
      <c r="W963" s="47"/>
      <c r="X963" s="40"/>
    </row>
    <row r="964" spans="1:24" s="20" customFormat="1" ht="19.5" thickBot="1" x14ac:dyDescent="0.35">
      <c r="A964" s="26"/>
      <c r="B964" s="26" t="s">
        <v>82</v>
      </c>
      <c r="C964" s="27" t="e">
        <f>C808</f>
        <v>#REF!</v>
      </c>
      <c r="D964" s="28"/>
      <c r="E964" s="30" t="e">
        <f>C964*4</f>
        <v>#REF!</v>
      </c>
      <c r="F964" s="36" t="e">
        <f>E964*1.03*0.72/147</f>
        <v>#REF!</v>
      </c>
      <c r="G964" s="27" t="e">
        <f>INT(M964)</f>
        <v>#REF!</v>
      </c>
      <c r="H964" s="30" t="s">
        <v>18</v>
      </c>
      <c r="I964" s="27" t="e">
        <f>(M964-G964)*64</f>
        <v>#REF!</v>
      </c>
      <c r="J964" s="19" t="s">
        <v>19</v>
      </c>
      <c r="K964" s="19"/>
      <c r="L964" s="19"/>
      <c r="M964" s="31" t="e">
        <f>(F964*6049/3456)</f>
        <v>#REF!</v>
      </c>
      <c r="N964" s="19"/>
      <c r="O964" s="19"/>
      <c r="P964" s="19"/>
      <c r="Q964" s="35" t="s">
        <v>18</v>
      </c>
      <c r="R964" s="19"/>
      <c r="S964" s="19" t="s">
        <v>19</v>
      </c>
      <c r="T964" s="32"/>
      <c r="U964" s="19" t="e">
        <f>E964/324*60</f>
        <v>#REF!</v>
      </c>
      <c r="V964" s="19"/>
      <c r="W964" s="32"/>
      <c r="X964" s="19"/>
    </row>
    <row r="965" spans="1:24" s="20" customFormat="1" ht="19.5" thickBot="1" x14ac:dyDescent="0.35">
      <c r="A965" s="26"/>
      <c r="B965" s="26" t="s">
        <v>92</v>
      </c>
      <c r="C965" s="27" t="e">
        <f>C810</f>
        <v>#REF!</v>
      </c>
      <c r="D965" s="28"/>
      <c r="E965" s="30" t="e">
        <f>C965*4</f>
        <v>#REF!</v>
      </c>
      <c r="F965" s="36" t="e">
        <f>E965*1.03*0.8/147</f>
        <v>#REF!</v>
      </c>
      <c r="G965" s="27" t="e">
        <f>INT(M965)</f>
        <v>#REF!</v>
      </c>
      <c r="H965" s="30" t="s">
        <v>18</v>
      </c>
      <c r="I965" s="27" t="e">
        <f>(M965-G965)*64</f>
        <v>#REF!</v>
      </c>
      <c r="J965" s="19" t="s">
        <v>19</v>
      </c>
      <c r="K965" s="19"/>
      <c r="L965" s="19"/>
      <c r="M965" s="31" t="e">
        <f>(F965*5444/3456)</f>
        <v>#REF!</v>
      </c>
      <c r="N965" s="19"/>
      <c r="O965" s="19"/>
      <c r="P965" s="19"/>
      <c r="Q965" s="35" t="s">
        <v>18</v>
      </c>
      <c r="R965" s="19"/>
      <c r="S965" s="19" t="s">
        <v>19</v>
      </c>
      <c r="T965" s="32"/>
      <c r="U965" s="19" t="e">
        <f>E965/324*60</f>
        <v>#REF!</v>
      </c>
      <c r="V965" s="19"/>
      <c r="W965" s="32"/>
      <c r="X965" s="19"/>
    </row>
    <row r="966" spans="1:24" s="20" customFormat="1" ht="19.5" thickBot="1" x14ac:dyDescent="0.35">
      <c r="A966" s="41"/>
      <c r="B966" s="41" t="s">
        <v>147</v>
      </c>
      <c r="C966" s="27"/>
      <c r="D966" s="43"/>
      <c r="E966" s="45" t="e">
        <f>E965+E964+E963+E962+E960+E959+E958+E957+E956+E955+E954+E953</f>
        <v>#REF!</v>
      </c>
      <c r="F966" s="50"/>
      <c r="G966" s="42"/>
      <c r="H966" s="45"/>
      <c r="I966" s="42"/>
      <c r="J966" s="40"/>
      <c r="K966" s="40"/>
      <c r="L966" s="40"/>
      <c r="M966" s="46"/>
      <c r="N966" s="40"/>
      <c r="O966" s="40"/>
      <c r="P966" s="40"/>
      <c r="Q966" s="14"/>
      <c r="R966" s="40"/>
      <c r="S966" s="40"/>
      <c r="T966" s="47"/>
      <c r="U966" s="40"/>
      <c r="V966" s="40"/>
      <c r="W966" s="47"/>
      <c r="X966" s="40"/>
    </row>
    <row r="967" spans="1:24" s="20" customFormat="1" ht="19.5" thickBot="1" x14ac:dyDescent="0.35">
      <c r="A967" s="41"/>
      <c r="B967" s="41" t="s">
        <v>148</v>
      </c>
      <c r="C967" s="27"/>
      <c r="D967" s="43"/>
      <c r="E967" s="45">
        <f>E950+E949+E948+E946+E945+E944+E943+E942+E941+E940+E939+E938+E937+E936+E935+E934+E933</f>
        <v>0</v>
      </c>
      <c r="F967" s="50"/>
      <c r="G967" s="42"/>
      <c r="H967" s="45"/>
      <c r="I967" s="42"/>
      <c r="J967" s="40"/>
      <c r="K967" s="40"/>
      <c r="L967" s="40"/>
      <c r="M967" s="46"/>
      <c r="N967" s="40"/>
      <c r="O967" s="40"/>
      <c r="P967" s="40"/>
      <c r="Q967" s="14"/>
      <c r="R967" s="40"/>
      <c r="S967" s="40"/>
      <c r="T967" s="47"/>
      <c r="U967" s="40"/>
      <c r="V967" s="40"/>
      <c r="W967" s="47"/>
      <c r="X967" s="40"/>
    </row>
    <row r="968" spans="1:24" s="20" customFormat="1" ht="19.5" thickBot="1" x14ac:dyDescent="0.35">
      <c r="A968" s="67"/>
      <c r="B968" s="920" t="s">
        <v>141</v>
      </c>
      <c r="C968" s="920"/>
      <c r="D968" s="920"/>
      <c r="E968" s="920"/>
      <c r="F968" s="920"/>
      <c r="G968" s="920"/>
      <c r="H968" s="920"/>
      <c r="I968" s="920"/>
      <c r="J968" s="920"/>
      <c r="K968" s="920"/>
      <c r="L968" s="920"/>
      <c r="M968" s="920"/>
      <c r="N968" s="920"/>
      <c r="O968" s="920"/>
      <c r="P968" s="920"/>
      <c r="Q968" s="920"/>
      <c r="R968" s="920"/>
      <c r="S968" s="920"/>
      <c r="T968" s="920"/>
      <c r="U968" s="920"/>
      <c r="V968" s="920"/>
      <c r="W968" s="920"/>
      <c r="X968" s="920"/>
    </row>
    <row r="969" spans="1:24" s="20" customFormat="1" ht="19.5" thickBot="1" x14ac:dyDescent="0.35">
      <c r="A969" s="71"/>
      <c r="B969" s="137" t="s">
        <v>294</v>
      </c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</row>
    <row r="970" spans="1:24" s="20" customFormat="1" ht="19.5" thickBot="1" x14ac:dyDescent="0.35">
      <c r="A970" s="26"/>
      <c r="B970" s="26" t="s">
        <v>248</v>
      </c>
      <c r="C970" s="27">
        <f t="shared" ref="C970:C975" si="233">C751/2</f>
        <v>0</v>
      </c>
      <c r="D970" s="28"/>
      <c r="E970" s="19">
        <f>C970*4</f>
        <v>0</v>
      </c>
      <c r="F970" s="29">
        <f>E970*0.8*1.03/22</f>
        <v>0</v>
      </c>
      <c r="G970" s="27">
        <f t="shared" ref="G970:G975" si="234">INT(M970)</f>
        <v>0</v>
      </c>
      <c r="H970" s="30" t="s">
        <v>18</v>
      </c>
      <c r="I970" s="27">
        <f t="shared" ref="I970:I975" si="235">(M970-G970)*64</f>
        <v>0</v>
      </c>
      <c r="J970" s="19" t="s">
        <v>19</v>
      </c>
      <c r="K970" s="19"/>
      <c r="L970" s="19"/>
      <c r="M970" s="31">
        <f>F970*784/6272</f>
        <v>0</v>
      </c>
      <c r="N970" s="19"/>
      <c r="O970" s="19"/>
      <c r="P970" s="19"/>
      <c r="Q970" s="30" t="s">
        <v>18</v>
      </c>
      <c r="R970" s="19"/>
      <c r="S970" s="19" t="s">
        <v>19</v>
      </c>
      <c r="T970" s="32"/>
      <c r="U970" s="19">
        <f t="shared" ref="U970:U975" si="236">E970/272*60</f>
        <v>0</v>
      </c>
      <c r="V970" s="19"/>
      <c r="W970" s="32"/>
      <c r="X970" s="19"/>
    </row>
    <row r="971" spans="1:24" s="20" customFormat="1" ht="38.25" thickBot="1" x14ac:dyDescent="0.35">
      <c r="A971" s="26"/>
      <c r="B971" s="26" t="s">
        <v>249</v>
      </c>
      <c r="C971" s="27">
        <f t="shared" si="233"/>
        <v>0</v>
      </c>
      <c r="D971" s="28"/>
      <c r="E971" s="19">
        <f>C971*4</f>
        <v>0</v>
      </c>
      <c r="F971" s="29">
        <f>E971*0.8*1.03/22</f>
        <v>0</v>
      </c>
      <c r="G971" s="27">
        <f t="shared" si="234"/>
        <v>0</v>
      </c>
      <c r="H971" s="30" t="s">
        <v>18</v>
      </c>
      <c r="I971" s="27">
        <f t="shared" si="235"/>
        <v>0</v>
      </c>
      <c r="J971" s="19" t="s">
        <v>19</v>
      </c>
      <c r="K971" s="19"/>
      <c r="L971" s="19"/>
      <c r="M971" s="31">
        <f>F971*784/6272</f>
        <v>0</v>
      </c>
      <c r="N971" s="19"/>
      <c r="O971" s="19"/>
      <c r="P971" s="19"/>
      <c r="Q971" s="30" t="s">
        <v>18</v>
      </c>
      <c r="R971" s="19"/>
      <c r="S971" s="19" t="s">
        <v>19</v>
      </c>
      <c r="T971" s="32"/>
      <c r="U971" s="19">
        <f t="shared" si="236"/>
        <v>0</v>
      </c>
      <c r="V971" s="19"/>
      <c r="W971" s="32"/>
      <c r="X971" s="19"/>
    </row>
    <row r="972" spans="1:24" s="20" customFormat="1" ht="38.25" thickBot="1" x14ac:dyDescent="0.35">
      <c r="A972" s="26"/>
      <c r="B972" s="26" t="s">
        <v>250</v>
      </c>
      <c r="C972" s="27">
        <f t="shared" si="233"/>
        <v>0</v>
      </c>
      <c r="D972" s="28"/>
      <c r="E972" s="19">
        <f>C972*4</f>
        <v>0</v>
      </c>
      <c r="F972" s="29">
        <f>E972*0.8*1.03/22</f>
        <v>0</v>
      </c>
      <c r="G972" s="27">
        <f t="shared" si="234"/>
        <v>0</v>
      </c>
      <c r="H972" s="30" t="s">
        <v>18</v>
      </c>
      <c r="I972" s="27">
        <f t="shared" si="235"/>
        <v>0</v>
      </c>
      <c r="J972" s="19" t="s">
        <v>19</v>
      </c>
      <c r="K972" s="19"/>
      <c r="L972" s="19"/>
      <c r="M972" s="31">
        <f>F972*784/6272</f>
        <v>0</v>
      </c>
      <c r="N972" s="19"/>
      <c r="O972" s="19"/>
      <c r="P972" s="19"/>
      <c r="Q972" s="30" t="s">
        <v>18</v>
      </c>
      <c r="R972" s="19"/>
      <c r="S972" s="19" t="s">
        <v>19</v>
      </c>
      <c r="T972" s="32"/>
      <c r="U972" s="19">
        <f t="shared" si="236"/>
        <v>0</v>
      </c>
      <c r="V972" s="19"/>
      <c r="W972" s="32"/>
      <c r="X972" s="19"/>
    </row>
    <row r="973" spans="1:24" s="20" customFormat="1" ht="19.5" thickBot="1" x14ac:dyDescent="0.35">
      <c r="A973" s="26"/>
      <c r="B973" s="26" t="s">
        <v>25</v>
      </c>
      <c r="C973" s="27">
        <f t="shared" si="233"/>
        <v>0</v>
      </c>
      <c r="D973" s="28"/>
      <c r="E973" s="19">
        <f>C973*2</f>
        <v>0</v>
      </c>
      <c r="F973" s="29">
        <f>E973*0.76*1.03/22</f>
        <v>0</v>
      </c>
      <c r="G973" s="27">
        <f t="shared" si="234"/>
        <v>0</v>
      </c>
      <c r="H973" s="30" t="s">
        <v>18</v>
      </c>
      <c r="I973" s="27">
        <f t="shared" si="235"/>
        <v>0</v>
      </c>
      <c r="J973" s="19" t="s">
        <v>19</v>
      </c>
      <c r="K973" s="19"/>
      <c r="L973" s="19"/>
      <c r="M973" s="31">
        <f>F973*1568/12544</f>
        <v>0</v>
      </c>
      <c r="N973" s="19"/>
      <c r="O973" s="19"/>
      <c r="P973" s="19"/>
      <c r="Q973" s="30" t="s">
        <v>18</v>
      </c>
      <c r="R973" s="19"/>
      <c r="S973" s="19" t="s">
        <v>19</v>
      </c>
      <c r="T973" s="32"/>
      <c r="U973" s="19">
        <f t="shared" si="236"/>
        <v>0</v>
      </c>
      <c r="V973" s="19"/>
      <c r="W973" s="32"/>
      <c r="X973" s="19"/>
    </row>
    <row r="974" spans="1:24" s="20" customFormat="1" ht="19.5" thickBot="1" x14ac:dyDescent="0.35">
      <c r="A974" s="26"/>
      <c r="B974" s="26" t="s">
        <v>30</v>
      </c>
      <c r="C974" s="27">
        <f t="shared" si="233"/>
        <v>0</v>
      </c>
      <c r="D974" s="28"/>
      <c r="E974" s="19">
        <f>C974*2</f>
        <v>0</v>
      </c>
      <c r="F974" s="29">
        <f>E974*0.76*1.03/22</f>
        <v>0</v>
      </c>
      <c r="G974" s="27">
        <f t="shared" si="234"/>
        <v>0</v>
      </c>
      <c r="H974" s="30" t="s">
        <v>18</v>
      </c>
      <c r="I974" s="27">
        <f t="shared" si="235"/>
        <v>0</v>
      </c>
      <c r="J974" s="19" t="s">
        <v>19</v>
      </c>
      <c r="K974" s="19"/>
      <c r="L974" s="19"/>
      <c r="M974" s="31">
        <f>F974*1568/12544</f>
        <v>0</v>
      </c>
      <c r="N974" s="19"/>
      <c r="O974" s="19"/>
      <c r="P974" s="19"/>
      <c r="Q974" s="30" t="s">
        <v>18</v>
      </c>
      <c r="R974" s="19"/>
      <c r="S974" s="19" t="s">
        <v>19</v>
      </c>
      <c r="T974" s="32"/>
      <c r="U974" s="19">
        <f t="shared" si="236"/>
        <v>0</v>
      </c>
      <c r="V974" s="19"/>
      <c r="W974" s="32"/>
      <c r="X974" s="19"/>
    </row>
    <row r="975" spans="1:24" s="20" customFormat="1" ht="19.5" thickBot="1" x14ac:dyDescent="0.35">
      <c r="A975" s="26"/>
      <c r="B975" s="26" t="s">
        <v>22</v>
      </c>
      <c r="C975" s="27" t="e">
        <f t="shared" si="233"/>
        <v>#REF!</v>
      </c>
      <c r="D975" s="28"/>
      <c r="E975" s="19" t="e">
        <f>C975*2</f>
        <v>#REF!</v>
      </c>
      <c r="F975" s="29" t="e">
        <f>E975*0.76*1.03/22</f>
        <v>#REF!</v>
      </c>
      <c r="G975" s="27" t="e">
        <f t="shared" si="234"/>
        <v>#REF!</v>
      </c>
      <c r="H975" s="30" t="s">
        <v>18</v>
      </c>
      <c r="I975" s="27" t="e">
        <f t="shared" si="235"/>
        <v>#REF!</v>
      </c>
      <c r="J975" s="19" t="s">
        <v>19</v>
      </c>
      <c r="K975" s="19"/>
      <c r="L975" s="19"/>
      <c r="M975" s="31" t="e">
        <f>F975*1568/12544</f>
        <v>#REF!</v>
      </c>
      <c r="N975" s="19"/>
      <c r="O975" s="19"/>
      <c r="P975" s="19"/>
      <c r="Q975" s="30" t="s">
        <v>18</v>
      </c>
      <c r="R975" s="19"/>
      <c r="S975" s="19" t="s">
        <v>19</v>
      </c>
      <c r="T975" s="32"/>
      <c r="U975" s="19" t="e">
        <f t="shared" si="236"/>
        <v>#REF!</v>
      </c>
      <c r="V975" s="19"/>
      <c r="W975" s="32"/>
      <c r="X975" s="19"/>
    </row>
    <row r="976" spans="1:24" s="20" customFormat="1" ht="19.5" thickBot="1" x14ac:dyDescent="0.35">
      <c r="A976" s="26"/>
      <c r="B976" s="138" t="s">
        <v>298</v>
      </c>
      <c r="C976" s="27" t="e">
        <f>C778/2</f>
        <v>#REF!</v>
      </c>
      <c r="D976" s="28"/>
      <c r="E976" s="19"/>
      <c r="F976" s="29"/>
      <c r="G976" s="27"/>
      <c r="H976" s="30"/>
      <c r="I976" s="27"/>
      <c r="J976" s="19"/>
      <c r="K976" s="19"/>
      <c r="L976" s="19"/>
      <c r="M976" s="31"/>
      <c r="N976" s="19"/>
      <c r="O976" s="19"/>
      <c r="P976" s="19"/>
      <c r="Q976" s="30"/>
      <c r="R976" s="19"/>
      <c r="S976" s="19"/>
      <c r="T976" s="32"/>
      <c r="U976" s="19"/>
      <c r="V976" s="19"/>
      <c r="W976" s="32"/>
      <c r="X976" s="19"/>
    </row>
    <row r="977" spans="1:24" s="20" customFormat="1" ht="19.5" thickBot="1" x14ac:dyDescent="0.35">
      <c r="A977" s="26"/>
      <c r="B977" s="138" t="s">
        <v>286</v>
      </c>
      <c r="C977" s="27">
        <f>C779/2</f>
        <v>0</v>
      </c>
      <c r="D977" s="28"/>
      <c r="E977" s="19"/>
      <c r="F977" s="29"/>
      <c r="G977" s="27"/>
      <c r="H977" s="30"/>
      <c r="I977" s="27"/>
      <c r="J977" s="19"/>
      <c r="K977" s="19"/>
      <c r="L977" s="19"/>
      <c r="M977" s="31"/>
      <c r="N977" s="19"/>
      <c r="O977" s="19"/>
      <c r="P977" s="19"/>
      <c r="Q977" s="30"/>
      <c r="R977" s="19"/>
      <c r="S977" s="19"/>
      <c r="T977" s="32"/>
      <c r="U977" s="19"/>
      <c r="V977" s="19"/>
      <c r="W977" s="32"/>
      <c r="X977" s="19"/>
    </row>
    <row r="978" spans="1:24" s="20" customFormat="1" ht="19.5" thickBot="1" x14ac:dyDescent="0.35">
      <c r="A978" s="41"/>
      <c r="B978" s="41" t="s">
        <v>84</v>
      </c>
      <c r="C978" s="27" t="e">
        <f>C785/2</f>
        <v>#REF!</v>
      </c>
      <c r="D978" s="43" t="e">
        <f>C978*10</f>
        <v>#REF!</v>
      </c>
      <c r="E978" s="45" t="e">
        <f>D978*0.25</f>
        <v>#REF!</v>
      </c>
      <c r="F978" s="50" t="e">
        <f t="shared" ref="F978:F984" si="237">E978*1.03*0.72/147</f>
        <v>#REF!</v>
      </c>
      <c r="G978" s="42" t="e">
        <f t="shared" ref="G978:G985" si="238">INT(M978)</f>
        <v>#REF!</v>
      </c>
      <c r="H978" s="45" t="s">
        <v>18</v>
      </c>
      <c r="I978" s="42" t="e">
        <f t="shared" ref="I978:I985" si="239">(M978-G978)*64</f>
        <v>#REF!</v>
      </c>
      <c r="J978" s="40" t="s">
        <v>19</v>
      </c>
      <c r="K978" s="40"/>
      <c r="L978" s="40"/>
      <c r="M978" s="46" t="e">
        <f>(F978*7177/3456)</f>
        <v>#REF!</v>
      </c>
      <c r="N978" s="40"/>
      <c r="O978" s="40"/>
      <c r="P978" s="40"/>
      <c r="Q978" s="14" t="s">
        <v>18</v>
      </c>
      <c r="R978" s="40"/>
      <c r="S978" s="40" t="s">
        <v>19</v>
      </c>
      <c r="T978" s="47"/>
      <c r="U978" s="40" t="e">
        <f t="shared" ref="U978:U984" si="240">E978/259*60</f>
        <v>#REF!</v>
      </c>
      <c r="V978" s="40"/>
      <c r="W978" s="47"/>
      <c r="X978" s="40"/>
    </row>
    <row r="979" spans="1:24" s="20" customFormat="1" ht="19.5" thickBot="1" x14ac:dyDescent="0.35">
      <c r="A979" s="41"/>
      <c r="B979" s="41" t="s">
        <v>83</v>
      </c>
      <c r="C979" s="27" t="e">
        <f>C786/2</f>
        <v>#REF!</v>
      </c>
      <c r="D979" s="43" t="e">
        <f>C979*10</f>
        <v>#REF!</v>
      </c>
      <c r="E979" s="45" t="e">
        <f>D979*0.25</f>
        <v>#REF!</v>
      </c>
      <c r="F979" s="50" t="e">
        <f t="shared" si="237"/>
        <v>#REF!</v>
      </c>
      <c r="G979" s="42" t="e">
        <f t="shared" si="238"/>
        <v>#REF!</v>
      </c>
      <c r="H979" s="45" t="s">
        <v>18</v>
      </c>
      <c r="I979" s="42" t="e">
        <f t="shared" si="239"/>
        <v>#REF!</v>
      </c>
      <c r="J979" s="40" t="s">
        <v>19</v>
      </c>
      <c r="K979" s="40"/>
      <c r="L979" s="40"/>
      <c r="M979" s="46" t="e">
        <f>(F979*8448/3456)</f>
        <v>#REF!</v>
      </c>
      <c r="N979" s="40"/>
      <c r="O979" s="40"/>
      <c r="P979" s="40"/>
      <c r="Q979" s="14" t="s">
        <v>18</v>
      </c>
      <c r="R979" s="40"/>
      <c r="S979" s="40" t="s">
        <v>19</v>
      </c>
      <c r="T979" s="47"/>
      <c r="U979" s="40" t="e">
        <f t="shared" si="240"/>
        <v>#REF!</v>
      </c>
      <c r="V979" s="40"/>
      <c r="W979" s="47"/>
      <c r="X979" s="40"/>
    </row>
    <row r="980" spans="1:24" s="20" customFormat="1" ht="19.5" thickBot="1" x14ac:dyDescent="0.35">
      <c r="A980" s="41"/>
      <c r="B980" s="41" t="s">
        <v>87</v>
      </c>
      <c r="C980" s="27" t="e">
        <f>C787/2</f>
        <v>#REF!</v>
      </c>
      <c r="D980" s="43" t="e">
        <f>C980*10</f>
        <v>#REF!</v>
      </c>
      <c r="E980" s="45" t="e">
        <f>D980*0.25</f>
        <v>#REF!</v>
      </c>
      <c r="F980" s="50" t="e">
        <f t="shared" si="237"/>
        <v>#REF!</v>
      </c>
      <c r="G980" s="42" t="e">
        <f t="shared" si="238"/>
        <v>#REF!</v>
      </c>
      <c r="H980" s="45" t="s">
        <v>18</v>
      </c>
      <c r="I980" s="42" t="e">
        <f t="shared" si="239"/>
        <v>#REF!</v>
      </c>
      <c r="J980" s="40" t="s">
        <v>19</v>
      </c>
      <c r="K980" s="40"/>
      <c r="L980" s="40"/>
      <c r="M980" s="46" t="e">
        <f>(F980*8448/3456)</f>
        <v>#REF!</v>
      </c>
      <c r="N980" s="40"/>
      <c r="O980" s="40"/>
      <c r="P980" s="40"/>
      <c r="Q980" s="14" t="s">
        <v>18</v>
      </c>
      <c r="R980" s="40"/>
      <c r="S980" s="40" t="s">
        <v>19</v>
      </c>
      <c r="T980" s="47"/>
      <c r="U980" s="40" t="e">
        <f t="shared" si="240"/>
        <v>#REF!</v>
      </c>
      <c r="V980" s="40"/>
      <c r="W980" s="47"/>
      <c r="X980" s="40"/>
    </row>
    <row r="981" spans="1:24" s="20" customFormat="1" ht="38.25" thickBot="1" x14ac:dyDescent="0.35">
      <c r="A981" s="41"/>
      <c r="B981" s="41" t="s">
        <v>284</v>
      </c>
      <c r="C981" s="27" t="e">
        <f>C788/2</f>
        <v>#REF!</v>
      </c>
      <c r="D981" s="43" t="e">
        <f>C981*10</f>
        <v>#REF!</v>
      </c>
      <c r="E981" s="45" t="e">
        <f>D981*0.25</f>
        <v>#REF!</v>
      </c>
      <c r="F981" s="50" t="e">
        <f t="shared" si="237"/>
        <v>#REF!</v>
      </c>
      <c r="G981" s="42" t="e">
        <f t="shared" si="238"/>
        <v>#REF!</v>
      </c>
      <c r="H981" s="45" t="s">
        <v>18</v>
      </c>
      <c r="I981" s="42" t="e">
        <f t="shared" si="239"/>
        <v>#REF!</v>
      </c>
      <c r="J981" s="40" t="s">
        <v>19</v>
      </c>
      <c r="K981" s="40"/>
      <c r="L981" s="40"/>
      <c r="M981" s="46" t="e">
        <f>(F981*7177/3456)</f>
        <v>#REF!</v>
      </c>
      <c r="N981" s="40"/>
      <c r="O981" s="40"/>
      <c r="P981" s="40"/>
      <c r="Q981" s="14" t="s">
        <v>18</v>
      </c>
      <c r="R981" s="40"/>
      <c r="S981" s="40" t="s">
        <v>19</v>
      </c>
      <c r="T981" s="47"/>
      <c r="U981" s="40" t="e">
        <f t="shared" si="240"/>
        <v>#REF!</v>
      </c>
      <c r="V981" s="40"/>
      <c r="W981" s="47"/>
      <c r="X981" s="40"/>
    </row>
    <row r="982" spans="1:24" s="20" customFormat="1" ht="19.5" thickBot="1" x14ac:dyDescent="0.35">
      <c r="A982" s="41"/>
      <c r="B982" s="41" t="s">
        <v>89</v>
      </c>
      <c r="C982" s="27" t="e">
        <f t="shared" ref="C982:C987" si="241">C791/2</f>
        <v>#REF!</v>
      </c>
      <c r="D982" s="43" t="e">
        <f>C982*144</f>
        <v>#REF!</v>
      </c>
      <c r="E982" s="45" t="e">
        <f>D982*0.025</f>
        <v>#REF!</v>
      </c>
      <c r="F982" s="50" t="e">
        <f t="shared" si="237"/>
        <v>#REF!</v>
      </c>
      <c r="G982" s="42" t="e">
        <f t="shared" si="238"/>
        <v>#REF!</v>
      </c>
      <c r="H982" s="45" t="s">
        <v>18</v>
      </c>
      <c r="I982" s="42" t="e">
        <f t="shared" si="239"/>
        <v>#REF!</v>
      </c>
      <c r="J982" s="40" t="s">
        <v>19</v>
      </c>
      <c r="K982" s="40"/>
      <c r="L982" s="40"/>
      <c r="M982" s="46" t="e">
        <f>(F982*8448/3456)</f>
        <v>#REF!</v>
      </c>
      <c r="N982" s="40"/>
      <c r="O982" s="40"/>
      <c r="P982" s="40"/>
      <c r="Q982" s="14" t="s">
        <v>18</v>
      </c>
      <c r="R982" s="40"/>
      <c r="S982" s="40" t="s">
        <v>19</v>
      </c>
      <c r="T982" s="47"/>
      <c r="U982" s="40" t="e">
        <f t="shared" si="240"/>
        <v>#REF!</v>
      </c>
      <c r="V982" s="40"/>
      <c r="W982" s="47"/>
      <c r="X982" s="40"/>
    </row>
    <row r="983" spans="1:24" s="20" customFormat="1" ht="19.5" thickBot="1" x14ac:dyDescent="0.35">
      <c r="A983" s="41"/>
      <c r="B983" s="41" t="s">
        <v>219</v>
      </c>
      <c r="C983" s="27" t="e">
        <f t="shared" si="241"/>
        <v>#REF!</v>
      </c>
      <c r="D983" s="43" t="e">
        <f>C983*10</f>
        <v>#REF!</v>
      </c>
      <c r="E983" s="45" t="e">
        <f>D983*0.2</f>
        <v>#REF!</v>
      </c>
      <c r="F983" s="50" t="e">
        <f t="shared" si="237"/>
        <v>#REF!</v>
      </c>
      <c r="G983" s="42" t="e">
        <f t="shared" si="238"/>
        <v>#REF!</v>
      </c>
      <c r="H983" s="45" t="s">
        <v>18</v>
      </c>
      <c r="I983" s="42" t="e">
        <f t="shared" si="239"/>
        <v>#REF!</v>
      </c>
      <c r="J983" s="40" t="s">
        <v>19</v>
      </c>
      <c r="K983" s="40"/>
      <c r="L983" s="40"/>
      <c r="M983" s="46" t="e">
        <f>(F983*8400/3456)</f>
        <v>#REF!</v>
      </c>
      <c r="N983" s="40"/>
      <c r="O983" s="40"/>
      <c r="P983" s="40"/>
      <c r="Q983" s="14" t="s">
        <v>18</v>
      </c>
      <c r="R983" s="40"/>
      <c r="S983" s="40" t="s">
        <v>19</v>
      </c>
      <c r="T983" s="47"/>
      <c r="U983" s="40" t="e">
        <f t="shared" si="240"/>
        <v>#REF!</v>
      </c>
      <c r="V983" s="40"/>
      <c r="W983" s="47"/>
      <c r="X983" s="40"/>
    </row>
    <row r="984" spans="1:24" s="20" customFormat="1" ht="19.5" thickBot="1" x14ac:dyDescent="0.35">
      <c r="A984" s="41"/>
      <c r="B984" s="41" t="s">
        <v>86</v>
      </c>
      <c r="C984" s="27" t="e">
        <f t="shared" si="241"/>
        <v>#REF!</v>
      </c>
      <c r="D984" s="43" t="e">
        <f>C984*10</f>
        <v>#REF!</v>
      </c>
      <c r="E984" s="45" t="e">
        <f>D984*0.2</f>
        <v>#REF!</v>
      </c>
      <c r="F984" s="50" t="e">
        <f t="shared" si="237"/>
        <v>#REF!</v>
      </c>
      <c r="G984" s="42" t="e">
        <f t="shared" si="238"/>
        <v>#REF!</v>
      </c>
      <c r="H984" s="45" t="s">
        <v>18</v>
      </c>
      <c r="I984" s="42" t="e">
        <f t="shared" si="239"/>
        <v>#REF!</v>
      </c>
      <c r="J984" s="40" t="s">
        <v>19</v>
      </c>
      <c r="K984" s="40"/>
      <c r="L984" s="40"/>
      <c r="M984" s="46" t="e">
        <f>(F984*8400/3456)</f>
        <v>#REF!</v>
      </c>
      <c r="N984" s="40"/>
      <c r="O984" s="40"/>
      <c r="P984" s="40"/>
      <c r="Q984" s="14" t="s">
        <v>18</v>
      </c>
      <c r="R984" s="40"/>
      <c r="S984" s="40" t="s">
        <v>19</v>
      </c>
      <c r="T984" s="47"/>
      <c r="U984" s="40" t="e">
        <f t="shared" si="240"/>
        <v>#REF!</v>
      </c>
      <c r="V984" s="40"/>
      <c r="W984" s="47"/>
      <c r="X984" s="40"/>
    </row>
    <row r="985" spans="1:24" s="20" customFormat="1" ht="19.5" thickBot="1" x14ac:dyDescent="0.35">
      <c r="A985" s="41"/>
      <c r="B985" s="41" t="s">
        <v>98</v>
      </c>
      <c r="C985" s="27" t="e">
        <f t="shared" si="241"/>
        <v>#REF!</v>
      </c>
      <c r="D985" s="43" t="e">
        <f>C985*10</f>
        <v>#REF!</v>
      </c>
      <c r="E985" s="40" t="e">
        <f>D985*0.2</f>
        <v>#REF!</v>
      </c>
      <c r="F985" s="50" t="e">
        <f>E985*1.03*0.8/147</f>
        <v>#REF!</v>
      </c>
      <c r="G985" s="42" t="e">
        <f t="shared" si="238"/>
        <v>#REF!</v>
      </c>
      <c r="H985" s="45" t="s">
        <v>18</v>
      </c>
      <c r="I985" s="42" t="e">
        <f t="shared" si="239"/>
        <v>#REF!</v>
      </c>
      <c r="J985" s="40" t="s">
        <v>19</v>
      </c>
      <c r="K985" s="40"/>
      <c r="L985" s="40"/>
      <c r="M985" s="46" t="e">
        <f>(F985*9483)/3456</f>
        <v>#REF!</v>
      </c>
      <c r="N985" s="40"/>
      <c r="O985" s="40"/>
      <c r="P985" s="40"/>
      <c r="Q985" s="14" t="s">
        <v>18</v>
      </c>
      <c r="R985" s="40"/>
      <c r="S985" s="40" t="s">
        <v>19</v>
      </c>
      <c r="T985" s="47"/>
      <c r="U985" s="40" t="e">
        <f>E985/220*60</f>
        <v>#REF!</v>
      </c>
      <c r="V985" s="40"/>
      <c r="W985" s="47"/>
      <c r="X985" s="40"/>
    </row>
    <row r="986" spans="1:24" s="20" customFormat="1" ht="19.5" thickBot="1" x14ac:dyDescent="0.35">
      <c r="A986" s="26"/>
      <c r="B986" s="138" t="s">
        <v>299</v>
      </c>
      <c r="C986" s="27" t="e">
        <f t="shared" si="241"/>
        <v>#REF!</v>
      </c>
      <c r="D986" s="28"/>
      <c r="E986" s="19"/>
      <c r="F986" s="29"/>
      <c r="G986" s="27"/>
      <c r="H986" s="30"/>
      <c r="I986" s="27"/>
      <c r="J986" s="19"/>
      <c r="K986" s="19"/>
      <c r="L986" s="19"/>
      <c r="M986" s="31"/>
      <c r="N986" s="19"/>
      <c r="O986" s="19"/>
      <c r="P986" s="19"/>
      <c r="Q986" s="30"/>
      <c r="R986" s="19"/>
      <c r="S986" s="19"/>
      <c r="T986" s="32"/>
      <c r="U986" s="19"/>
      <c r="V986" s="19"/>
      <c r="W986" s="32"/>
      <c r="X986" s="19"/>
    </row>
    <row r="987" spans="1:24" s="20" customFormat="1" ht="19.5" thickBot="1" x14ac:dyDescent="0.35">
      <c r="A987" s="41"/>
      <c r="B987" s="41" t="s">
        <v>99</v>
      </c>
      <c r="C987" s="27">
        <f t="shared" si="241"/>
        <v>0</v>
      </c>
      <c r="D987" s="43"/>
      <c r="E987" s="45">
        <f>C987*4</f>
        <v>0</v>
      </c>
      <c r="F987" s="50">
        <f>E987*1.03*0.8/147</f>
        <v>0</v>
      </c>
      <c r="G987" s="42">
        <f>INT(M987)</f>
        <v>0</v>
      </c>
      <c r="H987" s="45" t="s">
        <v>18</v>
      </c>
      <c r="I987" s="42">
        <f>(M987-G987)*64</f>
        <v>0</v>
      </c>
      <c r="J987" s="40" t="s">
        <v>19</v>
      </c>
      <c r="K987" s="40"/>
      <c r="L987" s="40"/>
      <c r="M987" s="46">
        <f>(F987*5444/3456)</f>
        <v>0</v>
      </c>
      <c r="N987" s="40"/>
      <c r="O987" s="40"/>
      <c r="P987" s="40"/>
      <c r="Q987" s="14" t="s">
        <v>18</v>
      </c>
      <c r="R987" s="40"/>
      <c r="S987" s="40" t="s">
        <v>19</v>
      </c>
      <c r="T987" s="47"/>
      <c r="U987" s="40">
        <f>E987/324*60</f>
        <v>0</v>
      </c>
      <c r="V987" s="40"/>
      <c r="W987" s="47"/>
      <c r="X987" s="40"/>
    </row>
    <row r="988" spans="1:24" s="54" customFormat="1" ht="19.5" thickBot="1" x14ac:dyDescent="0.35">
      <c r="A988" s="41"/>
      <c r="B988" s="41" t="s">
        <v>96</v>
      </c>
      <c r="C988" s="27" t="e">
        <f>C800/2</f>
        <v>#REF!</v>
      </c>
      <c r="D988" s="43"/>
      <c r="E988" s="45" t="e">
        <f>C988*3</f>
        <v>#REF!</v>
      </c>
      <c r="F988" s="50" t="e">
        <f>E988*1.03*0.8/147</f>
        <v>#REF!</v>
      </c>
      <c r="G988" s="42" t="e">
        <f>INT(M988)</f>
        <v>#REF!</v>
      </c>
      <c r="H988" s="45" t="s">
        <v>18</v>
      </c>
      <c r="I988" s="42" t="e">
        <f>(M988-G988)*64</f>
        <v>#REF!</v>
      </c>
      <c r="J988" s="40" t="s">
        <v>19</v>
      </c>
      <c r="K988" s="40"/>
      <c r="L988" s="40"/>
      <c r="M988" s="46" t="e">
        <f>(F988*5444/3456)</f>
        <v>#REF!</v>
      </c>
      <c r="N988" s="40"/>
      <c r="O988" s="40"/>
      <c r="P988" s="40"/>
      <c r="Q988" s="14" t="s">
        <v>18</v>
      </c>
      <c r="R988" s="40"/>
      <c r="S988" s="40" t="s">
        <v>19</v>
      </c>
      <c r="T988" s="47"/>
      <c r="U988" s="40" t="e">
        <f>E988/324*60</f>
        <v>#REF!</v>
      </c>
      <c r="V988" s="40"/>
      <c r="W988" s="47"/>
      <c r="X988" s="40"/>
    </row>
    <row r="989" spans="1:24" s="20" customFormat="1" ht="19.5" thickBot="1" x14ac:dyDescent="0.35">
      <c r="A989" s="41"/>
      <c r="B989" s="41" t="s">
        <v>222</v>
      </c>
      <c r="C989" s="27" t="e">
        <f>C801/2</f>
        <v>#REF!</v>
      </c>
      <c r="D989" s="43"/>
      <c r="E989" s="45" t="e">
        <f>C989*4</f>
        <v>#REF!</v>
      </c>
      <c r="F989" s="50" t="e">
        <f>E989*1.03*0.72/147</f>
        <v>#REF!</v>
      </c>
      <c r="G989" s="42" t="e">
        <f>INT(M989)</f>
        <v>#REF!</v>
      </c>
      <c r="H989" s="45" t="s">
        <v>18</v>
      </c>
      <c r="I989" s="42" t="e">
        <f>(M989-G989)*64</f>
        <v>#REF!</v>
      </c>
      <c r="J989" s="40" t="s">
        <v>19</v>
      </c>
      <c r="K989" s="40"/>
      <c r="L989" s="40"/>
      <c r="M989" s="46" t="e">
        <f>(F989*6049/3456)</f>
        <v>#REF!</v>
      </c>
      <c r="N989" s="40"/>
      <c r="O989" s="40"/>
      <c r="P989" s="40"/>
      <c r="Q989" s="14" t="s">
        <v>18</v>
      </c>
      <c r="R989" s="40"/>
      <c r="S989" s="40" t="s">
        <v>19</v>
      </c>
      <c r="T989" s="47"/>
      <c r="U989" s="40" t="e">
        <f>E989/324*60</f>
        <v>#REF!</v>
      </c>
      <c r="V989" s="40"/>
      <c r="W989" s="47"/>
      <c r="X989" s="40"/>
    </row>
    <row r="990" spans="1:24" s="20" customFormat="1" ht="19.5" thickBot="1" x14ac:dyDescent="0.35">
      <c r="A990" s="26"/>
      <c r="B990" s="26" t="s">
        <v>82</v>
      </c>
      <c r="C990" s="27" t="e">
        <f>C808</f>
        <v>#REF!</v>
      </c>
      <c r="D990" s="28"/>
      <c r="E990" s="30" t="e">
        <f>C990*4</f>
        <v>#REF!</v>
      </c>
      <c r="F990" s="36" t="e">
        <f>E990*1.03*0.72/147</f>
        <v>#REF!</v>
      </c>
      <c r="G990" s="27" t="e">
        <f>INT(M990)</f>
        <v>#REF!</v>
      </c>
      <c r="H990" s="30" t="s">
        <v>18</v>
      </c>
      <c r="I990" s="27" t="e">
        <f>(M990-G990)*64</f>
        <v>#REF!</v>
      </c>
      <c r="J990" s="19" t="s">
        <v>19</v>
      </c>
      <c r="K990" s="19"/>
      <c r="L990" s="19"/>
      <c r="M990" s="31" t="e">
        <f>(F990*6049/3456)</f>
        <v>#REF!</v>
      </c>
      <c r="N990" s="19"/>
      <c r="O990" s="19"/>
      <c r="P990" s="19"/>
      <c r="Q990" s="35" t="s">
        <v>18</v>
      </c>
      <c r="R990" s="19"/>
      <c r="S990" s="19" t="s">
        <v>19</v>
      </c>
      <c r="T990" s="32"/>
      <c r="U990" s="19" t="e">
        <f>E990/324*60</f>
        <v>#REF!</v>
      </c>
      <c r="V990" s="19"/>
      <c r="W990" s="32"/>
      <c r="X990" s="19"/>
    </row>
    <row r="991" spans="1:24" s="20" customFormat="1" ht="19.5" thickBot="1" x14ac:dyDescent="0.35">
      <c r="A991" s="26"/>
      <c r="B991" s="26" t="s">
        <v>92</v>
      </c>
      <c r="C991" s="27" t="e">
        <f>C810</f>
        <v>#REF!</v>
      </c>
      <c r="D991" s="28"/>
      <c r="E991" s="30" t="e">
        <f>C991*4</f>
        <v>#REF!</v>
      </c>
      <c r="F991" s="36" t="e">
        <f>E991*1.03*0.8/147</f>
        <v>#REF!</v>
      </c>
      <c r="G991" s="27" t="e">
        <f>INT(M991)</f>
        <v>#REF!</v>
      </c>
      <c r="H991" s="30" t="s">
        <v>18</v>
      </c>
      <c r="I991" s="27" t="e">
        <f>(M991-G991)*64</f>
        <v>#REF!</v>
      </c>
      <c r="J991" s="19" t="s">
        <v>19</v>
      </c>
      <c r="K991" s="19"/>
      <c r="L991" s="19"/>
      <c r="M991" s="31" t="e">
        <f>(F991*5444/3456)</f>
        <v>#REF!</v>
      </c>
      <c r="N991" s="19"/>
      <c r="O991" s="19"/>
      <c r="P991" s="19"/>
      <c r="Q991" s="35" t="s">
        <v>18</v>
      </c>
      <c r="R991" s="19"/>
      <c r="S991" s="19" t="s">
        <v>19</v>
      </c>
      <c r="T991" s="32"/>
      <c r="U991" s="19" t="e">
        <f>E991/324*60</f>
        <v>#REF!</v>
      </c>
      <c r="V991" s="19"/>
      <c r="W991" s="32"/>
      <c r="X991" s="19"/>
    </row>
    <row r="992" spans="1:24" s="20" customFormat="1" ht="19.5" thickBot="1" x14ac:dyDescent="0.35">
      <c r="A992" s="70"/>
      <c r="B992" s="68" t="s">
        <v>147</v>
      </c>
      <c r="C992" s="27"/>
      <c r="D992" s="28"/>
      <c r="E992" s="30" t="e">
        <f>E991+E990+E989+E987+E985+E984+E983+E982+E981+E980+E979+E978</f>
        <v>#REF!</v>
      </c>
      <c r="F992" s="36"/>
      <c r="G992" s="27"/>
      <c r="H992" s="30"/>
      <c r="I992" s="27"/>
      <c r="J992" s="19"/>
      <c r="K992" s="19"/>
      <c r="L992" s="19"/>
      <c r="M992" s="31"/>
      <c r="N992" s="19"/>
      <c r="O992" s="19"/>
      <c r="P992" s="19"/>
      <c r="Q992" s="35"/>
      <c r="R992" s="19"/>
      <c r="S992" s="19"/>
      <c r="T992" s="32"/>
      <c r="U992" s="67"/>
      <c r="V992" s="19"/>
      <c r="W992" s="32"/>
      <c r="X992" s="19"/>
    </row>
    <row r="993" spans="1:24" s="20" customFormat="1" ht="19.5" thickBot="1" x14ac:dyDescent="0.35">
      <c r="A993" s="70"/>
      <c r="B993" s="68" t="s">
        <v>148</v>
      </c>
      <c r="C993" s="27"/>
      <c r="D993" s="28"/>
      <c r="E993" s="30" t="e">
        <f>E975+E974+E973+E972+E970+E971</f>
        <v>#REF!</v>
      </c>
      <c r="F993" s="36"/>
      <c r="G993" s="27"/>
      <c r="H993" s="30"/>
      <c r="I993" s="27"/>
      <c r="J993" s="19"/>
      <c r="K993" s="19"/>
      <c r="L993" s="19"/>
      <c r="M993" s="31"/>
      <c r="N993" s="19"/>
      <c r="O993" s="19"/>
      <c r="P993" s="19"/>
      <c r="Q993" s="35"/>
      <c r="R993" s="19"/>
      <c r="S993" s="19"/>
      <c r="T993" s="32"/>
      <c r="U993" s="67"/>
      <c r="V993" s="19"/>
      <c r="W993" s="32"/>
      <c r="X993" s="19"/>
    </row>
    <row r="994" spans="1:24" s="20" customFormat="1" ht="19.5" thickBot="1" x14ac:dyDescent="0.35">
      <c r="A994" s="67"/>
      <c r="B994" s="920" t="s">
        <v>142</v>
      </c>
      <c r="C994" s="920"/>
      <c r="D994" s="920"/>
      <c r="E994" s="920"/>
      <c r="F994" s="920"/>
      <c r="G994" s="920"/>
      <c r="H994" s="920"/>
      <c r="I994" s="920"/>
      <c r="J994" s="920"/>
      <c r="K994" s="920"/>
      <c r="L994" s="920"/>
      <c r="M994" s="920"/>
      <c r="N994" s="920"/>
      <c r="O994" s="920"/>
      <c r="P994" s="920"/>
      <c r="Q994" s="920"/>
      <c r="R994" s="920"/>
      <c r="S994" s="920"/>
      <c r="T994" s="920"/>
      <c r="U994" s="920"/>
      <c r="V994" s="920"/>
      <c r="W994" s="920"/>
      <c r="X994" s="920"/>
    </row>
    <row r="995" spans="1:24" s="20" customFormat="1" ht="19.5" thickBot="1" x14ac:dyDescent="0.35">
      <c r="A995" s="26"/>
      <c r="B995" s="26" t="s">
        <v>108</v>
      </c>
      <c r="C995" s="27" t="e">
        <f>C888+C862</f>
        <v>#REF!</v>
      </c>
      <c r="D995" s="28"/>
      <c r="E995" s="30" t="e">
        <f>C995*3</f>
        <v>#REF!</v>
      </c>
      <c r="F995" s="36">
        <v>0</v>
      </c>
      <c r="G995" s="27">
        <v>0</v>
      </c>
      <c r="H995" s="30" t="s">
        <v>18</v>
      </c>
      <c r="I995" s="27">
        <v>0</v>
      </c>
      <c r="J995" s="19" t="s">
        <v>19</v>
      </c>
      <c r="K995" s="19"/>
      <c r="L995" s="19"/>
      <c r="M995" s="31">
        <v>0</v>
      </c>
      <c r="N995" s="19"/>
      <c r="O995" s="19"/>
      <c r="P995" s="19"/>
      <c r="Q995" s="35" t="s">
        <v>18</v>
      </c>
      <c r="R995" s="19"/>
      <c r="S995" s="19" t="s">
        <v>19</v>
      </c>
      <c r="T995" s="32"/>
      <c r="U995" s="19">
        <v>0</v>
      </c>
      <c r="V995" s="19"/>
      <c r="W995" s="32"/>
      <c r="X995" s="19"/>
    </row>
    <row r="996" spans="1:24" s="20" customFormat="1" ht="19.5" thickBot="1" x14ac:dyDescent="0.35">
      <c r="A996" s="26"/>
      <c r="B996" s="26" t="s">
        <v>90</v>
      </c>
      <c r="C996" s="27" t="e">
        <f>C861</f>
        <v>#REF!</v>
      </c>
      <c r="D996" s="28"/>
      <c r="E996" s="30" t="e">
        <f>C996*4</f>
        <v>#REF!</v>
      </c>
      <c r="F996" s="36">
        <v>0</v>
      </c>
      <c r="G996" s="27">
        <v>0</v>
      </c>
      <c r="H996" s="30" t="s">
        <v>18</v>
      </c>
      <c r="I996" s="27">
        <v>0</v>
      </c>
      <c r="J996" s="19" t="s">
        <v>19</v>
      </c>
      <c r="K996" s="19"/>
      <c r="L996" s="19"/>
      <c r="M996" s="31">
        <v>0</v>
      </c>
      <c r="N996" s="19"/>
      <c r="O996" s="19"/>
      <c r="P996" s="19"/>
      <c r="Q996" s="35" t="s">
        <v>18</v>
      </c>
      <c r="R996" s="19"/>
      <c r="S996" s="19" t="s">
        <v>19</v>
      </c>
      <c r="T996" s="32"/>
      <c r="U996" s="19">
        <v>0</v>
      </c>
      <c r="V996" s="19"/>
      <c r="W996" s="32"/>
      <c r="X996" s="19"/>
    </row>
    <row r="997" spans="1:24" s="20" customFormat="1" ht="19.5" thickBot="1" x14ac:dyDescent="0.35">
      <c r="A997" s="26"/>
      <c r="B997" s="26" t="s">
        <v>116</v>
      </c>
      <c r="C997" s="27" t="e">
        <f>C860</f>
        <v>#REF!</v>
      </c>
      <c r="D997" s="28"/>
      <c r="E997" s="30" t="e">
        <f>C997*4</f>
        <v>#REF!</v>
      </c>
      <c r="F997" s="36">
        <v>0</v>
      </c>
      <c r="G997" s="27">
        <v>0</v>
      </c>
      <c r="H997" s="30" t="s">
        <v>18</v>
      </c>
      <c r="I997" s="27">
        <v>0</v>
      </c>
      <c r="J997" s="19" t="s">
        <v>19</v>
      </c>
      <c r="K997" s="19"/>
      <c r="L997" s="19"/>
      <c r="M997" s="31">
        <v>0</v>
      </c>
      <c r="N997" s="19"/>
      <c r="O997" s="19"/>
      <c r="P997" s="19"/>
      <c r="Q997" s="35" t="s">
        <v>18</v>
      </c>
      <c r="R997" s="19"/>
      <c r="S997" s="19" t="s">
        <v>19</v>
      </c>
      <c r="T997" s="32"/>
      <c r="U997" s="19">
        <v>0</v>
      </c>
      <c r="V997" s="19"/>
      <c r="W997" s="32"/>
      <c r="X997" s="19"/>
    </row>
    <row r="998" spans="1:24" s="20" customFormat="1" ht="19.5" thickBot="1" x14ac:dyDescent="0.35">
      <c r="A998" s="26"/>
      <c r="B998" s="26" t="s">
        <v>100</v>
      </c>
      <c r="C998" s="27" t="e">
        <f>C884+C854</f>
        <v>#REF!</v>
      </c>
      <c r="D998" s="28"/>
      <c r="E998" s="30" t="e">
        <f>C998*4</f>
        <v>#REF!</v>
      </c>
      <c r="F998" s="36">
        <v>0</v>
      </c>
      <c r="G998" s="27">
        <v>0</v>
      </c>
      <c r="H998" s="30" t="s">
        <v>18</v>
      </c>
      <c r="I998" s="27">
        <v>0</v>
      </c>
      <c r="J998" s="19" t="s">
        <v>19</v>
      </c>
      <c r="K998" s="19"/>
      <c r="L998" s="19"/>
      <c r="M998" s="31">
        <v>0</v>
      </c>
      <c r="N998" s="19"/>
      <c r="O998" s="19"/>
      <c r="P998" s="19"/>
      <c r="Q998" s="35" t="s">
        <v>18</v>
      </c>
      <c r="R998" s="19"/>
      <c r="S998" s="19" t="s">
        <v>19</v>
      </c>
      <c r="T998" s="32"/>
      <c r="U998" s="19">
        <v>0</v>
      </c>
      <c r="V998" s="19"/>
      <c r="W998" s="32"/>
      <c r="X998" s="19"/>
    </row>
    <row r="999" spans="1:24" s="20" customFormat="1" ht="19.5" thickBot="1" x14ac:dyDescent="0.35">
      <c r="A999" s="70"/>
      <c r="B999" s="68" t="s">
        <v>134</v>
      </c>
      <c r="C999" s="27"/>
      <c r="D999" s="28"/>
      <c r="E999" s="30" t="e">
        <f>SUM(E995:E998)</f>
        <v>#REF!</v>
      </c>
      <c r="F999" s="36"/>
      <c r="G999" s="27"/>
      <c r="H999" s="30"/>
      <c r="I999" s="27"/>
      <c r="J999" s="19"/>
      <c r="K999" s="19"/>
      <c r="L999" s="19"/>
      <c r="M999" s="31"/>
      <c r="N999" s="19"/>
      <c r="O999" s="19"/>
      <c r="P999" s="19"/>
      <c r="Q999" s="35"/>
      <c r="R999" s="19"/>
      <c r="S999" s="19"/>
      <c r="T999" s="32"/>
      <c r="U999" s="67"/>
      <c r="V999" s="19"/>
      <c r="W999" s="32"/>
      <c r="X999" s="19"/>
    </row>
    <row r="1000" spans="1:24" s="20" customFormat="1" ht="19.5" thickBot="1" x14ac:dyDescent="0.35">
      <c r="A1000" s="67"/>
      <c r="B1000" s="920" t="s">
        <v>143</v>
      </c>
      <c r="C1000" s="920"/>
      <c r="D1000" s="920"/>
      <c r="E1000" s="920"/>
      <c r="F1000" s="920"/>
      <c r="G1000" s="920"/>
      <c r="H1000" s="920"/>
      <c r="I1000" s="920"/>
      <c r="J1000" s="920"/>
      <c r="K1000" s="920"/>
      <c r="L1000" s="920"/>
      <c r="M1000" s="920"/>
      <c r="N1000" s="920"/>
      <c r="O1000" s="920"/>
      <c r="P1000" s="920"/>
      <c r="Q1000" s="920"/>
      <c r="R1000" s="920"/>
      <c r="S1000" s="920"/>
      <c r="T1000" s="920"/>
      <c r="U1000" s="920"/>
      <c r="V1000" s="920"/>
      <c r="W1000" s="920"/>
      <c r="X1000" s="920"/>
    </row>
    <row r="1001" spans="1:24" s="20" customFormat="1" ht="19.5" thickBot="1" x14ac:dyDescent="0.35">
      <c r="A1001" s="71"/>
      <c r="B1001" s="139" t="s">
        <v>307</v>
      </c>
      <c r="C1001" s="136"/>
      <c r="D1001" s="136"/>
      <c r="E1001" s="136"/>
      <c r="F1001" s="136"/>
      <c r="G1001" s="136"/>
      <c r="H1001" s="136"/>
      <c r="I1001" s="136"/>
      <c r="J1001" s="136"/>
      <c r="K1001" s="136"/>
      <c r="L1001" s="136"/>
      <c r="M1001" s="136"/>
      <c r="N1001" s="136"/>
      <c r="O1001" s="136"/>
      <c r="P1001" s="136"/>
      <c r="Q1001" s="136"/>
      <c r="R1001" s="136"/>
      <c r="S1001" s="136"/>
      <c r="T1001" s="136"/>
      <c r="U1001" s="136"/>
      <c r="V1001" s="136"/>
      <c r="W1001" s="136"/>
      <c r="X1001" s="136"/>
    </row>
    <row r="1002" spans="1:24" s="20" customFormat="1" ht="38.25" thickBot="1" x14ac:dyDescent="0.35">
      <c r="A1002" s="41"/>
      <c r="B1002" s="41" t="s">
        <v>302</v>
      </c>
      <c r="C1002" s="42">
        <f>C827</f>
        <v>0</v>
      </c>
      <c r="D1002" s="43">
        <f>C1002*14</f>
        <v>0</v>
      </c>
      <c r="E1002" s="64">
        <f>D1002*0.25</f>
        <v>0</v>
      </c>
      <c r="F1002" s="50">
        <f>E1002*1.03*0.99/147</f>
        <v>0</v>
      </c>
      <c r="G1002" s="42">
        <f t="shared" ref="G1002:G1007" si="242">INT(M1002)</f>
        <v>0</v>
      </c>
      <c r="H1002" s="14" t="s">
        <v>18</v>
      </c>
      <c r="I1002" s="42">
        <f t="shared" ref="I1002:I1007" si="243">(M1002-G1002)*64</f>
        <v>0</v>
      </c>
      <c r="J1002" s="14" t="s">
        <v>19</v>
      </c>
      <c r="K1002" s="40"/>
      <c r="L1002" s="40"/>
      <c r="M1002" s="52">
        <f>(F1002*7000)/2880</f>
        <v>0</v>
      </c>
      <c r="N1002" s="40"/>
      <c r="O1002" s="40"/>
      <c r="P1002" s="40"/>
      <c r="Q1002" s="14" t="s">
        <v>18</v>
      </c>
      <c r="R1002" s="40"/>
      <c r="S1002" s="40" t="s">
        <v>19</v>
      </c>
      <c r="T1002" s="47"/>
      <c r="U1002" s="40">
        <f>E1002/390*60</f>
        <v>0</v>
      </c>
      <c r="V1002" s="40"/>
      <c r="W1002" s="47"/>
      <c r="X1002" s="40"/>
    </row>
    <row r="1003" spans="1:24" s="20" customFormat="1" ht="19.5" thickBot="1" x14ac:dyDescent="0.35">
      <c r="A1003" s="41"/>
      <c r="B1003" s="41" t="s">
        <v>244</v>
      </c>
      <c r="C1003" s="42" t="e">
        <f>C829</f>
        <v>#REF!</v>
      </c>
      <c r="D1003" s="43" t="e">
        <f>C1003*14</f>
        <v>#REF!</v>
      </c>
      <c r="E1003" s="64" t="e">
        <f>D1003*0.25</f>
        <v>#REF!</v>
      </c>
      <c r="F1003" s="50" t="e">
        <f>E1003*1.03*0.99/147</f>
        <v>#REF!</v>
      </c>
      <c r="G1003" s="42" t="e">
        <f t="shared" si="242"/>
        <v>#REF!</v>
      </c>
      <c r="H1003" s="14" t="s">
        <v>18</v>
      </c>
      <c r="I1003" s="42" t="e">
        <f t="shared" si="243"/>
        <v>#REF!</v>
      </c>
      <c r="J1003" s="14" t="s">
        <v>19</v>
      </c>
      <c r="K1003" s="40"/>
      <c r="L1003" s="40"/>
      <c r="M1003" s="52" t="e">
        <f>(F1003*7000)/2880</f>
        <v>#REF!</v>
      </c>
      <c r="N1003" s="40"/>
      <c r="O1003" s="40"/>
      <c r="P1003" s="40"/>
      <c r="Q1003" s="14" t="s">
        <v>18</v>
      </c>
      <c r="R1003" s="40"/>
      <c r="S1003" s="40" t="s">
        <v>19</v>
      </c>
      <c r="T1003" s="47"/>
      <c r="U1003" s="40" t="e">
        <f>E1003/390*60</f>
        <v>#REF!</v>
      </c>
      <c r="V1003" s="40"/>
      <c r="W1003" s="47"/>
      <c r="X1003" s="40"/>
    </row>
    <row r="1004" spans="1:24" s="20" customFormat="1" ht="19.5" thickBot="1" x14ac:dyDescent="0.35">
      <c r="A1004" s="41"/>
      <c r="B1004" s="41" t="s">
        <v>245</v>
      </c>
      <c r="C1004" s="42" t="e">
        <f>C830</f>
        <v>#REF!</v>
      </c>
      <c r="D1004" s="43" t="e">
        <f>C1004*14</f>
        <v>#REF!</v>
      </c>
      <c r="E1004" s="64" t="e">
        <f>D1004*0.25</f>
        <v>#REF!</v>
      </c>
      <c r="F1004" s="50" t="e">
        <f>E1004*1.03*0.99/147</f>
        <v>#REF!</v>
      </c>
      <c r="G1004" s="42" t="e">
        <f t="shared" si="242"/>
        <v>#REF!</v>
      </c>
      <c r="H1004" s="14" t="s">
        <v>18</v>
      </c>
      <c r="I1004" s="42" t="e">
        <f t="shared" si="243"/>
        <v>#REF!</v>
      </c>
      <c r="J1004" s="14" t="s">
        <v>19</v>
      </c>
      <c r="K1004" s="40"/>
      <c r="L1004" s="40"/>
      <c r="M1004" s="52" t="e">
        <f>(F1004*7000)/2880</f>
        <v>#REF!</v>
      </c>
      <c r="N1004" s="40"/>
      <c r="O1004" s="40"/>
      <c r="P1004" s="40"/>
      <c r="Q1004" s="14" t="s">
        <v>18</v>
      </c>
      <c r="R1004" s="40"/>
      <c r="S1004" s="40" t="s">
        <v>19</v>
      </c>
      <c r="T1004" s="47"/>
      <c r="U1004" s="40" t="e">
        <f>E1004/390*60</f>
        <v>#REF!</v>
      </c>
      <c r="V1004" s="40"/>
      <c r="W1004" s="47"/>
      <c r="X1004" s="40"/>
    </row>
    <row r="1005" spans="1:24" s="20" customFormat="1" ht="19.5" thickBot="1" x14ac:dyDescent="0.35">
      <c r="A1005" s="41"/>
      <c r="B1005" s="41" t="s">
        <v>293</v>
      </c>
      <c r="C1005" s="42" t="e">
        <f>C866+C831</f>
        <v>#REF!</v>
      </c>
      <c r="D1005" s="43" t="e">
        <f>C1005*12</f>
        <v>#REF!</v>
      </c>
      <c r="E1005" s="63" t="e">
        <f>D1005*0.3</f>
        <v>#REF!</v>
      </c>
      <c r="F1005" s="50" t="e">
        <f t="shared" ref="F1005:F1018" si="244">E1005*1.03*0.99/147</f>
        <v>#REF!</v>
      </c>
      <c r="G1005" s="42" t="e">
        <f t="shared" si="242"/>
        <v>#REF!</v>
      </c>
      <c r="H1005" s="45" t="s">
        <v>18</v>
      </c>
      <c r="I1005" s="42" t="e">
        <f t="shared" si="243"/>
        <v>#REF!</v>
      </c>
      <c r="J1005" s="40" t="s">
        <v>19</v>
      </c>
      <c r="K1005" s="40"/>
      <c r="L1005" s="40"/>
      <c r="M1005" s="52" t="e">
        <f>(F1005*5927)/2880</f>
        <v>#REF!</v>
      </c>
      <c r="N1005" s="40"/>
      <c r="O1005" s="40"/>
      <c r="P1005" s="40"/>
      <c r="Q1005" s="14" t="s">
        <v>18</v>
      </c>
      <c r="R1005" s="40"/>
      <c r="S1005" s="40" t="s">
        <v>19</v>
      </c>
      <c r="T1005" s="47"/>
      <c r="U1005" s="40" t="e">
        <f>E1005/403*60</f>
        <v>#REF!</v>
      </c>
      <c r="V1005" s="40"/>
      <c r="W1005" s="47"/>
      <c r="X1005" s="40"/>
    </row>
    <row r="1006" spans="1:24" s="20" customFormat="1" ht="19.5" thickBot="1" x14ac:dyDescent="0.35">
      <c r="A1006" s="41"/>
      <c r="B1006" s="41" t="s">
        <v>79</v>
      </c>
      <c r="C1006" s="42" t="e">
        <f>C833</f>
        <v>#REF!</v>
      </c>
      <c r="D1006" s="43" t="e">
        <f>C1006*12</f>
        <v>#REF!</v>
      </c>
      <c r="E1006" s="40" t="e">
        <f>D1006*0.25</f>
        <v>#REF!</v>
      </c>
      <c r="F1006" s="50" t="e">
        <f>E1006*1.03*0.99/90</f>
        <v>#REF!</v>
      </c>
      <c r="G1006" s="42" t="e">
        <f t="shared" si="242"/>
        <v>#REF!</v>
      </c>
      <c r="H1006" s="45" t="s">
        <v>18</v>
      </c>
      <c r="I1006" s="42" t="e">
        <f t="shared" si="243"/>
        <v>#REF!</v>
      </c>
      <c r="J1006" s="40" t="s">
        <v>19</v>
      </c>
      <c r="K1006" s="40"/>
      <c r="L1006" s="40"/>
      <c r="M1006" s="52" t="e">
        <f>((F1006*100)/0.022)/2880</f>
        <v>#REF!</v>
      </c>
      <c r="N1006" s="40"/>
      <c r="O1006" s="40"/>
      <c r="P1006" s="40"/>
      <c r="Q1006" s="14" t="s">
        <v>18</v>
      </c>
      <c r="R1006" s="40"/>
      <c r="S1006" s="40" t="s">
        <v>19</v>
      </c>
      <c r="T1006" s="47"/>
      <c r="U1006" s="40" t="e">
        <f>E1006/226*60</f>
        <v>#REF!</v>
      </c>
      <c r="V1006" s="40"/>
      <c r="W1006" s="47"/>
      <c r="X1006" s="40"/>
    </row>
    <row r="1007" spans="1:24" s="20" customFormat="1" ht="19.5" thickBot="1" x14ac:dyDescent="0.35">
      <c r="A1007" s="41"/>
      <c r="B1007" s="41" t="s">
        <v>80</v>
      </c>
      <c r="C1007" s="42" t="e">
        <f>C834</f>
        <v>#REF!</v>
      </c>
      <c r="D1007" s="43" t="e">
        <f>C1007*12</f>
        <v>#REF!</v>
      </c>
      <c r="E1007" s="40" t="e">
        <f>D1007*0.25</f>
        <v>#REF!</v>
      </c>
      <c r="F1007" s="50" t="e">
        <f>E1007*1.03*0.99/90</f>
        <v>#REF!</v>
      </c>
      <c r="G1007" s="42" t="e">
        <f t="shared" si="242"/>
        <v>#REF!</v>
      </c>
      <c r="H1007" s="45" t="s">
        <v>18</v>
      </c>
      <c r="I1007" s="42" t="e">
        <f t="shared" si="243"/>
        <v>#REF!</v>
      </c>
      <c r="J1007" s="40" t="s">
        <v>19</v>
      </c>
      <c r="K1007" s="40"/>
      <c r="L1007" s="40"/>
      <c r="M1007" s="52" t="e">
        <f>((F1007*100)/0.022)/2880</f>
        <v>#REF!</v>
      </c>
      <c r="N1007" s="40"/>
      <c r="O1007" s="40"/>
      <c r="P1007" s="40"/>
      <c r="Q1007" s="14" t="s">
        <v>18</v>
      </c>
      <c r="R1007" s="40"/>
      <c r="S1007" s="40" t="s">
        <v>19</v>
      </c>
      <c r="T1007" s="47"/>
      <c r="U1007" s="40" t="e">
        <f>E1007/226*60</f>
        <v>#REF!</v>
      </c>
      <c r="V1007" s="40"/>
      <c r="W1007" s="47"/>
      <c r="X1007" s="40"/>
    </row>
    <row r="1008" spans="1:24" s="20" customFormat="1" ht="19.5" thickBot="1" x14ac:dyDescent="0.35">
      <c r="A1008" s="41"/>
      <c r="B1008" s="41" t="s">
        <v>109</v>
      </c>
      <c r="C1008" s="42" t="e">
        <f>C869+C839</f>
        <v>#REF!</v>
      </c>
      <c r="D1008" s="43" t="e">
        <f>C1008*14</f>
        <v>#REF!</v>
      </c>
      <c r="E1008" s="64" t="e">
        <f>D1008*0.2</f>
        <v>#REF!</v>
      </c>
      <c r="F1008" s="50" t="e">
        <f t="shared" si="244"/>
        <v>#REF!</v>
      </c>
      <c r="G1008" s="42" t="e">
        <f t="shared" ref="G1008:G1018" si="245">INT(M1008)</f>
        <v>#REF!</v>
      </c>
      <c r="H1008" s="45" t="s">
        <v>18</v>
      </c>
      <c r="I1008" s="42" t="e">
        <f t="shared" ref="I1008:I1018" si="246">(M1008-G1008)*64</f>
        <v>#REF!</v>
      </c>
      <c r="J1008" s="40" t="s">
        <v>19</v>
      </c>
      <c r="K1008" s="40"/>
      <c r="L1008" s="40"/>
      <c r="M1008" s="46" t="e">
        <f>F1008*8698/2880</f>
        <v>#REF!</v>
      </c>
      <c r="N1008" s="40"/>
      <c r="O1008" s="40"/>
      <c r="P1008" s="40"/>
      <c r="Q1008" s="14" t="s">
        <v>18</v>
      </c>
      <c r="R1008" s="40"/>
      <c r="S1008" s="40" t="s">
        <v>19</v>
      </c>
      <c r="T1008" s="47"/>
      <c r="U1008" s="40" t="e">
        <f>E1008/313*60</f>
        <v>#REF!</v>
      </c>
      <c r="V1008" s="40"/>
      <c r="W1008" s="47"/>
      <c r="X1008" s="40"/>
    </row>
    <row r="1009" spans="1:24" s="20" customFormat="1" ht="19.5" thickBot="1" x14ac:dyDescent="0.35">
      <c r="A1009" s="41"/>
      <c r="B1009" s="41" t="s">
        <v>107</v>
      </c>
      <c r="C1009" s="42" t="e">
        <f>C870+C836</f>
        <v>#REF!</v>
      </c>
      <c r="D1009" s="43" t="e">
        <f t="shared" ref="D1009:D1015" si="247">C1009*12</f>
        <v>#REF!</v>
      </c>
      <c r="E1009" s="64" t="e">
        <f>D1009*0.26</f>
        <v>#REF!</v>
      </c>
      <c r="F1009" s="50" t="e">
        <f t="shared" si="244"/>
        <v>#REF!</v>
      </c>
      <c r="G1009" s="42" t="e">
        <f t="shared" si="245"/>
        <v>#REF!</v>
      </c>
      <c r="H1009" s="45" t="s">
        <v>18</v>
      </c>
      <c r="I1009" s="42" t="e">
        <f t="shared" si="246"/>
        <v>#REF!</v>
      </c>
      <c r="J1009" s="40" t="s">
        <v>19</v>
      </c>
      <c r="K1009" s="40"/>
      <c r="L1009" s="40"/>
      <c r="M1009" s="52" t="e">
        <f>(F1009*6743)/2880</f>
        <v>#REF!</v>
      </c>
      <c r="N1009" s="40"/>
      <c r="O1009" s="40"/>
      <c r="P1009" s="40"/>
      <c r="Q1009" s="14" t="s">
        <v>18</v>
      </c>
      <c r="R1009" s="40"/>
      <c r="S1009" s="40" t="s">
        <v>19</v>
      </c>
      <c r="T1009" s="47"/>
      <c r="U1009" s="40" t="e">
        <f>E1009/403*60</f>
        <v>#REF!</v>
      </c>
      <c r="V1009" s="40"/>
      <c r="W1009" s="47"/>
      <c r="X1009" s="40"/>
    </row>
    <row r="1010" spans="1:24" s="20" customFormat="1" ht="19.5" thickBot="1" x14ac:dyDescent="0.35">
      <c r="A1010" s="41"/>
      <c r="B1010" s="41" t="s">
        <v>117</v>
      </c>
      <c r="C1010" s="42" t="e">
        <f>C835</f>
        <v>#REF!</v>
      </c>
      <c r="D1010" s="43" t="e">
        <f t="shared" si="247"/>
        <v>#REF!</v>
      </c>
      <c r="E1010" s="40" t="e">
        <f>D1010*0.26</f>
        <v>#REF!</v>
      </c>
      <c r="F1010" s="50" t="e">
        <f t="shared" si="244"/>
        <v>#REF!</v>
      </c>
      <c r="G1010" s="42" t="e">
        <f t="shared" si="245"/>
        <v>#REF!</v>
      </c>
      <c r="H1010" s="45" t="s">
        <v>18</v>
      </c>
      <c r="I1010" s="42" t="e">
        <f t="shared" si="246"/>
        <v>#REF!</v>
      </c>
      <c r="J1010" s="40" t="s">
        <v>19</v>
      </c>
      <c r="K1010" s="40"/>
      <c r="L1010" s="40"/>
      <c r="M1010" s="52" t="e">
        <f>(F1010*6743)/2880</f>
        <v>#REF!</v>
      </c>
      <c r="N1010" s="40"/>
      <c r="O1010" s="40"/>
      <c r="P1010" s="40"/>
      <c r="Q1010" s="14" t="s">
        <v>18</v>
      </c>
      <c r="R1010" s="40"/>
      <c r="S1010" s="40" t="s">
        <v>19</v>
      </c>
      <c r="T1010" s="47"/>
      <c r="U1010" s="40" t="e">
        <f>E1010/237*60</f>
        <v>#REF!</v>
      </c>
      <c r="V1010" s="40"/>
      <c r="W1010" s="47"/>
      <c r="X1010" s="40"/>
    </row>
    <row r="1011" spans="1:24" s="20" customFormat="1" ht="19.5" thickBot="1" x14ac:dyDescent="0.35">
      <c r="A1011" s="41"/>
      <c r="B1011" s="41" t="s">
        <v>125</v>
      </c>
      <c r="C1011" s="42">
        <f>C871</f>
        <v>0</v>
      </c>
      <c r="D1011" s="43">
        <f t="shared" si="247"/>
        <v>0</v>
      </c>
      <c r="E1011" s="63">
        <f>D1011*0.26</f>
        <v>0</v>
      </c>
      <c r="F1011" s="50">
        <f t="shared" si="244"/>
        <v>0</v>
      </c>
      <c r="G1011" s="42">
        <f t="shared" si="245"/>
        <v>0</v>
      </c>
      <c r="H1011" s="45" t="s">
        <v>18</v>
      </c>
      <c r="I1011" s="42">
        <f t="shared" si="246"/>
        <v>0</v>
      </c>
      <c r="J1011" s="40" t="s">
        <v>19</v>
      </c>
      <c r="K1011" s="40"/>
      <c r="L1011" s="40"/>
      <c r="M1011" s="52">
        <f>(F1011*6743)/2880</f>
        <v>0</v>
      </c>
      <c r="N1011" s="40"/>
      <c r="O1011" s="40"/>
      <c r="P1011" s="40"/>
      <c r="Q1011" s="14" t="s">
        <v>18</v>
      </c>
      <c r="R1011" s="40"/>
      <c r="S1011" s="40" t="s">
        <v>19</v>
      </c>
      <c r="T1011" s="47"/>
      <c r="U1011" s="40">
        <f>E1011/403*60</f>
        <v>0</v>
      </c>
      <c r="V1011" s="40"/>
      <c r="W1011" s="47"/>
      <c r="X1011" s="40"/>
    </row>
    <row r="1012" spans="1:24" s="20" customFormat="1" ht="19.5" thickBot="1" x14ac:dyDescent="0.35">
      <c r="A1012" s="41"/>
      <c r="B1012" s="41" t="s">
        <v>233</v>
      </c>
      <c r="C1012" s="42" t="e">
        <f>C872+C838</f>
        <v>#REF!</v>
      </c>
      <c r="D1012" s="43" t="e">
        <f t="shared" si="247"/>
        <v>#REF!</v>
      </c>
      <c r="E1012" s="64" t="e">
        <f>D1012*0.25</f>
        <v>#REF!</v>
      </c>
      <c r="F1012" s="50" t="e">
        <f t="shared" si="244"/>
        <v>#REF!</v>
      </c>
      <c r="G1012" s="42" t="e">
        <f t="shared" si="245"/>
        <v>#REF!</v>
      </c>
      <c r="H1012" s="14" t="s">
        <v>18</v>
      </c>
      <c r="I1012" s="42" t="e">
        <f t="shared" si="246"/>
        <v>#REF!</v>
      </c>
      <c r="J1012" s="14" t="s">
        <v>19</v>
      </c>
      <c r="K1012" s="40"/>
      <c r="L1012" s="40"/>
      <c r="M1012" s="52" t="e">
        <f>(F1012*7000)/2880</f>
        <v>#REF!</v>
      </c>
      <c r="N1012" s="40"/>
      <c r="O1012" s="40"/>
      <c r="P1012" s="40"/>
      <c r="Q1012" s="14" t="s">
        <v>18</v>
      </c>
      <c r="R1012" s="40"/>
      <c r="S1012" s="40" t="s">
        <v>19</v>
      </c>
      <c r="T1012" s="47"/>
      <c r="U1012" s="40" t="e">
        <f>E1012/390*60</f>
        <v>#REF!</v>
      </c>
      <c r="V1012" s="40"/>
      <c r="W1012" s="47"/>
      <c r="X1012" s="40"/>
    </row>
    <row r="1013" spans="1:24" s="20" customFormat="1" ht="19.5" thickBot="1" x14ac:dyDescent="0.35">
      <c r="A1013" s="41"/>
      <c r="B1013" s="41" t="s">
        <v>110</v>
      </c>
      <c r="C1013" s="42" t="e">
        <f>C874+C840</f>
        <v>#REF!</v>
      </c>
      <c r="D1013" s="43" t="e">
        <f t="shared" si="247"/>
        <v>#REF!</v>
      </c>
      <c r="E1013" s="63" t="e">
        <f>D1013*0.26</f>
        <v>#REF!</v>
      </c>
      <c r="F1013" s="50" t="e">
        <f t="shared" si="244"/>
        <v>#REF!</v>
      </c>
      <c r="G1013" s="42" t="e">
        <f t="shared" si="245"/>
        <v>#REF!</v>
      </c>
      <c r="H1013" s="45" t="s">
        <v>18</v>
      </c>
      <c r="I1013" s="42" t="e">
        <f t="shared" si="246"/>
        <v>#REF!</v>
      </c>
      <c r="J1013" s="40" t="s">
        <v>19</v>
      </c>
      <c r="K1013" s="40"/>
      <c r="L1013" s="40"/>
      <c r="M1013" s="52" t="e">
        <f>(F1013*6966)/2880</f>
        <v>#REF!</v>
      </c>
      <c r="N1013" s="40"/>
      <c r="O1013" s="40"/>
      <c r="P1013" s="40"/>
      <c r="Q1013" s="14" t="s">
        <v>18</v>
      </c>
      <c r="R1013" s="40"/>
      <c r="S1013" s="40" t="s">
        <v>19</v>
      </c>
      <c r="T1013" s="47"/>
      <c r="U1013" s="40" t="e">
        <f>E1013/403*60</f>
        <v>#REF!</v>
      </c>
      <c r="V1013" s="40"/>
      <c r="W1013" s="47"/>
      <c r="X1013" s="40"/>
    </row>
    <row r="1014" spans="1:24" s="20" customFormat="1" ht="19.5" thickBot="1" x14ac:dyDescent="0.35">
      <c r="A1014" s="41"/>
      <c r="B1014" s="41" t="s">
        <v>104</v>
      </c>
      <c r="C1014" s="42" t="e">
        <f>C875+C843</f>
        <v>#REF!</v>
      </c>
      <c r="D1014" s="43" t="e">
        <f t="shared" si="247"/>
        <v>#REF!</v>
      </c>
      <c r="E1014" s="63" t="e">
        <f>D1014*0.25</f>
        <v>#REF!</v>
      </c>
      <c r="F1014" s="50" t="e">
        <f t="shared" si="244"/>
        <v>#REF!</v>
      </c>
      <c r="G1014" s="42" t="e">
        <f t="shared" si="245"/>
        <v>#REF!</v>
      </c>
      <c r="H1014" s="14" t="s">
        <v>18</v>
      </c>
      <c r="I1014" s="42" t="e">
        <f t="shared" si="246"/>
        <v>#REF!</v>
      </c>
      <c r="J1014" s="14" t="s">
        <v>19</v>
      </c>
      <c r="K1014" s="40"/>
      <c r="L1014" s="40"/>
      <c r="M1014" s="52" t="e">
        <f>(F1014*7000)/2880</f>
        <v>#REF!</v>
      </c>
      <c r="N1014" s="40"/>
      <c r="O1014" s="40"/>
      <c r="P1014" s="40"/>
      <c r="Q1014" s="14" t="s">
        <v>18</v>
      </c>
      <c r="R1014" s="40"/>
      <c r="S1014" s="40" t="s">
        <v>19</v>
      </c>
      <c r="T1014" s="47"/>
      <c r="U1014" s="40" t="e">
        <f>E1014/390*60</f>
        <v>#REF!</v>
      </c>
      <c r="V1014" s="40"/>
      <c r="W1014" s="47"/>
      <c r="X1014" s="40"/>
    </row>
    <row r="1015" spans="1:24" s="20" customFormat="1" ht="19.5" thickBot="1" x14ac:dyDescent="0.35">
      <c r="A1015" s="41"/>
      <c r="B1015" s="41" t="s">
        <v>112</v>
      </c>
      <c r="C1015" s="42" t="e">
        <f>C876+C844</f>
        <v>#REF!</v>
      </c>
      <c r="D1015" s="43" t="e">
        <f t="shared" si="247"/>
        <v>#REF!</v>
      </c>
      <c r="E1015" s="63" t="e">
        <f>D1015*0.25</f>
        <v>#REF!</v>
      </c>
      <c r="F1015" s="50" t="e">
        <f t="shared" si="244"/>
        <v>#REF!</v>
      </c>
      <c r="G1015" s="42" t="e">
        <f t="shared" si="245"/>
        <v>#REF!</v>
      </c>
      <c r="H1015" s="14" t="s">
        <v>18</v>
      </c>
      <c r="I1015" s="42" t="e">
        <f t="shared" si="246"/>
        <v>#REF!</v>
      </c>
      <c r="J1015" s="14" t="s">
        <v>19</v>
      </c>
      <c r="K1015" s="40"/>
      <c r="L1015" s="40"/>
      <c r="M1015" s="52" t="e">
        <f>(F1015*7000)/2880</f>
        <v>#REF!</v>
      </c>
      <c r="N1015" s="40"/>
      <c r="O1015" s="40"/>
      <c r="P1015" s="40"/>
      <c r="Q1015" s="45" t="s">
        <v>18</v>
      </c>
      <c r="R1015" s="40"/>
      <c r="S1015" s="40" t="s">
        <v>19</v>
      </c>
      <c r="T1015" s="47"/>
      <c r="U1015" s="40" t="e">
        <f>E1015/403*60</f>
        <v>#REF!</v>
      </c>
      <c r="V1015" s="40"/>
      <c r="W1015" s="47"/>
      <c r="X1015" s="40"/>
    </row>
    <row r="1016" spans="1:24" s="20" customFormat="1" ht="19.5" thickBot="1" x14ac:dyDescent="0.35">
      <c r="A1016" s="41"/>
      <c r="B1016" s="41" t="s">
        <v>105</v>
      </c>
      <c r="C1016" s="42" t="e">
        <f>C878+C845</f>
        <v>#REF!</v>
      </c>
      <c r="D1016" s="43" t="e">
        <f>C1016*12</f>
        <v>#REF!</v>
      </c>
      <c r="E1016" s="64" t="e">
        <f>D1016*0.25</f>
        <v>#REF!</v>
      </c>
      <c r="F1016" s="50" t="e">
        <f t="shared" si="244"/>
        <v>#REF!</v>
      </c>
      <c r="G1016" s="42" t="e">
        <f t="shared" si="245"/>
        <v>#REF!</v>
      </c>
      <c r="H1016" s="14" t="s">
        <v>18</v>
      </c>
      <c r="I1016" s="42" t="e">
        <f t="shared" si="246"/>
        <v>#REF!</v>
      </c>
      <c r="J1016" s="14" t="s">
        <v>19</v>
      </c>
      <c r="K1016" s="40"/>
      <c r="L1016" s="40"/>
      <c r="M1016" s="52" t="e">
        <f>(F1016*7000)/2880</f>
        <v>#REF!</v>
      </c>
      <c r="N1016" s="40"/>
      <c r="O1016" s="40"/>
      <c r="P1016" s="40"/>
      <c r="Q1016" s="14" t="s">
        <v>18</v>
      </c>
      <c r="R1016" s="40"/>
      <c r="S1016" s="40" t="s">
        <v>19</v>
      </c>
      <c r="T1016" s="47"/>
      <c r="U1016" s="40" t="e">
        <f>E1016/390*60</f>
        <v>#REF!</v>
      </c>
      <c r="V1016" s="40"/>
      <c r="W1016" s="47"/>
      <c r="X1016" s="40"/>
    </row>
    <row r="1017" spans="1:24" s="20" customFormat="1" ht="19.5" thickBot="1" x14ac:dyDescent="0.35">
      <c r="A1017" s="41"/>
      <c r="B1017" s="41" t="s">
        <v>127</v>
      </c>
      <c r="C1017" s="42" t="e">
        <f>C879+C841</f>
        <v>#REF!</v>
      </c>
      <c r="D1017" s="43" t="e">
        <f>C1017*12</f>
        <v>#REF!</v>
      </c>
      <c r="E1017" s="63" t="e">
        <f>D1017*0.25</f>
        <v>#REF!</v>
      </c>
      <c r="F1017" s="50" t="e">
        <f t="shared" si="244"/>
        <v>#REF!</v>
      </c>
      <c r="G1017" s="42" t="e">
        <f t="shared" si="245"/>
        <v>#REF!</v>
      </c>
      <c r="H1017" s="14" t="s">
        <v>18</v>
      </c>
      <c r="I1017" s="42" t="e">
        <f t="shared" si="246"/>
        <v>#REF!</v>
      </c>
      <c r="J1017" s="14" t="s">
        <v>19</v>
      </c>
      <c r="K1017" s="40"/>
      <c r="L1017" s="40"/>
      <c r="M1017" s="52" t="e">
        <f>(F1017*7000)/2880</f>
        <v>#REF!</v>
      </c>
      <c r="N1017" s="40"/>
      <c r="O1017" s="40"/>
      <c r="P1017" s="40"/>
      <c r="Q1017" s="14" t="s">
        <v>18</v>
      </c>
      <c r="R1017" s="40"/>
      <c r="S1017" s="40" t="s">
        <v>19</v>
      </c>
      <c r="T1017" s="47"/>
      <c r="U1017" s="40" t="e">
        <f>E1017/390*60</f>
        <v>#REF!</v>
      </c>
      <c r="V1017" s="40"/>
      <c r="W1017" s="47"/>
      <c r="X1017" s="40"/>
    </row>
    <row r="1018" spans="1:24" s="20" customFormat="1" ht="19.5" thickBot="1" x14ac:dyDescent="0.35">
      <c r="A1018" s="41"/>
      <c r="B1018" s="41" t="s">
        <v>124</v>
      </c>
      <c r="C1018" s="42" t="e">
        <f>C880+C842</f>
        <v>#REF!</v>
      </c>
      <c r="D1018" s="43" t="e">
        <f>C1018*12</f>
        <v>#REF!</v>
      </c>
      <c r="E1018" s="64" t="e">
        <f>D1018*0.25</f>
        <v>#REF!</v>
      </c>
      <c r="F1018" s="50" t="e">
        <f t="shared" si="244"/>
        <v>#REF!</v>
      </c>
      <c r="G1018" s="42" t="e">
        <f t="shared" si="245"/>
        <v>#REF!</v>
      </c>
      <c r="H1018" s="14" t="s">
        <v>18</v>
      </c>
      <c r="I1018" s="42" t="e">
        <f t="shared" si="246"/>
        <v>#REF!</v>
      </c>
      <c r="J1018" s="14" t="s">
        <v>19</v>
      </c>
      <c r="K1018" s="40"/>
      <c r="L1018" s="40"/>
      <c r="M1018" s="52" t="e">
        <f>(F1018*7000)/2880</f>
        <v>#REF!</v>
      </c>
      <c r="N1018" s="40"/>
      <c r="O1018" s="40"/>
      <c r="P1018" s="40"/>
      <c r="Q1018" s="14" t="s">
        <v>18</v>
      </c>
      <c r="R1018" s="40"/>
      <c r="S1018" s="40" t="s">
        <v>19</v>
      </c>
      <c r="T1018" s="47"/>
      <c r="U1018" s="40" t="e">
        <f>E1018/390*60</f>
        <v>#REF!</v>
      </c>
      <c r="V1018" s="40"/>
      <c r="W1018" s="47"/>
      <c r="X1018" s="40"/>
    </row>
    <row r="1019" spans="1:24" s="20" customFormat="1" ht="19.5" thickBot="1" x14ac:dyDescent="0.35">
      <c r="A1019" s="140"/>
      <c r="B1019" s="141" t="s">
        <v>285</v>
      </c>
      <c r="C1019" s="42"/>
      <c r="D1019" s="43"/>
      <c r="E1019" s="64"/>
      <c r="F1019" s="50"/>
      <c r="G1019" s="42"/>
      <c r="H1019" s="14"/>
      <c r="I1019" s="42"/>
      <c r="J1019" s="14"/>
      <c r="K1019" s="40"/>
      <c r="L1019" s="40"/>
      <c r="M1019" s="52"/>
      <c r="N1019" s="40"/>
      <c r="O1019" s="40"/>
      <c r="P1019" s="40"/>
      <c r="Q1019" s="14"/>
      <c r="R1019" s="40"/>
      <c r="S1019" s="40"/>
      <c r="T1019" s="47"/>
      <c r="U1019" s="40"/>
      <c r="V1019" s="40"/>
      <c r="W1019" s="47"/>
      <c r="X1019" s="40"/>
    </row>
    <row r="1020" spans="1:24" s="20" customFormat="1" ht="19.5" thickBot="1" x14ac:dyDescent="0.35">
      <c r="A1020" s="41"/>
      <c r="B1020" s="41" t="s">
        <v>94</v>
      </c>
      <c r="C1020" s="42" t="e">
        <f t="shared" ref="C1020:C1030" si="248">C781+C726</f>
        <v>#REF!</v>
      </c>
      <c r="D1020" s="43" t="e">
        <f>C1020*18</f>
        <v>#REF!</v>
      </c>
      <c r="E1020" s="40" t="e">
        <f>D1020*0.2</f>
        <v>#REF!</v>
      </c>
      <c r="F1020" s="50" t="e">
        <f>E1020*1.03*0.8/147</f>
        <v>#REF!</v>
      </c>
      <c r="G1020" s="42" t="e">
        <f t="shared" ref="G1020:G1033" si="249">INT(M1020)</f>
        <v>#REF!</v>
      </c>
      <c r="H1020" s="45" t="s">
        <v>18</v>
      </c>
      <c r="I1020" s="42" t="e">
        <f t="shared" ref="I1020:I1033" si="250">(M1020-G1020)*64</f>
        <v>#REF!</v>
      </c>
      <c r="J1020" s="40" t="s">
        <v>19</v>
      </c>
      <c r="K1020" s="40"/>
      <c r="L1020" s="40"/>
      <c r="M1020" s="46" t="e">
        <f>(F1020*5675)/3456</f>
        <v>#REF!</v>
      </c>
      <c r="N1020" s="40"/>
      <c r="O1020" s="40"/>
      <c r="P1020" s="40"/>
      <c r="Q1020" s="45" t="s">
        <v>18</v>
      </c>
      <c r="R1020" s="40"/>
      <c r="S1020" s="40" t="s">
        <v>19</v>
      </c>
      <c r="T1020" s="47"/>
      <c r="U1020" s="40" t="e">
        <f>E1020/220*60</f>
        <v>#REF!</v>
      </c>
      <c r="V1020" s="40"/>
      <c r="W1020" s="47"/>
      <c r="X1020" s="40"/>
    </row>
    <row r="1021" spans="1:24" s="20" customFormat="1" ht="19.5" thickBot="1" x14ac:dyDescent="0.35">
      <c r="A1021" s="41"/>
      <c r="B1021" s="41" t="s">
        <v>78</v>
      </c>
      <c r="C1021" s="42" t="e">
        <f t="shared" si="248"/>
        <v>#REF!</v>
      </c>
      <c r="D1021" s="43" t="e">
        <f>C1021*18</f>
        <v>#REF!</v>
      </c>
      <c r="E1021" s="40" t="e">
        <f>D1021*0.2</f>
        <v>#REF!</v>
      </c>
      <c r="F1021" s="50" t="e">
        <f>E1021*1.03*0.8/90</f>
        <v>#REF!</v>
      </c>
      <c r="G1021" s="42" t="e">
        <f t="shared" si="249"/>
        <v>#REF!</v>
      </c>
      <c r="H1021" s="45" t="s">
        <v>18</v>
      </c>
      <c r="I1021" s="42" t="e">
        <f t="shared" si="250"/>
        <v>#REF!</v>
      </c>
      <c r="J1021" s="40" t="s">
        <v>19</v>
      </c>
      <c r="K1021" s="40"/>
      <c r="L1021" s="40"/>
      <c r="M1021" s="46" t="e">
        <f>((F1021*100)/0.0275)/3456</f>
        <v>#REF!</v>
      </c>
      <c r="N1021" s="40"/>
      <c r="O1021" s="40"/>
      <c r="P1021" s="40"/>
      <c r="Q1021" s="45" t="s">
        <v>18</v>
      </c>
      <c r="R1021" s="40"/>
      <c r="S1021" s="40" t="s">
        <v>19</v>
      </c>
      <c r="T1021" s="47"/>
      <c r="U1021" s="40" t="e">
        <f>E1021/220*60</f>
        <v>#REF!</v>
      </c>
      <c r="V1021" s="40"/>
      <c r="W1021" s="47"/>
      <c r="X1021" s="40"/>
    </row>
    <row r="1022" spans="1:24" s="20" customFormat="1" ht="19.5" thickBot="1" x14ac:dyDescent="0.35">
      <c r="A1022" s="41"/>
      <c r="B1022" s="41" t="s">
        <v>95</v>
      </c>
      <c r="C1022" s="42" t="e">
        <f t="shared" si="248"/>
        <v>#REF!</v>
      </c>
      <c r="D1022" s="43" t="e">
        <f>C1022*18</f>
        <v>#REF!</v>
      </c>
      <c r="E1022" s="40" t="e">
        <f>D1022*0.2</f>
        <v>#REF!</v>
      </c>
      <c r="F1022" s="50" t="e">
        <f>E1022*1.03*0.8/147</f>
        <v>#REF!</v>
      </c>
      <c r="G1022" s="42" t="e">
        <f t="shared" si="249"/>
        <v>#REF!</v>
      </c>
      <c r="H1022" s="45" t="s">
        <v>18</v>
      </c>
      <c r="I1022" s="42" t="e">
        <f t="shared" si="250"/>
        <v>#REF!</v>
      </c>
      <c r="J1022" s="40" t="s">
        <v>19</v>
      </c>
      <c r="K1022" s="40"/>
      <c r="L1022" s="40"/>
      <c r="M1022" s="46" t="e">
        <f>(F1022*5675)/3456</f>
        <v>#REF!</v>
      </c>
      <c r="N1022" s="40"/>
      <c r="O1022" s="40"/>
      <c r="P1022" s="40"/>
      <c r="Q1022" s="45" t="s">
        <v>18</v>
      </c>
      <c r="R1022" s="40"/>
      <c r="S1022" s="40" t="s">
        <v>19</v>
      </c>
      <c r="T1022" s="47"/>
      <c r="U1022" s="40" t="e">
        <f>E1022/220*60</f>
        <v>#REF!</v>
      </c>
      <c r="V1022" s="40"/>
      <c r="W1022" s="47"/>
      <c r="X1022" s="40"/>
    </row>
    <row r="1023" spans="1:24" s="20" customFormat="1" ht="19.5" thickBot="1" x14ac:dyDescent="0.35">
      <c r="A1023" s="41"/>
      <c r="B1023" s="41" t="s">
        <v>226</v>
      </c>
      <c r="C1023" s="42" t="e">
        <f t="shared" si="248"/>
        <v>#REF!</v>
      </c>
      <c r="D1023" s="43" t="e">
        <f t="shared" ref="D1023:D1028" si="251">C1023*10</f>
        <v>#REF!</v>
      </c>
      <c r="E1023" s="40" t="e">
        <f>D1023*0.36</f>
        <v>#REF!</v>
      </c>
      <c r="F1023" s="50" t="e">
        <f>E1023*1.03*0.8/147</f>
        <v>#REF!</v>
      </c>
      <c r="G1023" s="42" t="e">
        <f t="shared" si="249"/>
        <v>#REF!</v>
      </c>
      <c r="H1023" s="45" t="s">
        <v>18</v>
      </c>
      <c r="I1023" s="42" t="e">
        <f t="shared" si="250"/>
        <v>#REF!</v>
      </c>
      <c r="J1023" s="40" t="s">
        <v>19</v>
      </c>
      <c r="K1023" s="40"/>
      <c r="L1023" s="40"/>
      <c r="M1023" s="46" t="e">
        <f>(F1023*6447)/3456</f>
        <v>#REF!</v>
      </c>
      <c r="N1023" s="40"/>
      <c r="O1023" s="40"/>
      <c r="P1023" s="40"/>
      <c r="Q1023" s="45" t="s">
        <v>18</v>
      </c>
      <c r="R1023" s="40"/>
      <c r="S1023" s="40" t="s">
        <v>19</v>
      </c>
      <c r="T1023" s="47"/>
      <c r="U1023" s="40" t="e">
        <f>E1023/220*60</f>
        <v>#REF!</v>
      </c>
      <c r="V1023" s="40"/>
      <c r="W1023" s="47"/>
      <c r="X1023" s="40"/>
    </row>
    <row r="1024" spans="1:24" s="20" customFormat="1" ht="19.5" thickBot="1" x14ac:dyDescent="0.35">
      <c r="A1024" s="41"/>
      <c r="B1024" s="41" t="s">
        <v>290</v>
      </c>
      <c r="C1024" s="42" t="e">
        <f t="shared" si="248"/>
        <v>#REF!</v>
      </c>
      <c r="D1024" s="43" t="e">
        <f t="shared" si="251"/>
        <v>#REF!</v>
      </c>
      <c r="E1024" s="40" t="e">
        <f>D1024*0.36</f>
        <v>#REF!</v>
      </c>
      <c r="F1024" s="50" t="e">
        <f>E1024*1.03*0.8/147</f>
        <v>#REF!</v>
      </c>
      <c r="G1024" s="42" t="e">
        <f t="shared" si="249"/>
        <v>#REF!</v>
      </c>
      <c r="H1024" s="45" t="s">
        <v>18</v>
      </c>
      <c r="I1024" s="42" t="e">
        <f t="shared" si="250"/>
        <v>#REF!</v>
      </c>
      <c r="J1024" s="40" t="s">
        <v>19</v>
      </c>
      <c r="K1024" s="40"/>
      <c r="L1024" s="40"/>
      <c r="M1024" s="46" t="e">
        <f>(F1024*6447)/3456</f>
        <v>#REF!</v>
      </c>
      <c r="N1024" s="40"/>
      <c r="O1024" s="40"/>
      <c r="P1024" s="40"/>
      <c r="Q1024" s="45" t="s">
        <v>18</v>
      </c>
      <c r="R1024" s="40"/>
      <c r="S1024" s="40" t="s">
        <v>19</v>
      </c>
      <c r="T1024" s="47"/>
      <c r="U1024" s="40" t="e">
        <f>E1024/220*60</f>
        <v>#REF!</v>
      </c>
      <c r="V1024" s="40"/>
      <c r="W1024" s="47"/>
      <c r="X1024" s="40"/>
    </row>
    <row r="1025" spans="1:24" s="20" customFormat="1" ht="19.5" thickBot="1" x14ac:dyDescent="0.35">
      <c r="A1025" s="41"/>
      <c r="B1025" s="41" t="s">
        <v>84</v>
      </c>
      <c r="C1025" s="42" t="e">
        <f t="shared" si="248"/>
        <v>#REF!</v>
      </c>
      <c r="D1025" s="43" t="e">
        <f t="shared" si="251"/>
        <v>#REF!</v>
      </c>
      <c r="E1025" s="45" t="e">
        <f t="shared" ref="E1025:E1030" si="252">D1025*0.25</f>
        <v>#REF!</v>
      </c>
      <c r="F1025" s="50" t="e">
        <f>E1025*1.03*0.72/147</f>
        <v>#REF!</v>
      </c>
      <c r="G1025" s="42" t="e">
        <f t="shared" si="249"/>
        <v>#REF!</v>
      </c>
      <c r="H1025" s="45" t="s">
        <v>18</v>
      </c>
      <c r="I1025" s="42" t="e">
        <f t="shared" si="250"/>
        <v>#REF!</v>
      </c>
      <c r="J1025" s="40" t="s">
        <v>19</v>
      </c>
      <c r="K1025" s="40"/>
      <c r="L1025" s="40"/>
      <c r="M1025" s="46" t="e">
        <f>(F1025*7177/3456)</f>
        <v>#REF!</v>
      </c>
      <c r="N1025" s="40"/>
      <c r="O1025" s="40"/>
      <c r="P1025" s="40"/>
      <c r="Q1025" s="14" t="s">
        <v>18</v>
      </c>
      <c r="R1025" s="40"/>
      <c r="S1025" s="40" t="s">
        <v>19</v>
      </c>
      <c r="T1025" s="47"/>
      <c r="U1025" s="40" t="e">
        <f t="shared" ref="U1025:U1032" si="253">E1025/259*60</f>
        <v>#REF!</v>
      </c>
      <c r="V1025" s="40"/>
      <c r="W1025" s="47"/>
      <c r="X1025" s="40"/>
    </row>
    <row r="1026" spans="1:24" s="20" customFormat="1" ht="19.5" thickBot="1" x14ac:dyDescent="0.35">
      <c r="A1026" s="41"/>
      <c r="B1026" s="41" t="s">
        <v>83</v>
      </c>
      <c r="C1026" s="42" t="e">
        <f t="shared" si="248"/>
        <v>#REF!</v>
      </c>
      <c r="D1026" s="43" t="e">
        <f t="shared" si="251"/>
        <v>#REF!</v>
      </c>
      <c r="E1026" s="45" t="e">
        <f t="shared" si="252"/>
        <v>#REF!</v>
      </c>
      <c r="F1026" s="50" t="e">
        <f>E1026*1.03*0.72/147</f>
        <v>#REF!</v>
      </c>
      <c r="G1026" s="42" t="e">
        <f t="shared" si="249"/>
        <v>#REF!</v>
      </c>
      <c r="H1026" s="45" t="s">
        <v>18</v>
      </c>
      <c r="I1026" s="42" t="e">
        <f t="shared" si="250"/>
        <v>#REF!</v>
      </c>
      <c r="J1026" s="40" t="s">
        <v>19</v>
      </c>
      <c r="K1026" s="40"/>
      <c r="L1026" s="40"/>
      <c r="M1026" s="46" t="e">
        <f>(F1026*8448/3456)</f>
        <v>#REF!</v>
      </c>
      <c r="N1026" s="40"/>
      <c r="O1026" s="40"/>
      <c r="P1026" s="40"/>
      <c r="Q1026" s="14" t="s">
        <v>18</v>
      </c>
      <c r="R1026" s="40"/>
      <c r="S1026" s="40" t="s">
        <v>19</v>
      </c>
      <c r="T1026" s="47"/>
      <c r="U1026" s="40" t="e">
        <f t="shared" si="253"/>
        <v>#REF!</v>
      </c>
      <c r="V1026" s="40"/>
      <c r="W1026" s="47"/>
      <c r="X1026" s="40"/>
    </row>
    <row r="1027" spans="1:24" s="20" customFormat="1" ht="19.5" thickBot="1" x14ac:dyDescent="0.35">
      <c r="A1027" s="41"/>
      <c r="B1027" s="41" t="s">
        <v>87</v>
      </c>
      <c r="C1027" s="42" t="e">
        <f t="shared" si="248"/>
        <v>#REF!</v>
      </c>
      <c r="D1027" s="43" t="e">
        <f t="shared" si="251"/>
        <v>#REF!</v>
      </c>
      <c r="E1027" s="45" t="e">
        <f t="shared" si="252"/>
        <v>#REF!</v>
      </c>
      <c r="F1027" s="50" t="e">
        <f>E1027*1.03*0.72/147</f>
        <v>#REF!</v>
      </c>
      <c r="G1027" s="42" t="e">
        <f t="shared" si="249"/>
        <v>#REF!</v>
      </c>
      <c r="H1027" s="45" t="s">
        <v>18</v>
      </c>
      <c r="I1027" s="42" t="e">
        <f t="shared" si="250"/>
        <v>#REF!</v>
      </c>
      <c r="J1027" s="40" t="s">
        <v>19</v>
      </c>
      <c r="K1027" s="40"/>
      <c r="L1027" s="40"/>
      <c r="M1027" s="46" t="e">
        <f>(F1027*8448/3456)</f>
        <v>#REF!</v>
      </c>
      <c r="N1027" s="40"/>
      <c r="O1027" s="40"/>
      <c r="P1027" s="40"/>
      <c r="Q1027" s="14" t="s">
        <v>18</v>
      </c>
      <c r="R1027" s="40"/>
      <c r="S1027" s="40" t="s">
        <v>19</v>
      </c>
      <c r="T1027" s="47"/>
      <c r="U1027" s="40" t="e">
        <f t="shared" si="253"/>
        <v>#REF!</v>
      </c>
      <c r="V1027" s="40"/>
      <c r="W1027" s="47"/>
      <c r="X1027" s="40"/>
    </row>
    <row r="1028" spans="1:24" s="20" customFormat="1" ht="38.25" thickBot="1" x14ac:dyDescent="0.35">
      <c r="A1028" s="41"/>
      <c r="B1028" s="41" t="s">
        <v>284</v>
      </c>
      <c r="C1028" s="42" t="e">
        <f t="shared" si="248"/>
        <v>#REF!</v>
      </c>
      <c r="D1028" s="43" t="e">
        <f t="shared" si="251"/>
        <v>#REF!</v>
      </c>
      <c r="E1028" s="45" t="e">
        <f t="shared" si="252"/>
        <v>#REF!</v>
      </c>
      <c r="F1028" s="50" t="e">
        <f>E1028*1.03*0.72/147</f>
        <v>#REF!</v>
      </c>
      <c r="G1028" s="42" t="e">
        <f t="shared" si="249"/>
        <v>#REF!</v>
      </c>
      <c r="H1028" s="45" t="s">
        <v>18</v>
      </c>
      <c r="I1028" s="42" t="e">
        <f t="shared" si="250"/>
        <v>#REF!</v>
      </c>
      <c r="J1028" s="40" t="s">
        <v>19</v>
      </c>
      <c r="K1028" s="40"/>
      <c r="L1028" s="40"/>
      <c r="M1028" s="46" t="e">
        <f>(F1028*7177/3456)</f>
        <v>#REF!</v>
      </c>
      <c r="N1028" s="40"/>
      <c r="O1028" s="40"/>
      <c r="P1028" s="40"/>
      <c r="Q1028" s="14" t="s">
        <v>18</v>
      </c>
      <c r="R1028" s="40"/>
      <c r="S1028" s="40" t="s">
        <v>19</v>
      </c>
      <c r="T1028" s="47"/>
      <c r="U1028" s="40" t="e">
        <f t="shared" si="253"/>
        <v>#REF!</v>
      </c>
      <c r="V1028" s="40"/>
      <c r="W1028" s="47"/>
      <c r="X1028" s="40"/>
    </row>
    <row r="1029" spans="1:24" s="20" customFormat="1" ht="38.25" thickBot="1" x14ac:dyDescent="0.35">
      <c r="A1029" s="41"/>
      <c r="B1029" s="41" t="s">
        <v>282</v>
      </c>
      <c r="C1029" s="42" t="e">
        <f t="shared" si="248"/>
        <v>#REF!</v>
      </c>
      <c r="D1029" s="43" t="e">
        <f>C1029*20</f>
        <v>#REF!</v>
      </c>
      <c r="E1029" s="45" t="e">
        <f t="shared" si="252"/>
        <v>#REF!</v>
      </c>
      <c r="F1029" s="50" t="e">
        <f>E1029*1.001*0.72/147</f>
        <v>#REF!</v>
      </c>
      <c r="G1029" s="42" t="e">
        <f t="shared" si="249"/>
        <v>#REF!</v>
      </c>
      <c r="H1029" s="45" t="s">
        <v>18</v>
      </c>
      <c r="I1029" s="42" t="e">
        <f t="shared" si="250"/>
        <v>#REF!</v>
      </c>
      <c r="J1029" s="40" t="s">
        <v>19</v>
      </c>
      <c r="K1029" s="40"/>
      <c r="L1029" s="40"/>
      <c r="M1029" s="46" t="e">
        <f>(F1029*7177/3456)</f>
        <v>#REF!</v>
      </c>
      <c r="N1029" s="40"/>
      <c r="O1029" s="40"/>
      <c r="P1029" s="40"/>
      <c r="Q1029" s="14" t="s">
        <v>18</v>
      </c>
      <c r="R1029" s="40"/>
      <c r="S1029" s="40" t="s">
        <v>19</v>
      </c>
      <c r="T1029" s="47"/>
      <c r="U1029" s="40" t="e">
        <f t="shared" si="253"/>
        <v>#REF!</v>
      </c>
      <c r="V1029" s="40"/>
      <c r="W1029" s="47"/>
      <c r="X1029" s="40"/>
    </row>
    <row r="1030" spans="1:24" s="20" customFormat="1" ht="19.5" thickBot="1" x14ac:dyDescent="0.35">
      <c r="A1030" s="41"/>
      <c r="B1030" s="41" t="s">
        <v>283</v>
      </c>
      <c r="C1030" s="42" t="e">
        <f t="shared" si="248"/>
        <v>#REF!</v>
      </c>
      <c r="D1030" s="43" t="e">
        <f>C1030*20</f>
        <v>#REF!</v>
      </c>
      <c r="E1030" s="45" t="e">
        <f t="shared" si="252"/>
        <v>#REF!</v>
      </c>
      <c r="F1030" s="50" t="e">
        <f>E1030*1.001*0.72/147</f>
        <v>#REF!</v>
      </c>
      <c r="G1030" s="42" t="e">
        <f t="shared" si="249"/>
        <v>#REF!</v>
      </c>
      <c r="H1030" s="45" t="s">
        <v>18</v>
      </c>
      <c r="I1030" s="42" t="e">
        <f t="shared" si="250"/>
        <v>#REF!</v>
      </c>
      <c r="J1030" s="40" t="s">
        <v>19</v>
      </c>
      <c r="K1030" s="40"/>
      <c r="L1030" s="40"/>
      <c r="M1030" s="46" t="e">
        <f>(F1030*7177/3456)</f>
        <v>#REF!</v>
      </c>
      <c r="N1030" s="40"/>
      <c r="O1030" s="40"/>
      <c r="P1030" s="40"/>
      <c r="Q1030" s="14" t="s">
        <v>18</v>
      </c>
      <c r="R1030" s="40"/>
      <c r="S1030" s="40" t="s">
        <v>19</v>
      </c>
      <c r="T1030" s="47"/>
      <c r="U1030" s="40" t="e">
        <f t="shared" si="253"/>
        <v>#REF!</v>
      </c>
      <c r="V1030" s="40"/>
      <c r="W1030" s="47"/>
      <c r="X1030" s="40"/>
    </row>
    <row r="1031" spans="1:24" s="20" customFormat="1" ht="19.5" thickBot="1" x14ac:dyDescent="0.35">
      <c r="A1031" s="41"/>
      <c r="B1031" s="41" t="s">
        <v>219</v>
      </c>
      <c r="C1031" s="42" t="e">
        <f>C793+C738</f>
        <v>#REF!</v>
      </c>
      <c r="D1031" s="43" t="e">
        <f>C1031*10</f>
        <v>#REF!</v>
      </c>
      <c r="E1031" s="45" t="e">
        <f>D1031*0.2</f>
        <v>#REF!</v>
      </c>
      <c r="F1031" s="50" t="e">
        <f>E1031*1.03*0.72/147</f>
        <v>#REF!</v>
      </c>
      <c r="G1031" s="42" t="e">
        <f t="shared" si="249"/>
        <v>#REF!</v>
      </c>
      <c r="H1031" s="45" t="s">
        <v>18</v>
      </c>
      <c r="I1031" s="42" t="e">
        <f t="shared" si="250"/>
        <v>#REF!</v>
      </c>
      <c r="J1031" s="40" t="s">
        <v>19</v>
      </c>
      <c r="K1031" s="40"/>
      <c r="L1031" s="40"/>
      <c r="M1031" s="46" t="e">
        <f>(F1031*8400/3456)</f>
        <v>#REF!</v>
      </c>
      <c r="N1031" s="40"/>
      <c r="O1031" s="40"/>
      <c r="P1031" s="40"/>
      <c r="Q1031" s="14" t="s">
        <v>18</v>
      </c>
      <c r="R1031" s="40"/>
      <c r="S1031" s="40" t="s">
        <v>19</v>
      </c>
      <c r="T1031" s="47"/>
      <c r="U1031" s="40" t="e">
        <f t="shared" si="253"/>
        <v>#REF!</v>
      </c>
      <c r="V1031" s="40"/>
      <c r="W1031" s="47"/>
      <c r="X1031" s="40"/>
    </row>
    <row r="1032" spans="1:24" s="20" customFormat="1" ht="19.5" thickBot="1" x14ac:dyDescent="0.35">
      <c r="A1032" s="41"/>
      <c r="B1032" s="41" t="s">
        <v>86</v>
      </c>
      <c r="C1032" s="42" t="e">
        <f>C794+C739</f>
        <v>#REF!</v>
      </c>
      <c r="D1032" s="43" t="e">
        <f>C1032*10</f>
        <v>#REF!</v>
      </c>
      <c r="E1032" s="45" t="e">
        <f>D1032*0.2</f>
        <v>#REF!</v>
      </c>
      <c r="F1032" s="50" t="e">
        <f>E1032*1.03*0.72/147</f>
        <v>#REF!</v>
      </c>
      <c r="G1032" s="42" t="e">
        <f t="shared" si="249"/>
        <v>#REF!</v>
      </c>
      <c r="H1032" s="45" t="s">
        <v>18</v>
      </c>
      <c r="I1032" s="42" t="e">
        <f t="shared" si="250"/>
        <v>#REF!</v>
      </c>
      <c r="J1032" s="40" t="s">
        <v>19</v>
      </c>
      <c r="K1032" s="40"/>
      <c r="L1032" s="40"/>
      <c r="M1032" s="46" t="e">
        <f>(F1032*8400/3456)</f>
        <v>#REF!</v>
      </c>
      <c r="N1032" s="40"/>
      <c r="O1032" s="40"/>
      <c r="P1032" s="40"/>
      <c r="Q1032" s="14" t="s">
        <v>18</v>
      </c>
      <c r="R1032" s="40"/>
      <c r="S1032" s="40" t="s">
        <v>19</v>
      </c>
      <c r="T1032" s="47"/>
      <c r="U1032" s="40" t="e">
        <f t="shared" si="253"/>
        <v>#REF!</v>
      </c>
      <c r="V1032" s="40"/>
      <c r="W1032" s="47"/>
      <c r="X1032" s="40"/>
    </row>
    <row r="1033" spans="1:24" s="20" customFormat="1" ht="19.5" thickBot="1" x14ac:dyDescent="0.35">
      <c r="A1033" s="41"/>
      <c r="B1033" s="41" t="s">
        <v>98</v>
      </c>
      <c r="C1033" s="42" t="e">
        <f>C795+C740</f>
        <v>#REF!</v>
      </c>
      <c r="D1033" s="43" t="e">
        <f>C1033*10</f>
        <v>#REF!</v>
      </c>
      <c r="E1033" s="40" t="e">
        <f>D1033*0.2</f>
        <v>#REF!</v>
      </c>
      <c r="F1033" s="50" t="e">
        <f>E1033*1.03*0.8/147</f>
        <v>#REF!</v>
      </c>
      <c r="G1033" s="42" t="e">
        <f t="shared" si="249"/>
        <v>#REF!</v>
      </c>
      <c r="H1033" s="45" t="s">
        <v>18</v>
      </c>
      <c r="I1033" s="42" t="e">
        <f t="shared" si="250"/>
        <v>#REF!</v>
      </c>
      <c r="J1033" s="40" t="s">
        <v>19</v>
      </c>
      <c r="K1033" s="40"/>
      <c r="L1033" s="40"/>
      <c r="M1033" s="46" t="e">
        <f>(F1033*9483)/3456</f>
        <v>#REF!</v>
      </c>
      <c r="N1033" s="40"/>
      <c r="O1033" s="40"/>
      <c r="P1033" s="40"/>
      <c r="Q1033" s="14" t="s">
        <v>18</v>
      </c>
      <c r="R1033" s="40"/>
      <c r="S1033" s="40" t="s">
        <v>19</v>
      </c>
      <c r="T1033" s="47"/>
      <c r="U1033" s="40" t="e">
        <f>E1033/220*60</f>
        <v>#REF!</v>
      </c>
      <c r="V1033" s="40"/>
      <c r="W1033" s="47"/>
      <c r="X1033" s="40"/>
    </row>
    <row r="1034" spans="1:24" s="20" customFormat="1" ht="19.5" thickBot="1" x14ac:dyDescent="0.35">
      <c r="A1034" s="140"/>
      <c r="B1034" s="142"/>
      <c r="C1034" s="42"/>
      <c r="D1034" s="43"/>
      <c r="E1034" s="64"/>
      <c r="F1034" s="50"/>
      <c r="G1034" s="42"/>
      <c r="H1034" s="14"/>
      <c r="I1034" s="42"/>
      <c r="J1034" s="14"/>
      <c r="K1034" s="40"/>
      <c r="L1034" s="40"/>
      <c r="M1034" s="52"/>
      <c r="N1034" s="40"/>
      <c r="O1034" s="40"/>
      <c r="P1034" s="40"/>
      <c r="Q1034" s="14"/>
      <c r="R1034" s="40"/>
      <c r="S1034" s="40"/>
      <c r="T1034" s="47"/>
      <c r="U1034" s="40"/>
      <c r="V1034" s="40"/>
      <c r="W1034" s="47"/>
      <c r="X1034" s="40"/>
    </row>
    <row r="1035" spans="1:24" s="20" customFormat="1" ht="19.5" thickBot="1" x14ac:dyDescent="0.35">
      <c r="A1035" s="70"/>
      <c r="B1035" s="68" t="s">
        <v>134</v>
      </c>
      <c r="C1035" s="27"/>
      <c r="D1035" s="28"/>
      <c r="E1035" s="30" t="e">
        <f>SUM(E1001:E1034)</f>
        <v>#REF!</v>
      </c>
      <c r="F1035" s="36"/>
      <c r="G1035" s="27"/>
      <c r="H1035" s="30"/>
      <c r="I1035" s="27"/>
      <c r="J1035" s="19"/>
      <c r="K1035" s="19"/>
      <c r="L1035" s="19"/>
      <c r="M1035" s="31"/>
      <c r="N1035" s="19"/>
      <c r="O1035" s="19"/>
      <c r="P1035" s="19"/>
      <c r="Q1035" s="35"/>
      <c r="R1035" s="19"/>
      <c r="S1035" s="19"/>
      <c r="T1035" s="32"/>
      <c r="U1035" s="19"/>
      <c r="V1035" s="19"/>
      <c r="W1035" s="32"/>
      <c r="X1035" s="19"/>
    </row>
    <row r="1036" spans="1:24" s="20" customFormat="1" ht="19.5" thickBot="1" x14ac:dyDescent="0.35">
      <c r="A1036" s="67"/>
      <c r="B1036" s="920" t="s">
        <v>308</v>
      </c>
      <c r="C1036" s="920"/>
      <c r="D1036" s="920"/>
      <c r="E1036" s="920"/>
      <c r="F1036" s="920"/>
      <c r="G1036" s="920"/>
      <c r="H1036" s="920"/>
      <c r="I1036" s="920"/>
      <c r="J1036" s="920"/>
      <c r="K1036" s="920"/>
      <c r="L1036" s="920"/>
      <c r="M1036" s="920"/>
      <c r="N1036" s="920"/>
      <c r="O1036" s="920"/>
      <c r="P1036" s="920"/>
      <c r="Q1036" s="920"/>
      <c r="R1036" s="920"/>
      <c r="S1036" s="920"/>
      <c r="T1036" s="920"/>
      <c r="U1036" s="920"/>
      <c r="V1036" s="920"/>
      <c r="W1036" s="920"/>
      <c r="X1036" s="920"/>
    </row>
    <row r="1037" spans="1:24" s="20" customFormat="1" ht="19.5" thickBot="1" x14ac:dyDescent="0.35">
      <c r="A1037" s="140"/>
      <c r="B1037" s="141" t="s">
        <v>285</v>
      </c>
      <c r="C1037" s="42"/>
      <c r="D1037" s="43"/>
      <c r="E1037" s="64"/>
      <c r="F1037" s="50"/>
      <c r="G1037" s="42"/>
      <c r="H1037" s="14"/>
      <c r="I1037" s="42"/>
      <c r="J1037" s="14"/>
      <c r="K1037" s="40"/>
      <c r="L1037" s="40"/>
      <c r="M1037" s="52"/>
      <c r="N1037" s="40"/>
      <c r="O1037" s="40"/>
      <c r="P1037" s="40"/>
      <c r="Q1037" s="14"/>
      <c r="R1037" s="40"/>
      <c r="S1037" s="40"/>
      <c r="T1037" s="47"/>
      <c r="U1037" s="40"/>
      <c r="V1037" s="40"/>
      <c r="W1037" s="47"/>
      <c r="X1037" s="40"/>
    </row>
    <row r="1038" spans="1:24" s="20" customFormat="1" ht="19.5" thickBot="1" x14ac:dyDescent="0.35">
      <c r="A1038" s="41"/>
      <c r="B1038" s="41" t="s">
        <v>94</v>
      </c>
      <c r="C1038" s="42" t="e">
        <f t="shared" ref="C1038:C1048" si="254">C781+C726</f>
        <v>#REF!</v>
      </c>
      <c r="D1038" s="43" t="e">
        <f>C1038*18</f>
        <v>#REF!</v>
      </c>
      <c r="E1038" s="40" t="e">
        <f>D1038*0.2</f>
        <v>#REF!</v>
      </c>
      <c r="F1038" s="50" t="e">
        <f>E1038*1.03*0.8/147</f>
        <v>#REF!</v>
      </c>
      <c r="G1038" s="42" t="e">
        <f t="shared" ref="G1038:G1051" si="255">INT(M1038)</f>
        <v>#REF!</v>
      </c>
      <c r="H1038" s="45" t="s">
        <v>18</v>
      </c>
      <c r="I1038" s="42" t="e">
        <f t="shared" ref="I1038:I1051" si="256">(M1038-G1038)*64</f>
        <v>#REF!</v>
      </c>
      <c r="J1038" s="40" t="s">
        <v>19</v>
      </c>
      <c r="K1038" s="40"/>
      <c r="L1038" s="40"/>
      <c r="M1038" s="46" t="e">
        <f>(F1038*5675)/3456</f>
        <v>#REF!</v>
      </c>
      <c r="N1038" s="40"/>
      <c r="O1038" s="40"/>
      <c r="P1038" s="40"/>
      <c r="Q1038" s="45" t="s">
        <v>18</v>
      </c>
      <c r="R1038" s="40"/>
      <c r="S1038" s="40" t="s">
        <v>19</v>
      </c>
      <c r="T1038" s="47"/>
      <c r="U1038" s="40" t="e">
        <f>E1038/220*60</f>
        <v>#REF!</v>
      </c>
      <c r="V1038" s="40"/>
      <c r="W1038" s="47"/>
      <c r="X1038" s="40"/>
    </row>
    <row r="1039" spans="1:24" s="20" customFormat="1" ht="19.5" thickBot="1" x14ac:dyDescent="0.35">
      <c r="A1039" s="41"/>
      <c r="B1039" s="41" t="s">
        <v>78</v>
      </c>
      <c r="C1039" s="42" t="e">
        <f t="shared" si="254"/>
        <v>#REF!</v>
      </c>
      <c r="D1039" s="43" t="e">
        <f>C1039*18</f>
        <v>#REF!</v>
      </c>
      <c r="E1039" s="40" t="e">
        <f>D1039*0.2</f>
        <v>#REF!</v>
      </c>
      <c r="F1039" s="50" t="e">
        <f>E1039*1.03*0.8/90</f>
        <v>#REF!</v>
      </c>
      <c r="G1039" s="42" t="e">
        <f t="shared" si="255"/>
        <v>#REF!</v>
      </c>
      <c r="H1039" s="45" t="s">
        <v>18</v>
      </c>
      <c r="I1039" s="42" t="e">
        <f t="shared" si="256"/>
        <v>#REF!</v>
      </c>
      <c r="J1039" s="40" t="s">
        <v>19</v>
      </c>
      <c r="K1039" s="40"/>
      <c r="L1039" s="40"/>
      <c r="M1039" s="46" t="e">
        <f>((F1039*100)/0.0275)/3456</f>
        <v>#REF!</v>
      </c>
      <c r="N1039" s="40"/>
      <c r="O1039" s="40"/>
      <c r="P1039" s="40"/>
      <c r="Q1039" s="45" t="s">
        <v>18</v>
      </c>
      <c r="R1039" s="40"/>
      <c r="S1039" s="40" t="s">
        <v>19</v>
      </c>
      <c r="T1039" s="47"/>
      <c r="U1039" s="40" t="e">
        <f>E1039/220*60</f>
        <v>#REF!</v>
      </c>
      <c r="V1039" s="40"/>
      <c r="W1039" s="47"/>
      <c r="X1039" s="40"/>
    </row>
    <row r="1040" spans="1:24" s="20" customFormat="1" ht="19.5" thickBot="1" x14ac:dyDescent="0.35">
      <c r="A1040" s="41"/>
      <c r="B1040" s="41" t="s">
        <v>95</v>
      </c>
      <c r="C1040" s="42" t="e">
        <f t="shared" si="254"/>
        <v>#REF!</v>
      </c>
      <c r="D1040" s="43" t="e">
        <f>C1040*18</f>
        <v>#REF!</v>
      </c>
      <c r="E1040" s="40" t="e">
        <f>D1040*0.2</f>
        <v>#REF!</v>
      </c>
      <c r="F1040" s="50" t="e">
        <f>E1040*1.03*0.8/147</f>
        <v>#REF!</v>
      </c>
      <c r="G1040" s="42" t="e">
        <f t="shared" si="255"/>
        <v>#REF!</v>
      </c>
      <c r="H1040" s="45" t="s">
        <v>18</v>
      </c>
      <c r="I1040" s="42" t="e">
        <f t="shared" si="256"/>
        <v>#REF!</v>
      </c>
      <c r="J1040" s="40" t="s">
        <v>19</v>
      </c>
      <c r="K1040" s="40"/>
      <c r="L1040" s="40"/>
      <c r="M1040" s="46" t="e">
        <f>(F1040*5675)/3456</f>
        <v>#REF!</v>
      </c>
      <c r="N1040" s="40"/>
      <c r="O1040" s="40"/>
      <c r="P1040" s="40"/>
      <c r="Q1040" s="45" t="s">
        <v>18</v>
      </c>
      <c r="R1040" s="40"/>
      <c r="S1040" s="40" t="s">
        <v>19</v>
      </c>
      <c r="T1040" s="47"/>
      <c r="U1040" s="40" t="e">
        <f>E1040/220*60</f>
        <v>#REF!</v>
      </c>
      <c r="V1040" s="40"/>
      <c r="W1040" s="47"/>
      <c r="X1040" s="40"/>
    </row>
    <row r="1041" spans="1:24" s="20" customFormat="1" ht="19.5" thickBot="1" x14ac:dyDescent="0.35">
      <c r="A1041" s="41"/>
      <c r="B1041" s="41" t="s">
        <v>226</v>
      </c>
      <c r="C1041" s="42" t="e">
        <f t="shared" si="254"/>
        <v>#REF!</v>
      </c>
      <c r="D1041" s="43" t="e">
        <f t="shared" ref="D1041:D1046" si="257">C1041*10</f>
        <v>#REF!</v>
      </c>
      <c r="E1041" s="40" t="e">
        <f>D1041*0.36</f>
        <v>#REF!</v>
      </c>
      <c r="F1041" s="50" t="e">
        <f>E1041*1.03*0.8/147</f>
        <v>#REF!</v>
      </c>
      <c r="G1041" s="42" t="e">
        <f t="shared" si="255"/>
        <v>#REF!</v>
      </c>
      <c r="H1041" s="45" t="s">
        <v>18</v>
      </c>
      <c r="I1041" s="42" t="e">
        <f t="shared" si="256"/>
        <v>#REF!</v>
      </c>
      <c r="J1041" s="40" t="s">
        <v>19</v>
      </c>
      <c r="K1041" s="40"/>
      <c r="L1041" s="40"/>
      <c r="M1041" s="46" t="e">
        <f>(F1041*6447)/3456</f>
        <v>#REF!</v>
      </c>
      <c r="N1041" s="40"/>
      <c r="O1041" s="40"/>
      <c r="P1041" s="40"/>
      <c r="Q1041" s="45" t="s">
        <v>18</v>
      </c>
      <c r="R1041" s="40"/>
      <c r="S1041" s="40" t="s">
        <v>19</v>
      </c>
      <c r="T1041" s="47"/>
      <c r="U1041" s="40" t="e">
        <f>E1041/220*60</f>
        <v>#REF!</v>
      </c>
      <c r="V1041" s="40"/>
      <c r="W1041" s="47"/>
      <c r="X1041" s="40"/>
    </row>
    <row r="1042" spans="1:24" s="20" customFormat="1" ht="19.5" thickBot="1" x14ac:dyDescent="0.35">
      <c r="A1042" s="41"/>
      <c r="B1042" s="41" t="s">
        <v>290</v>
      </c>
      <c r="C1042" s="42" t="e">
        <f t="shared" si="254"/>
        <v>#REF!</v>
      </c>
      <c r="D1042" s="43" t="e">
        <f t="shared" si="257"/>
        <v>#REF!</v>
      </c>
      <c r="E1042" s="40" t="e">
        <f>D1042*0.36</f>
        <v>#REF!</v>
      </c>
      <c r="F1042" s="50" t="e">
        <f>E1042*1.03*0.8/147</f>
        <v>#REF!</v>
      </c>
      <c r="G1042" s="42" t="e">
        <f t="shared" si="255"/>
        <v>#REF!</v>
      </c>
      <c r="H1042" s="45" t="s">
        <v>18</v>
      </c>
      <c r="I1042" s="42" t="e">
        <f t="shared" si="256"/>
        <v>#REF!</v>
      </c>
      <c r="J1042" s="40" t="s">
        <v>19</v>
      </c>
      <c r="K1042" s="40"/>
      <c r="L1042" s="40"/>
      <c r="M1042" s="46" t="e">
        <f>(F1042*6447)/3456</f>
        <v>#REF!</v>
      </c>
      <c r="N1042" s="40"/>
      <c r="O1042" s="40"/>
      <c r="P1042" s="40"/>
      <c r="Q1042" s="45" t="s">
        <v>18</v>
      </c>
      <c r="R1042" s="40"/>
      <c r="S1042" s="40" t="s">
        <v>19</v>
      </c>
      <c r="T1042" s="47"/>
      <c r="U1042" s="40" t="e">
        <f>E1042/220*60</f>
        <v>#REF!</v>
      </c>
      <c r="V1042" s="40"/>
      <c r="W1042" s="47"/>
      <c r="X1042" s="40"/>
    </row>
    <row r="1043" spans="1:24" s="20" customFormat="1" ht="19.5" thickBot="1" x14ac:dyDescent="0.35">
      <c r="A1043" s="41"/>
      <c r="B1043" s="41" t="s">
        <v>84</v>
      </c>
      <c r="C1043" s="42" t="e">
        <f t="shared" si="254"/>
        <v>#REF!</v>
      </c>
      <c r="D1043" s="43" t="e">
        <f t="shared" si="257"/>
        <v>#REF!</v>
      </c>
      <c r="E1043" s="45" t="e">
        <f t="shared" ref="E1043:E1048" si="258">D1043*0.25</f>
        <v>#REF!</v>
      </c>
      <c r="F1043" s="50" t="e">
        <f>E1043*1.03*0.72/147</f>
        <v>#REF!</v>
      </c>
      <c r="G1043" s="42" t="e">
        <f t="shared" si="255"/>
        <v>#REF!</v>
      </c>
      <c r="H1043" s="45" t="s">
        <v>18</v>
      </c>
      <c r="I1043" s="42" t="e">
        <f t="shared" si="256"/>
        <v>#REF!</v>
      </c>
      <c r="J1043" s="40" t="s">
        <v>19</v>
      </c>
      <c r="K1043" s="40"/>
      <c r="L1043" s="40"/>
      <c r="M1043" s="46" t="e">
        <f>(F1043*7177/3456)</f>
        <v>#REF!</v>
      </c>
      <c r="N1043" s="40"/>
      <c r="O1043" s="40"/>
      <c r="P1043" s="40"/>
      <c r="Q1043" s="14" t="s">
        <v>18</v>
      </c>
      <c r="R1043" s="40"/>
      <c r="S1043" s="40" t="s">
        <v>19</v>
      </c>
      <c r="T1043" s="47"/>
      <c r="U1043" s="40" t="e">
        <f t="shared" ref="U1043:U1050" si="259">E1043/259*60</f>
        <v>#REF!</v>
      </c>
      <c r="V1043" s="40"/>
      <c r="W1043" s="47"/>
      <c r="X1043" s="40"/>
    </row>
    <row r="1044" spans="1:24" s="20" customFormat="1" ht="19.5" thickBot="1" x14ac:dyDescent="0.35">
      <c r="A1044" s="41"/>
      <c r="B1044" s="41" t="s">
        <v>83</v>
      </c>
      <c r="C1044" s="42" t="e">
        <f t="shared" si="254"/>
        <v>#REF!</v>
      </c>
      <c r="D1044" s="43" t="e">
        <f t="shared" si="257"/>
        <v>#REF!</v>
      </c>
      <c r="E1044" s="45" t="e">
        <f t="shared" si="258"/>
        <v>#REF!</v>
      </c>
      <c r="F1044" s="50" t="e">
        <f>E1044*1.03*0.72/147</f>
        <v>#REF!</v>
      </c>
      <c r="G1044" s="42" t="e">
        <f t="shared" si="255"/>
        <v>#REF!</v>
      </c>
      <c r="H1044" s="45" t="s">
        <v>18</v>
      </c>
      <c r="I1044" s="42" t="e">
        <f t="shared" si="256"/>
        <v>#REF!</v>
      </c>
      <c r="J1044" s="40" t="s">
        <v>19</v>
      </c>
      <c r="K1044" s="40"/>
      <c r="L1044" s="40"/>
      <c r="M1044" s="46" t="e">
        <f>(F1044*8448/3456)</f>
        <v>#REF!</v>
      </c>
      <c r="N1044" s="40"/>
      <c r="O1044" s="40"/>
      <c r="P1044" s="40"/>
      <c r="Q1044" s="14" t="s">
        <v>18</v>
      </c>
      <c r="R1044" s="40"/>
      <c r="S1044" s="40" t="s">
        <v>19</v>
      </c>
      <c r="T1044" s="47"/>
      <c r="U1044" s="40" t="e">
        <f t="shared" si="259"/>
        <v>#REF!</v>
      </c>
      <c r="V1044" s="40"/>
      <c r="W1044" s="47"/>
      <c r="X1044" s="40"/>
    </row>
    <row r="1045" spans="1:24" s="20" customFormat="1" ht="19.5" thickBot="1" x14ac:dyDescent="0.35">
      <c r="A1045" s="41"/>
      <c r="B1045" s="41" t="s">
        <v>87</v>
      </c>
      <c r="C1045" s="42" t="e">
        <f t="shared" si="254"/>
        <v>#REF!</v>
      </c>
      <c r="D1045" s="43" t="e">
        <f t="shared" si="257"/>
        <v>#REF!</v>
      </c>
      <c r="E1045" s="45" t="e">
        <f t="shared" si="258"/>
        <v>#REF!</v>
      </c>
      <c r="F1045" s="50" t="e">
        <f>E1045*1.03*0.72/147</f>
        <v>#REF!</v>
      </c>
      <c r="G1045" s="42" t="e">
        <f t="shared" si="255"/>
        <v>#REF!</v>
      </c>
      <c r="H1045" s="45" t="s">
        <v>18</v>
      </c>
      <c r="I1045" s="42" t="e">
        <f t="shared" si="256"/>
        <v>#REF!</v>
      </c>
      <c r="J1045" s="40" t="s">
        <v>19</v>
      </c>
      <c r="K1045" s="40"/>
      <c r="L1045" s="40"/>
      <c r="M1045" s="46" t="e">
        <f>(F1045*8448/3456)</f>
        <v>#REF!</v>
      </c>
      <c r="N1045" s="40"/>
      <c r="O1045" s="40"/>
      <c r="P1045" s="40"/>
      <c r="Q1045" s="14" t="s">
        <v>18</v>
      </c>
      <c r="R1045" s="40"/>
      <c r="S1045" s="40" t="s">
        <v>19</v>
      </c>
      <c r="T1045" s="47"/>
      <c r="U1045" s="40" t="e">
        <f t="shared" si="259"/>
        <v>#REF!</v>
      </c>
      <c r="V1045" s="40"/>
      <c r="W1045" s="47"/>
      <c r="X1045" s="40"/>
    </row>
    <row r="1046" spans="1:24" s="20" customFormat="1" ht="38.25" thickBot="1" x14ac:dyDescent="0.35">
      <c r="A1046" s="41"/>
      <c r="B1046" s="41" t="s">
        <v>284</v>
      </c>
      <c r="C1046" s="42" t="e">
        <f t="shared" si="254"/>
        <v>#REF!</v>
      </c>
      <c r="D1046" s="43" t="e">
        <f t="shared" si="257"/>
        <v>#REF!</v>
      </c>
      <c r="E1046" s="45" t="e">
        <f t="shared" si="258"/>
        <v>#REF!</v>
      </c>
      <c r="F1046" s="50" t="e">
        <f>E1046*1.03*0.72/147</f>
        <v>#REF!</v>
      </c>
      <c r="G1046" s="42" t="e">
        <f t="shared" si="255"/>
        <v>#REF!</v>
      </c>
      <c r="H1046" s="45" t="s">
        <v>18</v>
      </c>
      <c r="I1046" s="42" t="e">
        <f t="shared" si="256"/>
        <v>#REF!</v>
      </c>
      <c r="J1046" s="40" t="s">
        <v>19</v>
      </c>
      <c r="K1046" s="40"/>
      <c r="L1046" s="40"/>
      <c r="M1046" s="46" t="e">
        <f>(F1046*7177/3456)</f>
        <v>#REF!</v>
      </c>
      <c r="N1046" s="40"/>
      <c r="O1046" s="40"/>
      <c r="P1046" s="40"/>
      <c r="Q1046" s="14" t="s">
        <v>18</v>
      </c>
      <c r="R1046" s="40"/>
      <c r="S1046" s="40" t="s">
        <v>19</v>
      </c>
      <c r="T1046" s="47"/>
      <c r="U1046" s="40" t="e">
        <f t="shared" si="259"/>
        <v>#REF!</v>
      </c>
      <c r="V1046" s="40"/>
      <c r="W1046" s="47"/>
      <c r="X1046" s="40"/>
    </row>
    <row r="1047" spans="1:24" s="20" customFormat="1" ht="38.25" thickBot="1" x14ac:dyDescent="0.35">
      <c r="A1047" s="41"/>
      <c r="B1047" s="41" t="s">
        <v>282</v>
      </c>
      <c r="C1047" s="42" t="e">
        <f t="shared" si="254"/>
        <v>#REF!</v>
      </c>
      <c r="D1047" s="43" t="e">
        <f>C1047*20</f>
        <v>#REF!</v>
      </c>
      <c r="E1047" s="45" t="e">
        <f t="shared" si="258"/>
        <v>#REF!</v>
      </c>
      <c r="F1047" s="50" t="e">
        <f>E1047*1.001*0.72/147</f>
        <v>#REF!</v>
      </c>
      <c r="G1047" s="42" t="e">
        <f t="shared" si="255"/>
        <v>#REF!</v>
      </c>
      <c r="H1047" s="45" t="s">
        <v>18</v>
      </c>
      <c r="I1047" s="42" t="e">
        <f t="shared" si="256"/>
        <v>#REF!</v>
      </c>
      <c r="J1047" s="40" t="s">
        <v>19</v>
      </c>
      <c r="K1047" s="40"/>
      <c r="L1047" s="40"/>
      <c r="M1047" s="46" t="e">
        <f>(F1047*7177/3456)</f>
        <v>#REF!</v>
      </c>
      <c r="N1047" s="40"/>
      <c r="O1047" s="40"/>
      <c r="P1047" s="40"/>
      <c r="Q1047" s="14" t="s">
        <v>18</v>
      </c>
      <c r="R1047" s="40"/>
      <c r="S1047" s="40" t="s">
        <v>19</v>
      </c>
      <c r="T1047" s="47"/>
      <c r="U1047" s="40" t="e">
        <f t="shared" si="259"/>
        <v>#REF!</v>
      </c>
      <c r="V1047" s="40"/>
      <c r="W1047" s="47"/>
      <c r="X1047" s="40"/>
    </row>
    <row r="1048" spans="1:24" s="20" customFormat="1" ht="19.5" thickBot="1" x14ac:dyDescent="0.35">
      <c r="A1048" s="41"/>
      <c r="B1048" s="41" t="s">
        <v>283</v>
      </c>
      <c r="C1048" s="42" t="e">
        <f t="shared" si="254"/>
        <v>#REF!</v>
      </c>
      <c r="D1048" s="43" t="e">
        <f>C1048*20</f>
        <v>#REF!</v>
      </c>
      <c r="E1048" s="45" t="e">
        <f t="shared" si="258"/>
        <v>#REF!</v>
      </c>
      <c r="F1048" s="50" t="e">
        <f>E1048*1.001*0.72/147</f>
        <v>#REF!</v>
      </c>
      <c r="G1048" s="42" t="e">
        <f t="shared" si="255"/>
        <v>#REF!</v>
      </c>
      <c r="H1048" s="45" t="s">
        <v>18</v>
      </c>
      <c r="I1048" s="42" t="e">
        <f t="shared" si="256"/>
        <v>#REF!</v>
      </c>
      <c r="J1048" s="40" t="s">
        <v>19</v>
      </c>
      <c r="K1048" s="40"/>
      <c r="L1048" s="40"/>
      <c r="M1048" s="46" t="e">
        <f>(F1048*7177/3456)</f>
        <v>#REF!</v>
      </c>
      <c r="N1048" s="40"/>
      <c r="O1048" s="40"/>
      <c r="P1048" s="40"/>
      <c r="Q1048" s="14" t="s">
        <v>18</v>
      </c>
      <c r="R1048" s="40"/>
      <c r="S1048" s="40" t="s">
        <v>19</v>
      </c>
      <c r="T1048" s="47"/>
      <c r="U1048" s="40" t="e">
        <f t="shared" si="259"/>
        <v>#REF!</v>
      </c>
      <c r="V1048" s="40"/>
      <c r="W1048" s="47"/>
      <c r="X1048" s="40"/>
    </row>
    <row r="1049" spans="1:24" s="20" customFormat="1" ht="19.5" thickBot="1" x14ac:dyDescent="0.35">
      <c r="A1049" s="41"/>
      <c r="B1049" s="41" t="s">
        <v>219</v>
      </c>
      <c r="C1049" s="42" t="e">
        <f>C793+C738</f>
        <v>#REF!</v>
      </c>
      <c r="D1049" s="43" t="e">
        <f>C1049*10</f>
        <v>#REF!</v>
      </c>
      <c r="E1049" s="45" t="e">
        <f>D1049*0.2</f>
        <v>#REF!</v>
      </c>
      <c r="F1049" s="50" t="e">
        <f>E1049*1.03*0.72/147</f>
        <v>#REF!</v>
      </c>
      <c r="G1049" s="42" t="e">
        <f t="shared" si="255"/>
        <v>#REF!</v>
      </c>
      <c r="H1049" s="45" t="s">
        <v>18</v>
      </c>
      <c r="I1049" s="42" t="e">
        <f t="shared" si="256"/>
        <v>#REF!</v>
      </c>
      <c r="J1049" s="40" t="s">
        <v>19</v>
      </c>
      <c r="K1049" s="40"/>
      <c r="L1049" s="40"/>
      <c r="M1049" s="46" t="e">
        <f>(F1049*8400/3456)</f>
        <v>#REF!</v>
      </c>
      <c r="N1049" s="40"/>
      <c r="O1049" s="40"/>
      <c r="P1049" s="40"/>
      <c r="Q1049" s="14" t="s">
        <v>18</v>
      </c>
      <c r="R1049" s="40"/>
      <c r="S1049" s="40" t="s">
        <v>19</v>
      </c>
      <c r="T1049" s="47"/>
      <c r="U1049" s="40" t="e">
        <f t="shared" si="259"/>
        <v>#REF!</v>
      </c>
      <c r="V1049" s="40"/>
      <c r="W1049" s="47"/>
      <c r="X1049" s="40"/>
    </row>
    <row r="1050" spans="1:24" s="20" customFormat="1" ht="19.5" thickBot="1" x14ac:dyDescent="0.35">
      <c r="A1050" s="41"/>
      <c r="B1050" s="41" t="s">
        <v>86</v>
      </c>
      <c r="C1050" s="42" t="e">
        <f>C794+C739</f>
        <v>#REF!</v>
      </c>
      <c r="D1050" s="43" t="e">
        <f>C1050*10</f>
        <v>#REF!</v>
      </c>
      <c r="E1050" s="45" t="e">
        <f>D1050*0.2</f>
        <v>#REF!</v>
      </c>
      <c r="F1050" s="50" t="e">
        <f>E1050*1.03*0.72/147</f>
        <v>#REF!</v>
      </c>
      <c r="G1050" s="42" t="e">
        <f t="shared" si="255"/>
        <v>#REF!</v>
      </c>
      <c r="H1050" s="45" t="s">
        <v>18</v>
      </c>
      <c r="I1050" s="42" t="e">
        <f t="shared" si="256"/>
        <v>#REF!</v>
      </c>
      <c r="J1050" s="40" t="s">
        <v>19</v>
      </c>
      <c r="K1050" s="40"/>
      <c r="L1050" s="40"/>
      <c r="M1050" s="46" t="e">
        <f>(F1050*8400/3456)</f>
        <v>#REF!</v>
      </c>
      <c r="N1050" s="40"/>
      <c r="O1050" s="40"/>
      <c r="P1050" s="40"/>
      <c r="Q1050" s="14" t="s">
        <v>18</v>
      </c>
      <c r="R1050" s="40"/>
      <c r="S1050" s="40" t="s">
        <v>19</v>
      </c>
      <c r="T1050" s="47"/>
      <c r="U1050" s="40" t="e">
        <f t="shared" si="259"/>
        <v>#REF!</v>
      </c>
      <c r="V1050" s="40"/>
      <c r="W1050" s="47"/>
      <c r="X1050" s="40"/>
    </row>
    <row r="1051" spans="1:24" s="20" customFormat="1" ht="19.5" thickBot="1" x14ac:dyDescent="0.35">
      <c r="A1051" s="41"/>
      <c r="B1051" s="41" t="s">
        <v>98</v>
      </c>
      <c r="C1051" s="42" t="e">
        <f>C795+C740</f>
        <v>#REF!</v>
      </c>
      <c r="D1051" s="43" t="e">
        <f>C1051*10</f>
        <v>#REF!</v>
      </c>
      <c r="E1051" s="40" t="e">
        <f>D1051*0.2</f>
        <v>#REF!</v>
      </c>
      <c r="F1051" s="50" t="e">
        <f>E1051*1.03*0.8/147</f>
        <v>#REF!</v>
      </c>
      <c r="G1051" s="42" t="e">
        <f t="shared" si="255"/>
        <v>#REF!</v>
      </c>
      <c r="H1051" s="45" t="s">
        <v>18</v>
      </c>
      <c r="I1051" s="42" t="e">
        <f t="shared" si="256"/>
        <v>#REF!</v>
      </c>
      <c r="J1051" s="40" t="s">
        <v>19</v>
      </c>
      <c r="K1051" s="40"/>
      <c r="L1051" s="40"/>
      <c r="M1051" s="46" t="e">
        <f>(F1051*9483)/3456</f>
        <v>#REF!</v>
      </c>
      <c r="N1051" s="40"/>
      <c r="O1051" s="40"/>
      <c r="P1051" s="40"/>
      <c r="Q1051" s="14" t="s">
        <v>18</v>
      </c>
      <c r="R1051" s="40"/>
      <c r="S1051" s="40" t="s">
        <v>19</v>
      </c>
      <c r="T1051" s="47"/>
      <c r="U1051" s="40" t="e">
        <f>E1051/220*60</f>
        <v>#REF!</v>
      </c>
      <c r="V1051" s="40"/>
      <c r="W1051" s="47"/>
      <c r="X1051" s="40"/>
    </row>
    <row r="1052" spans="1:24" s="20" customFormat="1" ht="19.5" thickBot="1" x14ac:dyDescent="0.35">
      <c r="A1052" s="41"/>
      <c r="B1052" s="41" t="s">
        <v>134</v>
      </c>
      <c r="C1052" s="42"/>
      <c r="D1052" s="43"/>
      <c r="E1052" s="40" t="e">
        <f>SUM(E1037:E1051)</f>
        <v>#REF!</v>
      </c>
      <c r="F1052" s="50"/>
      <c r="G1052" s="42"/>
      <c r="H1052" s="45"/>
      <c r="I1052" s="42"/>
      <c r="J1052" s="40"/>
      <c r="K1052" s="40"/>
      <c r="L1052" s="40"/>
      <c r="M1052" s="46"/>
      <c r="N1052" s="40"/>
      <c r="O1052" s="40"/>
      <c r="P1052" s="40"/>
      <c r="Q1052" s="14"/>
      <c r="R1052" s="40"/>
      <c r="S1052" s="40"/>
      <c r="T1052" s="47"/>
      <c r="U1052" s="40"/>
      <c r="V1052" s="40"/>
      <c r="W1052" s="47"/>
      <c r="X1052" s="40"/>
    </row>
    <row r="1053" spans="1:24" s="20" customFormat="1" ht="19.5" thickBot="1" x14ac:dyDescent="0.35">
      <c r="A1053" s="67"/>
      <c r="B1053" s="920" t="s">
        <v>144</v>
      </c>
      <c r="C1053" s="920"/>
      <c r="D1053" s="920"/>
      <c r="E1053" s="920"/>
      <c r="F1053" s="920"/>
      <c r="G1053" s="920"/>
      <c r="H1053" s="920"/>
      <c r="I1053" s="920"/>
      <c r="J1053" s="920"/>
      <c r="K1053" s="920"/>
      <c r="L1053" s="920"/>
      <c r="M1053" s="920"/>
      <c r="N1053" s="920"/>
      <c r="O1053" s="920"/>
      <c r="P1053" s="920"/>
      <c r="Q1053" s="920"/>
      <c r="R1053" s="920"/>
      <c r="S1053" s="920"/>
      <c r="T1053" s="920"/>
      <c r="U1053" s="920"/>
      <c r="V1053" s="920"/>
      <c r="W1053" s="920"/>
      <c r="X1053" s="920"/>
    </row>
    <row r="1054" spans="1:24" s="20" customFormat="1" ht="38.25" thickBot="1" x14ac:dyDescent="0.35">
      <c r="A1054" s="26"/>
      <c r="B1054" s="26" t="s">
        <v>35</v>
      </c>
      <c r="C1054" s="27" t="e">
        <f>C764+C708</f>
        <v>#REF!</v>
      </c>
      <c r="D1054" s="28" t="e">
        <f>C1054*12</f>
        <v>#REF!</v>
      </c>
      <c r="E1054" s="19" t="e">
        <f>D1054*0.2</f>
        <v>#REF!</v>
      </c>
      <c r="F1054" s="29" t="e">
        <f>D1054*23*0.0087*1.03/21</f>
        <v>#REF!</v>
      </c>
      <c r="G1054" s="27" t="e">
        <f>INT(M1054)</f>
        <v>#REF!</v>
      </c>
      <c r="H1054" s="30" t="s">
        <v>18</v>
      </c>
      <c r="I1054" s="27" t="e">
        <f>(M1054-G1054)*64</f>
        <v>#REF!</v>
      </c>
      <c r="J1054" s="19" t="s">
        <v>19</v>
      </c>
      <c r="K1054" s="19"/>
      <c r="L1054" s="19"/>
      <c r="M1054" s="31" t="e">
        <f>F1054*2352/12544</f>
        <v>#REF!</v>
      </c>
      <c r="N1054" s="19"/>
      <c r="O1054" s="19"/>
      <c r="P1054" s="19"/>
      <c r="Q1054" s="30" t="s">
        <v>18</v>
      </c>
      <c r="R1054" s="19"/>
      <c r="S1054" s="19" t="s">
        <v>19</v>
      </c>
      <c r="T1054" s="32"/>
      <c r="U1054" s="19" t="e">
        <f>E1054/207*60</f>
        <v>#REF!</v>
      </c>
      <c r="V1054" s="19"/>
      <c r="W1054" s="32"/>
      <c r="X1054" s="19"/>
    </row>
    <row r="1055" spans="1:24" s="20" customFormat="1" ht="19.5" thickBot="1" x14ac:dyDescent="0.35">
      <c r="A1055" s="26"/>
      <c r="B1055" s="26" t="s">
        <v>20</v>
      </c>
      <c r="C1055" s="27">
        <f>C763+C707</f>
        <v>0</v>
      </c>
      <c r="D1055" s="28">
        <f>C1055*12</f>
        <v>0</v>
      </c>
      <c r="E1055" s="19">
        <f>D1055*0.2</f>
        <v>0</v>
      </c>
      <c r="F1055" s="29">
        <f>D1055*23*0.0087*1.03/21</f>
        <v>0</v>
      </c>
      <c r="G1055" s="27">
        <f>INT(M1055)</f>
        <v>0</v>
      </c>
      <c r="H1055" s="30" t="s">
        <v>18</v>
      </c>
      <c r="I1055" s="27">
        <f>(M1055-G1055)*64</f>
        <v>0</v>
      </c>
      <c r="J1055" s="19" t="s">
        <v>19</v>
      </c>
      <c r="K1055" s="19"/>
      <c r="L1055" s="19"/>
      <c r="M1055" s="31">
        <f>F1055*2352/12544</f>
        <v>0</v>
      </c>
      <c r="N1055" s="19"/>
      <c r="O1055" s="19"/>
      <c r="P1055" s="19"/>
      <c r="Q1055" s="30" t="s">
        <v>18</v>
      </c>
      <c r="R1055" s="19"/>
      <c r="S1055" s="19" t="s">
        <v>19</v>
      </c>
      <c r="T1055" s="32"/>
      <c r="U1055" s="19">
        <f>E1055/207*60</f>
        <v>0</v>
      </c>
      <c r="V1055" s="19" t="s">
        <v>132</v>
      </c>
      <c r="W1055" s="32"/>
      <c r="X1055" s="19"/>
    </row>
    <row r="1056" spans="1:24" s="20" customFormat="1" ht="19.5" thickBot="1" x14ac:dyDescent="0.35">
      <c r="A1056" s="26"/>
      <c r="B1056" s="26" t="s">
        <v>62</v>
      </c>
      <c r="C1056" s="27" t="e">
        <f>C773+C718</f>
        <v>#REF!</v>
      </c>
      <c r="D1056" s="28" t="e">
        <f t="shared" ref="D1056:D1063" si="260">C1056*10</f>
        <v>#REF!</v>
      </c>
      <c r="E1056" s="19" t="e">
        <f>D1056*0.18</f>
        <v>#REF!</v>
      </c>
      <c r="F1056" s="29" t="e">
        <f t="shared" ref="F1056:F1063" si="261">E1056*1.03*0.82/173</f>
        <v>#REF!</v>
      </c>
      <c r="G1056" s="27" t="e">
        <f t="shared" ref="G1056:G1063" si="262">INT(M1056)</f>
        <v>#REF!</v>
      </c>
      <c r="H1056" s="30" t="s">
        <v>18</v>
      </c>
      <c r="I1056" s="27" t="e">
        <f t="shared" ref="I1056:I1063" si="263">(M1056-G1056)*64</f>
        <v>#REF!</v>
      </c>
      <c r="J1056" s="19" t="s">
        <v>19</v>
      </c>
      <c r="K1056" s="19"/>
      <c r="L1056" s="19"/>
      <c r="M1056" s="31" t="e">
        <f>(F1056*11610)/3456</f>
        <v>#REF!</v>
      </c>
      <c r="N1056" s="19"/>
      <c r="O1056" s="19"/>
      <c r="P1056" s="19"/>
      <c r="Q1056" s="30" t="s">
        <v>18</v>
      </c>
      <c r="R1056" s="19"/>
      <c r="S1056" s="19" t="s">
        <v>19</v>
      </c>
      <c r="T1056" s="32"/>
      <c r="U1056" s="19" t="e">
        <f>E1056/207*60</f>
        <v>#REF!</v>
      </c>
      <c r="V1056" s="19"/>
      <c r="W1056" s="32"/>
      <c r="X1056" s="19"/>
    </row>
    <row r="1057" spans="1:24" s="20" customFormat="1" ht="19.5" thickBot="1" x14ac:dyDescent="0.35">
      <c r="A1057" s="26"/>
      <c r="B1057" s="26" t="s">
        <v>63</v>
      </c>
      <c r="C1057" s="27" t="e">
        <f>C774+C719</f>
        <v>#REF!</v>
      </c>
      <c r="D1057" s="28" t="e">
        <f t="shared" si="260"/>
        <v>#REF!</v>
      </c>
      <c r="E1057" s="19" t="e">
        <f>D1057*0.18</f>
        <v>#REF!</v>
      </c>
      <c r="F1057" s="29" t="e">
        <f t="shared" si="261"/>
        <v>#REF!</v>
      </c>
      <c r="G1057" s="27" t="e">
        <f t="shared" si="262"/>
        <v>#REF!</v>
      </c>
      <c r="H1057" s="30" t="s">
        <v>18</v>
      </c>
      <c r="I1057" s="27" t="e">
        <f t="shared" si="263"/>
        <v>#REF!</v>
      </c>
      <c r="J1057" s="19" t="s">
        <v>19</v>
      </c>
      <c r="K1057" s="19"/>
      <c r="L1057" s="19"/>
      <c r="M1057" s="31" t="e">
        <f>(F1057*11610)/3456</f>
        <v>#REF!</v>
      </c>
      <c r="N1057" s="19"/>
      <c r="O1057" s="19"/>
      <c r="P1057" s="19"/>
      <c r="Q1057" s="30" t="s">
        <v>18</v>
      </c>
      <c r="R1057" s="19"/>
      <c r="S1057" s="19" t="s">
        <v>19</v>
      </c>
      <c r="T1057" s="32"/>
      <c r="U1057" s="19" t="e">
        <f>E1057/207*60</f>
        <v>#REF!</v>
      </c>
      <c r="V1057" s="19"/>
      <c r="W1057" s="32"/>
      <c r="X1057" s="19"/>
    </row>
    <row r="1058" spans="1:24" s="20" customFormat="1" ht="19.5" thickBot="1" x14ac:dyDescent="0.35">
      <c r="A1058" s="26"/>
      <c r="B1058" s="26" t="s">
        <v>64</v>
      </c>
      <c r="C1058" s="27" t="e">
        <f>C775+D720</f>
        <v>#REF!</v>
      </c>
      <c r="D1058" s="28" t="e">
        <f t="shared" si="260"/>
        <v>#REF!</v>
      </c>
      <c r="E1058" s="19" t="e">
        <f>D1058*0.18</f>
        <v>#REF!</v>
      </c>
      <c r="F1058" s="29" t="e">
        <f t="shared" si="261"/>
        <v>#REF!</v>
      </c>
      <c r="G1058" s="27" t="e">
        <f t="shared" si="262"/>
        <v>#REF!</v>
      </c>
      <c r="H1058" s="30" t="s">
        <v>18</v>
      </c>
      <c r="I1058" s="27" t="e">
        <f t="shared" si="263"/>
        <v>#REF!</v>
      </c>
      <c r="J1058" s="19" t="s">
        <v>19</v>
      </c>
      <c r="K1058" s="19"/>
      <c r="L1058" s="19"/>
      <c r="M1058" s="31" t="e">
        <f>(F1058*11610)/3456</f>
        <v>#REF!</v>
      </c>
      <c r="N1058" s="19"/>
      <c r="O1058" s="19"/>
      <c r="P1058" s="19"/>
      <c r="Q1058" s="30" t="s">
        <v>18</v>
      </c>
      <c r="R1058" s="19"/>
      <c r="S1058" s="19" t="s">
        <v>19</v>
      </c>
      <c r="T1058" s="32"/>
      <c r="U1058" s="19" t="e">
        <f>E1058/207*60</f>
        <v>#REF!</v>
      </c>
      <c r="V1058" s="19"/>
      <c r="W1058" s="32"/>
      <c r="X1058" s="19"/>
    </row>
    <row r="1059" spans="1:24" s="20" customFormat="1" ht="19.5" thickBot="1" x14ac:dyDescent="0.35">
      <c r="A1059" s="26"/>
      <c r="B1059" s="26" t="s">
        <v>66</v>
      </c>
      <c r="C1059" s="27" t="e">
        <f>C815</f>
        <v>#REF!</v>
      </c>
      <c r="D1059" s="28" t="e">
        <f t="shared" si="260"/>
        <v>#REF!</v>
      </c>
      <c r="E1059" s="19" t="e">
        <f>D1059*0.25</f>
        <v>#REF!</v>
      </c>
      <c r="F1059" s="29" t="e">
        <f t="shared" si="261"/>
        <v>#REF!</v>
      </c>
      <c r="G1059" s="27" t="e">
        <f t="shared" si="262"/>
        <v>#REF!</v>
      </c>
      <c r="H1059" s="30" t="s">
        <v>18</v>
      </c>
      <c r="I1059" s="27" t="e">
        <f t="shared" si="263"/>
        <v>#REF!</v>
      </c>
      <c r="J1059" s="19" t="s">
        <v>19</v>
      </c>
      <c r="K1059" s="19"/>
      <c r="L1059" s="19"/>
      <c r="M1059" s="31" t="e">
        <f>(F1059*8480)/3456</f>
        <v>#REF!</v>
      </c>
      <c r="N1059" s="19"/>
      <c r="O1059" s="19"/>
      <c r="P1059" s="19"/>
      <c r="Q1059" s="30" t="s">
        <v>18</v>
      </c>
      <c r="R1059" s="19"/>
      <c r="S1059" s="19" t="s">
        <v>19</v>
      </c>
      <c r="T1059" s="32"/>
      <c r="U1059" s="19" t="e">
        <f>E1059/272*60</f>
        <v>#REF!</v>
      </c>
      <c r="V1059" s="19"/>
      <c r="W1059" s="32"/>
      <c r="X1059" s="19"/>
    </row>
    <row r="1060" spans="1:24" s="20" customFormat="1" ht="19.5" thickBot="1" x14ac:dyDescent="0.35">
      <c r="A1060" s="26"/>
      <c r="B1060" s="26" t="s">
        <v>67</v>
      </c>
      <c r="C1060" s="27" t="e">
        <f>C816</f>
        <v>#REF!</v>
      </c>
      <c r="D1060" s="28" t="e">
        <f t="shared" si="260"/>
        <v>#REF!</v>
      </c>
      <c r="E1060" s="19" t="e">
        <f>D1060*0.25</f>
        <v>#REF!</v>
      </c>
      <c r="F1060" s="29" t="e">
        <f t="shared" si="261"/>
        <v>#REF!</v>
      </c>
      <c r="G1060" s="27" t="e">
        <f t="shared" si="262"/>
        <v>#REF!</v>
      </c>
      <c r="H1060" s="30" t="s">
        <v>18</v>
      </c>
      <c r="I1060" s="27" t="e">
        <f t="shared" si="263"/>
        <v>#REF!</v>
      </c>
      <c r="J1060" s="19" t="s">
        <v>19</v>
      </c>
      <c r="K1060" s="19"/>
      <c r="L1060" s="19"/>
      <c r="M1060" s="31" t="e">
        <f>(F1060*8480)/3456</f>
        <v>#REF!</v>
      </c>
      <c r="N1060" s="19"/>
      <c r="O1060" s="19"/>
      <c r="P1060" s="19"/>
      <c r="Q1060" s="30" t="s">
        <v>18</v>
      </c>
      <c r="R1060" s="19"/>
      <c r="S1060" s="19" t="s">
        <v>19</v>
      </c>
      <c r="T1060" s="32"/>
      <c r="U1060" s="19" t="e">
        <f>E1060/272*60</f>
        <v>#REF!</v>
      </c>
      <c r="V1060" s="19"/>
      <c r="W1060" s="32"/>
      <c r="X1060" s="19"/>
    </row>
    <row r="1061" spans="1:24" s="20" customFormat="1" ht="19.5" thickBot="1" x14ac:dyDescent="0.35">
      <c r="A1061" s="26"/>
      <c r="B1061" s="26" t="s">
        <v>68</v>
      </c>
      <c r="C1061" s="27" t="e">
        <f>C777+C722</f>
        <v>#REF!</v>
      </c>
      <c r="D1061" s="28" t="e">
        <f t="shared" si="260"/>
        <v>#REF!</v>
      </c>
      <c r="E1061" s="19" t="e">
        <f>D1061*0.25</f>
        <v>#REF!</v>
      </c>
      <c r="F1061" s="29" t="e">
        <f t="shared" si="261"/>
        <v>#REF!</v>
      </c>
      <c r="G1061" s="27" t="e">
        <f t="shared" si="262"/>
        <v>#REF!</v>
      </c>
      <c r="H1061" s="30" t="s">
        <v>18</v>
      </c>
      <c r="I1061" s="27" t="e">
        <f t="shared" si="263"/>
        <v>#REF!</v>
      </c>
      <c r="J1061" s="19" t="s">
        <v>19</v>
      </c>
      <c r="K1061" s="19"/>
      <c r="L1061" s="19"/>
      <c r="M1061" s="31" t="e">
        <f>(F1061*8480)/3456</f>
        <v>#REF!</v>
      </c>
      <c r="N1061" s="19"/>
      <c r="O1061" s="19"/>
      <c r="P1061" s="19"/>
      <c r="Q1061" s="30" t="s">
        <v>18</v>
      </c>
      <c r="R1061" s="19"/>
      <c r="S1061" s="19" t="s">
        <v>19</v>
      </c>
      <c r="T1061" s="32"/>
      <c r="U1061" s="19" t="e">
        <f>E1061/272*60</f>
        <v>#REF!</v>
      </c>
      <c r="V1061" s="19"/>
      <c r="W1061" s="32"/>
      <c r="X1061" s="19"/>
    </row>
    <row r="1062" spans="1:24" s="20" customFormat="1" ht="19.5" thickBot="1" x14ac:dyDescent="0.35">
      <c r="A1062" s="26"/>
      <c r="B1062" s="26" t="s">
        <v>71</v>
      </c>
      <c r="C1062" s="27" t="e">
        <f>C778+C723</f>
        <v>#REF!</v>
      </c>
      <c r="D1062" s="28" t="e">
        <f t="shared" si="260"/>
        <v>#REF!</v>
      </c>
      <c r="E1062" s="19" t="e">
        <f>D1062*0.25</f>
        <v>#REF!</v>
      </c>
      <c r="F1062" s="29" t="e">
        <f t="shared" si="261"/>
        <v>#REF!</v>
      </c>
      <c r="G1062" s="27" t="e">
        <f t="shared" si="262"/>
        <v>#REF!</v>
      </c>
      <c r="H1062" s="30" t="s">
        <v>18</v>
      </c>
      <c r="I1062" s="27" t="e">
        <f t="shared" si="263"/>
        <v>#REF!</v>
      </c>
      <c r="J1062" s="19" t="s">
        <v>19</v>
      </c>
      <c r="K1062" s="19"/>
      <c r="L1062" s="19"/>
      <c r="M1062" s="31" t="e">
        <f>(F1062*8480)/3456</f>
        <v>#REF!</v>
      </c>
      <c r="N1062" s="19"/>
      <c r="O1062" s="19"/>
      <c r="P1062" s="19"/>
      <c r="Q1062" s="30" t="s">
        <v>18</v>
      </c>
      <c r="R1062" s="19"/>
      <c r="S1062" s="19" t="s">
        <v>19</v>
      </c>
      <c r="T1062" s="32"/>
      <c r="U1062" s="19" t="e">
        <f>E1062/272*60</f>
        <v>#REF!</v>
      </c>
      <c r="V1062" s="19"/>
      <c r="W1062" s="32"/>
      <c r="X1062" s="19"/>
    </row>
    <row r="1063" spans="1:24" s="20" customFormat="1" ht="19.5" thickBot="1" x14ac:dyDescent="0.35">
      <c r="A1063" s="26"/>
      <c r="B1063" s="26" t="s">
        <v>72</v>
      </c>
      <c r="C1063" s="27" t="e">
        <f>C814</f>
        <v>#REF!</v>
      </c>
      <c r="D1063" s="28" t="e">
        <f t="shared" si="260"/>
        <v>#REF!</v>
      </c>
      <c r="E1063" s="19" t="e">
        <f>D1063*0.25</f>
        <v>#REF!</v>
      </c>
      <c r="F1063" s="29" t="e">
        <f t="shared" si="261"/>
        <v>#REF!</v>
      </c>
      <c r="G1063" s="27" t="e">
        <f t="shared" si="262"/>
        <v>#REF!</v>
      </c>
      <c r="H1063" s="30" t="s">
        <v>18</v>
      </c>
      <c r="I1063" s="27" t="e">
        <f t="shared" si="263"/>
        <v>#REF!</v>
      </c>
      <c r="J1063" s="19" t="s">
        <v>19</v>
      </c>
      <c r="K1063" s="19"/>
      <c r="L1063" s="19"/>
      <c r="M1063" s="31" t="e">
        <f>(F1063*8480)/3456</f>
        <v>#REF!</v>
      </c>
      <c r="N1063" s="19"/>
      <c r="O1063" s="19"/>
      <c r="P1063" s="19"/>
      <c r="Q1063" s="30" t="s">
        <v>18</v>
      </c>
      <c r="R1063" s="19"/>
      <c r="S1063" s="19" t="s">
        <v>19</v>
      </c>
      <c r="T1063" s="32"/>
      <c r="U1063" s="19" t="e">
        <f>E1063/272*60</f>
        <v>#REF!</v>
      </c>
      <c r="V1063" s="19"/>
      <c r="W1063" s="32"/>
      <c r="X1063" s="19"/>
    </row>
    <row r="1064" spans="1:24" s="20" customFormat="1" ht="19.5" thickBot="1" x14ac:dyDescent="0.35">
      <c r="A1064" s="19"/>
      <c r="B1064" s="71" t="s">
        <v>145</v>
      </c>
      <c r="C1064" s="72"/>
      <c r="D1064" s="28">
        <f>C1064*12</f>
        <v>0</v>
      </c>
      <c r="E1064" s="19">
        <f>D1064*0.15</f>
        <v>0</v>
      </c>
      <c r="F1064" s="36"/>
      <c r="G1064" s="27"/>
      <c r="H1064" s="30"/>
      <c r="I1064" s="27"/>
      <c r="J1064" s="19"/>
      <c r="K1064" s="19"/>
      <c r="L1064" s="19"/>
      <c r="M1064" s="31"/>
      <c r="N1064" s="19"/>
      <c r="O1064" s="19"/>
      <c r="P1064" s="19"/>
      <c r="Q1064" s="30"/>
      <c r="R1064" s="19"/>
      <c r="S1064" s="19"/>
      <c r="T1064" s="32"/>
      <c r="U1064" s="19">
        <f>D1064/375</f>
        <v>0</v>
      </c>
      <c r="V1064" s="19"/>
      <c r="W1064" s="32"/>
      <c r="X1064" s="19"/>
    </row>
    <row r="1065" spans="1:24" s="20" customFormat="1" ht="19.5" thickBot="1" x14ac:dyDescent="0.35">
      <c r="A1065" s="67"/>
      <c r="B1065" s="71" t="s">
        <v>146</v>
      </c>
      <c r="C1065" s="72"/>
      <c r="D1065" s="28">
        <f>C1065*12</f>
        <v>0</v>
      </c>
      <c r="E1065" s="67">
        <f>D1065*0.15</f>
        <v>0</v>
      </c>
      <c r="F1065" s="67"/>
      <c r="G1065" s="73"/>
      <c r="H1065" s="67"/>
      <c r="I1065" s="73"/>
      <c r="J1065" s="67"/>
      <c r="K1065" s="67"/>
      <c r="L1065" s="67"/>
      <c r="M1065" s="67"/>
      <c r="N1065" s="67"/>
      <c r="O1065" s="67"/>
      <c r="P1065" s="67"/>
      <c r="Q1065" s="67"/>
      <c r="R1065" s="67"/>
      <c r="S1065" s="67"/>
      <c r="T1065" s="74"/>
      <c r="U1065" s="19">
        <f>D1065/375</f>
        <v>0</v>
      </c>
      <c r="V1065" s="67"/>
      <c r="W1065" s="74"/>
      <c r="X1065" s="67"/>
    </row>
    <row r="1066" spans="1:24" s="20" customFormat="1" ht="19.5" thickBot="1" x14ac:dyDescent="0.35">
      <c r="A1066" s="70"/>
      <c r="B1066" s="68" t="s">
        <v>147</v>
      </c>
      <c r="C1066" s="27"/>
      <c r="D1066" s="28"/>
      <c r="E1066" s="30" t="e">
        <f>SUM(E1056:E1063)</f>
        <v>#REF!</v>
      </c>
      <c r="F1066" s="36"/>
      <c r="G1066" s="27"/>
      <c r="H1066" s="30"/>
      <c r="I1066" s="27"/>
      <c r="J1066" s="19"/>
      <c r="K1066" s="19"/>
      <c r="L1066" s="19"/>
      <c r="M1066" s="31"/>
      <c r="N1066" s="19"/>
      <c r="O1066" s="19"/>
      <c r="P1066" s="19"/>
      <c r="Q1066" s="35"/>
      <c r="R1066" s="19"/>
      <c r="S1066" s="19"/>
      <c r="T1066" s="32"/>
      <c r="U1066" s="19"/>
      <c r="V1066" s="19"/>
      <c r="W1066" s="32"/>
      <c r="X1066" s="19"/>
    </row>
    <row r="1067" spans="1:24" s="20" customFormat="1" ht="19.5" thickBot="1" x14ac:dyDescent="0.35">
      <c r="A1067" s="70"/>
      <c r="B1067" s="68" t="s">
        <v>148</v>
      </c>
      <c r="C1067" s="27"/>
      <c r="D1067" s="28"/>
      <c r="E1067" s="30" t="e">
        <f>SUM(E1054:E1055)+E1064+E1065</f>
        <v>#REF!</v>
      </c>
      <c r="F1067" s="36"/>
      <c r="G1067" s="27"/>
      <c r="H1067" s="30"/>
      <c r="I1067" s="27"/>
      <c r="J1067" s="19"/>
      <c r="K1067" s="19"/>
      <c r="L1067" s="19"/>
      <c r="M1067" s="31"/>
      <c r="N1067" s="19"/>
      <c r="O1067" s="19"/>
      <c r="P1067" s="19"/>
      <c r="Q1067" s="35"/>
      <c r="R1067" s="19"/>
      <c r="S1067" s="19"/>
      <c r="T1067" s="32"/>
      <c r="U1067" s="19"/>
      <c r="V1067" s="19"/>
      <c r="W1067" s="32"/>
      <c r="X1067" s="19"/>
    </row>
    <row r="1068" spans="1:24" s="20" customFormat="1" ht="19.5" thickBot="1" x14ac:dyDescent="0.35">
      <c r="A1068" s="67"/>
      <c r="B1068" s="920" t="s">
        <v>149</v>
      </c>
      <c r="C1068" s="920"/>
      <c r="D1068" s="920"/>
      <c r="E1068" s="920"/>
      <c r="F1068" s="920"/>
      <c r="G1068" s="920"/>
      <c r="H1068" s="920"/>
      <c r="I1068" s="920"/>
      <c r="J1068" s="920"/>
      <c r="K1068" s="920"/>
      <c r="L1068" s="920"/>
      <c r="M1068" s="920"/>
      <c r="N1068" s="920"/>
      <c r="O1068" s="920"/>
      <c r="P1068" s="920"/>
      <c r="Q1068" s="920"/>
      <c r="R1068" s="920"/>
      <c r="S1068" s="920"/>
      <c r="T1068" s="920"/>
      <c r="U1068" s="920"/>
      <c r="V1068" s="920"/>
      <c r="W1068" s="920"/>
      <c r="X1068" s="920"/>
    </row>
    <row r="1069" spans="1:24" s="20" customFormat="1" ht="38.25" thickBot="1" x14ac:dyDescent="0.35">
      <c r="A1069" s="26"/>
      <c r="B1069" s="26" t="s">
        <v>35</v>
      </c>
      <c r="C1069" s="27" t="e">
        <f>C1054</f>
        <v>#REF!</v>
      </c>
      <c r="D1069" s="28" t="e">
        <f>C1069*12</f>
        <v>#REF!</v>
      </c>
      <c r="E1069" s="19" t="e">
        <f>D1069*0.2</f>
        <v>#REF!</v>
      </c>
      <c r="F1069" s="29" t="e">
        <f>D1069*23*0.0087*1.03/21</f>
        <v>#REF!</v>
      </c>
      <c r="G1069" s="27" t="e">
        <f>INT(M1069)</f>
        <v>#REF!</v>
      </c>
      <c r="H1069" s="30" t="s">
        <v>18</v>
      </c>
      <c r="I1069" s="27" t="e">
        <f>(M1069-G1069)*64</f>
        <v>#REF!</v>
      </c>
      <c r="J1069" s="19" t="s">
        <v>19</v>
      </c>
      <c r="K1069" s="19"/>
      <c r="L1069" s="19"/>
      <c r="M1069" s="31" t="e">
        <f>F1069*2352/12544</f>
        <v>#REF!</v>
      </c>
      <c r="N1069" s="19"/>
      <c r="O1069" s="19"/>
      <c r="P1069" s="19"/>
      <c r="Q1069" s="30" t="s">
        <v>18</v>
      </c>
      <c r="R1069" s="19"/>
      <c r="S1069" s="19" t="s">
        <v>19</v>
      </c>
      <c r="T1069" s="32"/>
      <c r="U1069" s="19" t="e">
        <f>E1069/207*60</f>
        <v>#REF!</v>
      </c>
      <c r="V1069" s="19"/>
      <c r="W1069" s="32"/>
      <c r="X1069" s="19"/>
    </row>
    <row r="1070" spans="1:24" s="20" customFormat="1" ht="19.5" thickBot="1" x14ac:dyDescent="0.35">
      <c r="A1070" s="26"/>
      <c r="B1070" s="26" t="s">
        <v>20</v>
      </c>
      <c r="C1070" s="27">
        <f t="shared" ref="C1070:C1078" si="264">C1055</f>
        <v>0</v>
      </c>
      <c r="D1070" s="28">
        <f>C1070*12</f>
        <v>0</v>
      </c>
      <c r="E1070" s="19">
        <f>D1070*0.2</f>
        <v>0</v>
      </c>
      <c r="F1070" s="29">
        <f>D1070*23*0.0087*1.03/21</f>
        <v>0</v>
      </c>
      <c r="G1070" s="27">
        <f>INT(M1070)</f>
        <v>0</v>
      </c>
      <c r="H1070" s="30" t="s">
        <v>18</v>
      </c>
      <c r="I1070" s="27">
        <f>(M1070-G1070)*64</f>
        <v>0</v>
      </c>
      <c r="J1070" s="19" t="s">
        <v>19</v>
      </c>
      <c r="K1070" s="19"/>
      <c r="L1070" s="19"/>
      <c r="M1070" s="31">
        <f>F1070*2352/12544</f>
        <v>0</v>
      </c>
      <c r="N1070" s="19"/>
      <c r="O1070" s="19"/>
      <c r="P1070" s="19"/>
      <c r="Q1070" s="30" t="s">
        <v>18</v>
      </c>
      <c r="R1070" s="19"/>
      <c r="S1070" s="19" t="s">
        <v>19</v>
      </c>
      <c r="T1070" s="32"/>
      <c r="U1070" s="19">
        <f>E1070/207*60</f>
        <v>0</v>
      </c>
      <c r="V1070" s="19"/>
      <c r="W1070" s="32"/>
      <c r="X1070" s="19"/>
    </row>
    <row r="1071" spans="1:24" s="20" customFormat="1" ht="19.5" thickBot="1" x14ac:dyDescent="0.35">
      <c r="A1071" s="26"/>
      <c r="B1071" s="26" t="s">
        <v>62</v>
      </c>
      <c r="C1071" s="27" t="e">
        <f t="shared" si="264"/>
        <v>#REF!</v>
      </c>
      <c r="D1071" s="28" t="e">
        <f t="shared" ref="D1071:D1078" si="265">C1071*10</f>
        <v>#REF!</v>
      </c>
      <c r="E1071" s="19" t="e">
        <f>D1071*0.18</f>
        <v>#REF!</v>
      </c>
      <c r="F1071" s="29" t="e">
        <f t="shared" ref="F1071:F1078" si="266">E1071*1.03*0.82/173</f>
        <v>#REF!</v>
      </c>
      <c r="G1071" s="27" t="e">
        <f t="shared" ref="G1071:G1078" si="267">INT(M1071)</f>
        <v>#REF!</v>
      </c>
      <c r="H1071" s="30" t="s">
        <v>18</v>
      </c>
      <c r="I1071" s="27" t="e">
        <f t="shared" ref="I1071:I1078" si="268">(M1071-G1071)*64</f>
        <v>#REF!</v>
      </c>
      <c r="J1071" s="19" t="s">
        <v>19</v>
      </c>
      <c r="K1071" s="19"/>
      <c r="L1071" s="19"/>
      <c r="M1071" s="31" t="e">
        <f>(F1071*11610)/3456</f>
        <v>#REF!</v>
      </c>
      <c r="N1071" s="19"/>
      <c r="O1071" s="19"/>
      <c r="P1071" s="19"/>
      <c r="Q1071" s="30" t="s">
        <v>18</v>
      </c>
      <c r="R1071" s="19"/>
      <c r="S1071" s="19" t="s">
        <v>19</v>
      </c>
      <c r="T1071" s="32"/>
      <c r="U1071" s="19" t="e">
        <f>E1071/207*60</f>
        <v>#REF!</v>
      </c>
      <c r="V1071" s="19"/>
      <c r="W1071" s="32"/>
      <c r="X1071" s="19"/>
    </row>
    <row r="1072" spans="1:24" s="20" customFormat="1" ht="19.5" thickBot="1" x14ac:dyDescent="0.35">
      <c r="A1072" s="26"/>
      <c r="B1072" s="26" t="s">
        <v>63</v>
      </c>
      <c r="C1072" s="27" t="e">
        <f t="shared" si="264"/>
        <v>#REF!</v>
      </c>
      <c r="D1072" s="28" t="e">
        <f t="shared" si="265"/>
        <v>#REF!</v>
      </c>
      <c r="E1072" s="19" t="e">
        <f>D1072*0.18</f>
        <v>#REF!</v>
      </c>
      <c r="F1072" s="29" t="e">
        <f t="shared" si="266"/>
        <v>#REF!</v>
      </c>
      <c r="G1072" s="27" t="e">
        <f t="shared" si="267"/>
        <v>#REF!</v>
      </c>
      <c r="H1072" s="30" t="s">
        <v>18</v>
      </c>
      <c r="I1072" s="27" t="e">
        <f t="shared" si="268"/>
        <v>#REF!</v>
      </c>
      <c r="J1072" s="19" t="s">
        <v>19</v>
      </c>
      <c r="K1072" s="19"/>
      <c r="L1072" s="19"/>
      <c r="M1072" s="31" t="e">
        <f>(F1072*11610)/3456</f>
        <v>#REF!</v>
      </c>
      <c r="N1072" s="19"/>
      <c r="O1072" s="19"/>
      <c r="P1072" s="19"/>
      <c r="Q1072" s="30" t="s">
        <v>18</v>
      </c>
      <c r="R1072" s="19"/>
      <c r="S1072" s="19" t="s">
        <v>19</v>
      </c>
      <c r="T1072" s="32"/>
      <c r="U1072" s="19" t="e">
        <f>E1072/207*60</f>
        <v>#REF!</v>
      </c>
      <c r="V1072" s="19"/>
      <c r="W1072" s="32"/>
      <c r="X1072" s="19"/>
    </row>
    <row r="1073" spans="1:24" s="20" customFormat="1" ht="19.5" thickBot="1" x14ac:dyDescent="0.35">
      <c r="A1073" s="26"/>
      <c r="B1073" s="26" t="s">
        <v>64</v>
      </c>
      <c r="C1073" s="27" t="e">
        <f t="shared" si="264"/>
        <v>#REF!</v>
      </c>
      <c r="D1073" s="28" t="e">
        <f t="shared" si="265"/>
        <v>#REF!</v>
      </c>
      <c r="E1073" s="19" t="e">
        <f>D1073*0.18</f>
        <v>#REF!</v>
      </c>
      <c r="F1073" s="29" t="e">
        <f t="shared" si="266"/>
        <v>#REF!</v>
      </c>
      <c r="G1073" s="27" t="e">
        <f t="shared" si="267"/>
        <v>#REF!</v>
      </c>
      <c r="H1073" s="30" t="s">
        <v>18</v>
      </c>
      <c r="I1073" s="27" t="e">
        <f t="shared" si="268"/>
        <v>#REF!</v>
      </c>
      <c r="J1073" s="19" t="s">
        <v>19</v>
      </c>
      <c r="K1073" s="19"/>
      <c r="L1073" s="19"/>
      <c r="M1073" s="31" t="e">
        <f>(F1073*11610)/3456</f>
        <v>#REF!</v>
      </c>
      <c r="N1073" s="19"/>
      <c r="O1073" s="19"/>
      <c r="P1073" s="19"/>
      <c r="Q1073" s="30" t="s">
        <v>18</v>
      </c>
      <c r="R1073" s="19"/>
      <c r="S1073" s="19" t="s">
        <v>19</v>
      </c>
      <c r="T1073" s="32"/>
      <c r="U1073" s="19" t="e">
        <f>E1073/207*60</f>
        <v>#REF!</v>
      </c>
      <c r="V1073" s="19"/>
      <c r="W1073" s="32"/>
      <c r="X1073" s="19"/>
    </row>
    <row r="1074" spans="1:24" s="20" customFormat="1" ht="19.5" thickBot="1" x14ac:dyDescent="0.35">
      <c r="A1074" s="26"/>
      <c r="B1074" s="26" t="s">
        <v>66</v>
      </c>
      <c r="C1074" s="27" t="e">
        <f t="shared" si="264"/>
        <v>#REF!</v>
      </c>
      <c r="D1074" s="28" t="e">
        <f t="shared" si="265"/>
        <v>#REF!</v>
      </c>
      <c r="E1074" s="19" t="e">
        <f>D1074*0.25</f>
        <v>#REF!</v>
      </c>
      <c r="F1074" s="29" t="e">
        <f t="shared" si="266"/>
        <v>#REF!</v>
      </c>
      <c r="G1074" s="27" t="e">
        <f t="shared" si="267"/>
        <v>#REF!</v>
      </c>
      <c r="H1074" s="30" t="s">
        <v>18</v>
      </c>
      <c r="I1074" s="27" t="e">
        <f t="shared" si="268"/>
        <v>#REF!</v>
      </c>
      <c r="J1074" s="19" t="s">
        <v>19</v>
      </c>
      <c r="K1074" s="19"/>
      <c r="L1074" s="19"/>
      <c r="M1074" s="31" t="e">
        <f>(F1074*8480)/3456</f>
        <v>#REF!</v>
      </c>
      <c r="N1074" s="19"/>
      <c r="O1074" s="19"/>
      <c r="P1074" s="19"/>
      <c r="Q1074" s="30" t="s">
        <v>18</v>
      </c>
      <c r="R1074" s="19"/>
      <c r="S1074" s="19" t="s">
        <v>19</v>
      </c>
      <c r="T1074" s="32"/>
      <c r="U1074" s="19" t="e">
        <f>E1074/272*60</f>
        <v>#REF!</v>
      </c>
      <c r="V1074" s="19"/>
      <c r="W1074" s="32"/>
      <c r="X1074" s="19"/>
    </row>
    <row r="1075" spans="1:24" s="20" customFormat="1" ht="19.5" thickBot="1" x14ac:dyDescent="0.35">
      <c r="A1075" s="26"/>
      <c r="B1075" s="26" t="s">
        <v>67</v>
      </c>
      <c r="C1075" s="27" t="e">
        <f t="shared" si="264"/>
        <v>#REF!</v>
      </c>
      <c r="D1075" s="28" t="e">
        <f t="shared" si="265"/>
        <v>#REF!</v>
      </c>
      <c r="E1075" s="19" t="e">
        <f>D1075*0.25</f>
        <v>#REF!</v>
      </c>
      <c r="F1075" s="29" t="e">
        <f t="shared" si="266"/>
        <v>#REF!</v>
      </c>
      <c r="G1075" s="27" t="e">
        <f t="shared" si="267"/>
        <v>#REF!</v>
      </c>
      <c r="H1075" s="30" t="s">
        <v>18</v>
      </c>
      <c r="I1075" s="27" t="e">
        <f t="shared" si="268"/>
        <v>#REF!</v>
      </c>
      <c r="J1075" s="19" t="s">
        <v>19</v>
      </c>
      <c r="K1075" s="19"/>
      <c r="L1075" s="19"/>
      <c r="M1075" s="31" t="e">
        <f>(F1075*8480)/3456</f>
        <v>#REF!</v>
      </c>
      <c r="N1075" s="19"/>
      <c r="O1075" s="19"/>
      <c r="P1075" s="19"/>
      <c r="Q1075" s="30" t="s">
        <v>18</v>
      </c>
      <c r="R1075" s="19"/>
      <c r="S1075" s="19" t="s">
        <v>19</v>
      </c>
      <c r="T1075" s="32"/>
      <c r="U1075" s="19" t="e">
        <f>E1075/272*60</f>
        <v>#REF!</v>
      </c>
      <c r="V1075" s="19"/>
      <c r="W1075" s="32"/>
      <c r="X1075" s="19"/>
    </row>
    <row r="1076" spans="1:24" s="20" customFormat="1" ht="19.5" thickBot="1" x14ac:dyDescent="0.35">
      <c r="A1076" s="26"/>
      <c r="B1076" s="26" t="s">
        <v>68</v>
      </c>
      <c r="C1076" s="27" t="e">
        <f t="shared" si="264"/>
        <v>#REF!</v>
      </c>
      <c r="D1076" s="28" t="e">
        <f t="shared" si="265"/>
        <v>#REF!</v>
      </c>
      <c r="E1076" s="19" t="e">
        <f>D1076*0.25</f>
        <v>#REF!</v>
      </c>
      <c r="F1076" s="29" t="e">
        <f t="shared" si="266"/>
        <v>#REF!</v>
      </c>
      <c r="G1076" s="27" t="e">
        <f t="shared" si="267"/>
        <v>#REF!</v>
      </c>
      <c r="H1076" s="30" t="s">
        <v>18</v>
      </c>
      <c r="I1076" s="27" t="e">
        <f t="shared" si="268"/>
        <v>#REF!</v>
      </c>
      <c r="J1076" s="19" t="s">
        <v>19</v>
      </c>
      <c r="K1076" s="19"/>
      <c r="L1076" s="19"/>
      <c r="M1076" s="31" t="e">
        <f>(F1076*8480)/3456</f>
        <v>#REF!</v>
      </c>
      <c r="N1076" s="19"/>
      <c r="O1076" s="19"/>
      <c r="P1076" s="19"/>
      <c r="Q1076" s="30" t="s">
        <v>18</v>
      </c>
      <c r="R1076" s="19"/>
      <c r="S1076" s="19" t="s">
        <v>19</v>
      </c>
      <c r="T1076" s="32"/>
      <c r="U1076" s="19" t="e">
        <f>E1076/272*60</f>
        <v>#REF!</v>
      </c>
      <c r="V1076" s="19"/>
      <c r="W1076" s="32"/>
      <c r="X1076" s="19"/>
    </row>
    <row r="1077" spans="1:24" s="20" customFormat="1" ht="19.5" thickBot="1" x14ac:dyDescent="0.35">
      <c r="A1077" s="26"/>
      <c r="B1077" s="26" t="s">
        <v>71</v>
      </c>
      <c r="C1077" s="27" t="e">
        <f t="shared" si="264"/>
        <v>#REF!</v>
      </c>
      <c r="D1077" s="28" t="e">
        <f t="shared" si="265"/>
        <v>#REF!</v>
      </c>
      <c r="E1077" s="19" t="e">
        <f>D1077*0.25</f>
        <v>#REF!</v>
      </c>
      <c r="F1077" s="29" t="e">
        <f t="shared" si="266"/>
        <v>#REF!</v>
      </c>
      <c r="G1077" s="27" t="e">
        <f t="shared" si="267"/>
        <v>#REF!</v>
      </c>
      <c r="H1077" s="30" t="s">
        <v>18</v>
      </c>
      <c r="I1077" s="27" t="e">
        <f t="shared" si="268"/>
        <v>#REF!</v>
      </c>
      <c r="J1077" s="19" t="s">
        <v>19</v>
      </c>
      <c r="K1077" s="19"/>
      <c r="L1077" s="19"/>
      <c r="M1077" s="31" t="e">
        <f>(F1077*8480)/3456</f>
        <v>#REF!</v>
      </c>
      <c r="N1077" s="19"/>
      <c r="O1077" s="19"/>
      <c r="P1077" s="19"/>
      <c r="Q1077" s="30" t="s">
        <v>18</v>
      </c>
      <c r="R1077" s="19"/>
      <c r="S1077" s="19" t="s">
        <v>19</v>
      </c>
      <c r="T1077" s="32"/>
      <c r="U1077" s="19" t="e">
        <f>E1077/272*60</f>
        <v>#REF!</v>
      </c>
      <c r="V1077" s="19"/>
      <c r="W1077" s="32"/>
      <c r="X1077" s="19"/>
    </row>
    <row r="1078" spans="1:24" s="20" customFormat="1" ht="19.5" thickBot="1" x14ac:dyDescent="0.35">
      <c r="A1078" s="26"/>
      <c r="B1078" s="26" t="s">
        <v>72</v>
      </c>
      <c r="C1078" s="27" t="e">
        <f t="shared" si="264"/>
        <v>#REF!</v>
      </c>
      <c r="D1078" s="28" t="e">
        <f t="shared" si="265"/>
        <v>#REF!</v>
      </c>
      <c r="E1078" s="19" t="e">
        <f>D1078*0.25</f>
        <v>#REF!</v>
      </c>
      <c r="F1078" s="29" t="e">
        <f t="shared" si="266"/>
        <v>#REF!</v>
      </c>
      <c r="G1078" s="27" t="e">
        <f t="shared" si="267"/>
        <v>#REF!</v>
      </c>
      <c r="H1078" s="30" t="s">
        <v>18</v>
      </c>
      <c r="I1078" s="27" t="e">
        <f t="shared" si="268"/>
        <v>#REF!</v>
      </c>
      <c r="J1078" s="19" t="s">
        <v>19</v>
      </c>
      <c r="K1078" s="19"/>
      <c r="L1078" s="19"/>
      <c r="M1078" s="31" t="e">
        <f>(F1078*8480)/3456</f>
        <v>#REF!</v>
      </c>
      <c r="N1078" s="19"/>
      <c r="O1078" s="19"/>
      <c r="P1078" s="19"/>
      <c r="Q1078" s="30" t="s">
        <v>18</v>
      </c>
      <c r="R1078" s="19"/>
      <c r="S1078" s="19" t="s">
        <v>19</v>
      </c>
      <c r="T1078" s="32"/>
      <c r="U1078" s="19" t="e">
        <f>E1078/272*60</f>
        <v>#REF!</v>
      </c>
      <c r="V1078" s="19"/>
      <c r="W1078" s="32"/>
      <c r="X1078" s="19"/>
    </row>
    <row r="1079" spans="1:24" s="20" customFormat="1" ht="19.5" thickBot="1" x14ac:dyDescent="0.35">
      <c r="A1079" s="19"/>
      <c r="B1079" s="71" t="s">
        <v>145</v>
      </c>
      <c r="C1079" s="72"/>
      <c r="D1079" s="28">
        <f>C1079*12</f>
        <v>0</v>
      </c>
      <c r="E1079" s="19">
        <f>D1079*0.15</f>
        <v>0</v>
      </c>
      <c r="F1079" s="36"/>
      <c r="G1079" s="27"/>
      <c r="H1079" s="30"/>
      <c r="I1079" s="27"/>
      <c r="J1079" s="19"/>
      <c r="K1079" s="19"/>
      <c r="L1079" s="19"/>
      <c r="M1079" s="31"/>
      <c r="N1079" s="19"/>
      <c r="O1079" s="19"/>
      <c r="P1079" s="19"/>
      <c r="Q1079" s="30"/>
      <c r="R1079" s="19"/>
      <c r="S1079" s="19"/>
      <c r="T1079" s="32"/>
      <c r="U1079" s="19">
        <f>D1079/375</f>
        <v>0</v>
      </c>
      <c r="V1079" s="19"/>
      <c r="W1079" s="32"/>
      <c r="X1079" s="19"/>
    </row>
    <row r="1080" spans="1:24" s="20" customFormat="1" ht="19.5" thickBot="1" x14ac:dyDescent="0.35">
      <c r="A1080" s="67"/>
      <c r="B1080" s="71" t="s">
        <v>146</v>
      </c>
      <c r="C1080" s="72"/>
      <c r="D1080" s="28">
        <f>C1080*12</f>
        <v>0</v>
      </c>
      <c r="E1080" s="67">
        <f>D1080*0.15</f>
        <v>0</v>
      </c>
      <c r="F1080" s="67"/>
      <c r="G1080" s="73"/>
      <c r="H1080" s="67"/>
      <c r="I1080" s="73"/>
      <c r="J1080" s="67"/>
      <c r="K1080" s="67"/>
      <c r="L1080" s="67"/>
      <c r="M1080" s="67"/>
      <c r="N1080" s="67"/>
      <c r="O1080" s="67"/>
      <c r="P1080" s="67"/>
      <c r="Q1080" s="67"/>
      <c r="R1080" s="67"/>
      <c r="S1080" s="67"/>
      <c r="T1080" s="74"/>
      <c r="U1080" s="19">
        <f>D1080/375</f>
        <v>0</v>
      </c>
      <c r="V1080" s="67"/>
      <c r="W1080" s="74"/>
      <c r="X1080" s="67"/>
    </row>
    <row r="1081" spans="1:24" s="54" customFormat="1" ht="19.5" thickBot="1" x14ac:dyDescent="0.35">
      <c r="A1081" s="41"/>
      <c r="B1081" s="41" t="s">
        <v>102</v>
      </c>
      <c r="C1081" s="42" t="e">
        <f>C886+C856</f>
        <v>#REF!</v>
      </c>
      <c r="D1081" s="43"/>
      <c r="E1081" s="45" t="e">
        <f>C1081*3.2</f>
        <v>#REF!</v>
      </c>
      <c r="F1081" s="50" t="e">
        <f>E1081*1.03*0.99/147</f>
        <v>#REF!</v>
      </c>
      <c r="G1081" s="42" t="e">
        <f>INT(M1081)</f>
        <v>#REF!</v>
      </c>
      <c r="H1081" s="14" t="s">
        <v>18</v>
      </c>
      <c r="I1081" s="42" t="e">
        <f>(M1081-G1081)*64</f>
        <v>#REF!</v>
      </c>
      <c r="J1081" s="14" t="s">
        <v>19</v>
      </c>
      <c r="K1081" s="40"/>
      <c r="L1081" s="40"/>
      <c r="M1081" s="46" t="e">
        <f>F1081*4983/2880</f>
        <v>#REF!</v>
      </c>
      <c r="N1081" s="40"/>
      <c r="O1081" s="40"/>
      <c r="P1081" s="40"/>
      <c r="Q1081" s="14" t="s">
        <v>18</v>
      </c>
      <c r="R1081" s="40"/>
      <c r="S1081" s="40" t="s">
        <v>19</v>
      </c>
      <c r="T1081" s="47"/>
      <c r="U1081" s="40" t="e">
        <f>E1081/259*60</f>
        <v>#REF!</v>
      </c>
      <c r="V1081" s="40"/>
      <c r="W1081" s="47"/>
      <c r="X1081" s="40"/>
    </row>
    <row r="1082" spans="1:24" s="54" customFormat="1" ht="19.5" thickBot="1" x14ac:dyDescent="0.35">
      <c r="A1082" s="41"/>
      <c r="B1082" s="41" t="s">
        <v>115</v>
      </c>
      <c r="C1082" s="42" t="e">
        <f>C887+C857</f>
        <v>#REF!</v>
      </c>
      <c r="D1082" s="43"/>
      <c r="E1082" s="45" t="e">
        <f>C1082*3.2</f>
        <v>#REF!</v>
      </c>
      <c r="F1082" s="50" t="e">
        <f>E1082*1.03*0.99/147</f>
        <v>#REF!</v>
      </c>
      <c r="G1082" s="42" t="e">
        <f>INT(M1082)</f>
        <v>#REF!</v>
      </c>
      <c r="H1082" s="14" t="s">
        <v>18</v>
      </c>
      <c r="I1082" s="42" t="e">
        <f>(M1082-G1082)*64</f>
        <v>#REF!</v>
      </c>
      <c r="J1082" s="14" t="s">
        <v>19</v>
      </c>
      <c r="K1082" s="40"/>
      <c r="L1082" s="40"/>
      <c r="M1082" s="46" t="e">
        <f>F1082*4983/2880</f>
        <v>#REF!</v>
      </c>
      <c r="N1082" s="40"/>
      <c r="O1082" s="40"/>
      <c r="P1082" s="40"/>
      <c r="Q1082" s="14" t="s">
        <v>18</v>
      </c>
      <c r="R1082" s="40"/>
      <c r="S1082" s="40" t="s">
        <v>19</v>
      </c>
      <c r="T1082" s="47"/>
      <c r="U1082" s="40" t="e">
        <f>E1082/259*60</f>
        <v>#REF!</v>
      </c>
      <c r="V1082" s="40"/>
      <c r="W1082" s="47"/>
      <c r="X1082" s="40"/>
    </row>
    <row r="1083" spans="1:24" s="54" customFormat="1" ht="19.5" thickBot="1" x14ac:dyDescent="0.35">
      <c r="A1083" s="41"/>
      <c r="B1083" s="41" t="s">
        <v>96</v>
      </c>
      <c r="C1083" s="42" t="e">
        <f>C801+C746</f>
        <v>#REF!</v>
      </c>
      <c r="D1083" s="43"/>
      <c r="E1083" s="45" t="e">
        <f>C1083*3</f>
        <v>#REF!</v>
      </c>
      <c r="F1083" s="50" t="e">
        <f>E1083*1.03*0.8/147</f>
        <v>#REF!</v>
      </c>
      <c r="G1083" s="42" t="e">
        <f>INT(M1083)</f>
        <v>#REF!</v>
      </c>
      <c r="H1083" s="45" t="s">
        <v>18</v>
      </c>
      <c r="I1083" s="42" t="e">
        <f>(M1083-G1083)*64</f>
        <v>#REF!</v>
      </c>
      <c r="J1083" s="40" t="s">
        <v>19</v>
      </c>
      <c r="K1083" s="40"/>
      <c r="L1083" s="40"/>
      <c r="M1083" s="46" t="e">
        <f>(F1083*5444/3456)</f>
        <v>#REF!</v>
      </c>
      <c r="N1083" s="40"/>
      <c r="O1083" s="40"/>
      <c r="P1083" s="40"/>
      <c r="Q1083" s="14" t="s">
        <v>18</v>
      </c>
      <c r="R1083" s="40"/>
      <c r="S1083" s="40" t="s">
        <v>19</v>
      </c>
      <c r="T1083" s="47"/>
      <c r="U1083" s="40" t="e">
        <f>E1083/324*60</f>
        <v>#REF!</v>
      </c>
      <c r="V1083" s="40"/>
      <c r="W1083" s="47"/>
      <c r="X1083" s="40"/>
    </row>
    <row r="1084" spans="1:24" s="54" customFormat="1" ht="19.5" thickBot="1" x14ac:dyDescent="0.35">
      <c r="A1084" s="41"/>
      <c r="B1084" s="41" t="s">
        <v>305</v>
      </c>
      <c r="C1084" s="42">
        <f>C852</f>
        <v>0</v>
      </c>
      <c r="D1084" s="43"/>
      <c r="E1084" s="45">
        <f>C1084*3.2</f>
        <v>0</v>
      </c>
      <c r="F1084" s="50">
        <f>E1084*1.03*0.99/147</f>
        <v>0</v>
      </c>
      <c r="G1084" s="42">
        <f>INT(M1084)</f>
        <v>0</v>
      </c>
      <c r="H1084" s="14" t="s">
        <v>18</v>
      </c>
      <c r="I1084" s="42">
        <f>(M1084-G1084)*64</f>
        <v>0</v>
      </c>
      <c r="J1084" s="14" t="s">
        <v>19</v>
      </c>
      <c r="K1084" s="40"/>
      <c r="L1084" s="40"/>
      <c r="M1084" s="46">
        <f>F1084*4983/2880</f>
        <v>0</v>
      </c>
      <c r="N1084" s="40"/>
      <c r="O1084" s="40"/>
      <c r="P1084" s="40"/>
      <c r="Q1084" s="14" t="s">
        <v>18</v>
      </c>
      <c r="R1084" s="40"/>
      <c r="S1084" s="40" t="s">
        <v>19</v>
      </c>
      <c r="T1084" s="47"/>
      <c r="U1084" s="40">
        <f>E1084/259*60</f>
        <v>0</v>
      </c>
      <c r="V1084" s="40"/>
      <c r="W1084" s="47"/>
      <c r="X1084" s="40"/>
    </row>
    <row r="1085" spans="1:24" s="20" customFormat="1" ht="19.5" thickBot="1" x14ac:dyDescent="0.35">
      <c r="A1085" s="70"/>
      <c r="B1085" s="68" t="s">
        <v>147</v>
      </c>
      <c r="C1085" s="27"/>
      <c r="D1085" s="28"/>
      <c r="E1085" s="30" t="e">
        <f>E1071+E1072+E1073+E1074+E1075+E1076+E1077+E1078+E1084+E1083+E1082+E1081</f>
        <v>#REF!</v>
      </c>
      <c r="F1085" s="36"/>
      <c r="G1085" s="27"/>
      <c r="H1085" s="30"/>
      <c r="I1085" s="27"/>
      <c r="J1085" s="19"/>
      <c r="K1085" s="19"/>
      <c r="L1085" s="19"/>
      <c r="M1085" s="31"/>
      <c r="N1085" s="19"/>
      <c r="O1085" s="19"/>
      <c r="P1085" s="19"/>
      <c r="Q1085" s="35"/>
      <c r="R1085" s="19"/>
      <c r="S1085" s="19"/>
      <c r="T1085" s="32"/>
      <c r="U1085" s="19"/>
      <c r="V1085" s="19"/>
      <c r="W1085" s="32"/>
      <c r="X1085" s="19"/>
    </row>
    <row r="1086" spans="1:24" s="20" customFormat="1" ht="19.5" thickBot="1" x14ac:dyDescent="0.35">
      <c r="A1086" s="70"/>
      <c r="B1086" s="68" t="s">
        <v>148</v>
      </c>
      <c r="C1086" s="27"/>
      <c r="D1086" s="28"/>
      <c r="E1086" s="30" t="e">
        <f>E1069+E1070+E1080+E1079</f>
        <v>#REF!</v>
      </c>
      <c r="F1086" s="36"/>
      <c r="G1086" s="27"/>
      <c r="H1086" s="30"/>
      <c r="I1086" s="27"/>
      <c r="J1086" s="19"/>
      <c r="K1086" s="19"/>
      <c r="L1086" s="19"/>
      <c r="M1086" s="31"/>
      <c r="N1086" s="19"/>
      <c r="O1086" s="19"/>
      <c r="P1086" s="19"/>
      <c r="Q1086" s="35"/>
      <c r="R1086" s="19"/>
      <c r="S1086" s="19"/>
      <c r="T1086" s="32"/>
      <c r="U1086" s="19"/>
      <c r="V1086" s="19"/>
      <c r="W1086" s="32"/>
      <c r="X1086" s="19"/>
    </row>
    <row r="1087" spans="1:24" ht="19.5" thickBot="1" x14ac:dyDescent="0.35">
      <c r="A1087" s="52"/>
      <c r="B1087" s="921" t="s">
        <v>150</v>
      </c>
      <c r="C1087" s="921"/>
      <c r="D1087" s="921"/>
      <c r="E1087" s="921"/>
      <c r="F1087" s="921"/>
      <c r="G1087" s="921"/>
      <c r="H1087" s="921"/>
      <c r="I1087" s="921"/>
      <c r="J1087" s="921"/>
      <c r="K1087" s="921"/>
      <c r="L1087" s="921"/>
      <c r="M1087" s="921"/>
      <c r="N1087" s="921"/>
      <c r="O1087" s="921"/>
      <c r="P1087" s="921"/>
      <c r="Q1087" s="921"/>
      <c r="R1087" s="921"/>
      <c r="S1087" s="921"/>
      <c r="T1087" s="921"/>
      <c r="U1087" s="921"/>
      <c r="V1087" s="921"/>
      <c r="W1087" s="921"/>
      <c r="X1087" s="921"/>
    </row>
    <row r="1088" spans="1:24" ht="38.25" thickBot="1" x14ac:dyDescent="0.35">
      <c r="A1088" s="52"/>
      <c r="B1088" s="280" t="s">
        <v>596</v>
      </c>
      <c r="C1088" s="278"/>
      <c r="D1088" s="278">
        <f>C1088*20</f>
        <v>0</v>
      </c>
      <c r="E1088" s="278">
        <f>C1088*4</f>
        <v>0</v>
      </c>
      <c r="F1088" s="278"/>
      <c r="G1088" s="278"/>
      <c r="H1088" s="278"/>
      <c r="I1088" s="278"/>
      <c r="J1088" s="278"/>
      <c r="K1088" s="278"/>
      <c r="L1088" s="278"/>
      <c r="M1088" s="278"/>
      <c r="N1088" s="278"/>
      <c r="O1088" s="278"/>
      <c r="P1088" s="278"/>
      <c r="Q1088" s="278"/>
      <c r="R1088" s="278"/>
      <c r="S1088" s="278"/>
      <c r="T1088" s="278"/>
      <c r="U1088" s="278"/>
      <c r="V1088" s="278"/>
      <c r="W1088" s="278"/>
      <c r="X1088" s="278"/>
    </row>
    <row r="1089" spans="1:24" ht="19.5" thickBot="1" x14ac:dyDescent="0.35">
      <c r="A1089" s="52"/>
      <c r="B1089" s="75" t="s">
        <v>151</v>
      </c>
      <c r="C1089" s="76"/>
      <c r="D1089" s="61">
        <f>C1089*18</f>
        <v>0</v>
      </c>
      <c r="E1089" s="52">
        <f>D1089*0.15</f>
        <v>0</v>
      </c>
      <c r="F1089" s="52"/>
      <c r="G1089" s="62"/>
      <c r="H1089" s="52"/>
      <c r="I1089" s="6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60"/>
      <c r="U1089" s="52"/>
      <c r="V1089" s="52"/>
      <c r="W1089" s="60"/>
      <c r="X1089" s="52"/>
    </row>
    <row r="1090" spans="1:24" ht="19.5" thickBot="1" x14ac:dyDescent="0.35">
      <c r="A1090" s="52"/>
      <c r="B1090" s="75" t="s">
        <v>152</v>
      </c>
      <c r="C1090" s="76"/>
      <c r="D1090" s="61">
        <f>C1090*18</f>
        <v>0</v>
      </c>
      <c r="E1090" s="52">
        <f>D1090*0.35</f>
        <v>0</v>
      </c>
      <c r="F1090" s="52"/>
      <c r="G1090" s="62"/>
      <c r="H1090" s="52"/>
      <c r="I1090" s="6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60"/>
      <c r="U1090" s="52"/>
      <c r="V1090" s="52"/>
      <c r="W1090" s="60"/>
      <c r="X1090" s="52"/>
    </row>
    <row r="1091" spans="1:24" ht="19.5" thickBot="1" x14ac:dyDescent="0.35">
      <c r="A1091" s="52"/>
      <c r="B1091" s="75" t="s">
        <v>153</v>
      </c>
      <c r="C1091" s="76"/>
      <c r="D1091" s="61">
        <f>C1091*14</f>
        <v>0</v>
      </c>
      <c r="E1091" s="52">
        <f>D1091*0.25</f>
        <v>0</v>
      </c>
      <c r="F1091" s="52"/>
      <c r="G1091" s="62"/>
      <c r="H1091" s="52"/>
      <c r="I1091" s="6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60"/>
      <c r="U1091" s="52"/>
      <c r="V1091" s="52"/>
      <c r="W1091" s="60"/>
      <c r="X1091" s="52"/>
    </row>
    <row r="1092" spans="1:24" ht="19.5" thickBot="1" x14ac:dyDescent="0.35">
      <c r="A1092" s="52"/>
      <c r="B1092" s="75" t="s">
        <v>154</v>
      </c>
      <c r="C1092" s="76"/>
      <c r="D1092" s="61">
        <f>C1092*40</f>
        <v>0</v>
      </c>
      <c r="E1092" s="52">
        <f>D1092*0.15</f>
        <v>0</v>
      </c>
      <c r="F1092" s="52"/>
      <c r="G1092" s="62"/>
      <c r="H1092" s="52"/>
      <c r="I1092" s="62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60"/>
      <c r="U1092" s="52"/>
      <c r="V1092" s="52"/>
      <c r="W1092" s="60"/>
      <c r="X1092" s="52"/>
    </row>
    <row r="1093" spans="1:24" ht="19.5" thickBot="1" x14ac:dyDescent="0.35">
      <c r="A1093" s="52"/>
      <c r="B1093" s="75" t="s">
        <v>155</v>
      </c>
      <c r="C1093" s="76"/>
      <c r="D1093" s="61">
        <f>C1093*11</f>
        <v>0</v>
      </c>
      <c r="E1093" s="52">
        <f>D1093*0.25</f>
        <v>0</v>
      </c>
      <c r="F1093" s="52"/>
      <c r="G1093" s="62"/>
      <c r="H1093" s="52"/>
      <c r="I1093" s="62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60"/>
      <c r="U1093" s="52"/>
      <c r="V1093" s="52"/>
      <c r="W1093" s="60"/>
      <c r="X1093" s="52"/>
    </row>
    <row r="1094" spans="1:24" ht="19.5" thickBot="1" x14ac:dyDescent="0.35">
      <c r="A1094" s="52"/>
      <c r="B1094" s="75" t="s">
        <v>156</v>
      </c>
      <c r="C1094" s="76"/>
      <c r="D1094" s="61">
        <f>C1094*9</f>
        <v>0</v>
      </c>
      <c r="E1094" s="52">
        <f>D1094*0.5</f>
        <v>0</v>
      </c>
      <c r="F1094" s="52"/>
      <c r="G1094" s="62"/>
      <c r="H1094" s="52"/>
      <c r="I1094" s="62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60"/>
      <c r="U1094" s="52"/>
      <c r="V1094" s="52"/>
      <c r="W1094" s="60"/>
      <c r="X1094" s="52"/>
    </row>
    <row r="1095" spans="1:24" ht="19.5" thickBot="1" x14ac:dyDescent="0.35">
      <c r="A1095" s="52"/>
      <c r="B1095" s="52" t="s">
        <v>134</v>
      </c>
      <c r="C1095" s="62"/>
      <c r="D1095" s="61"/>
      <c r="E1095" s="52">
        <f>SUM(E1089:E1094)+E1088</f>
        <v>0</v>
      </c>
      <c r="F1095" s="52"/>
      <c r="G1095" s="62"/>
      <c r="H1095" s="52"/>
      <c r="I1095" s="62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60"/>
      <c r="U1095" s="52"/>
      <c r="V1095" s="52"/>
      <c r="W1095" s="60"/>
      <c r="X1095" s="52"/>
    </row>
    <row r="1096" spans="1:24" s="20" customFormat="1" ht="19.5" thickBot="1" x14ac:dyDescent="0.35">
      <c r="A1096" s="67"/>
      <c r="B1096" s="920" t="s">
        <v>157</v>
      </c>
      <c r="C1096" s="920"/>
      <c r="D1096" s="920"/>
      <c r="E1096" s="920"/>
      <c r="F1096" s="920"/>
      <c r="G1096" s="920"/>
      <c r="H1096" s="920"/>
      <c r="I1096" s="920"/>
      <c r="J1096" s="920"/>
      <c r="K1096" s="920"/>
      <c r="L1096" s="920"/>
      <c r="M1096" s="920"/>
      <c r="N1096" s="920"/>
      <c r="O1096" s="920"/>
      <c r="P1096" s="920"/>
      <c r="Q1096" s="920"/>
      <c r="R1096" s="920"/>
      <c r="S1096" s="920"/>
      <c r="T1096" s="920"/>
      <c r="U1096" s="920"/>
      <c r="V1096" s="920"/>
      <c r="W1096" s="920"/>
      <c r="X1096" s="920"/>
    </row>
    <row r="1097" spans="1:24" s="20" customFormat="1" ht="19.5" thickBot="1" x14ac:dyDescent="0.35">
      <c r="A1097" s="67"/>
      <c r="B1097" s="77" t="s">
        <v>572</v>
      </c>
      <c r="C1097" s="270"/>
      <c r="D1097" s="270">
        <f t="shared" ref="D1097:D1104" si="269">C1097*20</f>
        <v>0</v>
      </c>
      <c r="E1097" s="270">
        <f t="shared" ref="E1097:E1104" si="270">C1097*4</f>
        <v>0</v>
      </c>
      <c r="F1097" s="270"/>
      <c r="G1097" s="270"/>
      <c r="H1097" s="270"/>
      <c r="I1097" s="270"/>
      <c r="J1097" s="270"/>
      <c r="K1097" s="270"/>
      <c r="L1097" s="270"/>
      <c r="M1097" s="270"/>
      <c r="N1097" s="270"/>
      <c r="O1097" s="270"/>
      <c r="P1097" s="270"/>
      <c r="Q1097" s="270"/>
      <c r="R1097" s="270"/>
      <c r="S1097" s="270"/>
      <c r="T1097" s="270"/>
      <c r="U1097" s="270"/>
      <c r="V1097" s="270"/>
      <c r="W1097" s="270"/>
      <c r="X1097" s="270"/>
    </row>
    <row r="1098" spans="1:24" s="20" customFormat="1" ht="19.5" thickBot="1" x14ac:dyDescent="0.35">
      <c r="A1098" s="67"/>
      <c r="B1098" s="77" t="s">
        <v>573</v>
      </c>
      <c r="C1098" s="270"/>
      <c r="D1098" s="270">
        <f t="shared" si="269"/>
        <v>0</v>
      </c>
      <c r="E1098" s="270">
        <f t="shared" si="270"/>
        <v>0</v>
      </c>
      <c r="F1098" s="270"/>
      <c r="G1098" s="270"/>
      <c r="H1098" s="270"/>
      <c r="I1098" s="270"/>
      <c r="J1098" s="270"/>
      <c r="K1098" s="270"/>
      <c r="L1098" s="270"/>
      <c r="M1098" s="270"/>
      <c r="N1098" s="270"/>
      <c r="O1098" s="270"/>
      <c r="P1098" s="270"/>
      <c r="Q1098" s="270"/>
      <c r="R1098" s="270"/>
      <c r="S1098" s="270"/>
      <c r="T1098" s="270"/>
      <c r="U1098" s="270"/>
      <c r="V1098" s="270"/>
      <c r="W1098" s="270"/>
      <c r="X1098" s="270"/>
    </row>
    <row r="1099" spans="1:24" s="20" customFormat="1" ht="19.5" thickBot="1" x14ac:dyDescent="0.35">
      <c r="A1099" s="67"/>
      <c r="B1099" s="77" t="s">
        <v>574</v>
      </c>
      <c r="C1099" s="270"/>
      <c r="D1099" s="270">
        <f t="shared" si="269"/>
        <v>0</v>
      </c>
      <c r="E1099" s="270">
        <f t="shared" si="270"/>
        <v>0</v>
      </c>
      <c r="F1099" s="270"/>
      <c r="G1099" s="270"/>
      <c r="H1099" s="270"/>
      <c r="I1099" s="270"/>
      <c r="J1099" s="270"/>
      <c r="K1099" s="270"/>
      <c r="L1099" s="270"/>
      <c r="M1099" s="270"/>
      <c r="N1099" s="270"/>
      <c r="O1099" s="270"/>
      <c r="P1099" s="270"/>
      <c r="Q1099" s="270"/>
      <c r="R1099" s="270"/>
      <c r="S1099" s="270"/>
      <c r="T1099" s="270"/>
      <c r="U1099" s="270"/>
      <c r="V1099" s="270"/>
      <c r="W1099" s="270"/>
      <c r="X1099" s="270"/>
    </row>
    <row r="1100" spans="1:24" s="20" customFormat="1" ht="19.5" thickBot="1" x14ac:dyDescent="0.35">
      <c r="A1100" s="67"/>
      <c r="B1100" s="77" t="s">
        <v>575</v>
      </c>
      <c r="C1100" s="270"/>
      <c r="D1100" s="270">
        <f t="shared" si="269"/>
        <v>0</v>
      </c>
      <c r="E1100" s="270">
        <f t="shared" si="270"/>
        <v>0</v>
      </c>
      <c r="F1100" s="270"/>
      <c r="G1100" s="270"/>
      <c r="H1100" s="270"/>
      <c r="I1100" s="270"/>
      <c r="J1100" s="270"/>
      <c r="K1100" s="270"/>
      <c r="L1100" s="270"/>
      <c r="M1100" s="270"/>
      <c r="N1100" s="270"/>
      <c r="O1100" s="270"/>
      <c r="P1100" s="270"/>
      <c r="Q1100" s="270"/>
      <c r="R1100" s="270"/>
      <c r="S1100" s="270"/>
      <c r="T1100" s="270"/>
      <c r="U1100" s="270"/>
      <c r="V1100" s="270"/>
      <c r="W1100" s="270"/>
      <c r="X1100" s="270"/>
    </row>
    <row r="1101" spans="1:24" s="20" customFormat="1" ht="19.5" thickBot="1" x14ac:dyDescent="0.35">
      <c r="A1101" s="67"/>
      <c r="B1101" s="77" t="s">
        <v>576</v>
      </c>
      <c r="C1101" s="270"/>
      <c r="D1101" s="270">
        <f t="shared" si="269"/>
        <v>0</v>
      </c>
      <c r="E1101" s="270">
        <f t="shared" si="270"/>
        <v>0</v>
      </c>
      <c r="F1101" s="270"/>
      <c r="G1101" s="270"/>
      <c r="H1101" s="270"/>
      <c r="I1101" s="270"/>
      <c r="J1101" s="270"/>
      <c r="K1101" s="270"/>
      <c r="L1101" s="270"/>
      <c r="M1101" s="270"/>
      <c r="N1101" s="270"/>
      <c r="O1101" s="270"/>
      <c r="P1101" s="270"/>
      <c r="Q1101" s="270"/>
      <c r="R1101" s="270"/>
      <c r="S1101" s="270"/>
      <c r="T1101" s="270"/>
      <c r="U1101" s="270"/>
      <c r="V1101" s="270"/>
      <c r="W1101" s="270"/>
      <c r="X1101" s="270"/>
    </row>
    <row r="1102" spans="1:24" s="20" customFormat="1" ht="19.5" thickBot="1" x14ac:dyDescent="0.35">
      <c r="A1102" s="67"/>
      <c r="B1102" s="77" t="s">
        <v>577</v>
      </c>
      <c r="C1102" s="270"/>
      <c r="D1102" s="270">
        <f t="shared" si="269"/>
        <v>0</v>
      </c>
      <c r="E1102" s="270">
        <f t="shared" si="270"/>
        <v>0</v>
      </c>
      <c r="F1102" s="270"/>
      <c r="G1102" s="270"/>
      <c r="H1102" s="270"/>
      <c r="I1102" s="270"/>
      <c r="J1102" s="270"/>
      <c r="K1102" s="270"/>
      <c r="L1102" s="270"/>
      <c r="M1102" s="270"/>
      <c r="N1102" s="270"/>
      <c r="O1102" s="270"/>
      <c r="P1102" s="270"/>
      <c r="Q1102" s="270"/>
      <c r="R1102" s="270"/>
      <c r="S1102" s="270"/>
      <c r="T1102" s="270"/>
      <c r="U1102" s="270"/>
      <c r="V1102" s="270"/>
      <c r="W1102" s="270"/>
      <c r="X1102" s="270"/>
    </row>
    <row r="1103" spans="1:24" s="20" customFormat="1" ht="19.5" thickBot="1" x14ac:dyDescent="0.35">
      <c r="A1103" s="67"/>
      <c r="B1103" s="77" t="s">
        <v>578</v>
      </c>
      <c r="C1103" s="270"/>
      <c r="D1103" s="270">
        <f t="shared" si="269"/>
        <v>0</v>
      </c>
      <c r="E1103" s="270">
        <f t="shared" si="270"/>
        <v>0</v>
      </c>
      <c r="F1103" s="270"/>
      <c r="G1103" s="270"/>
      <c r="H1103" s="270"/>
      <c r="I1103" s="270"/>
      <c r="J1103" s="270"/>
      <c r="K1103" s="270"/>
      <c r="L1103" s="270"/>
      <c r="M1103" s="270"/>
      <c r="N1103" s="270"/>
      <c r="O1103" s="270"/>
      <c r="P1103" s="270"/>
      <c r="Q1103" s="270"/>
      <c r="R1103" s="270"/>
      <c r="S1103" s="270"/>
      <c r="T1103" s="270"/>
      <c r="U1103" s="270"/>
      <c r="V1103" s="270"/>
      <c r="W1103" s="270"/>
      <c r="X1103" s="270"/>
    </row>
    <row r="1104" spans="1:24" s="20" customFormat="1" ht="19.5" thickBot="1" x14ac:dyDescent="0.35">
      <c r="A1104" s="67"/>
      <c r="B1104" s="77" t="s">
        <v>579</v>
      </c>
      <c r="C1104" s="270"/>
      <c r="D1104" s="270">
        <f t="shared" si="269"/>
        <v>0</v>
      </c>
      <c r="E1104" s="270">
        <f t="shared" si="270"/>
        <v>0</v>
      </c>
      <c r="F1104" s="270"/>
      <c r="G1104" s="270"/>
      <c r="H1104" s="270"/>
      <c r="I1104" s="270"/>
      <c r="J1104" s="270"/>
      <c r="K1104" s="270"/>
      <c r="L1104" s="270"/>
      <c r="M1104" s="270"/>
      <c r="N1104" s="270"/>
      <c r="O1104" s="270"/>
      <c r="P1104" s="270"/>
      <c r="Q1104" s="270"/>
      <c r="R1104" s="270"/>
      <c r="S1104" s="270"/>
      <c r="T1104" s="270"/>
      <c r="U1104" s="270"/>
      <c r="V1104" s="270"/>
      <c r="W1104" s="270"/>
      <c r="X1104" s="270"/>
    </row>
    <row r="1105" spans="1:24" s="20" customFormat="1" ht="19.5" thickBot="1" x14ac:dyDescent="0.35">
      <c r="A1105" s="67"/>
      <c r="B1105" s="77" t="s">
        <v>580</v>
      </c>
      <c r="C1105" s="270"/>
      <c r="D1105" s="270"/>
      <c r="E1105" s="270">
        <f t="shared" ref="E1105:E1112" si="271">C1105*3.5</f>
        <v>0</v>
      </c>
      <c r="F1105" s="270"/>
      <c r="G1105" s="270"/>
      <c r="H1105" s="270"/>
      <c r="I1105" s="270"/>
      <c r="J1105" s="270"/>
      <c r="K1105" s="270"/>
      <c r="L1105" s="270"/>
      <c r="M1105" s="270"/>
      <c r="N1105" s="270"/>
      <c r="O1105" s="270"/>
      <c r="P1105" s="270"/>
      <c r="Q1105" s="270"/>
      <c r="R1105" s="270"/>
      <c r="S1105" s="270"/>
      <c r="T1105" s="270"/>
      <c r="U1105" s="270"/>
      <c r="V1105" s="270"/>
      <c r="W1105" s="270"/>
      <c r="X1105" s="270"/>
    </row>
    <row r="1106" spans="1:24" s="20" customFormat="1" ht="19.5" thickBot="1" x14ac:dyDescent="0.35">
      <c r="A1106" s="67"/>
      <c r="B1106" s="77" t="s">
        <v>581</v>
      </c>
      <c r="C1106" s="270"/>
      <c r="D1106" s="270"/>
      <c r="E1106" s="270">
        <f t="shared" si="271"/>
        <v>0</v>
      </c>
      <c r="F1106" s="270"/>
      <c r="G1106" s="270"/>
      <c r="H1106" s="270"/>
      <c r="I1106" s="270"/>
      <c r="J1106" s="270"/>
      <c r="K1106" s="270"/>
      <c r="L1106" s="270"/>
      <c r="M1106" s="270"/>
      <c r="N1106" s="270"/>
      <c r="O1106" s="270"/>
      <c r="P1106" s="270"/>
      <c r="Q1106" s="270"/>
      <c r="R1106" s="270"/>
      <c r="S1106" s="270"/>
      <c r="T1106" s="270"/>
      <c r="U1106" s="270"/>
      <c r="V1106" s="270"/>
      <c r="W1106" s="270"/>
      <c r="X1106" s="270"/>
    </row>
    <row r="1107" spans="1:24" s="20" customFormat="1" ht="19.5" thickBot="1" x14ac:dyDescent="0.35">
      <c r="A1107" s="67"/>
      <c r="B1107" s="77" t="s">
        <v>582</v>
      </c>
      <c r="C1107" s="270"/>
      <c r="D1107" s="270"/>
      <c r="E1107" s="270">
        <f t="shared" si="271"/>
        <v>0</v>
      </c>
      <c r="F1107" s="270"/>
      <c r="G1107" s="270"/>
      <c r="H1107" s="270"/>
      <c r="I1107" s="270"/>
      <c r="J1107" s="270"/>
      <c r="K1107" s="270"/>
      <c r="L1107" s="270"/>
      <c r="M1107" s="270"/>
      <c r="N1107" s="270"/>
      <c r="O1107" s="270"/>
      <c r="P1107" s="270"/>
      <c r="Q1107" s="270"/>
      <c r="R1107" s="270"/>
      <c r="S1107" s="270"/>
      <c r="T1107" s="270"/>
      <c r="U1107" s="270"/>
      <c r="V1107" s="270"/>
      <c r="W1107" s="270"/>
      <c r="X1107" s="270"/>
    </row>
    <row r="1108" spans="1:24" s="20" customFormat="1" ht="19.5" thickBot="1" x14ac:dyDescent="0.35">
      <c r="A1108" s="67"/>
      <c r="B1108" s="77" t="s">
        <v>583</v>
      </c>
      <c r="C1108" s="270"/>
      <c r="D1108" s="270"/>
      <c r="E1108" s="270">
        <f t="shared" si="271"/>
        <v>0</v>
      </c>
      <c r="F1108" s="270"/>
      <c r="G1108" s="270"/>
      <c r="H1108" s="270"/>
      <c r="I1108" s="270"/>
      <c r="J1108" s="270"/>
      <c r="K1108" s="270"/>
      <c r="L1108" s="270"/>
      <c r="M1108" s="270"/>
      <c r="N1108" s="270"/>
      <c r="O1108" s="270"/>
      <c r="P1108" s="270"/>
      <c r="Q1108" s="270"/>
      <c r="R1108" s="270"/>
      <c r="S1108" s="270"/>
      <c r="T1108" s="270"/>
      <c r="U1108" s="270"/>
      <c r="V1108" s="270"/>
      <c r="W1108" s="270"/>
      <c r="X1108" s="270"/>
    </row>
    <row r="1109" spans="1:24" s="20" customFormat="1" ht="38.25" thickBot="1" x14ac:dyDescent="0.35">
      <c r="A1109" s="67"/>
      <c r="B1109" s="77" t="s">
        <v>584</v>
      </c>
      <c r="C1109" s="270"/>
      <c r="D1109" s="270"/>
      <c r="E1109" s="270">
        <f t="shared" si="271"/>
        <v>0</v>
      </c>
      <c r="F1109" s="270"/>
      <c r="G1109" s="270"/>
      <c r="H1109" s="270"/>
      <c r="I1109" s="270"/>
      <c r="J1109" s="270"/>
      <c r="K1109" s="270"/>
      <c r="L1109" s="270"/>
      <c r="M1109" s="270"/>
      <c r="N1109" s="270"/>
      <c r="O1109" s="270"/>
      <c r="P1109" s="270"/>
      <c r="Q1109" s="270"/>
      <c r="R1109" s="270"/>
      <c r="S1109" s="270"/>
      <c r="T1109" s="270"/>
      <c r="U1109" s="270"/>
      <c r="V1109" s="270"/>
      <c r="W1109" s="270"/>
      <c r="X1109" s="270"/>
    </row>
    <row r="1110" spans="1:24" s="20" customFormat="1" ht="38.25" thickBot="1" x14ac:dyDescent="0.35">
      <c r="A1110" s="67"/>
      <c r="B1110" s="77" t="s">
        <v>585</v>
      </c>
      <c r="C1110" s="270"/>
      <c r="D1110" s="270"/>
      <c r="E1110" s="270">
        <f t="shared" si="271"/>
        <v>0</v>
      </c>
      <c r="F1110" s="270"/>
      <c r="G1110" s="270"/>
      <c r="H1110" s="270"/>
      <c r="I1110" s="270"/>
      <c r="J1110" s="270"/>
      <c r="K1110" s="270"/>
      <c r="L1110" s="270"/>
      <c r="M1110" s="270"/>
      <c r="N1110" s="270"/>
      <c r="O1110" s="270"/>
      <c r="P1110" s="270"/>
      <c r="Q1110" s="270"/>
      <c r="R1110" s="270"/>
      <c r="S1110" s="270"/>
      <c r="T1110" s="270"/>
      <c r="U1110" s="270"/>
      <c r="V1110" s="270"/>
      <c r="W1110" s="270"/>
      <c r="X1110" s="270"/>
    </row>
    <row r="1111" spans="1:24" s="20" customFormat="1" ht="38.25" thickBot="1" x14ac:dyDescent="0.35">
      <c r="A1111" s="67"/>
      <c r="B1111" s="77" t="s">
        <v>586</v>
      </c>
      <c r="C1111" s="270"/>
      <c r="D1111" s="270"/>
      <c r="E1111" s="270">
        <f t="shared" si="271"/>
        <v>0</v>
      </c>
      <c r="F1111" s="270"/>
      <c r="G1111" s="270"/>
      <c r="H1111" s="270"/>
      <c r="I1111" s="270"/>
      <c r="J1111" s="270"/>
      <c r="K1111" s="270"/>
      <c r="L1111" s="270"/>
      <c r="M1111" s="270"/>
      <c r="N1111" s="270"/>
      <c r="O1111" s="270"/>
      <c r="P1111" s="270"/>
      <c r="Q1111" s="270"/>
      <c r="R1111" s="270"/>
      <c r="S1111" s="270"/>
      <c r="T1111" s="270"/>
      <c r="U1111" s="270"/>
      <c r="V1111" s="270"/>
      <c r="W1111" s="270"/>
      <c r="X1111" s="270"/>
    </row>
    <row r="1112" spans="1:24" s="20" customFormat="1" ht="38.25" thickBot="1" x14ac:dyDescent="0.35">
      <c r="A1112" s="67"/>
      <c r="B1112" s="77" t="s">
        <v>587</v>
      </c>
      <c r="C1112" s="270"/>
      <c r="D1112" s="270"/>
      <c r="E1112" s="270">
        <f t="shared" si="271"/>
        <v>0</v>
      </c>
      <c r="F1112" s="270"/>
      <c r="G1112" s="270"/>
      <c r="H1112" s="270"/>
      <c r="I1112" s="270"/>
      <c r="J1112" s="270"/>
      <c r="K1112" s="270"/>
      <c r="L1112" s="270"/>
      <c r="M1112" s="270"/>
      <c r="N1112" s="270"/>
      <c r="O1112" s="270"/>
      <c r="P1112" s="270"/>
      <c r="Q1112" s="270"/>
      <c r="R1112" s="270"/>
      <c r="S1112" s="270"/>
      <c r="T1112" s="270"/>
      <c r="U1112" s="270"/>
      <c r="V1112" s="270"/>
      <c r="W1112" s="270"/>
      <c r="X1112" s="270"/>
    </row>
    <row r="1113" spans="1:24" s="20" customFormat="1" ht="19.5" thickBot="1" x14ac:dyDescent="0.35">
      <c r="A1113" s="67"/>
      <c r="B1113" s="77" t="s">
        <v>158</v>
      </c>
      <c r="C1113" s="270"/>
      <c r="D1113" s="270"/>
      <c r="E1113" s="270"/>
      <c r="F1113" s="270"/>
      <c r="G1113" s="270"/>
      <c r="H1113" s="270"/>
      <c r="I1113" s="270"/>
      <c r="J1113" s="270"/>
      <c r="K1113" s="270"/>
      <c r="L1113" s="270"/>
      <c r="M1113" s="270"/>
      <c r="N1113" s="270"/>
      <c r="O1113" s="270"/>
      <c r="P1113" s="270"/>
      <c r="Q1113" s="270"/>
      <c r="R1113" s="270"/>
      <c r="S1113" s="270"/>
      <c r="T1113" s="270"/>
      <c r="U1113" s="270"/>
      <c r="V1113" s="270"/>
      <c r="W1113" s="270"/>
      <c r="X1113" s="270"/>
    </row>
    <row r="1114" spans="1:24" s="20" customFormat="1" ht="19.5" thickBot="1" x14ac:dyDescent="0.35">
      <c r="A1114" s="67"/>
      <c r="B1114" s="77" t="s">
        <v>158</v>
      </c>
      <c r="C1114" s="73"/>
      <c r="D1114" s="78"/>
      <c r="E1114" s="67">
        <f t="shared" ref="E1114:E1119" si="272">C1114*8</f>
        <v>0</v>
      </c>
      <c r="F1114" s="67"/>
      <c r="G1114" s="73"/>
      <c r="H1114" s="67"/>
      <c r="I1114" s="73"/>
      <c r="J1114" s="67"/>
      <c r="K1114" s="67"/>
      <c r="L1114" s="67"/>
      <c r="M1114" s="67"/>
      <c r="N1114" s="67"/>
      <c r="O1114" s="67"/>
      <c r="P1114" s="67"/>
      <c r="Q1114" s="67"/>
      <c r="R1114" s="67"/>
      <c r="S1114" s="67"/>
      <c r="T1114" s="74"/>
      <c r="U1114" s="67"/>
      <c r="V1114" s="67"/>
      <c r="W1114" s="74"/>
      <c r="X1114" s="67"/>
    </row>
    <row r="1115" spans="1:24" s="20" customFormat="1" ht="38.25" thickBot="1" x14ac:dyDescent="0.35">
      <c r="A1115" s="67"/>
      <c r="B1115" s="77" t="s">
        <v>159</v>
      </c>
      <c r="C1115" s="73"/>
      <c r="D1115" s="78"/>
      <c r="E1115" s="67">
        <f t="shared" si="272"/>
        <v>0</v>
      </c>
      <c r="F1115" s="67"/>
      <c r="G1115" s="73"/>
      <c r="H1115" s="67"/>
      <c r="I1115" s="73"/>
      <c r="J1115" s="67"/>
      <c r="K1115" s="67"/>
      <c r="L1115" s="67"/>
      <c r="M1115" s="67"/>
      <c r="N1115" s="67"/>
      <c r="O1115" s="67"/>
      <c r="P1115" s="67"/>
      <c r="Q1115" s="67"/>
      <c r="R1115" s="67"/>
      <c r="S1115" s="67"/>
      <c r="T1115" s="74"/>
      <c r="U1115" s="67"/>
      <c r="V1115" s="67"/>
      <c r="W1115" s="74"/>
      <c r="X1115" s="67"/>
    </row>
    <row r="1116" spans="1:24" s="20" customFormat="1" ht="19.5" thickBot="1" x14ac:dyDescent="0.35">
      <c r="A1116" s="67"/>
      <c r="B1116" s="77" t="s">
        <v>160</v>
      </c>
      <c r="C1116" s="73"/>
      <c r="D1116" s="78"/>
      <c r="E1116" s="67">
        <f t="shared" si="272"/>
        <v>0</v>
      </c>
      <c r="F1116" s="67"/>
      <c r="G1116" s="73"/>
      <c r="H1116" s="67"/>
      <c r="I1116" s="73"/>
      <c r="J1116" s="67"/>
      <c r="K1116" s="67"/>
      <c r="L1116" s="67"/>
      <c r="M1116" s="67"/>
      <c r="N1116" s="67"/>
      <c r="O1116" s="67"/>
      <c r="P1116" s="67"/>
      <c r="Q1116" s="67"/>
      <c r="R1116" s="67"/>
      <c r="S1116" s="67"/>
      <c r="T1116" s="74"/>
      <c r="U1116" s="67"/>
      <c r="V1116" s="67"/>
      <c r="W1116" s="74"/>
      <c r="X1116" s="67"/>
    </row>
    <row r="1117" spans="1:24" s="20" customFormat="1" ht="19.5" thickBot="1" x14ac:dyDescent="0.35">
      <c r="A1117" s="67"/>
      <c r="B1117" s="77" t="s">
        <v>161</v>
      </c>
      <c r="C1117" s="73"/>
      <c r="D1117" s="78"/>
      <c r="E1117" s="67">
        <f t="shared" si="272"/>
        <v>0</v>
      </c>
      <c r="F1117" s="67"/>
      <c r="G1117" s="73"/>
      <c r="H1117" s="67"/>
      <c r="I1117" s="73"/>
      <c r="J1117" s="67"/>
      <c r="K1117" s="67"/>
      <c r="L1117" s="67"/>
      <c r="M1117" s="67"/>
      <c r="N1117" s="67"/>
      <c r="O1117" s="67"/>
      <c r="P1117" s="67"/>
      <c r="Q1117" s="67"/>
      <c r="R1117" s="67"/>
      <c r="S1117" s="67"/>
      <c r="T1117" s="74"/>
      <c r="U1117" s="67"/>
      <c r="V1117" s="67"/>
      <c r="W1117" s="74"/>
      <c r="X1117" s="67"/>
    </row>
    <row r="1118" spans="1:24" s="20" customFormat="1" ht="19.5" thickBot="1" x14ac:dyDescent="0.35">
      <c r="A1118" s="67"/>
      <c r="B1118" s="77" t="s">
        <v>162</v>
      </c>
      <c r="C1118" s="73"/>
      <c r="D1118" s="78"/>
      <c r="E1118" s="67">
        <f t="shared" si="272"/>
        <v>0</v>
      </c>
      <c r="F1118" s="67"/>
      <c r="G1118" s="73"/>
      <c r="H1118" s="67"/>
      <c r="I1118" s="73"/>
      <c r="J1118" s="67"/>
      <c r="K1118" s="67"/>
      <c r="L1118" s="67"/>
      <c r="M1118" s="67"/>
      <c r="N1118" s="67"/>
      <c r="O1118" s="67"/>
      <c r="P1118" s="67"/>
      <c r="Q1118" s="67"/>
      <c r="R1118" s="67"/>
      <c r="S1118" s="67"/>
      <c r="T1118" s="74"/>
      <c r="U1118" s="67"/>
      <c r="V1118" s="67"/>
      <c r="W1118" s="74"/>
      <c r="X1118" s="67"/>
    </row>
    <row r="1119" spans="1:24" s="20" customFormat="1" ht="19.5" thickBot="1" x14ac:dyDescent="0.35">
      <c r="A1119" s="67"/>
      <c r="B1119" s="77" t="s">
        <v>163</v>
      </c>
      <c r="C1119" s="73"/>
      <c r="D1119" s="78"/>
      <c r="E1119" s="67">
        <f t="shared" si="272"/>
        <v>0</v>
      </c>
      <c r="F1119" s="67"/>
      <c r="G1119" s="73"/>
      <c r="H1119" s="67"/>
      <c r="I1119" s="73"/>
      <c r="J1119" s="67"/>
      <c r="K1119" s="67"/>
      <c r="L1119" s="67"/>
      <c r="M1119" s="67"/>
      <c r="N1119" s="67"/>
      <c r="O1119" s="67"/>
      <c r="P1119" s="67"/>
      <c r="Q1119" s="67"/>
      <c r="R1119" s="67"/>
      <c r="S1119" s="67"/>
      <c r="T1119" s="74"/>
      <c r="U1119" s="67"/>
      <c r="V1119" s="67"/>
      <c r="W1119" s="74"/>
      <c r="X1119" s="67"/>
    </row>
    <row r="1120" spans="1:24" s="20" customFormat="1" ht="19.5" thickBot="1" x14ac:dyDescent="0.35">
      <c r="A1120" s="67"/>
      <c r="B1120" s="77" t="s">
        <v>164</v>
      </c>
      <c r="C1120" s="73"/>
      <c r="D1120" s="78"/>
      <c r="E1120" s="67">
        <f t="shared" ref="E1120:E1125" si="273">C1120*10</f>
        <v>0</v>
      </c>
      <c r="F1120" s="67"/>
      <c r="G1120" s="73"/>
      <c r="H1120" s="67"/>
      <c r="I1120" s="73"/>
      <c r="J1120" s="67"/>
      <c r="K1120" s="67"/>
      <c r="L1120" s="67"/>
      <c r="M1120" s="67"/>
      <c r="N1120" s="67"/>
      <c r="O1120" s="67"/>
      <c r="P1120" s="67"/>
      <c r="Q1120" s="67"/>
      <c r="R1120" s="67"/>
      <c r="S1120" s="67"/>
      <c r="T1120" s="74"/>
      <c r="U1120" s="67"/>
      <c r="V1120" s="67"/>
      <c r="W1120" s="74"/>
      <c r="X1120" s="67"/>
    </row>
    <row r="1121" spans="1:24" s="20" customFormat="1" ht="19.5" thickBot="1" x14ac:dyDescent="0.35">
      <c r="A1121" s="67"/>
      <c r="B1121" s="77" t="s">
        <v>165</v>
      </c>
      <c r="C1121" s="73"/>
      <c r="D1121" s="78"/>
      <c r="E1121" s="67">
        <f t="shared" si="273"/>
        <v>0</v>
      </c>
      <c r="F1121" s="67"/>
      <c r="G1121" s="73"/>
      <c r="H1121" s="67"/>
      <c r="I1121" s="73"/>
      <c r="J1121" s="67"/>
      <c r="K1121" s="67"/>
      <c r="L1121" s="67"/>
      <c r="M1121" s="67"/>
      <c r="N1121" s="67"/>
      <c r="O1121" s="67"/>
      <c r="P1121" s="67"/>
      <c r="Q1121" s="67"/>
      <c r="R1121" s="67"/>
      <c r="S1121" s="67"/>
      <c r="T1121" s="74"/>
      <c r="U1121" s="67"/>
      <c r="V1121" s="67"/>
      <c r="W1121" s="74"/>
      <c r="X1121" s="67"/>
    </row>
    <row r="1122" spans="1:24" s="20" customFormat="1" ht="19.5" thickBot="1" x14ac:dyDescent="0.35">
      <c r="A1122" s="67"/>
      <c r="B1122" s="77" t="s">
        <v>166</v>
      </c>
      <c r="C1122" s="73"/>
      <c r="D1122" s="78"/>
      <c r="E1122" s="67">
        <f t="shared" si="273"/>
        <v>0</v>
      </c>
      <c r="F1122" s="67"/>
      <c r="G1122" s="73"/>
      <c r="H1122" s="67"/>
      <c r="I1122" s="73"/>
      <c r="J1122" s="67"/>
      <c r="K1122" s="67"/>
      <c r="L1122" s="67"/>
      <c r="M1122" s="67"/>
      <c r="N1122" s="67"/>
      <c r="O1122" s="67"/>
      <c r="P1122" s="67"/>
      <c r="Q1122" s="67"/>
      <c r="R1122" s="67"/>
      <c r="S1122" s="67"/>
      <c r="T1122" s="74"/>
      <c r="U1122" s="67"/>
      <c r="V1122" s="67"/>
      <c r="W1122" s="74"/>
      <c r="X1122" s="67"/>
    </row>
    <row r="1123" spans="1:24" s="20" customFormat="1" ht="19.5" thickBot="1" x14ac:dyDescent="0.35">
      <c r="A1123" s="67"/>
      <c r="B1123" s="77" t="s">
        <v>167</v>
      </c>
      <c r="C1123" s="73"/>
      <c r="D1123" s="78"/>
      <c r="E1123" s="67">
        <f t="shared" si="273"/>
        <v>0</v>
      </c>
      <c r="F1123" s="67"/>
      <c r="G1123" s="73"/>
      <c r="H1123" s="67"/>
      <c r="I1123" s="73"/>
      <c r="J1123" s="67"/>
      <c r="K1123" s="67"/>
      <c r="L1123" s="67"/>
      <c r="M1123" s="67"/>
      <c r="N1123" s="67"/>
      <c r="O1123" s="67"/>
      <c r="P1123" s="67"/>
      <c r="Q1123" s="67"/>
      <c r="R1123" s="67"/>
      <c r="S1123" s="67"/>
      <c r="T1123" s="74"/>
      <c r="U1123" s="67"/>
      <c r="V1123" s="67"/>
      <c r="W1123" s="74"/>
      <c r="X1123" s="67"/>
    </row>
    <row r="1124" spans="1:24" s="20" customFormat="1" ht="19.5" thickBot="1" x14ac:dyDescent="0.35">
      <c r="A1124" s="67"/>
      <c r="B1124" s="77" t="s">
        <v>168</v>
      </c>
      <c r="C1124" s="73"/>
      <c r="D1124" s="78"/>
      <c r="E1124" s="67">
        <f t="shared" si="273"/>
        <v>0</v>
      </c>
      <c r="F1124" s="67"/>
      <c r="G1124" s="73"/>
      <c r="H1124" s="67"/>
      <c r="I1124" s="73"/>
      <c r="J1124" s="67"/>
      <c r="K1124" s="67"/>
      <c r="L1124" s="67"/>
      <c r="M1124" s="67"/>
      <c r="N1124" s="67"/>
      <c r="O1124" s="67"/>
      <c r="P1124" s="67"/>
      <c r="Q1124" s="67"/>
      <c r="R1124" s="67"/>
      <c r="S1124" s="67"/>
      <c r="T1124" s="74"/>
      <c r="U1124" s="67"/>
      <c r="V1124" s="67"/>
      <c r="W1124" s="74"/>
      <c r="X1124" s="67"/>
    </row>
    <row r="1125" spans="1:24" s="20" customFormat="1" ht="19.5" thickBot="1" x14ac:dyDescent="0.35">
      <c r="A1125" s="67"/>
      <c r="B1125" s="77" t="s">
        <v>169</v>
      </c>
      <c r="C1125" s="73"/>
      <c r="D1125" s="78"/>
      <c r="E1125" s="67">
        <f t="shared" si="273"/>
        <v>0</v>
      </c>
      <c r="F1125" s="67"/>
      <c r="G1125" s="73"/>
      <c r="H1125" s="67"/>
      <c r="I1125" s="73"/>
      <c r="J1125" s="67"/>
      <c r="K1125" s="67"/>
      <c r="L1125" s="67"/>
      <c r="M1125" s="67"/>
      <c r="N1125" s="67"/>
      <c r="O1125" s="67"/>
      <c r="P1125" s="67"/>
      <c r="Q1125" s="67"/>
      <c r="R1125" s="67"/>
      <c r="S1125" s="67"/>
      <c r="T1125" s="74"/>
      <c r="U1125" s="67"/>
      <c r="V1125" s="67"/>
      <c r="W1125" s="74"/>
      <c r="X1125" s="67"/>
    </row>
    <row r="1126" spans="1:24" s="20" customFormat="1" ht="38.25" thickBot="1" x14ac:dyDescent="0.35">
      <c r="A1126" s="67"/>
      <c r="B1126" s="77" t="s">
        <v>170</v>
      </c>
      <c r="C1126" s="73"/>
      <c r="D1126" s="78">
        <f>C1126*42</f>
        <v>0</v>
      </c>
      <c r="E1126" s="67">
        <f>D1126*0.05</f>
        <v>0</v>
      </c>
      <c r="F1126" s="67"/>
      <c r="G1126" s="73"/>
      <c r="H1126" s="67"/>
      <c r="I1126" s="73"/>
      <c r="J1126" s="67"/>
      <c r="K1126" s="67"/>
      <c r="L1126" s="67"/>
      <c r="M1126" s="67"/>
      <c r="N1126" s="67"/>
      <c r="O1126" s="67"/>
      <c r="P1126" s="67"/>
      <c r="Q1126" s="67"/>
      <c r="R1126" s="67"/>
      <c r="S1126" s="67"/>
      <c r="T1126" s="74"/>
      <c r="U1126" s="67"/>
      <c r="V1126" s="67"/>
      <c r="W1126" s="74"/>
      <c r="X1126" s="67"/>
    </row>
    <row r="1127" spans="1:24" s="20" customFormat="1" ht="19.5" thickBot="1" x14ac:dyDescent="0.35">
      <c r="A1127" s="67"/>
      <c r="B1127" s="75" t="s">
        <v>171</v>
      </c>
      <c r="C1127" s="73"/>
      <c r="D1127" s="78">
        <f>C1127*12</f>
        <v>0</v>
      </c>
      <c r="E1127" s="67">
        <f>D1127*0.15</f>
        <v>0</v>
      </c>
      <c r="F1127" s="67"/>
      <c r="G1127" s="73"/>
      <c r="H1127" s="67"/>
      <c r="I1127" s="73"/>
      <c r="J1127" s="67"/>
      <c r="K1127" s="67"/>
      <c r="L1127" s="67"/>
      <c r="M1127" s="67"/>
      <c r="N1127" s="67"/>
      <c r="O1127" s="67"/>
      <c r="P1127" s="67"/>
      <c r="Q1127" s="67"/>
      <c r="R1127" s="67"/>
      <c r="S1127" s="67"/>
      <c r="T1127" s="74"/>
      <c r="U1127" s="67"/>
      <c r="V1127" s="67"/>
      <c r="W1127" s="74"/>
      <c r="X1127" s="67"/>
    </row>
    <row r="1128" spans="1:24" ht="19.5" thickBot="1" x14ac:dyDescent="0.35">
      <c r="A1128" s="52"/>
      <c r="B1128" s="75" t="s">
        <v>172</v>
      </c>
      <c r="C1128" s="62"/>
      <c r="D1128" s="78">
        <f>C1128*12</f>
        <v>0</v>
      </c>
      <c r="E1128" s="67">
        <f>D1128*0.15</f>
        <v>0</v>
      </c>
      <c r="F1128" s="52"/>
      <c r="G1128" s="62"/>
      <c r="H1128" s="52"/>
      <c r="I1128" s="62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60"/>
      <c r="U1128" s="52"/>
      <c r="V1128" s="52"/>
      <c r="W1128" s="60"/>
      <c r="X1128" s="52"/>
    </row>
    <row r="1129" spans="1:24" ht="19.5" thickBot="1" x14ac:dyDescent="0.35">
      <c r="A1129" s="79"/>
      <c r="B1129" s="51" t="s">
        <v>134</v>
      </c>
      <c r="C1129" s="42"/>
      <c r="D1129" s="43"/>
      <c r="E1129" s="45">
        <f>SUM(E1114:E1128)</f>
        <v>0</v>
      </c>
      <c r="F1129" s="50"/>
      <c r="G1129" s="27"/>
      <c r="H1129" s="45"/>
      <c r="I1129" s="27"/>
      <c r="J1129" s="40"/>
      <c r="K1129" s="40"/>
      <c r="L1129" s="40"/>
      <c r="M1129" s="46"/>
      <c r="N1129" s="40"/>
      <c r="O1129" s="40"/>
      <c r="P1129" s="40"/>
      <c r="Q1129" s="14"/>
      <c r="R1129" s="40"/>
      <c r="S1129" s="40"/>
      <c r="T1129" s="47"/>
      <c r="U1129" s="40"/>
      <c r="V1129" s="40"/>
      <c r="W1129" s="47"/>
      <c r="X1129" s="40"/>
    </row>
    <row r="1130" spans="1:24" ht="19.5" thickBot="1" x14ac:dyDescent="0.35">
      <c r="A1130" s="52"/>
      <c r="B1130" s="921" t="s">
        <v>173</v>
      </c>
      <c r="C1130" s="921"/>
      <c r="D1130" s="921"/>
      <c r="E1130" s="921"/>
      <c r="F1130" s="921"/>
      <c r="G1130" s="921"/>
      <c r="H1130" s="921"/>
      <c r="I1130" s="921"/>
      <c r="J1130" s="921"/>
      <c r="K1130" s="921"/>
      <c r="L1130" s="921"/>
      <c r="M1130" s="921"/>
      <c r="N1130" s="921"/>
      <c r="O1130" s="921"/>
      <c r="P1130" s="921"/>
      <c r="Q1130" s="921"/>
      <c r="R1130" s="921"/>
      <c r="S1130" s="921"/>
      <c r="T1130" s="921"/>
      <c r="U1130" s="921"/>
      <c r="V1130" s="921"/>
      <c r="W1130" s="921"/>
      <c r="X1130" s="921"/>
    </row>
    <row r="1131" spans="1:24" s="20" customFormat="1" ht="19.5" thickBot="1" x14ac:dyDescent="0.35">
      <c r="A1131" s="67"/>
      <c r="B1131" s="77" t="s">
        <v>572</v>
      </c>
      <c r="C1131" s="270"/>
      <c r="D1131" s="270">
        <f t="shared" ref="D1131:D1138" si="274">C1131*20</f>
        <v>0</v>
      </c>
      <c r="E1131" s="270">
        <f t="shared" ref="E1131:E1138" si="275">C1131*4</f>
        <v>0</v>
      </c>
      <c r="F1131" s="270"/>
      <c r="G1131" s="270"/>
      <c r="H1131" s="270"/>
      <c r="I1131" s="270"/>
      <c r="J1131" s="270"/>
      <c r="K1131" s="270"/>
      <c r="L1131" s="270"/>
      <c r="M1131" s="270"/>
      <c r="N1131" s="270"/>
      <c r="O1131" s="270"/>
      <c r="P1131" s="270"/>
      <c r="Q1131" s="270"/>
      <c r="R1131" s="270"/>
      <c r="S1131" s="270"/>
      <c r="T1131" s="270"/>
      <c r="U1131" s="270"/>
      <c r="V1131" s="270"/>
      <c r="W1131" s="270"/>
      <c r="X1131" s="270"/>
    </row>
    <row r="1132" spans="1:24" s="20" customFormat="1" ht="19.5" thickBot="1" x14ac:dyDescent="0.35">
      <c r="A1132" s="67"/>
      <c r="B1132" s="77" t="s">
        <v>573</v>
      </c>
      <c r="C1132" s="270"/>
      <c r="D1132" s="270">
        <f t="shared" si="274"/>
        <v>0</v>
      </c>
      <c r="E1132" s="270">
        <f t="shared" si="275"/>
        <v>0</v>
      </c>
      <c r="F1132" s="270"/>
      <c r="G1132" s="270"/>
      <c r="H1132" s="270"/>
      <c r="I1132" s="270"/>
      <c r="J1132" s="270"/>
      <c r="K1132" s="270"/>
      <c r="L1132" s="270"/>
      <c r="M1132" s="270"/>
      <c r="N1132" s="270"/>
      <c r="O1132" s="270"/>
      <c r="P1132" s="270"/>
      <c r="Q1132" s="270"/>
      <c r="R1132" s="270"/>
      <c r="S1132" s="270"/>
      <c r="T1132" s="270"/>
      <c r="U1132" s="270"/>
      <c r="V1132" s="270"/>
      <c r="W1132" s="270"/>
      <c r="X1132" s="270"/>
    </row>
    <row r="1133" spans="1:24" s="20" customFormat="1" ht="19.5" thickBot="1" x14ac:dyDescent="0.35">
      <c r="A1133" s="67"/>
      <c r="B1133" s="77" t="s">
        <v>574</v>
      </c>
      <c r="C1133" s="270"/>
      <c r="D1133" s="270">
        <f t="shared" si="274"/>
        <v>0</v>
      </c>
      <c r="E1133" s="270">
        <f t="shared" si="275"/>
        <v>0</v>
      </c>
      <c r="F1133" s="270"/>
      <c r="G1133" s="270"/>
      <c r="H1133" s="270"/>
      <c r="I1133" s="270"/>
      <c r="J1133" s="270"/>
      <c r="K1133" s="270"/>
      <c r="L1133" s="270"/>
      <c r="M1133" s="270"/>
      <c r="N1133" s="270"/>
      <c r="O1133" s="270"/>
      <c r="P1133" s="270"/>
      <c r="Q1133" s="270"/>
      <c r="R1133" s="270"/>
      <c r="S1133" s="270"/>
      <c r="T1133" s="270"/>
      <c r="U1133" s="270"/>
      <c r="V1133" s="270"/>
      <c r="W1133" s="270"/>
      <c r="X1133" s="270"/>
    </row>
    <row r="1134" spans="1:24" s="20" customFormat="1" ht="19.5" thickBot="1" x14ac:dyDescent="0.35">
      <c r="A1134" s="67"/>
      <c r="B1134" s="77" t="s">
        <v>575</v>
      </c>
      <c r="C1134" s="270"/>
      <c r="D1134" s="270">
        <f t="shared" si="274"/>
        <v>0</v>
      </c>
      <c r="E1134" s="270">
        <f t="shared" si="275"/>
        <v>0</v>
      </c>
      <c r="F1134" s="270"/>
      <c r="G1134" s="270"/>
      <c r="H1134" s="270"/>
      <c r="I1134" s="270"/>
      <c r="J1134" s="270"/>
      <c r="K1134" s="270"/>
      <c r="L1134" s="270"/>
      <c r="M1134" s="270"/>
      <c r="N1134" s="270"/>
      <c r="O1134" s="270"/>
      <c r="P1134" s="270"/>
      <c r="Q1134" s="270"/>
      <c r="R1134" s="270"/>
      <c r="S1134" s="270"/>
      <c r="T1134" s="270"/>
      <c r="U1134" s="270"/>
      <c r="V1134" s="270"/>
      <c r="W1134" s="270"/>
      <c r="X1134" s="270"/>
    </row>
    <row r="1135" spans="1:24" s="20" customFormat="1" ht="19.5" thickBot="1" x14ac:dyDescent="0.35">
      <c r="A1135" s="67"/>
      <c r="B1135" s="77" t="s">
        <v>576</v>
      </c>
      <c r="C1135" s="270"/>
      <c r="D1135" s="270">
        <f t="shared" si="274"/>
        <v>0</v>
      </c>
      <c r="E1135" s="270">
        <f t="shared" si="275"/>
        <v>0</v>
      </c>
      <c r="F1135" s="270"/>
      <c r="G1135" s="270"/>
      <c r="H1135" s="270"/>
      <c r="I1135" s="270"/>
      <c r="J1135" s="270"/>
      <c r="K1135" s="270"/>
      <c r="L1135" s="270"/>
      <c r="M1135" s="270"/>
      <c r="N1135" s="270"/>
      <c r="O1135" s="270"/>
      <c r="P1135" s="270"/>
      <c r="Q1135" s="270"/>
      <c r="R1135" s="270"/>
      <c r="S1135" s="270"/>
      <c r="T1135" s="270"/>
      <c r="U1135" s="270"/>
      <c r="V1135" s="270"/>
      <c r="W1135" s="270"/>
      <c r="X1135" s="270"/>
    </row>
    <row r="1136" spans="1:24" s="20" customFormat="1" ht="19.5" thickBot="1" x14ac:dyDescent="0.35">
      <c r="A1136" s="67"/>
      <c r="B1136" s="77" t="s">
        <v>577</v>
      </c>
      <c r="C1136" s="270"/>
      <c r="D1136" s="270">
        <f t="shared" si="274"/>
        <v>0</v>
      </c>
      <c r="E1136" s="270">
        <f t="shared" si="275"/>
        <v>0</v>
      </c>
      <c r="F1136" s="270"/>
      <c r="G1136" s="270"/>
      <c r="H1136" s="270"/>
      <c r="I1136" s="270"/>
      <c r="J1136" s="270"/>
      <c r="K1136" s="270"/>
      <c r="L1136" s="270"/>
      <c r="M1136" s="270"/>
      <c r="N1136" s="270"/>
      <c r="O1136" s="270"/>
      <c r="P1136" s="270"/>
      <c r="Q1136" s="270"/>
      <c r="R1136" s="270"/>
      <c r="S1136" s="270"/>
      <c r="T1136" s="270"/>
      <c r="U1136" s="270"/>
      <c r="V1136" s="270"/>
      <c r="W1136" s="270"/>
      <c r="X1136" s="270"/>
    </row>
    <row r="1137" spans="1:24" s="20" customFormat="1" ht="19.5" thickBot="1" x14ac:dyDescent="0.35">
      <c r="A1137" s="67"/>
      <c r="B1137" s="77" t="s">
        <v>578</v>
      </c>
      <c r="C1137" s="270"/>
      <c r="D1137" s="270">
        <f t="shared" si="274"/>
        <v>0</v>
      </c>
      <c r="E1137" s="270">
        <f t="shared" si="275"/>
        <v>0</v>
      </c>
      <c r="F1137" s="270"/>
      <c r="G1137" s="270"/>
      <c r="H1137" s="270"/>
      <c r="I1137" s="270"/>
      <c r="J1137" s="270"/>
      <c r="K1137" s="270"/>
      <c r="L1137" s="270"/>
      <c r="M1137" s="270"/>
      <c r="N1137" s="270"/>
      <c r="O1137" s="270"/>
      <c r="P1137" s="270"/>
      <c r="Q1137" s="270"/>
      <c r="R1137" s="270"/>
      <c r="S1137" s="270"/>
      <c r="T1137" s="270"/>
      <c r="U1137" s="270"/>
      <c r="V1137" s="270"/>
      <c r="W1137" s="270"/>
      <c r="X1137" s="270"/>
    </row>
    <row r="1138" spans="1:24" s="20" customFormat="1" ht="19.5" thickBot="1" x14ac:dyDescent="0.35">
      <c r="A1138" s="67"/>
      <c r="B1138" s="77" t="s">
        <v>579</v>
      </c>
      <c r="C1138" s="270"/>
      <c r="D1138" s="270">
        <f t="shared" si="274"/>
        <v>0</v>
      </c>
      <c r="E1138" s="270">
        <f t="shared" si="275"/>
        <v>0</v>
      </c>
      <c r="F1138" s="270"/>
      <c r="G1138" s="270"/>
      <c r="H1138" s="270"/>
      <c r="I1138" s="270"/>
      <c r="J1138" s="270"/>
      <c r="K1138" s="270"/>
      <c r="L1138" s="270"/>
      <c r="M1138" s="270"/>
      <c r="N1138" s="270"/>
      <c r="O1138" s="270"/>
      <c r="P1138" s="270"/>
      <c r="Q1138" s="270"/>
      <c r="R1138" s="270"/>
      <c r="S1138" s="270"/>
      <c r="T1138" s="270"/>
      <c r="U1138" s="270"/>
      <c r="V1138" s="270"/>
      <c r="W1138" s="270"/>
      <c r="X1138" s="270"/>
    </row>
    <row r="1139" spans="1:24" s="20" customFormat="1" ht="19.5" thickBot="1" x14ac:dyDescent="0.35">
      <c r="A1139" s="67"/>
      <c r="B1139" s="77" t="s">
        <v>580</v>
      </c>
      <c r="C1139" s="270"/>
      <c r="D1139" s="270"/>
      <c r="E1139" s="270">
        <f t="shared" ref="E1139:E1146" si="276">C1139*3.5</f>
        <v>0</v>
      </c>
      <c r="F1139" s="270"/>
      <c r="G1139" s="270"/>
      <c r="H1139" s="270"/>
      <c r="I1139" s="270"/>
      <c r="J1139" s="270"/>
      <c r="K1139" s="270"/>
      <c r="L1139" s="270"/>
      <c r="M1139" s="270"/>
      <c r="N1139" s="270"/>
      <c r="O1139" s="270"/>
      <c r="P1139" s="270"/>
      <c r="Q1139" s="270"/>
      <c r="R1139" s="270"/>
      <c r="S1139" s="270"/>
      <c r="T1139" s="270"/>
      <c r="U1139" s="270"/>
      <c r="V1139" s="270"/>
      <c r="W1139" s="270"/>
      <c r="X1139" s="270"/>
    </row>
    <row r="1140" spans="1:24" s="20" customFormat="1" ht="19.5" thickBot="1" x14ac:dyDescent="0.35">
      <c r="A1140" s="67"/>
      <c r="B1140" s="77" t="s">
        <v>581</v>
      </c>
      <c r="C1140" s="270"/>
      <c r="D1140" s="270"/>
      <c r="E1140" s="270">
        <f t="shared" si="276"/>
        <v>0</v>
      </c>
      <c r="F1140" s="270"/>
      <c r="G1140" s="270"/>
      <c r="H1140" s="270"/>
      <c r="I1140" s="270"/>
      <c r="J1140" s="270"/>
      <c r="K1140" s="270"/>
      <c r="L1140" s="270"/>
      <c r="M1140" s="270"/>
      <c r="N1140" s="270"/>
      <c r="O1140" s="270"/>
      <c r="P1140" s="270"/>
      <c r="Q1140" s="270"/>
      <c r="R1140" s="270"/>
      <c r="S1140" s="270"/>
      <c r="T1140" s="270"/>
      <c r="U1140" s="270"/>
      <c r="V1140" s="270"/>
      <c r="W1140" s="270"/>
      <c r="X1140" s="270"/>
    </row>
    <row r="1141" spans="1:24" s="20" customFormat="1" ht="19.5" thickBot="1" x14ac:dyDescent="0.35">
      <c r="A1141" s="67"/>
      <c r="B1141" s="77" t="s">
        <v>582</v>
      </c>
      <c r="C1141" s="270"/>
      <c r="D1141" s="270"/>
      <c r="E1141" s="270">
        <f t="shared" si="276"/>
        <v>0</v>
      </c>
      <c r="F1141" s="270"/>
      <c r="G1141" s="270"/>
      <c r="H1141" s="270"/>
      <c r="I1141" s="270"/>
      <c r="J1141" s="270"/>
      <c r="K1141" s="270"/>
      <c r="L1141" s="270"/>
      <c r="M1141" s="270"/>
      <c r="N1141" s="270"/>
      <c r="O1141" s="270"/>
      <c r="P1141" s="270"/>
      <c r="Q1141" s="270"/>
      <c r="R1141" s="270"/>
      <c r="S1141" s="270"/>
      <c r="T1141" s="270"/>
      <c r="U1141" s="270"/>
      <c r="V1141" s="270"/>
      <c r="W1141" s="270"/>
      <c r="X1141" s="270"/>
    </row>
    <row r="1142" spans="1:24" s="20" customFormat="1" ht="19.5" thickBot="1" x14ac:dyDescent="0.35">
      <c r="A1142" s="67"/>
      <c r="B1142" s="77" t="s">
        <v>583</v>
      </c>
      <c r="C1142" s="270"/>
      <c r="D1142" s="270"/>
      <c r="E1142" s="270">
        <f t="shared" si="276"/>
        <v>0</v>
      </c>
      <c r="F1142" s="270"/>
      <c r="G1142" s="270"/>
      <c r="H1142" s="270"/>
      <c r="I1142" s="270"/>
      <c r="J1142" s="270"/>
      <c r="K1142" s="270"/>
      <c r="L1142" s="270"/>
      <c r="M1142" s="270"/>
      <c r="N1142" s="270"/>
      <c r="O1142" s="270"/>
      <c r="P1142" s="270"/>
      <c r="Q1142" s="270"/>
      <c r="R1142" s="270"/>
      <c r="S1142" s="270"/>
      <c r="T1142" s="270"/>
      <c r="U1142" s="270"/>
      <c r="V1142" s="270"/>
      <c r="W1142" s="270"/>
      <c r="X1142" s="270"/>
    </row>
    <row r="1143" spans="1:24" s="20" customFormat="1" ht="38.25" thickBot="1" x14ac:dyDescent="0.35">
      <c r="A1143" s="67"/>
      <c r="B1143" s="77" t="s">
        <v>584</v>
      </c>
      <c r="C1143" s="270"/>
      <c r="D1143" s="270"/>
      <c r="E1143" s="270">
        <f t="shared" si="276"/>
        <v>0</v>
      </c>
      <c r="F1143" s="270"/>
      <c r="G1143" s="270"/>
      <c r="H1143" s="270"/>
      <c r="I1143" s="270"/>
      <c r="J1143" s="270"/>
      <c r="K1143" s="270"/>
      <c r="L1143" s="270"/>
      <c r="M1143" s="270"/>
      <c r="N1143" s="270"/>
      <c r="O1143" s="270"/>
      <c r="P1143" s="270"/>
      <c r="Q1143" s="270"/>
      <c r="R1143" s="270"/>
      <c r="S1143" s="270"/>
      <c r="T1143" s="270"/>
      <c r="U1143" s="270"/>
      <c r="V1143" s="270"/>
      <c r="W1143" s="270"/>
      <c r="X1143" s="270"/>
    </row>
    <row r="1144" spans="1:24" s="20" customFormat="1" ht="38.25" thickBot="1" x14ac:dyDescent="0.35">
      <c r="A1144" s="67"/>
      <c r="B1144" s="77" t="s">
        <v>585</v>
      </c>
      <c r="C1144" s="270"/>
      <c r="D1144" s="270"/>
      <c r="E1144" s="270">
        <f t="shared" si="276"/>
        <v>0</v>
      </c>
      <c r="F1144" s="270"/>
      <c r="G1144" s="270"/>
      <c r="H1144" s="270"/>
      <c r="I1144" s="270"/>
      <c r="J1144" s="270"/>
      <c r="K1144" s="270"/>
      <c r="L1144" s="270"/>
      <c r="M1144" s="270"/>
      <c r="N1144" s="270"/>
      <c r="O1144" s="270"/>
      <c r="P1144" s="270"/>
      <c r="Q1144" s="270"/>
      <c r="R1144" s="270"/>
      <c r="S1144" s="270"/>
      <c r="T1144" s="270"/>
      <c r="U1144" s="270"/>
      <c r="V1144" s="270"/>
      <c r="W1144" s="270"/>
      <c r="X1144" s="270"/>
    </row>
    <row r="1145" spans="1:24" s="20" customFormat="1" ht="38.25" thickBot="1" x14ac:dyDescent="0.35">
      <c r="A1145" s="67"/>
      <c r="B1145" s="77" t="s">
        <v>586</v>
      </c>
      <c r="C1145" s="270"/>
      <c r="D1145" s="270"/>
      <c r="E1145" s="270">
        <f t="shared" si="276"/>
        <v>0</v>
      </c>
      <c r="F1145" s="270"/>
      <c r="G1145" s="270"/>
      <c r="H1145" s="270"/>
      <c r="I1145" s="270"/>
      <c r="J1145" s="270"/>
      <c r="K1145" s="270"/>
      <c r="L1145" s="270"/>
      <c r="M1145" s="270"/>
      <c r="N1145" s="270"/>
      <c r="O1145" s="270"/>
      <c r="P1145" s="270"/>
      <c r="Q1145" s="270"/>
      <c r="R1145" s="270"/>
      <c r="S1145" s="270"/>
      <c r="T1145" s="270"/>
      <c r="U1145" s="270"/>
      <c r="V1145" s="270"/>
      <c r="W1145" s="270"/>
      <c r="X1145" s="270"/>
    </row>
    <row r="1146" spans="1:24" s="20" customFormat="1" ht="38.25" thickBot="1" x14ac:dyDescent="0.35">
      <c r="A1146" s="67"/>
      <c r="B1146" s="77" t="s">
        <v>587</v>
      </c>
      <c r="C1146" s="270"/>
      <c r="D1146" s="270"/>
      <c r="E1146" s="270">
        <f t="shared" si="276"/>
        <v>0</v>
      </c>
      <c r="F1146" s="270"/>
      <c r="G1146" s="270"/>
      <c r="H1146" s="270"/>
      <c r="I1146" s="270"/>
      <c r="J1146" s="270"/>
      <c r="K1146" s="270"/>
      <c r="L1146" s="270"/>
      <c r="M1146" s="270"/>
      <c r="N1146" s="270"/>
      <c r="O1146" s="270"/>
      <c r="P1146" s="270"/>
      <c r="Q1146" s="270"/>
      <c r="R1146" s="270"/>
      <c r="S1146" s="270"/>
      <c r="T1146" s="270"/>
      <c r="U1146" s="270"/>
      <c r="V1146" s="270"/>
      <c r="W1146" s="270"/>
      <c r="X1146" s="270"/>
    </row>
    <row r="1147" spans="1:24" s="20" customFormat="1" ht="19.5" thickBot="1" x14ac:dyDescent="0.35">
      <c r="A1147" s="67"/>
      <c r="B1147" s="77" t="s">
        <v>158</v>
      </c>
      <c r="C1147" s="73"/>
      <c r="D1147" s="78"/>
      <c r="E1147" s="67">
        <f t="shared" ref="E1147:E1152" si="277">C1147*8</f>
        <v>0</v>
      </c>
      <c r="F1147" s="67"/>
      <c r="G1147" s="73"/>
      <c r="H1147" s="67"/>
      <c r="I1147" s="73"/>
      <c r="J1147" s="67"/>
      <c r="K1147" s="67"/>
      <c r="L1147" s="67"/>
      <c r="M1147" s="67"/>
      <c r="N1147" s="67"/>
      <c r="O1147" s="67"/>
      <c r="P1147" s="67"/>
      <c r="Q1147" s="67"/>
      <c r="R1147" s="67"/>
      <c r="S1147" s="67"/>
      <c r="T1147" s="74"/>
      <c r="U1147" s="67"/>
      <c r="V1147" s="67"/>
      <c r="W1147" s="74"/>
      <c r="X1147" s="67"/>
    </row>
    <row r="1148" spans="1:24" s="20" customFormat="1" ht="38.25" thickBot="1" x14ac:dyDescent="0.35">
      <c r="A1148" s="67"/>
      <c r="B1148" s="77" t="s">
        <v>159</v>
      </c>
      <c r="C1148" s="73"/>
      <c r="D1148" s="78"/>
      <c r="E1148" s="67">
        <f t="shared" si="277"/>
        <v>0</v>
      </c>
      <c r="F1148" s="67"/>
      <c r="G1148" s="73"/>
      <c r="H1148" s="67"/>
      <c r="I1148" s="73"/>
      <c r="J1148" s="67"/>
      <c r="K1148" s="67"/>
      <c r="L1148" s="67"/>
      <c r="M1148" s="67"/>
      <c r="N1148" s="67"/>
      <c r="O1148" s="67"/>
      <c r="P1148" s="67"/>
      <c r="Q1148" s="67"/>
      <c r="R1148" s="67"/>
      <c r="S1148" s="67"/>
      <c r="T1148" s="74"/>
      <c r="U1148" s="67"/>
      <c r="V1148" s="67"/>
      <c r="W1148" s="74"/>
      <c r="X1148" s="67"/>
    </row>
    <row r="1149" spans="1:24" s="20" customFormat="1" ht="19.5" thickBot="1" x14ac:dyDescent="0.35">
      <c r="A1149" s="67"/>
      <c r="B1149" s="77" t="s">
        <v>160</v>
      </c>
      <c r="C1149" s="73"/>
      <c r="D1149" s="78"/>
      <c r="E1149" s="67">
        <f t="shared" si="277"/>
        <v>0</v>
      </c>
      <c r="F1149" s="67"/>
      <c r="G1149" s="73"/>
      <c r="H1149" s="67"/>
      <c r="I1149" s="73"/>
      <c r="J1149" s="67"/>
      <c r="K1149" s="67"/>
      <c r="L1149" s="67"/>
      <c r="M1149" s="67"/>
      <c r="N1149" s="67"/>
      <c r="O1149" s="67"/>
      <c r="P1149" s="67"/>
      <c r="Q1149" s="67"/>
      <c r="R1149" s="67"/>
      <c r="S1149" s="67"/>
      <c r="T1149" s="74"/>
      <c r="U1149" s="67"/>
      <c r="V1149" s="67"/>
      <c r="W1149" s="74"/>
      <c r="X1149" s="67"/>
    </row>
    <row r="1150" spans="1:24" s="20" customFormat="1" ht="19.5" thickBot="1" x14ac:dyDescent="0.35">
      <c r="A1150" s="67"/>
      <c r="B1150" s="77" t="s">
        <v>161</v>
      </c>
      <c r="C1150" s="73"/>
      <c r="D1150" s="78"/>
      <c r="E1150" s="67">
        <f t="shared" si="277"/>
        <v>0</v>
      </c>
      <c r="F1150" s="67"/>
      <c r="G1150" s="73"/>
      <c r="H1150" s="67"/>
      <c r="I1150" s="73"/>
      <c r="J1150" s="67"/>
      <c r="K1150" s="67"/>
      <c r="L1150" s="67"/>
      <c r="M1150" s="67"/>
      <c r="N1150" s="67"/>
      <c r="O1150" s="67"/>
      <c r="P1150" s="67"/>
      <c r="Q1150" s="67"/>
      <c r="R1150" s="67"/>
      <c r="S1150" s="67"/>
      <c r="T1150" s="74"/>
      <c r="U1150" s="67"/>
      <c r="V1150" s="67"/>
      <c r="W1150" s="74"/>
      <c r="X1150" s="67"/>
    </row>
    <row r="1151" spans="1:24" s="20" customFormat="1" ht="19.5" thickBot="1" x14ac:dyDescent="0.35">
      <c r="A1151" s="67"/>
      <c r="B1151" s="77" t="s">
        <v>162</v>
      </c>
      <c r="C1151" s="73"/>
      <c r="D1151" s="78"/>
      <c r="E1151" s="67">
        <f t="shared" si="277"/>
        <v>0</v>
      </c>
      <c r="F1151" s="67"/>
      <c r="G1151" s="73"/>
      <c r="H1151" s="67"/>
      <c r="I1151" s="73"/>
      <c r="J1151" s="67"/>
      <c r="K1151" s="67"/>
      <c r="L1151" s="67"/>
      <c r="M1151" s="67"/>
      <c r="N1151" s="67"/>
      <c r="O1151" s="67"/>
      <c r="P1151" s="67"/>
      <c r="Q1151" s="67"/>
      <c r="R1151" s="67"/>
      <c r="S1151" s="67"/>
      <c r="T1151" s="74"/>
      <c r="U1151" s="67"/>
      <c r="V1151" s="67"/>
      <c r="W1151" s="74"/>
      <c r="X1151" s="67"/>
    </row>
    <row r="1152" spans="1:24" s="20" customFormat="1" ht="19.5" thickBot="1" x14ac:dyDescent="0.35">
      <c r="A1152" s="67"/>
      <c r="B1152" s="77" t="s">
        <v>163</v>
      </c>
      <c r="C1152" s="73"/>
      <c r="D1152" s="78"/>
      <c r="E1152" s="67">
        <f t="shared" si="277"/>
        <v>0</v>
      </c>
      <c r="F1152" s="67"/>
      <c r="G1152" s="73"/>
      <c r="H1152" s="67"/>
      <c r="I1152" s="73"/>
      <c r="J1152" s="67"/>
      <c r="K1152" s="67"/>
      <c r="L1152" s="67"/>
      <c r="M1152" s="67"/>
      <c r="N1152" s="67"/>
      <c r="O1152" s="67"/>
      <c r="P1152" s="67"/>
      <c r="Q1152" s="67"/>
      <c r="R1152" s="67"/>
      <c r="S1152" s="67"/>
      <c r="T1152" s="74"/>
      <c r="U1152" s="67"/>
      <c r="V1152" s="67"/>
      <c r="W1152" s="74"/>
      <c r="X1152" s="67"/>
    </row>
    <row r="1153" spans="1:24" s="20" customFormat="1" ht="19.5" thickBot="1" x14ac:dyDescent="0.35">
      <c r="A1153" s="67"/>
      <c r="B1153" s="77" t="s">
        <v>164</v>
      </c>
      <c r="C1153" s="73"/>
      <c r="D1153" s="78"/>
      <c r="E1153" s="67">
        <f t="shared" ref="E1153:E1158" si="278">C1153*10</f>
        <v>0</v>
      </c>
      <c r="F1153" s="67"/>
      <c r="G1153" s="73"/>
      <c r="H1153" s="67"/>
      <c r="I1153" s="73"/>
      <c r="J1153" s="67"/>
      <c r="K1153" s="67"/>
      <c r="L1153" s="67"/>
      <c r="M1153" s="67"/>
      <c r="N1153" s="67"/>
      <c r="O1153" s="67"/>
      <c r="P1153" s="67"/>
      <c r="Q1153" s="67"/>
      <c r="R1153" s="67"/>
      <c r="S1153" s="67"/>
      <c r="T1153" s="74"/>
      <c r="U1153" s="67"/>
      <c r="V1153" s="67"/>
      <c r="W1153" s="74"/>
      <c r="X1153" s="67"/>
    </row>
    <row r="1154" spans="1:24" s="20" customFormat="1" ht="19.5" thickBot="1" x14ac:dyDescent="0.35">
      <c r="A1154" s="67"/>
      <c r="B1154" s="77" t="s">
        <v>165</v>
      </c>
      <c r="C1154" s="73"/>
      <c r="D1154" s="78"/>
      <c r="E1154" s="67">
        <f t="shared" si="278"/>
        <v>0</v>
      </c>
      <c r="F1154" s="67"/>
      <c r="G1154" s="73"/>
      <c r="H1154" s="67"/>
      <c r="I1154" s="73"/>
      <c r="J1154" s="67"/>
      <c r="K1154" s="67"/>
      <c r="L1154" s="67"/>
      <c r="M1154" s="67"/>
      <c r="N1154" s="67"/>
      <c r="O1154" s="67"/>
      <c r="P1154" s="67"/>
      <c r="Q1154" s="67"/>
      <c r="R1154" s="67"/>
      <c r="S1154" s="67"/>
      <c r="T1154" s="74"/>
      <c r="U1154" s="67"/>
      <c r="V1154" s="67"/>
      <c r="W1154" s="74"/>
      <c r="X1154" s="67"/>
    </row>
    <row r="1155" spans="1:24" s="20" customFormat="1" ht="19.5" thickBot="1" x14ac:dyDescent="0.35">
      <c r="A1155" s="67"/>
      <c r="B1155" s="77" t="s">
        <v>166</v>
      </c>
      <c r="C1155" s="73"/>
      <c r="D1155" s="78"/>
      <c r="E1155" s="67">
        <f t="shared" si="278"/>
        <v>0</v>
      </c>
      <c r="F1155" s="67"/>
      <c r="G1155" s="73"/>
      <c r="H1155" s="67"/>
      <c r="I1155" s="73"/>
      <c r="J1155" s="67"/>
      <c r="K1155" s="67"/>
      <c r="L1155" s="67"/>
      <c r="M1155" s="67"/>
      <c r="N1155" s="67"/>
      <c r="O1155" s="67"/>
      <c r="P1155" s="67"/>
      <c r="Q1155" s="67"/>
      <c r="R1155" s="67"/>
      <c r="S1155" s="67"/>
      <c r="T1155" s="74"/>
      <c r="U1155" s="67"/>
      <c r="V1155" s="67"/>
      <c r="W1155" s="74"/>
      <c r="X1155" s="67"/>
    </row>
    <row r="1156" spans="1:24" s="20" customFormat="1" ht="19.5" thickBot="1" x14ac:dyDescent="0.35">
      <c r="A1156" s="67"/>
      <c r="B1156" s="77" t="s">
        <v>167</v>
      </c>
      <c r="C1156" s="73"/>
      <c r="D1156" s="78"/>
      <c r="E1156" s="67">
        <f t="shared" si="278"/>
        <v>0</v>
      </c>
      <c r="F1156" s="67"/>
      <c r="G1156" s="73"/>
      <c r="H1156" s="67"/>
      <c r="I1156" s="73"/>
      <c r="J1156" s="67"/>
      <c r="K1156" s="67"/>
      <c r="L1156" s="67"/>
      <c r="M1156" s="67"/>
      <c r="N1156" s="67"/>
      <c r="O1156" s="67"/>
      <c r="P1156" s="67"/>
      <c r="Q1156" s="67"/>
      <c r="R1156" s="67"/>
      <c r="S1156" s="67"/>
      <c r="T1156" s="74"/>
      <c r="U1156" s="67"/>
      <c r="V1156" s="67"/>
      <c r="W1156" s="74"/>
      <c r="X1156" s="67"/>
    </row>
    <row r="1157" spans="1:24" s="20" customFormat="1" ht="19.5" thickBot="1" x14ac:dyDescent="0.35">
      <c r="A1157" s="67"/>
      <c r="B1157" s="77" t="s">
        <v>168</v>
      </c>
      <c r="C1157" s="73"/>
      <c r="D1157" s="78"/>
      <c r="E1157" s="67">
        <f t="shared" si="278"/>
        <v>0</v>
      </c>
      <c r="F1157" s="67"/>
      <c r="G1157" s="73"/>
      <c r="H1157" s="67"/>
      <c r="I1157" s="73"/>
      <c r="J1157" s="67"/>
      <c r="K1157" s="67"/>
      <c r="L1157" s="67"/>
      <c r="M1157" s="67"/>
      <c r="N1157" s="67"/>
      <c r="O1157" s="67"/>
      <c r="P1157" s="67"/>
      <c r="Q1157" s="67"/>
      <c r="R1157" s="67"/>
      <c r="S1157" s="67"/>
      <c r="T1157" s="74"/>
      <c r="U1157" s="67"/>
      <c r="V1157" s="67"/>
      <c r="W1157" s="74"/>
      <c r="X1157" s="67"/>
    </row>
    <row r="1158" spans="1:24" s="20" customFormat="1" ht="19.5" thickBot="1" x14ac:dyDescent="0.35">
      <c r="A1158" s="67"/>
      <c r="B1158" s="77" t="s">
        <v>169</v>
      </c>
      <c r="C1158" s="73"/>
      <c r="D1158" s="78"/>
      <c r="E1158" s="67">
        <f t="shared" si="278"/>
        <v>0</v>
      </c>
      <c r="F1158" s="67"/>
      <c r="G1158" s="73"/>
      <c r="H1158" s="67"/>
      <c r="I1158" s="73"/>
      <c r="J1158" s="67"/>
      <c r="K1158" s="67"/>
      <c r="L1158" s="67"/>
      <c r="M1158" s="67"/>
      <c r="N1158" s="67"/>
      <c r="O1158" s="67"/>
      <c r="P1158" s="67"/>
      <c r="Q1158" s="67"/>
      <c r="R1158" s="67"/>
      <c r="S1158" s="67"/>
      <c r="T1158" s="74"/>
      <c r="U1158" s="67"/>
      <c r="V1158" s="67"/>
      <c r="W1158" s="74"/>
      <c r="X1158" s="67"/>
    </row>
    <row r="1159" spans="1:24" s="20" customFormat="1" ht="38.25" thickBot="1" x14ac:dyDescent="0.35">
      <c r="A1159" s="67"/>
      <c r="B1159" s="77" t="s">
        <v>170</v>
      </c>
      <c r="C1159" s="73"/>
      <c r="D1159" s="78">
        <f>C1159*42</f>
        <v>0</v>
      </c>
      <c r="E1159" s="67">
        <f>D1159*0.05</f>
        <v>0</v>
      </c>
      <c r="F1159" s="67"/>
      <c r="G1159" s="73"/>
      <c r="H1159" s="67"/>
      <c r="I1159" s="73"/>
      <c r="J1159" s="67"/>
      <c r="K1159" s="67"/>
      <c r="L1159" s="67"/>
      <c r="M1159" s="67"/>
      <c r="N1159" s="67"/>
      <c r="O1159" s="67"/>
      <c r="P1159" s="67"/>
      <c r="Q1159" s="67"/>
      <c r="R1159" s="67"/>
      <c r="S1159" s="67"/>
      <c r="T1159" s="74"/>
      <c r="U1159" s="67"/>
      <c r="V1159" s="67"/>
      <c r="W1159" s="74"/>
      <c r="X1159" s="67"/>
    </row>
    <row r="1160" spans="1:24" s="20" customFormat="1" ht="19.5" thickBot="1" x14ac:dyDescent="0.35">
      <c r="A1160" s="67"/>
      <c r="B1160" s="75" t="s">
        <v>171</v>
      </c>
      <c r="C1160" s="73"/>
      <c r="D1160" s="78">
        <f>C1160*12</f>
        <v>0</v>
      </c>
      <c r="E1160" s="67">
        <f>D1160*0.15</f>
        <v>0</v>
      </c>
      <c r="F1160" s="67"/>
      <c r="G1160" s="73"/>
      <c r="H1160" s="67"/>
      <c r="I1160" s="73"/>
      <c r="J1160" s="67"/>
      <c r="K1160" s="67"/>
      <c r="L1160" s="67"/>
      <c r="M1160" s="67"/>
      <c r="N1160" s="67"/>
      <c r="O1160" s="67"/>
      <c r="P1160" s="67"/>
      <c r="Q1160" s="67"/>
      <c r="R1160" s="67"/>
      <c r="S1160" s="67"/>
      <c r="T1160" s="74"/>
      <c r="U1160" s="67"/>
      <c r="V1160" s="67"/>
      <c r="W1160" s="74"/>
      <c r="X1160" s="67"/>
    </row>
    <row r="1161" spans="1:24" ht="19.5" thickBot="1" x14ac:dyDescent="0.35">
      <c r="A1161" s="52"/>
      <c r="B1161" s="75" t="s">
        <v>172</v>
      </c>
      <c r="C1161" s="62"/>
      <c r="D1161" s="78">
        <f>C1161*12</f>
        <v>0</v>
      </c>
      <c r="E1161" s="67">
        <f>D1161*0.15</f>
        <v>0</v>
      </c>
      <c r="F1161" s="52"/>
      <c r="G1161" s="62"/>
      <c r="H1161" s="52"/>
      <c r="I1161" s="6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60"/>
      <c r="U1161" s="52"/>
      <c r="V1161" s="52"/>
      <c r="W1161" s="60"/>
      <c r="X1161" s="52"/>
    </row>
    <row r="1162" spans="1:24" ht="19.5" thickBot="1" x14ac:dyDescent="0.35">
      <c r="A1162" s="279"/>
      <c r="B1162" s="75"/>
      <c r="C1162" s="62"/>
      <c r="D1162" s="78"/>
      <c r="E1162" s="67"/>
      <c r="F1162" s="52"/>
      <c r="G1162" s="62"/>
      <c r="H1162" s="52"/>
      <c r="I1162" s="62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60"/>
      <c r="U1162" s="52"/>
      <c r="V1162" s="52"/>
      <c r="W1162" s="60"/>
      <c r="X1162" s="52"/>
    </row>
    <row r="1163" spans="1:24" ht="19.5" thickBot="1" x14ac:dyDescent="0.35">
      <c r="A1163" s="79"/>
      <c r="B1163" s="51" t="s">
        <v>134</v>
      </c>
      <c r="C1163" s="42"/>
      <c r="D1163" s="43"/>
      <c r="E1163" s="45">
        <f ca="1">SUM(E1147:E1184)</f>
        <v>0</v>
      </c>
      <c r="F1163" s="50"/>
      <c r="G1163" s="27"/>
      <c r="H1163" s="45"/>
      <c r="I1163" s="27"/>
      <c r="J1163" s="40"/>
      <c r="K1163" s="40"/>
      <c r="L1163" s="40"/>
      <c r="M1163" s="46"/>
      <c r="N1163" s="40"/>
      <c r="O1163" s="40"/>
      <c r="P1163" s="40"/>
      <c r="Q1163" s="14"/>
      <c r="R1163" s="40"/>
      <c r="S1163" s="40"/>
      <c r="T1163" s="47"/>
      <c r="U1163" s="40"/>
      <c r="V1163" s="40"/>
      <c r="W1163" s="47"/>
      <c r="X1163" s="40"/>
    </row>
    <row r="1164" spans="1:24" ht="19.5" thickBot="1" x14ac:dyDescent="0.35">
      <c r="A1164" s="52"/>
      <c r="B1164" s="921" t="s">
        <v>174</v>
      </c>
      <c r="C1164" s="921"/>
      <c r="D1164" s="921"/>
      <c r="E1164" s="921"/>
      <c r="F1164" s="921"/>
      <c r="G1164" s="921"/>
      <c r="H1164" s="921"/>
      <c r="I1164" s="921"/>
      <c r="J1164" s="921"/>
      <c r="K1164" s="921"/>
      <c r="L1164" s="921"/>
      <c r="M1164" s="921"/>
      <c r="N1164" s="921"/>
      <c r="O1164" s="921"/>
      <c r="P1164" s="921"/>
      <c r="Q1164" s="921"/>
      <c r="R1164" s="921"/>
      <c r="S1164" s="921"/>
      <c r="T1164" s="921"/>
      <c r="U1164" s="921"/>
      <c r="V1164" s="921"/>
      <c r="W1164" s="921"/>
      <c r="X1164" s="921"/>
    </row>
    <row r="1165" spans="1:24" s="20" customFormat="1" ht="19.5" thickBot="1" x14ac:dyDescent="0.35">
      <c r="A1165" s="67"/>
      <c r="B1165" s="77" t="s">
        <v>572</v>
      </c>
      <c r="C1165" s="270">
        <f>C1097</f>
        <v>0</v>
      </c>
      <c r="D1165" s="270">
        <f t="shared" ref="D1165:D1172" si="279">C1165*20</f>
        <v>0</v>
      </c>
      <c r="E1165" s="270">
        <f t="shared" ref="E1165:E1172" si="280">C1165*4</f>
        <v>0</v>
      </c>
      <c r="F1165" s="270"/>
      <c r="G1165" s="270"/>
      <c r="H1165" s="270"/>
      <c r="I1165" s="270"/>
      <c r="J1165" s="270"/>
      <c r="K1165" s="270"/>
      <c r="L1165" s="270"/>
      <c r="M1165" s="270"/>
      <c r="N1165" s="270"/>
      <c r="O1165" s="270"/>
      <c r="P1165" s="270"/>
      <c r="Q1165" s="270"/>
      <c r="R1165" s="270"/>
      <c r="S1165" s="270"/>
      <c r="T1165" s="270"/>
      <c r="U1165" s="270"/>
      <c r="V1165" s="270"/>
      <c r="W1165" s="270"/>
      <c r="X1165" s="270"/>
    </row>
    <row r="1166" spans="1:24" s="20" customFormat="1" ht="19.5" thickBot="1" x14ac:dyDescent="0.35">
      <c r="A1166" s="67"/>
      <c r="B1166" s="77" t="s">
        <v>573</v>
      </c>
      <c r="C1166" s="270">
        <f t="shared" ref="C1166:C1172" si="281">C1098</f>
        <v>0</v>
      </c>
      <c r="D1166" s="270">
        <f t="shared" si="279"/>
        <v>0</v>
      </c>
      <c r="E1166" s="270">
        <f t="shared" si="280"/>
        <v>0</v>
      </c>
      <c r="F1166" s="270"/>
      <c r="G1166" s="270"/>
      <c r="H1166" s="270"/>
      <c r="I1166" s="270"/>
      <c r="J1166" s="270"/>
      <c r="K1166" s="270"/>
      <c r="L1166" s="270"/>
      <c r="M1166" s="270"/>
      <c r="N1166" s="270"/>
      <c r="O1166" s="270"/>
      <c r="P1166" s="270"/>
      <c r="Q1166" s="270"/>
      <c r="R1166" s="270"/>
      <c r="S1166" s="270"/>
      <c r="T1166" s="270"/>
      <c r="U1166" s="270"/>
      <c r="V1166" s="270"/>
      <c r="W1166" s="270"/>
      <c r="X1166" s="270"/>
    </row>
    <row r="1167" spans="1:24" s="20" customFormat="1" ht="19.5" thickBot="1" x14ac:dyDescent="0.35">
      <c r="A1167" s="67"/>
      <c r="B1167" s="77" t="s">
        <v>574</v>
      </c>
      <c r="C1167" s="270">
        <f t="shared" si="281"/>
        <v>0</v>
      </c>
      <c r="D1167" s="270">
        <f t="shared" si="279"/>
        <v>0</v>
      </c>
      <c r="E1167" s="270">
        <f t="shared" si="280"/>
        <v>0</v>
      </c>
      <c r="F1167" s="270"/>
      <c r="G1167" s="270"/>
      <c r="H1167" s="270"/>
      <c r="I1167" s="270"/>
      <c r="J1167" s="270"/>
      <c r="K1167" s="270"/>
      <c r="L1167" s="270"/>
      <c r="M1167" s="270"/>
      <c r="N1167" s="270"/>
      <c r="O1167" s="270"/>
      <c r="P1167" s="270"/>
      <c r="Q1167" s="270"/>
      <c r="R1167" s="270"/>
      <c r="S1167" s="270"/>
      <c r="T1167" s="270"/>
      <c r="U1167" s="270"/>
      <c r="V1167" s="270"/>
      <c r="W1167" s="270"/>
      <c r="X1167" s="270"/>
    </row>
    <row r="1168" spans="1:24" s="20" customFormat="1" ht="19.5" thickBot="1" x14ac:dyDescent="0.35">
      <c r="A1168" s="67"/>
      <c r="B1168" s="77" t="s">
        <v>575</v>
      </c>
      <c r="C1168" s="270">
        <f t="shared" si="281"/>
        <v>0</v>
      </c>
      <c r="D1168" s="270">
        <f t="shared" si="279"/>
        <v>0</v>
      </c>
      <c r="E1168" s="270">
        <f t="shared" si="280"/>
        <v>0</v>
      </c>
      <c r="F1168" s="270"/>
      <c r="G1168" s="270"/>
      <c r="H1168" s="270"/>
      <c r="I1168" s="270"/>
      <c r="J1168" s="270"/>
      <c r="K1168" s="270"/>
      <c r="L1168" s="270"/>
      <c r="M1168" s="270"/>
      <c r="N1168" s="270"/>
      <c r="O1168" s="270"/>
      <c r="P1168" s="270"/>
      <c r="Q1168" s="270"/>
      <c r="R1168" s="270"/>
      <c r="S1168" s="270"/>
      <c r="T1168" s="270"/>
      <c r="U1168" s="270"/>
      <c r="V1168" s="270"/>
      <c r="W1168" s="270"/>
      <c r="X1168" s="270"/>
    </row>
    <row r="1169" spans="1:24" s="20" customFormat="1" ht="19.5" thickBot="1" x14ac:dyDescent="0.35">
      <c r="A1169" s="67"/>
      <c r="B1169" s="77" t="s">
        <v>576</v>
      </c>
      <c r="C1169" s="270">
        <f t="shared" si="281"/>
        <v>0</v>
      </c>
      <c r="D1169" s="270">
        <f t="shared" si="279"/>
        <v>0</v>
      </c>
      <c r="E1169" s="270">
        <f t="shared" si="280"/>
        <v>0</v>
      </c>
      <c r="F1169" s="270"/>
      <c r="G1169" s="270"/>
      <c r="H1169" s="270"/>
      <c r="I1169" s="270"/>
      <c r="J1169" s="270"/>
      <c r="K1169" s="270"/>
      <c r="L1169" s="270"/>
      <c r="M1169" s="270"/>
      <c r="N1169" s="270"/>
      <c r="O1169" s="270"/>
      <c r="P1169" s="270"/>
      <c r="Q1169" s="270"/>
      <c r="R1169" s="270"/>
      <c r="S1169" s="270"/>
      <c r="T1169" s="270"/>
      <c r="U1169" s="270"/>
      <c r="V1169" s="270"/>
      <c r="W1169" s="270"/>
      <c r="X1169" s="270"/>
    </row>
    <row r="1170" spans="1:24" s="20" customFormat="1" ht="19.5" thickBot="1" x14ac:dyDescent="0.35">
      <c r="A1170" s="67"/>
      <c r="B1170" s="77" t="s">
        <v>577</v>
      </c>
      <c r="C1170" s="270">
        <f t="shared" si="281"/>
        <v>0</v>
      </c>
      <c r="D1170" s="270">
        <f t="shared" si="279"/>
        <v>0</v>
      </c>
      <c r="E1170" s="270">
        <f t="shared" si="280"/>
        <v>0</v>
      </c>
      <c r="F1170" s="270"/>
      <c r="G1170" s="270"/>
      <c r="H1170" s="270"/>
      <c r="I1170" s="270"/>
      <c r="J1170" s="270"/>
      <c r="K1170" s="270"/>
      <c r="L1170" s="270"/>
      <c r="M1170" s="270"/>
      <c r="N1170" s="270"/>
      <c r="O1170" s="270"/>
      <c r="P1170" s="270"/>
      <c r="Q1170" s="270"/>
      <c r="R1170" s="270"/>
      <c r="S1170" s="270"/>
      <c r="T1170" s="270"/>
      <c r="U1170" s="270"/>
      <c r="V1170" s="270"/>
      <c r="W1170" s="270"/>
      <c r="X1170" s="270"/>
    </row>
    <row r="1171" spans="1:24" s="20" customFormat="1" ht="19.5" thickBot="1" x14ac:dyDescent="0.35">
      <c r="A1171" s="67"/>
      <c r="B1171" s="77" t="s">
        <v>578</v>
      </c>
      <c r="C1171" s="270">
        <f t="shared" si="281"/>
        <v>0</v>
      </c>
      <c r="D1171" s="270">
        <f t="shared" si="279"/>
        <v>0</v>
      </c>
      <c r="E1171" s="270">
        <f t="shared" si="280"/>
        <v>0</v>
      </c>
      <c r="F1171" s="270"/>
      <c r="G1171" s="270"/>
      <c r="H1171" s="270"/>
      <c r="I1171" s="270"/>
      <c r="J1171" s="270"/>
      <c r="K1171" s="270"/>
      <c r="L1171" s="270"/>
      <c r="M1171" s="270"/>
      <c r="N1171" s="270"/>
      <c r="O1171" s="270"/>
      <c r="P1171" s="270"/>
      <c r="Q1171" s="270"/>
      <c r="R1171" s="270"/>
      <c r="S1171" s="270"/>
      <c r="T1171" s="270"/>
      <c r="U1171" s="270"/>
      <c r="V1171" s="270"/>
      <c r="W1171" s="270"/>
      <c r="X1171" s="270"/>
    </row>
    <row r="1172" spans="1:24" s="20" customFormat="1" ht="19.5" thickBot="1" x14ac:dyDescent="0.35">
      <c r="A1172" s="67"/>
      <c r="B1172" s="77" t="s">
        <v>579</v>
      </c>
      <c r="C1172" s="270">
        <f t="shared" si="281"/>
        <v>0</v>
      </c>
      <c r="D1172" s="270">
        <f t="shared" si="279"/>
        <v>0</v>
      </c>
      <c r="E1172" s="270">
        <f t="shared" si="280"/>
        <v>0</v>
      </c>
      <c r="F1172" s="270"/>
      <c r="G1172" s="270"/>
      <c r="H1172" s="270"/>
      <c r="I1172" s="270"/>
      <c r="J1172" s="270"/>
      <c r="K1172" s="270"/>
      <c r="L1172" s="270"/>
      <c r="M1172" s="270"/>
      <c r="N1172" s="270"/>
      <c r="O1172" s="270"/>
      <c r="P1172" s="270"/>
      <c r="Q1172" s="270"/>
      <c r="R1172" s="270"/>
      <c r="S1172" s="270"/>
      <c r="T1172" s="270"/>
      <c r="U1172" s="270"/>
      <c r="V1172" s="270"/>
      <c r="W1172" s="270"/>
      <c r="X1172" s="270"/>
    </row>
    <row r="1173" spans="1:24" s="20" customFormat="1" ht="19.5" thickBot="1" x14ac:dyDescent="0.35">
      <c r="A1173" s="67"/>
      <c r="B1173" s="77" t="s">
        <v>158</v>
      </c>
      <c r="C1173" s="73">
        <f t="shared" ref="C1173:C1184" si="282">C1147+C1114</f>
        <v>0</v>
      </c>
      <c r="D1173" s="78"/>
      <c r="E1173" s="67">
        <f t="shared" ref="E1173:E1178" si="283">C1173*8</f>
        <v>0</v>
      </c>
      <c r="F1173" s="67"/>
      <c r="G1173" s="73"/>
      <c r="H1173" s="67"/>
      <c r="I1173" s="73"/>
      <c r="J1173" s="67"/>
      <c r="K1173" s="67"/>
      <c r="L1173" s="67"/>
      <c r="M1173" s="67"/>
      <c r="N1173" s="67"/>
      <c r="O1173" s="67"/>
      <c r="P1173" s="67"/>
      <c r="Q1173" s="67"/>
      <c r="R1173" s="67"/>
      <c r="S1173" s="67"/>
      <c r="T1173" s="74">
        <v>3</v>
      </c>
      <c r="U1173" s="67"/>
      <c r="V1173" s="67"/>
      <c r="W1173" s="74"/>
      <c r="X1173" s="67"/>
    </row>
    <row r="1174" spans="1:24" s="20" customFormat="1" ht="38.25" thickBot="1" x14ac:dyDescent="0.35">
      <c r="A1174" s="67"/>
      <c r="B1174" s="77" t="s">
        <v>159</v>
      </c>
      <c r="C1174" s="73">
        <f t="shared" si="282"/>
        <v>0</v>
      </c>
      <c r="D1174" s="78"/>
      <c r="E1174" s="67">
        <f t="shared" si="283"/>
        <v>0</v>
      </c>
      <c r="F1174" s="67"/>
      <c r="G1174" s="73"/>
      <c r="H1174" s="67"/>
      <c r="I1174" s="73"/>
      <c r="J1174" s="67"/>
      <c r="K1174" s="67"/>
      <c r="L1174" s="67"/>
      <c r="M1174" s="67"/>
      <c r="N1174" s="67"/>
      <c r="O1174" s="67"/>
      <c r="P1174" s="67"/>
      <c r="Q1174" s="67"/>
      <c r="R1174" s="67"/>
      <c r="S1174" s="67"/>
      <c r="T1174" s="74">
        <v>3</v>
      </c>
      <c r="U1174" s="67"/>
      <c r="V1174" s="67"/>
      <c r="W1174" s="74"/>
      <c r="X1174" s="67"/>
    </row>
    <row r="1175" spans="1:24" s="20" customFormat="1" ht="19.5" thickBot="1" x14ac:dyDescent="0.35">
      <c r="A1175" s="67"/>
      <c r="B1175" s="77" t="s">
        <v>160</v>
      </c>
      <c r="C1175" s="73">
        <f t="shared" si="282"/>
        <v>0</v>
      </c>
      <c r="D1175" s="78"/>
      <c r="E1175" s="67">
        <f t="shared" si="283"/>
        <v>0</v>
      </c>
      <c r="F1175" s="67"/>
      <c r="G1175" s="73"/>
      <c r="H1175" s="67"/>
      <c r="I1175" s="73"/>
      <c r="J1175" s="67"/>
      <c r="K1175" s="67"/>
      <c r="L1175" s="67"/>
      <c r="M1175" s="67"/>
      <c r="N1175" s="67"/>
      <c r="O1175" s="67"/>
      <c r="P1175" s="67"/>
      <c r="Q1175" s="67"/>
      <c r="R1175" s="67"/>
      <c r="S1175" s="67"/>
      <c r="T1175" s="74">
        <v>3</v>
      </c>
      <c r="U1175" s="67"/>
      <c r="V1175" s="67"/>
      <c r="W1175" s="74"/>
      <c r="X1175" s="67"/>
    </row>
    <row r="1176" spans="1:24" s="20" customFormat="1" ht="19.5" thickBot="1" x14ac:dyDescent="0.35">
      <c r="A1176" s="67"/>
      <c r="B1176" s="77" t="s">
        <v>161</v>
      </c>
      <c r="C1176" s="73">
        <f t="shared" si="282"/>
        <v>0</v>
      </c>
      <c r="D1176" s="78"/>
      <c r="E1176" s="67">
        <f t="shared" si="283"/>
        <v>0</v>
      </c>
      <c r="F1176" s="67"/>
      <c r="G1176" s="73"/>
      <c r="H1176" s="67"/>
      <c r="I1176" s="73"/>
      <c r="J1176" s="67"/>
      <c r="K1176" s="67"/>
      <c r="L1176" s="67"/>
      <c r="M1176" s="67"/>
      <c r="N1176" s="67"/>
      <c r="O1176" s="67"/>
      <c r="P1176" s="67"/>
      <c r="Q1176" s="67"/>
      <c r="R1176" s="67"/>
      <c r="S1176" s="67"/>
      <c r="T1176" s="74">
        <v>3</v>
      </c>
      <c r="U1176" s="67"/>
      <c r="V1176" s="67"/>
      <c r="W1176" s="74"/>
      <c r="X1176" s="67"/>
    </row>
    <row r="1177" spans="1:24" s="20" customFormat="1" ht="19.5" thickBot="1" x14ac:dyDescent="0.35">
      <c r="A1177" s="67"/>
      <c r="B1177" s="77" t="s">
        <v>162</v>
      </c>
      <c r="C1177" s="73">
        <f t="shared" si="282"/>
        <v>0</v>
      </c>
      <c r="D1177" s="78"/>
      <c r="E1177" s="67">
        <f t="shared" si="283"/>
        <v>0</v>
      </c>
      <c r="F1177" s="67"/>
      <c r="G1177" s="73"/>
      <c r="H1177" s="67"/>
      <c r="I1177" s="73"/>
      <c r="J1177" s="67"/>
      <c r="K1177" s="67"/>
      <c r="L1177" s="67"/>
      <c r="M1177" s="67"/>
      <c r="N1177" s="67"/>
      <c r="O1177" s="67"/>
      <c r="P1177" s="67"/>
      <c r="Q1177" s="67"/>
      <c r="R1177" s="67"/>
      <c r="S1177" s="67"/>
      <c r="T1177" s="74">
        <v>3</v>
      </c>
      <c r="U1177" s="67"/>
      <c r="V1177" s="67"/>
      <c r="W1177" s="74"/>
      <c r="X1177" s="67"/>
    </row>
    <row r="1178" spans="1:24" s="20" customFormat="1" ht="19.5" thickBot="1" x14ac:dyDescent="0.35">
      <c r="A1178" s="67"/>
      <c r="B1178" s="77" t="s">
        <v>163</v>
      </c>
      <c r="C1178" s="73">
        <f t="shared" si="282"/>
        <v>0</v>
      </c>
      <c r="D1178" s="78"/>
      <c r="E1178" s="67">
        <f t="shared" si="283"/>
        <v>0</v>
      </c>
      <c r="F1178" s="67"/>
      <c r="G1178" s="73"/>
      <c r="H1178" s="67"/>
      <c r="I1178" s="73"/>
      <c r="J1178" s="67"/>
      <c r="K1178" s="67"/>
      <c r="L1178" s="67"/>
      <c r="M1178" s="67"/>
      <c r="N1178" s="67"/>
      <c r="O1178" s="67"/>
      <c r="P1178" s="67"/>
      <c r="Q1178" s="67"/>
      <c r="R1178" s="67"/>
      <c r="S1178" s="67"/>
      <c r="T1178" s="74">
        <v>3</v>
      </c>
      <c r="U1178" s="67"/>
      <c r="V1178" s="67"/>
      <c r="W1178" s="74"/>
      <c r="X1178" s="67"/>
    </row>
    <row r="1179" spans="1:24" s="20" customFormat="1" ht="19.5" thickBot="1" x14ac:dyDescent="0.35">
      <c r="A1179" s="67"/>
      <c r="B1179" s="77" t="s">
        <v>164</v>
      </c>
      <c r="C1179" s="73">
        <f t="shared" si="282"/>
        <v>0</v>
      </c>
      <c r="D1179" s="78"/>
      <c r="E1179" s="67">
        <f t="shared" ref="E1179:E1184" si="284">C1179*10</f>
        <v>0</v>
      </c>
      <c r="F1179" s="67"/>
      <c r="G1179" s="73"/>
      <c r="H1179" s="67"/>
      <c r="I1179" s="73"/>
      <c r="J1179" s="67"/>
      <c r="K1179" s="67"/>
      <c r="L1179" s="67"/>
      <c r="M1179" s="67"/>
      <c r="N1179" s="67"/>
      <c r="O1179" s="67"/>
      <c r="P1179" s="67"/>
      <c r="Q1179" s="67"/>
      <c r="R1179" s="67"/>
      <c r="S1179" s="67"/>
      <c r="T1179" s="74">
        <v>3</v>
      </c>
      <c r="U1179" s="67"/>
      <c r="V1179" s="67"/>
      <c r="W1179" s="74"/>
      <c r="X1179" s="67"/>
    </row>
    <row r="1180" spans="1:24" s="20" customFormat="1" ht="19.5" thickBot="1" x14ac:dyDescent="0.35">
      <c r="A1180" s="67"/>
      <c r="B1180" s="77" t="s">
        <v>165</v>
      </c>
      <c r="C1180" s="73">
        <f t="shared" si="282"/>
        <v>0</v>
      </c>
      <c r="D1180" s="78"/>
      <c r="E1180" s="67">
        <f t="shared" si="284"/>
        <v>0</v>
      </c>
      <c r="F1180" s="67"/>
      <c r="G1180" s="73"/>
      <c r="H1180" s="67"/>
      <c r="I1180" s="73"/>
      <c r="J1180" s="67"/>
      <c r="K1180" s="67"/>
      <c r="L1180" s="67"/>
      <c r="M1180" s="67"/>
      <c r="N1180" s="67"/>
      <c r="O1180" s="67"/>
      <c r="P1180" s="67"/>
      <c r="Q1180" s="67"/>
      <c r="R1180" s="67"/>
      <c r="S1180" s="67"/>
      <c r="T1180" s="74">
        <v>3</v>
      </c>
      <c r="U1180" s="67"/>
      <c r="V1180" s="67"/>
      <c r="W1180" s="74"/>
      <c r="X1180" s="67"/>
    </row>
    <row r="1181" spans="1:24" s="20" customFormat="1" ht="19.5" thickBot="1" x14ac:dyDescent="0.35">
      <c r="A1181" s="67"/>
      <c r="B1181" s="77" t="s">
        <v>166</v>
      </c>
      <c r="C1181" s="73">
        <f t="shared" si="282"/>
        <v>0</v>
      </c>
      <c r="D1181" s="78"/>
      <c r="E1181" s="67">
        <f t="shared" si="284"/>
        <v>0</v>
      </c>
      <c r="F1181" s="67"/>
      <c r="G1181" s="73"/>
      <c r="H1181" s="67"/>
      <c r="I1181" s="73"/>
      <c r="J1181" s="67"/>
      <c r="K1181" s="67"/>
      <c r="L1181" s="67"/>
      <c r="M1181" s="67"/>
      <c r="N1181" s="67"/>
      <c r="O1181" s="67"/>
      <c r="P1181" s="67"/>
      <c r="Q1181" s="67"/>
      <c r="R1181" s="67"/>
      <c r="S1181" s="67"/>
      <c r="T1181" s="74">
        <v>3</v>
      </c>
      <c r="U1181" s="67"/>
      <c r="V1181" s="67"/>
      <c r="W1181" s="74"/>
      <c r="X1181" s="67"/>
    </row>
    <row r="1182" spans="1:24" s="20" customFormat="1" ht="19.5" thickBot="1" x14ac:dyDescent="0.35">
      <c r="A1182" s="67"/>
      <c r="B1182" s="77" t="s">
        <v>167</v>
      </c>
      <c r="C1182" s="73">
        <f t="shared" si="282"/>
        <v>0</v>
      </c>
      <c r="D1182" s="78"/>
      <c r="E1182" s="67">
        <f t="shared" si="284"/>
        <v>0</v>
      </c>
      <c r="F1182" s="67"/>
      <c r="G1182" s="73"/>
      <c r="H1182" s="67"/>
      <c r="I1182" s="73"/>
      <c r="J1182" s="67"/>
      <c r="K1182" s="67"/>
      <c r="L1182" s="67"/>
      <c r="M1182" s="67"/>
      <c r="N1182" s="67"/>
      <c r="O1182" s="67"/>
      <c r="P1182" s="67"/>
      <c r="Q1182" s="67"/>
      <c r="R1182" s="67"/>
      <c r="S1182" s="67"/>
      <c r="T1182" s="74">
        <v>3</v>
      </c>
      <c r="U1182" s="67"/>
      <c r="V1182" s="67"/>
      <c r="W1182" s="74"/>
      <c r="X1182" s="67"/>
    </row>
    <row r="1183" spans="1:24" s="20" customFormat="1" ht="19.5" thickBot="1" x14ac:dyDescent="0.35">
      <c r="A1183" s="67"/>
      <c r="B1183" s="77" t="s">
        <v>168</v>
      </c>
      <c r="C1183" s="73">
        <f t="shared" si="282"/>
        <v>0</v>
      </c>
      <c r="D1183" s="78"/>
      <c r="E1183" s="67">
        <f t="shared" si="284"/>
        <v>0</v>
      </c>
      <c r="F1183" s="67"/>
      <c r="G1183" s="73"/>
      <c r="H1183" s="67"/>
      <c r="I1183" s="73"/>
      <c r="J1183" s="67"/>
      <c r="K1183" s="67"/>
      <c r="L1183" s="67"/>
      <c r="M1183" s="67"/>
      <c r="N1183" s="67"/>
      <c r="O1183" s="67"/>
      <c r="P1183" s="67"/>
      <c r="Q1183" s="67"/>
      <c r="R1183" s="67"/>
      <c r="S1183" s="67"/>
      <c r="T1183" s="74">
        <v>3</v>
      </c>
      <c r="U1183" s="67"/>
      <c r="V1183" s="67"/>
      <c r="W1183" s="74"/>
      <c r="X1183" s="67"/>
    </row>
    <row r="1184" spans="1:24" s="20" customFormat="1" ht="19.5" thickBot="1" x14ac:dyDescent="0.35">
      <c r="A1184" s="67"/>
      <c r="B1184" s="77" t="s">
        <v>169</v>
      </c>
      <c r="C1184" s="73">
        <f t="shared" si="282"/>
        <v>0</v>
      </c>
      <c r="D1184" s="78"/>
      <c r="E1184" s="67">
        <f t="shared" si="284"/>
        <v>0</v>
      </c>
      <c r="F1184" s="67"/>
      <c r="G1184" s="73"/>
      <c r="H1184" s="67"/>
      <c r="I1184" s="73"/>
      <c r="J1184" s="67"/>
      <c r="K1184" s="67"/>
      <c r="L1184" s="67"/>
      <c r="M1184" s="67"/>
      <c r="N1184" s="67"/>
      <c r="O1184" s="67"/>
      <c r="P1184" s="67"/>
      <c r="Q1184" s="67"/>
      <c r="R1184" s="67"/>
      <c r="S1184" s="67"/>
      <c r="T1184" s="74">
        <v>3</v>
      </c>
      <c r="U1184" s="67"/>
      <c r="V1184" s="67"/>
      <c r="W1184" s="74"/>
      <c r="X1184" s="67"/>
    </row>
    <row r="1185" spans="1:24" s="20" customFormat="1" ht="19.5" thickBot="1" x14ac:dyDescent="0.35">
      <c r="A1185" s="67"/>
      <c r="B1185" s="77" t="s">
        <v>175</v>
      </c>
      <c r="C1185" s="73"/>
      <c r="D1185" s="78">
        <f>C1185*28</f>
        <v>0</v>
      </c>
      <c r="E1185" s="67">
        <f>D1185*0.3</f>
        <v>0</v>
      </c>
      <c r="F1185" s="67"/>
      <c r="G1185" s="73"/>
      <c r="H1185" s="67"/>
      <c r="I1185" s="73"/>
      <c r="J1185" s="67"/>
      <c r="K1185" s="67"/>
      <c r="L1185" s="67"/>
      <c r="M1185" s="67"/>
      <c r="N1185" s="67"/>
      <c r="O1185" s="67"/>
      <c r="P1185" s="67"/>
      <c r="Q1185" s="67"/>
      <c r="R1185" s="67"/>
      <c r="S1185" s="67"/>
      <c r="T1185" s="74">
        <v>3</v>
      </c>
      <c r="U1185" s="67"/>
      <c r="V1185" s="67"/>
      <c r="W1185" s="74"/>
      <c r="X1185" s="67"/>
    </row>
    <row r="1186" spans="1:24" s="20" customFormat="1" ht="38.25" thickBot="1" x14ac:dyDescent="0.35">
      <c r="A1186" s="67"/>
      <c r="B1186" s="77" t="s">
        <v>176</v>
      </c>
      <c r="C1186" s="73"/>
      <c r="D1186" s="78">
        <f>C1186*24</f>
        <v>0</v>
      </c>
      <c r="E1186" s="67">
        <f>D1186*0.3</f>
        <v>0</v>
      </c>
      <c r="F1186" s="67"/>
      <c r="G1186" s="73"/>
      <c r="H1186" s="67"/>
      <c r="I1186" s="73"/>
      <c r="J1186" s="67"/>
      <c r="K1186" s="67"/>
      <c r="L1186" s="67"/>
      <c r="M1186" s="67"/>
      <c r="N1186" s="67"/>
      <c r="O1186" s="67"/>
      <c r="P1186" s="67"/>
      <c r="Q1186" s="67"/>
      <c r="R1186" s="67"/>
      <c r="S1186" s="67"/>
      <c r="T1186" s="74">
        <v>3</v>
      </c>
      <c r="U1186" s="67"/>
      <c r="V1186" s="67"/>
      <c r="W1186" s="74"/>
      <c r="X1186" s="67"/>
    </row>
    <row r="1187" spans="1:24" s="20" customFormat="1" ht="19.5" thickBot="1" x14ac:dyDescent="0.35">
      <c r="A1187" s="67"/>
      <c r="B1187" s="77" t="s">
        <v>177</v>
      </c>
      <c r="C1187" s="73"/>
      <c r="D1187" s="78">
        <f>C1187*24</f>
        <v>0</v>
      </c>
      <c r="E1187" s="67">
        <f>D1187*0.3</f>
        <v>0</v>
      </c>
      <c r="F1187" s="67"/>
      <c r="G1187" s="73"/>
      <c r="H1187" s="67"/>
      <c r="I1187" s="73"/>
      <c r="J1187" s="67"/>
      <c r="K1187" s="67"/>
      <c r="L1187" s="67"/>
      <c r="M1187" s="67"/>
      <c r="N1187" s="67"/>
      <c r="O1187" s="67"/>
      <c r="P1187" s="67"/>
      <c r="Q1187" s="67"/>
      <c r="R1187" s="67"/>
      <c r="S1187" s="67"/>
      <c r="T1187" s="74">
        <v>3</v>
      </c>
      <c r="U1187" s="67"/>
      <c r="V1187" s="67"/>
      <c r="W1187" s="74"/>
      <c r="X1187" s="67"/>
    </row>
    <row r="1188" spans="1:24" s="20" customFormat="1" ht="19.5" thickBot="1" x14ac:dyDescent="0.35">
      <c r="A1188" s="26"/>
      <c r="B1188" s="26" t="s">
        <v>178</v>
      </c>
      <c r="C1188" s="27">
        <f>C752+C696</f>
        <v>0</v>
      </c>
      <c r="D1188" s="28">
        <f>C1188*20</f>
        <v>0</v>
      </c>
      <c r="E1188" s="19">
        <f>D1188*0.2</f>
        <v>0</v>
      </c>
      <c r="F1188" s="29"/>
      <c r="G1188" s="27"/>
      <c r="H1188" s="30"/>
      <c r="I1188" s="27"/>
      <c r="J1188" s="19"/>
      <c r="K1188" s="19"/>
      <c r="L1188" s="19"/>
      <c r="M1188" s="31"/>
      <c r="N1188" s="19"/>
      <c r="O1188" s="19"/>
      <c r="P1188" s="19"/>
      <c r="Q1188" s="30"/>
      <c r="R1188" s="19"/>
      <c r="S1188" s="19"/>
      <c r="T1188" s="74">
        <v>3</v>
      </c>
      <c r="U1188" s="19"/>
      <c r="V1188" s="19"/>
      <c r="W1188" s="32"/>
      <c r="X1188" s="19"/>
    </row>
    <row r="1189" spans="1:24" s="20" customFormat="1" ht="19.5" thickBot="1" x14ac:dyDescent="0.35">
      <c r="A1189" s="26"/>
      <c r="B1189" s="26" t="s">
        <v>179</v>
      </c>
      <c r="C1189" s="27">
        <f>C753+C697</f>
        <v>0</v>
      </c>
      <c r="D1189" s="28">
        <f>C1189*20</f>
        <v>0</v>
      </c>
      <c r="E1189" s="19">
        <f>D1189*0.2</f>
        <v>0</v>
      </c>
      <c r="F1189" s="29"/>
      <c r="G1189" s="27"/>
      <c r="H1189" s="30"/>
      <c r="I1189" s="27"/>
      <c r="J1189" s="19"/>
      <c r="K1189" s="19"/>
      <c r="L1189" s="19"/>
      <c r="M1189" s="31"/>
      <c r="N1189" s="19"/>
      <c r="O1189" s="19"/>
      <c r="P1189" s="19"/>
      <c r="Q1189" s="30"/>
      <c r="R1189" s="19"/>
      <c r="S1189" s="19"/>
      <c r="T1189" s="74">
        <v>3</v>
      </c>
      <c r="U1189" s="19"/>
      <c r="V1189" s="19"/>
      <c r="W1189" s="32"/>
      <c r="X1189" s="19"/>
    </row>
    <row r="1190" spans="1:24" s="20" customFormat="1" ht="19.5" thickBot="1" x14ac:dyDescent="0.35">
      <c r="A1190" s="26"/>
      <c r="B1190" s="26" t="s">
        <v>180</v>
      </c>
      <c r="C1190" s="27">
        <f>C754+C698</f>
        <v>0</v>
      </c>
      <c r="D1190" s="28">
        <f>C1190*20</f>
        <v>0</v>
      </c>
      <c r="E1190" s="19">
        <f>D1190*0.2</f>
        <v>0</v>
      </c>
      <c r="F1190" s="29"/>
      <c r="G1190" s="27"/>
      <c r="H1190" s="30"/>
      <c r="I1190" s="27"/>
      <c r="J1190" s="19"/>
      <c r="K1190" s="19"/>
      <c r="L1190" s="19"/>
      <c r="M1190" s="31"/>
      <c r="N1190" s="19"/>
      <c r="O1190" s="19"/>
      <c r="P1190" s="19"/>
      <c r="Q1190" s="30"/>
      <c r="R1190" s="19"/>
      <c r="S1190" s="19"/>
      <c r="T1190" s="74">
        <v>3</v>
      </c>
      <c r="U1190" s="19"/>
      <c r="V1190" s="19"/>
      <c r="W1190" s="32"/>
      <c r="X1190" s="19"/>
    </row>
    <row r="1191" spans="1:24" s="20" customFormat="1" ht="19.5" thickBot="1" x14ac:dyDescent="0.35">
      <c r="A1191" s="26"/>
      <c r="B1191" s="26" t="s">
        <v>296</v>
      </c>
      <c r="C1191" s="27">
        <f>C706+C762</f>
        <v>0</v>
      </c>
      <c r="D1191" s="28">
        <f>C1191*12</f>
        <v>0</v>
      </c>
      <c r="E1191" s="19">
        <f>D1191*0.25</f>
        <v>0</v>
      </c>
      <c r="F1191" s="29"/>
      <c r="G1191" s="27"/>
      <c r="H1191" s="30"/>
      <c r="I1191" s="27"/>
      <c r="J1191" s="19"/>
      <c r="K1191" s="19"/>
      <c r="L1191" s="19"/>
      <c r="M1191" s="31"/>
      <c r="N1191" s="19"/>
      <c r="O1191" s="19"/>
      <c r="P1191" s="19"/>
      <c r="Q1191" s="30"/>
      <c r="R1191" s="19"/>
      <c r="S1191" s="19"/>
      <c r="T1191" s="74">
        <v>3</v>
      </c>
      <c r="U1191" s="19"/>
      <c r="V1191" s="19"/>
      <c r="W1191" s="32"/>
      <c r="X1191" s="19"/>
    </row>
    <row r="1192" spans="1:24" s="20" customFormat="1" ht="19.5" thickBot="1" x14ac:dyDescent="0.35">
      <c r="A1192" s="26"/>
      <c r="B1192" s="26" t="s">
        <v>51</v>
      </c>
      <c r="C1192" s="27"/>
      <c r="D1192" s="28"/>
      <c r="E1192" s="19">
        <f>C1192*5</f>
        <v>0</v>
      </c>
      <c r="F1192" s="29">
        <f>E1192*1.03*0.82/173</f>
        <v>0</v>
      </c>
      <c r="G1192" s="27">
        <f>INT(M1192)</f>
        <v>0</v>
      </c>
      <c r="H1192" s="30" t="s">
        <v>18</v>
      </c>
      <c r="I1192" s="27">
        <f>(M1192-G1192)*64</f>
        <v>0</v>
      </c>
      <c r="J1192" s="19" t="s">
        <v>19</v>
      </c>
      <c r="K1192" s="19"/>
      <c r="L1192" s="19"/>
      <c r="M1192" s="31"/>
      <c r="N1192" s="19"/>
      <c r="O1192" s="19"/>
      <c r="P1192" s="19"/>
      <c r="Q1192" s="30"/>
      <c r="R1192" s="19"/>
      <c r="S1192" s="19"/>
      <c r="T1192" s="74">
        <v>3</v>
      </c>
      <c r="U1192" s="19"/>
      <c r="V1192" s="19"/>
      <c r="W1192" s="32"/>
      <c r="X1192" s="19"/>
    </row>
    <row r="1193" spans="1:24" ht="19.5" thickBot="1" x14ac:dyDescent="0.35">
      <c r="A1193" s="52"/>
      <c r="B1193" s="52" t="s">
        <v>134</v>
      </c>
      <c r="C1193" s="62"/>
      <c r="D1193" s="61"/>
      <c r="E1193" s="52">
        <f>SUM(E1173:E1192)</f>
        <v>0</v>
      </c>
      <c r="F1193" s="52"/>
      <c r="G1193" s="62"/>
      <c r="H1193" s="52"/>
      <c r="I1193" s="62"/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  <c r="T1193" s="74">
        <v>3</v>
      </c>
      <c r="U1193" s="52"/>
      <c r="V1193" s="52"/>
      <c r="W1193" s="60"/>
      <c r="X1193" s="52"/>
    </row>
    <row r="1194" spans="1:24" s="20" customFormat="1" ht="19.5" thickBot="1" x14ac:dyDescent="0.35">
      <c r="A1194" s="70"/>
      <c r="B1194" s="68" t="s">
        <v>181</v>
      </c>
      <c r="C1194" s="27"/>
      <c r="D1194" s="28"/>
      <c r="E1194" s="30" t="e">
        <f>E1085+E1066+E1052+E1035+E999+E987+E989+E990+E982+E965+E964+E963+E962+E957++E928+E927+E926+E925+E924+E923+E922+E921+E916+E885+E883+E882+E859+E858+E855+E853+E851+E848+E847+E828+E867+E868+E811+E809+E807+E806+E800+E799+E798+E745+E744+E743</f>
        <v>#REF!</v>
      </c>
      <c r="F1194" s="36"/>
      <c r="G1194" s="27"/>
      <c r="H1194" s="30"/>
      <c r="I1194" s="27"/>
      <c r="J1194" s="19"/>
      <c r="K1194" s="19"/>
      <c r="L1194" s="19"/>
      <c r="M1194" s="31"/>
      <c r="N1194" s="19"/>
      <c r="O1194" s="19"/>
      <c r="P1194" s="19"/>
      <c r="Q1194" s="35"/>
      <c r="R1194" s="19"/>
      <c r="S1194" s="19"/>
      <c r="T1194" s="32"/>
      <c r="U1194" s="19"/>
      <c r="V1194" s="19"/>
      <c r="W1194" s="32"/>
      <c r="X1194" s="19"/>
    </row>
    <row r="1195" spans="1:24" ht="19.5" thickBot="1" x14ac:dyDescent="0.35">
      <c r="A1195" s="79"/>
      <c r="B1195" s="51" t="s">
        <v>182</v>
      </c>
      <c r="C1195" s="42"/>
      <c r="D1195" s="43"/>
      <c r="E1195" s="45" t="e">
        <f>E1193+E1095+E1086+E1067+E975+E974+E973+E950+E949+E948+E946+E945+E944+E940+E939+E938+E937+E936+E909+E908+E907+E905+E904+E903+E899+E898+E897+E896+E895</f>
        <v>#REF!</v>
      </c>
      <c r="F1195" s="50"/>
      <c r="G1195" s="27"/>
      <c r="H1195" s="45"/>
      <c r="I1195" s="27"/>
      <c r="J1195" s="40"/>
      <c r="K1195" s="40"/>
      <c r="L1195" s="40"/>
      <c r="M1195" s="46"/>
      <c r="N1195" s="40"/>
      <c r="O1195" s="40"/>
      <c r="P1195" s="40"/>
      <c r="Q1195" s="14"/>
      <c r="R1195" s="40"/>
      <c r="S1195" s="40"/>
      <c r="T1195" s="47"/>
      <c r="U1195" s="40"/>
      <c r="V1195" s="40"/>
      <c r="W1195" s="47"/>
      <c r="X1195" s="40"/>
    </row>
    <row r="1196" spans="1:24" ht="19.5" thickBot="1" x14ac:dyDescent="0.35">
      <c r="A1196" s="79"/>
      <c r="B1196" s="51" t="s">
        <v>183</v>
      </c>
      <c r="C1196" s="42"/>
      <c r="D1196" s="43"/>
      <c r="E1196" s="45" t="e">
        <f>E1194+E1195</f>
        <v>#REF!</v>
      </c>
      <c r="F1196" s="50"/>
      <c r="G1196" s="27"/>
      <c r="H1196" s="45"/>
      <c r="I1196" s="27"/>
      <c r="J1196" s="40"/>
      <c r="K1196" s="40"/>
      <c r="L1196" s="40"/>
      <c r="M1196" s="46"/>
      <c r="N1196" s="40"/>
      <c r="O1196" s="40"/>
      <c r="P1196" s="40"/>
      <c r="Q1196" s="14"/>
      <c r="R1196" s="40"/>
      <c r="S1196" s="40"/>
      <c r="T1196" s="47"/>
      <c r="U1196" s="40"/>
      <c r="V1196" s="40"/>
      <c r="W1196" s="47"/>
      <c r="X1196" s="40"/>
    </row>
    <row r="1197" spans="1:24" ht="19.5" thickBot="1" x14ac:dyDescent="0.35">
      <c r="A1197" s="52"/>
      <c r="B1197" s="921" t="s">
        <v>184</v>
      </c>
      <c r="C1197" s="921"/>
      <c r="D1197" s="921"/>
      <c r="E1197" s="921"/>
      <c r="F1197" s="921"/>
      <c r="G1197" s="921"/>
      <c r="H1197" s="921"/>
      <c r="I1197" s="921"/>
      <c r="J1197" s="921"/>
      <c r="K1197" s="921"/>
      <c r="L1197" s="921"/>
      <c r="M1197" s="921"/>
      <c r="N1197" s="921"/>
      <c r="O1197" s="921"/>
      <c r="P1197" s="921"/>
      <c r="Q1197" s="921"/>
      <c r="R1197" s="921"/>
      <c r="S1197" s="921"/>
      <c r="T1197" s="921"/>
      <c r="U1197" s="921"/>
      <c r="V1197" s="921"/>
      <c r="W1197" s="921"/>
      <c r="X1197" s="921"/>
    </row>
    <row r="1198" spans="1:24" ht="19.5" thickBot="1" x14ac:dyDescent="0.35">
      <c r="A1198" s="52"/>
      <c r="B1198" s="919" t="s">
        <v>185</v>
      </c>
      <c r="C1198" s="919"/>
      <c r="D1198" s="919"/>
      <c r="E1198" s="919"/>
      <c r="F1198" s="919"/>
      <c r="G1198" s="919"/>
      <c r="H1198" s="919"/>
      <c r="I1198" s="919"/>
      <c r="J1198" s="919"/>
      <c r="K1198" s="919"/>
      <c r="L1198" s="919"/>
      <c r="M1198" s="919"/>
      <c r="N1198" s="919"/>
      <c r="O1198" s="919"/>
      <c r="P1198" s="919"/>
      <c r="Q1198" s="919"/>
      <c r="R1198" s="919"/>
      <c r="S1198" s="919"/>
      <c r="T1198" s="919"/>
      <c r="U1198" s="919"/>
      <c r="V1198" s="919"/>
      <c r="W1198" s="919"/>
      <c r="X1198" s="919"/>
    </row>
    <row r="1199" spans="1:24" ht="19.5" thickBot="1" x14ac:dyDescent="0.35">
      <c r="A1199" s="52"/>
      <c r="B1199" s="80" t="s">
        <v>186</v>
      </c>
      <c r="C1199" s="918"/>
      <c r="D1199" s="918"/>
      <c r="E1199" s="918"/>
      <c r="F1199" s="62">
        <f>C1199/500</f>
        <v>0</v>
      </c>
      <c r="G1199" s="62"/>
      <c r="H1199" s="62"/>
      <c r="I1199" s="62"/>
      <c r="J1199" s="62"/>
      <c r="K1199" s="918"/>
      <c r="L1199" s="918"/>
      <c r="M1199" s="918"/>
      <c r="N1199" s="918"/>
      <c r="O1199" s="62"/>
      <c r="P1199" s="62"/>
      <c r="Q1199" s="62"/>
      <c r="R1199" s="62"/>
      <c r="S1199" s="62"/>
      <c r="T1199" s="60">
        <v>1</v>
      </c>
      <c r="U1199" s="62"/>
      <c r="V1199" s="62"/>
      <c r="W1199" s="60"/>
      <c r="X1199" s="62"/>
    </row>
    <row r="1200" spans="1:24" ht="19.5" thickBot="1" x14ac:dyDescent="0.35">
      <c r="A1200" s="52"/>
      <c r="B1200" s="80" t="s">
        <v>186</v>
      </c>
      <c r="C1200" s="918"/>
      <c r="D1200" s="918"/>
      <c r="E1200" s="918"/>
      <c r="F1200" s="62">
        <f>C1200/500</f>
        <v>0</v>
      </c>
      <c r="G1200" s="62"/>
      <c r="H1200" s="62"/>
      <c r="I1200" s="62"/>
      <c r="J1200" s="62"/>
      <c r="K1200" s="81"/>
      <c r="L1200" s="82"/>
      <c r="M1200" s="82"/>
      <c r="N1200" s="83"/>
      <c r="O1200" s="62"/>
      <c r="P1200" s="62"/>
      <c r="Q1200" s="62"/>
      <c r="R1200" s="62"/>
      <c r="S1200" s="62"/>
      <c r="T1200" s="60">
        <v>1</v>
      </c>
      <c r="U1200" s="62"/>
      <c r="V1200" s="62"/>
      <c r="W1200" s="60"/>
      <c r="X1200" s="62"/>
    </row>
    <row r="1201" spans="1:24" ht="19.5" thickBot="1" x14ac:dyDescent="0.35">
      <c r="A1201" s="52"/>
      <c r="B1201" s="80" t="s">
        <v>588</v>
      </c>
      <c r="C1201" s="918"/>
      <c r="D1201" s="918"/>
      <c r="E1201" s="918"/>
      <c r="F1201" s="62"/>
      <c r="G1201" s="62"/>
      <c r="H1201" s="62"/>
      <c r="I1201" s="62"/>
      <c r="J1201" s="62"/>
      <c r="K1201" s="81"/>
      <c r="L1201" s="82"/>
      <c r="M1201" s="82"/>
      <c r="N1201" s="83"/>
      <c r="O1201" s="62"/>
      <c r="P1201" s="62"/>
      <c r="Q1201" s="62"/>
      <c r="R1201" s="62"/>
      <c r="S1201" s="62"/>
      <c r="T1201" s="60"/>
      <c r="U1201" s="62"/>
      <c r="V1201" s="62"/>
      <c r="W1201" s="60"/>
      <c r="X1201" s="62"/>
    </row>
    <row r="1202" spans="1:24" ht="19.5" thickBot="1" x14ac:dyDescent="0.35">
      <c r="A1202" s="52"/>
      <c r="B1202" s="80" t="s">
        <v>589</v>
      </c>
      <c r="C1202" s="918"/>
      <c r="D1202" s="918"/>
      <c r="E1202" s="918"/>
      <c r="F1202" s="62"/>
      <c r="G1202" s="62"/>
      <c r="H1202" s="62"/>
      <c r="I1202" s="62"/>
      <c r="J1202" s="62"/>
      <c r="K1202" s="81"/>
      <c r="L1202" s="82"/>
      <c r="M1202" s="82"/>
      <c r="N1202" s="83"/>
      <c r="O1202" s="62"/>
      <c r="P1202" s="62"/>
      <c r="Q1202" s="62"/>
      <c r="R1202" s="62"/>
      <c r="S1202" s="62"/>
      <c r="T1202" s="60"/>
      <c r="U1202" s="62"/>
      <c r="V1202" s="62"/>
      <c r="W1202" s="60"/>
      <c r="X1202" s="62"/>
    </row>
    <row r="1203" spans="1:24" ht="19.5" thickBot="1" x14ac:dyDescent="0.35">
      <c r="A1203" s="52"/>
      <c r="B1203" s="80" t="s">
        <v>590</v>
      </c>
      <c r="C1203" s="918"/>
      <c r="D1203" s="918"/>
      <c r="E1203" s="918"/>
      <c r="F1203" s="62"/>
      <c r="G1203" s="62"/>
      <c r="H1203" s="62"/>
      <c r="I1203" s="62"/>
      <c r="J1203" s="62"/>
      <c r="K1203" s="81"/>
      <c r="L1203" s="82"/>
      <c r="M1203" s="82"/>
      <c r="N1203" s="83"/>
      <c r="O1203" s="62"/>
      <c r="P1203" s="62"/>
      <c r="Q1203" s="62"/>
      <c r="R1203" s="62"/>
      <c r="S1203" s="62"/>
      <c r="T1203" s="60"/>
      <c r="U1203" s="62"/>
      <c r="V1203" s="62"/>
      <c r="W1203" s="60"/>
      <c r="X1203" s="62"/>
    </row>
    <row r="1204" spans="1:24" ht="19.5" thickBot="1" x14ac:dyDescent="0.35">
      <c r="A1204" s="52"/>
      <c r="B1204" s="80" t="s">
        <v>591</v>
      </c>
      <c r="C1204" s="918"/>
      <c r="D1204" s="918"/>
      <c r="E1204" s="918"/>
      <c r="F1204" s="62"/>
      <c r="G1204" s="62"/>
      <c r="H1204" s="62"/>
      <c r="I1204" s="62"/>
      <c r="J1204" s="62"/>
      <c r="K1204" s="81"/>
      <c r="L1204" s="82"/>
      <c r="M1204" s="82"/>
      <c r="N1204" s="83"/>
      <c r="O1204" s="62"/>
      <c r="P1204" s="62"/>
      <c r="Q1204" s="62"/>
      <c r="R1204" s="62"/>
      <c r="S1204" s="62"/>
      <c r="T1204" s="60"/>
      <c r="U1204" s="62"/>
      <c r="V1204" s="62"/>
      <c r="W1204" s="60"/>
      <c r="X1204" s="62"/>
    </row>
    <row r="1205" spans="1:24" ht="19.5" thickBot="1" x14ac:dyDescent="0.35">
      <c r="A1205" s="52"/>
      <c r="B1205" s="80" t="s">
        <v>592</v>
      </c>
      <c r="C1205" s="918"/>
      <c r="D1205" s="918"/>
      <c r="E1205" s="918"/>
      <c r="F1205" s="62"/>
      <c r="G1205" s="62"/>
      <c r="H1205" s="62"/>
      <c r="I1205" s="62"/>
      <c r="J1205" s="62"/>
      <c r="K1205" s="81"/>
      <c r="L1205" s="82"/>
      <c r="M1205" s="82"/>
      <c r="N1205" s="83"/>
      <c r="O1205" s="62"/>
      <c r="P1205" s="62"/>
      <c r="Q1205" s="62"/>
      <c r="R1205" s="62"/>
      <c r="S1205" s="62"/>
      <c r="T1205" s="60"/>
      <c r="U1205" s="62"/>
      <c r="V1205" s="62"/>
      <c r="W1205" s="60"/>
      <c r="X1205" s="62"/>
    </row>
    <row r="1206" spans="1:24" ht="19.5" thickBot="1" x14ac:dyDescent="0.35">
      <c r="A1206" s="52"/>
      <c r="B1206" s="80" t="s">
        <v>593</v>
      </c>
      <c r="C1206" s="918"/>
      <c r="D1206" s="918"/>
      <c r="E1206" s="918"/>
      <c r="F1206" s="62"/>
      <c r="G1206" s="62"/>
      <c r="H1206" s="62"/>
      <c r="I1206" s="62"/>
      <c r="J1206" s="62"/>
      <c r="K1206" s="81"/>
      <c r="L1206" s="82"/>
      <c r="M1206" s="82"/>
      <c r="N1206" s="83"/>
      <c r="O1206" s="62"/>
      <c r="P1206" s="62"/>
      <c r="Q1206" s="62"/>
      <c r="R1206" s="62"/>
      <c r="S1206" s="62"/>
      <c r="T1206" s="60"/>
      <c r="U1206" s="62"/>
      <c r="V1206" s="62"/>
      <c r="W1206" s="60"/>
      <c r="X1206" s="62"/>
    </row>
    <row r="1207" spans="1:24" ht="19.5" thickBot="1" x14ac:dyDescent="0.35">
      <c r="A1207" s="52"/>
      <c r="B1207" s="80" t="s">
        <v>594</v>
      </c>
      <c r="C1207" s="918"/>
      <c r="D1207" s="918"/>
      <c r="E1207" s="918"/>
      <c r="F1207" s="62"/>
      <c r="G1207" s="62"/>
      <c r="H1207" s="62"/>
      <c r="I1207" s="62"/>
      <c r="J1207" s="62"/>
      <c r="K1207" s="81"/>
      <c r="L1207" s="82"/>
      <c r="M1207" s="82"/>
      <c r="N1207" s="83"/>
      <c r="O1207" s="62"/>
      <c r="P1207" s="62"/>
      <c r="Q1207" s="62"/>
      <c r="R1207" s="62"/>
      <c r="S1207" s="62"/>
      <c r="T1207" s="60"/>
      <c r="U1207" s="62"/>
      <c r="V1207" s="62"/>
      <c r="W1207" s="60"/>
      <c r="X1207" s="62"/>
    </row>
    <row r="1208" spans="1:24" ht="19.5" thickBot="1" x14ac:dyDescent="0.35">
      <c r="A1208" s="52"/>
      <c r="B1208" s="80" t="s">
        <v>595</v>
      </c>
      <c r="C1208" s="918"/>
      <c r="D1208" s="918"/>
      <c r="E1208" s="918"/>
      <c r="F1208" s="62"/>
      <c r="G1208" s="62"/>
      <c r="H1208" s="62"/>
      <c r="I1208" s="62"/>
      <c r="J1208" s="62"/>
      <c r="K1208" s="81"/>
      <c r="L1208" s="82"/>
      <c r="M1208" s="82"/>
      <c r="N1208" s="83"/>
      <c r="O1208" s="62"/>
      <c r="P1208" s="62"/>
      <c r="Q1208" s="62"/>
      <c r="R1208" s="62"/>
      <c r="S1208" s="62"/>
      <c r="T1208" s="60"/>
      <c r="U1208" s="62"/>
      <c r="V1208" s="62"/>
      <c r="W1208" s="60"/>
      <c r="X1208" s="62"/>
    </row>
    <row r="1209" spans="1:24" ht="19.5" thickBot="1" x14ac:dyDescent="0.35">
      <c r="A1209" s="52"/>
      <c r="B1209" s="80" t="s">
        <v>187</v>
      </c>
      <c r="C1209" s="918"/>
      <c r="D1209" s="918"/>
      <c r="E1209" s="918"/>
      <c r="F1209" s="62">
        <f>C1209/500</f>
        <v>0</v>
      </c>
      <c r="G1209" s="62"/>
      <c r="H1209" s="62"/>
      <c r="I1209" s="62"/>
      <c r="J1209" s="62"/>
      <c r="K1209" s="918"/>
      <c r="L1209" s="918"/>
      <c r="M1209" s="918"/>
      <c r="N1209" s="918"/>
      <c r="O1209" s="62"/>
      <c r="P1209" s="62"/>
      <c r="Q1209" s="62"/>
      <c r="R1209" s="62"/>
      <c r="S1209" s="62"/>
      <c r="T1209" s="60">
        <v>1</v>
      </c>
      <c r="U1209" s="62"/>
      <c r="V1209" s="62"/>
      <c r="W1209" s="60"/>
      <c r="X1209" s="62"/>
    </row>
    <row r="1210" spans="1:24" ht="19.5" thickBot="1" x14ac:dyDescent="0.35">
      <c r="A1210" s="52"/>
      <c r="B1210" s="80" t="s">
        <v>187</v>
      </c>
      <c r="C1210" s="918"/>
      <c r="D1210" s="918"/>
      <c r="E1210" s="918"/>
      <c r="F1210" s="62">
        <f>C1210/500</f>
        <v>0</v>
      </c>
      <c r="G1210" s="62"/>
      <c r="H1210" s="62"/>
      <c r="I1210" s="62"/>
      <c r="J1210" s="62"/>
      <c r="K1210" s="918"/>
      <c r="L1210" s="918"/>
      <c r="M1210" s="918"/>
      <c r="N1210" s="918"/>
      <c r="O1210" s="62"/>
      <c r="P1210" s="62"/>
      <c r="Q1210" s="62"/>
      <c r="R1210" s="62"/>
      <c r="S1210" s="62"/>
      <c r="T1210" s="60">
        <v>1</v>
      </c>
      <c r="U1210" s="62"/>
      <c r="V1210" s="62"/>
      <c r="W1210" s="60"/>
      <c r="X1210" s="62"/>
    </row>
    <row r="1211" spans="1:24" ht="19.5" thickBot="1" x14ac:dyDescent="0.35">
      <c r="A1211" s="52"/>
      <c r="B1211" s="80" t="s">
        <v>187</v>
      </c>
      <c r="C1211" s="918"/>
      <c r="D1211" s="918"/>
      <c r="E1211" s="918"/>
      <c r="F1211" s="62">
        <f>C1211/500</f>
        <v>0</v>
      </c>
      <c r="G1211" s="62"/>
      <c r="H1211" s="62"/>
      <c r="I1211" s="62"/>
      <c r="J1211" s="62"/>
      <c r="K1211" s="918"/>
      <c r="L1211" s="918"/>
      <c r="M1211" s="918"/>
      <c r="N1211" s="918"/>
      <c r="O1211" s="62"/>
      <c r="P1211" s="62"/>
      <c r="Q1211" s="62"/>
      <c r="R1211" s="62"/>
      <c r="S1211" s="62"/>
      <c r="T1211" s="60">
        <v>1</v>
      </c>
      <c r="U1211" s="62"/>
      <c r="V1211" s="62"/>
      <c r="W1211" s="60"/>
      <c r="X1211" s="62"/>
    </row>
    <row r="1212" spans="1:24" ht="19.5" thickBot="1" x14ac:dyDescent="0.35">
      <c r="A1212" s="52"/>
      <c r="B1212" s="80" t="s">
        <v>187</v>
      </c>
      <c r="C1212" s="918"/>
      <c r="D1212" s="918"/>
      <c r="E1212" s="918"/>
      <c r="F1212" s="62">
        <f>C1212/500</f>
        <v>0</v>
      </c>
      <c r="G1212" s="62"/>
      <c r="H1212" s="62"/>
      <c r="I1212" s="62"/>
      <c r="J1212" s="62"/>
      <c r="K1212" s="918"/>
      <c r="L1212" s="918"/>
      <c r="M1212" s="918"/>
      <c r="N1212" s="918"/>
      <c r="O1212" s="62"/>
      <c r="P1212" s="62"/>
      <c r="Q1212" s="62"/>
      <c r="R1212" s="62"/>
      <c r="S1212" s="62"/>
      <c r="T1212" s="60">
        <v>1</v>
      </c>
      <c r="U1212" s="62"/>
      <c r="V1212" s="62"/>
      <c r="W1212" s="60"/>
      <c r="X1212" s="62"/>
    </row>
    <row r="1213" spans="1:24" ht="19.5" thickBot="1" x14ac:dyDescent="0.35">
      <c r="A1213" s="52"/>
      <c r="B1213" s="80" t="s">
        <v>188</v>
      </c>
      <c r="C1213" s="918"/>
      <c r="D1213" s="918"/>
      <c r="E1213" s="918"/>
      <c r="F1213" s="62">
        <f>C1213/500</f>
        <v>0</v>
      </c>
      <c r="G1213" s="62"/>
      <c r="H1213" s="62"/>
      <c r="I1213" s="62"/>
      <c r="J1213" s="62"/>
      <c r="K1213" s="918"/>
      <c r="L1213" s="918"/>
      <c r="M1213" s="918"/>
      <c r="N1213" s="918"/>
      <c r="O1213" s="62"/>
      <c r="P1213" s="62"/>
      <c r="Q1213" s="62"/>
      <c r="R1213" s="62"/>
      <c r="S1213" s="62"/>
      <c r="T1213" s="60">
        <v>1</v>
      </c>
      <c r="U1213" s="62"/>
      <c r="V1213" s="62"/>
      <c r="W1213" s="60"/>
      <c r="X1213" s="62"/>
    </row>
    <row r="1214" spans="1:24" ht="19.5" thickBot="1" x14ac:dyDescent="0.35">
      <c r="A1214" s="52"/>
      <c r="B1214" s="80" t="s">
        <v>188</v>
      </c>
      <c r="C1214" s="918"/>
      <c r="D1214" s="918"/>
      <c r="E1214" s="918"/>
      <c r="F1214" s="62"/>
      <c r="G1214" s="62"/>
      <c r="H1214" s="62"/>
      <c r="I1214" s="62"/>
      <c r="J1214" s="62"/>
      <c r="K1214" s="81"/>
      <c r="L1214" s="82"/>
      <c r="M1214" s="82"/>
      <c r="N1214" s="83"/>
      <c r="O1214" s="62"/>
      <c r="P1214" s="62"/>
      <c r="Q1214" s="62"/>
      <c r="R1214" s="62"/>
      <c r="S1214" s="62"/>
      <c r="T1214" s="60">
        <v>1</v>
      </c>
      <c r="U1214" s="62"/>
      <c r="V1214" s="62"/>
      <c r="W1214" s="60"/>
      <c r="X1214" s="62"/>
    </row>
    <row r="1215" spans="1:24" ht="19.5" thickBot="1" x14ac:dyDescent="0.35">
      <c r="A1215" s="52"/>
      <c r="B1215" s="927" t="s">
        <v>189</v>
      </c>
      <c r="C1215" s="927"/>
      <c r="D1215" s="927"/>
      <c r="E1215" s="927"/>
      <c r="F1215" s="927"/>
      <c r="G1215" s="927"/>
      <c r="H1215" s="927"/>
      <c r="I1215" s="927"/>
      <c r="J1215" s="927"/>
      <c r="K1215" s="927"/>
      <c r="L1215" s="927"/>
      <c r="M1215" s="927"/>
      <c r="N1215" s="927"/>
      <c r="O1215" s="927"/>
      <c r="P1215" s="927"/>
      <c r="Q1215" s="927"/>
      <c r="R1215" s="927"/>
      <c r="S1215" s="927"/>
      <c r="T1215" s="927"/>
      <c r="U1215" s="927"/>
      <c r="V1215" s="927"/>
      <c r="W1215" s="927"/>
      <c r="X1215" s="927"/>
    </row>
    <row r="1216" spans="1:24" ht="19.5" thickBot="1" x14ac:dyDescent="0.35">
      <c r="A1216" s="52"/>
      <c r="B1216" s="80" t="s">
        <v>190</v>
      </c>
      <c r="C1216" s="918"/>
      <c r="D1216" s="918"/>
      <c r="E1216" s="918"/>
      <c r="F1216" s="62">
        <f>C1216/1500</f>
        <v>0</v>
      </c>
      <c r="G1216" s="62"/>
      <c r="H1216" s="62"/>
      <c r="I1216" s="62"/>
      <c r="J1216" s="62"/>
      <c r="K1216" s="918"/>
      <c r="L1216" s="918"/>
      <c r="M1216" s="918"/>
      <c r="N1216" s="918"/>
      <c r="O1216" s="62"/>
      <c r="P1216" s="62"/>
      <c r="Q1216" s="62"/>
      <c r="R1216" s="62"/>
      <c r="S1216" s="62"/>
      <c r="T1216" s="60">
        <v>1</v>
      </c>
      <c r="U1216" s="62"/>
      <c r="V1216" s="62"/>
      <c r="W1216" s="60"/>
      <c r="X1216" s="62"/>
    </row>
    <row r="1217" spans="1:24" ht="19.5" thickBot="1" x14ac:dyDescent="0.35">
      <c r="A1217" s="52"/>
      <c r="B1217" s="80" t="s">
        <v>190</v>
      </c>
      <c r="C1217" s="918"/>
      <c r="D1217" s="918"/>
      <c r="E1217" s="918"/>
      <c r="F1217" s="62">
        <f>C1217/1500</f>
        <v>0</v>
      </c>
      <c r="G1217" s="62"/>
      <c r="H1217" s="62"/>
      <c r="I1217" s="62"/>
      <c r="J1217" s="62"/>
      <c r="K1217" s="918"/>
      <c r="L1217" s="918"/>
      <c r="M1217" s="918"/>
      <c r="N1217" s="918"/>
      <c r="O1217" s="62"/>
      <c r="P1217" s="62"/>
      <c r="Q1217" s="62"/>
      <c r="R1217" s="62"/>
      <c r="S1217" s="62"/>
      <c r="T1217" s="60">
        <v>1</v>
      </c>
      <c r="U1217" s="62"/>
      <c r="V1217" s="62"/>
      <c r="W1217" s="60"/>
      <c r="X1217" s="62"/>
    </row>
    <row r="1218" spans="1:24" s="144" customFormat="1" ht="19.5" thickBot="1" x14ac:dyDescent="0.35">
      <c r="A1218" s="143"/>
      <c r="B1218" s="926" t="s">
        <v>191</v>
      </c>
      <c r="C1218" s="926"/>
      <c r="D1218" s="926"/>
      <c r="E1218" s="926"/>
      <c r="F1218" s="926"/>
      <c r="G1218" s="926"/>
      <c r="H1218" s="926"/>
      <c r="I1218" s="926"/>
      <c r="J1218" s="926"/>
      <c r="K1218" s="926"/>
      <c r="L1218" s="926"/>
      <c r="M1218" s="926"/>
      <c r="N1218" s="926"/>
      <c r="O1218" s="926"/>
      <c r="P1218" s="926"/>
      <c r="Q1218" s="926"/>
      <c r="R1218" s="926"/>
      <c r="S1218" s="926"/>
      <c r="T1218" s="926"/>
      <c r="U1218" s="926"/>
      <c r="V1218" s="926"/>
      <c r="W1218" s="926"/>
      <c r="X1218" s="926"/>
    </row>
    <row r="1219" spans="1:24" ht="19.5" thickBot="1" x14ac:dyDescent="0.35">
      <c r="A1219" s="84"/>
      <c r="B1219" s="925" t="s">
        <v>192</v>
      </c>
      <c r="C1219" s="925"/>
      <c r="D1219" s="925"/>
      <c r="E1219" s="925"/>
      <c r="F1219" s="925"/>
      <c r="G1219" s="925"/>
      <c r="H1219" s="925"/>
      <c r="I1219" s="925"/>
      <c r="J1219" s="925"/>
      <c r="K1219" s="925"/>
      <c r="L1219" s="925"/>
      <c r="M1219" s="925"/>
      <c r="N1219" s="925"/>
      <c r="O1219" s="925"/>
      <c r="P1219" s="925"/>
      <c r="Q1219" s="925"/>
      <c r="R1219" s="925"/>
      <c r="S1219" s="925"/>
      <c r="T1219" s="925"/>
      <c r="U1219" s="925"/>
      <c r="V1219" s="925"/>
      <c r="W1219" s="925"/>
      <c r="X1219" s="925"/>
    </row>
    <row r="1220" spans="1:24" s="20" customFormat="1" ht="38.25" thickBot="1" x14ac:dyDescent="0.35">
      <c r="A1220" s="26"/>
      <c r="B1220" s="26" t="s">
        <v>35</v>
      </c>
      <c r="C1220" s="922"/>
      <c r="D1220" s="922"/>
      <c r="E1220" s="19">
        <f>C1220*12</f>
        <v>0</v>
      </c>
      <c r="F1220" s="29"/>
      <c r="G1220" s="27"/>
      <c r="H1220" s="30"/>
      <c r="I1220" s="27"/>
      <c r="J1220" s="19"/>
      <c r="K1220" s="19"/>
      <c r="L1220" s="19"/>
      <c r="M1220" s="31">
        <f>F1220*2352/12544</f>
        <v>0</v>
      </c>
      <c r="N1220" s="19"/>
      <c r="O1220" s="19"/>
      <c r="P1220" s="19"/>
      <c r="Q1220" s="30" t="s">
        <v>18</v>
      </c>
      <c r="R1220" s="19"/>
      <c r="S1220" s="19" t="s">
        <v>19</v>
      </c>
      <c r="T1220" s="32"/>
      <c r="U1220" s="19">
        <f>E1220/207*60</f>
        <v>0</v>
      </c>
      <c r="V1220" s="19"/>
      <c r="W1220" s="32"/>
      <c r="X1220" s="19"/>
    </row>
    <row r="1221" spans="1:24" s="20" customFormat="1" ht="19.5" thickBot="1" x14ac:dyDescent="0.35">
      <c r="A1221" s="26"/>
      <c r="B1221" s="26" t="s">
        <v>20</v>
      </c>
      <c r="C1221" s="922"/>
      <c r="D1221" s="922"/>
      <c r="E1221" s="19">
        <f>C1221*12</f>
        <v>0</v>
      </c>
      <c r="F1221" s="29"/>
      <c r="G1221" s="27"/>
      <c r="H1221" s="30"/>
      <c r="I1221" s="27"/>
      <c r="J1221" s="19"/>
      <c r="K1221" s="19"/>
      <c r="L1221" s="19"/>
      <c r="M1221" s="31">
        <f>F1221*2352/12544</f>
        <v>0</v>
      </c>
      <c r="N1221" s="19"/>
      <c r="O1221" s="19"/>
      <c r="P1221" s="19"/>
      <c r="Q1221" s="30" t="s">
        <v>18</v>
      </c>
      <c r="R1221" s="19"/>
      <c r="S1221" s="19" t="s">
        <v>19</v>
      </c>
      <c r="T1221" s="32"/>
      <c r="U1221" s="19">
        <f>E1221/207*60</f>
        <v>0</v>
      </c>
      <c r="V1221" s="19"/>
      <c r="W1221" s="32"/>
      <c r="X1221" s="19"/>
    </row>
    <row r="1222" spans="1:24" s="20" customFormat="1" ht="19.5" thickBot="1" x14ac:dyDescent="0.35">
      <c r="A1222" s="26"/>
      <c r="B1222" s="26" t="s">
        <v>62</v>
      </c>
      <c r="C1222" s="922"/>
      <c r="D1222" s="922"/>
      <c r="E1222" s="19">
        <f>C1222*10</f>
        <v>0</v>
      </c>
      <c r="F1222" s="29"/>
      <c r="G1222" s="27"/>
      <c r="H1222" s="30"/>
      <c r="I1222" s="27"/>
      <c r="J1222" s="19"/>
      <c r="K1222" s="19"/>
      <c r="L1222" s="19"/>
      <c r="M1222" s="31">
        <f>(F1222*11610)/3456</f>
        <v>0</v>
      </c>
      <c r="N1222" s="19"/>
      <c r="O1222" s="19"/>
      <c r="P1222" s="19"/>
      <c r="Q1222" s="30" t="s">
        <v>18</v>
      </c>
      <c r="R1222" s="19"/>
      <c r="S1222" s="19" t="s">
        <v>19</v>
      </c>
      <c r="T1222" s="32"/>
      <c r="U1222" s="19">
        <f>E1222/207*60</f>
        <v>0</v>
      </c>
      <c r="V1222" s="19"/>
      <c r="W1222" s="32"/>
      <c r="X1222" s="19"/>
    </row>
    <row r="1223" spans="1:24" s="20" customFormat="1" ht="19.5" thickBot="1" x14ac:dyDescent="0.35">
      <c r="A1223" s="26"/>
      <c r="B1223" s="26" t="s">
        <v>63</v>
      </c>
      <c r="C1223" s="922"/>
      <c r="D1223" s="922"/>
      <c r="E1223" s="19">
        <f t="shared" ref="E1223:E1229" si="285">C1223*10</f>
        <v>0</v>
      </c>
      <c r="F1223" s="29"/>
      <c r="G1223" s="27"/>
      <c r="H1223" s="30"/>
      <c r="I1223" s="27"/>
      <c r="J1223" s="19"/>
      <c r="K1223" s="19"/>
      <c r="L1223" s="19"/>
      <c r="M1223" s="31">
        <f>(F1223*11610)/3456</f>
        <v>0</v>
      </c>
      <c r="N1223" s="19"/>
      <c r="O1223" s="19"/>
      <c r="P1223" s="19"/>
      <c r="Q1223" s="30" t="s">
        <v>18</v>
      </c>
      <c r="R1223" s="19"/>
      <c r="S1223" s="19" t="s">
        <v>19</v>
      </c>
      <c r="T1223" s="32"/>
      <c r="U1223" s="19">
        <f>E1223/207*60</f>
        <v>0</v>
      </c>
      <c r="V1223" s="19"/>
      <c r="W1223" s="32"/>
      <c r="X1223" s="19"/>
    </row>
    <row r="1224" spans="1:24" s="20" customFormat="1" ht="19.5" thickBot="1" x14ac:dyDescent="0.35">
      <c r="A1224" s="26"/>
      <c r="B1224" s="26" t="s">
        <v>64</v>
      </c>
      <c r="C1224" s="922"/>
      <c r="D1224" s="922"/>
      <c r="E1224" s="19">
        <f t="shared" si="285"/>
        <v>0</v>
      </c>
      <c r="F1224" s="29"/>
      <c r="G1224" s="27"/>
      <c r="H1224" s="30"/>
      <c r="I1224" s="27"/>
      <c r="J1224" s="19"/>
      <c r="K1224" s="19"/>
      <c r="L1224" s="19"/>
      <c r="M1224" s="31">
        <f>(F1224*11610)/3456</f>
        <v>0</v>
      </c>
      <c r="N1224" s="19"/>
      <c r="O1224" s="19"/>
      <c r="P1224" s="19"/>
      <c r="Q1224" s="30" t="s">
        <v>18</v>
      </c>
      <c r="R1224" s="19"/>
      <c r="S1224" s="19" t="s">
        <v>19</v>
      </c>
      <c r="T1224" s="32"/>
      <c r="U1224" s="19">
        <f>E1224/207*60</f>
        <v>0</v>
      </c>
      <c r="V1224" s="19"/>
      <c r="W1224" s="32"/>
      <c r="X1224" s="19"/>
    </row>
    <row r="1225" spans="1:24" s="20" customFormat="1" ht="19.5" thickBot="1" x14ac:dyDescent="0.35">
      <c r="A1225" s="26"/>
      <c r="B1225" s="26" t="s">
        <v>66</v>
      </c>
      <c r="C1225" s="922"/>
      <c r="D1225" s="922"/>
      <c r="E1225" s="19">
        <f t="shared" si="285"/>
        <v>0</v>
      </c>
      <c r="F1225" s="29"/>
      <c r="G1225" s="27"/>
      <c r="H1225" s="30"/>
      <c r="I1225" s="27"/>
      <c r="J1225" s="19"/>
      <c r="K1225" s="19"/>
      <c r="L1225" s="19"/>
      <c r="M1225" s="31">
        <f>(F1225*8480)/3456</f>
        <v>0</v>
      </c>
      <c r="N1225" s="19"/>
      <c r="O1225" s="19"/>
      <c r="P1225" s="19"/>
      <c r="Q1225" s="30" t="s">
        <v>18</v>
      </c>
      <c r="R1225" s="19"/>
      <c r="S1225" s="19" t="s">
        <v>19</v>
      </c>
      <c r="T1225" s="32"/>
      <c r="U1225" s="19">
        <f>E1225/272*60</f>
        <v>0</v>
      </c>
      <c r="V1225" s="19"/>
      <c r="W1225" s="32"/>
      <c r="X1225" s="19"/>
    </row>
    <row r="1226" spans="1:24" s="20" customFormat="1" ht="19.5" thickBot="1" x14ac:dyDescent="0.35">
      <c r="A1226" s="26"/>
      <c r="B1226" s="26" t="s">
        <v>67</v>
      </c>
      <c r="C1226" s="922"/>
      <c r="D1226" s="922"/>
      <c r="E1226" s="19">
        <f t="shared" si="285"/>
        <v>0</v>
      </c>
      <c r="F1226" s="29"/>
      <c r="G1226" s="27"/>
      <c r="H1226" s="30"/>
      <c r="I1226" s="27"/>
      <c r="J1226" s="19"/>
      <c r="K1226" s="19"/>
      <c r="L1226" s="19"/>
      <c r="M1226" s="31">
        <f>(F1226*8480)/3456</f>
        <v>0</v>
      </c>
      <c r="N1226" s="19"/>
      <c r="O1226" s="19"/>
      <c r="P1226" s="19"/>
      <c r="Q1226" s="30" t="s">
        <v>18</v>
      </c>
      <c r="R1226" s="19"/>
      <c r="S1226" s="19" t="s">
        <v>19</v>
      </c>
      <c r="T1226" s="32"/>
      <c r="U1226" s="19">
        <f>E1226/272*60</f>
        <v>0</v>
      </c>
      <c r="V1226" s="19"/>
      <c r="W1226" s="32"/>
      <c r="X1226" s="19"/>
    </row>
    <row r="1227" spans="1:24" s="20" customFormat="1" ht="19.5" thickBot="1" x14ac:dyDescent="0.35">
      <c r="A1227" s="26"/>
      <c r="B1227" s="26" t="s">
        <v>68</v>
      </c>
      <c r="C1227" s="922"/>
      <c r="D1227" s="922"/>
      <c r="E1227" s="19">
        <f t="shared" si="285"/>
        <v>0</v>
      </c>
      <c r="F1227" s="29"/>
      <c r="G1227" s="27"/>
      <c r="H1227" s="30"/>
      <c r="I1227" s="27"/>
      <c r="J1227" s="19"/>
      <c r="K1227" s="19"/>
      <c r="L1227" s="19"/>
      <c r="M1227" s="31">
        <f>(F1227*8480)/3456</f>
        <v>0</v>
      </c>
      <c r="N1227" s="19"/>
      <c r="O1227" s="19"/>
      <c r="P1227" s="19"/>
      <c r="Q1227" s="30" t="s">
        <v>18</v>
      </c>
      <c r="R1227" s="19"/>
      <c r="S1227" s="19" t="s">
        <v>19</v>
      </c>
      <c r="T1227" s="32"/>
      <c r="U1227" s="19">
        <f>E1227/272*60</f>
        <v>0</v>
      </c>
      <c r="V1227" s="19"/>
      <c r="W1227" s="32"/>
      <c r="X1227" s="19"/>
    </row>
    <row r="1228" spans="1:24" s="20" customFormat="1" ht="19.5" thickBot="1" x14ac:dyDescent="0.35">
      <c r="A1228" s="26"/>
      <c r="B1228" s="26" t="s">
        <v>71</v>
      </c>
      <c r="C1228" s="922"/>
      <c r="D1228" s="922"/>
      <c r="E1228" s="19">
        <f t="shared" si="285"/>
        <v>0</v>
      </c>
      <c r="F1228" s="29"/>
      <c r="G1228" s="27"/>
      <c r="H1228" s="30"/>
      <c r="I1228" s="27"/>
      <c r="J1228" s="19"/>
      <c r="K1228" s="19"/>
      <c r="L1228" s="19"/>
      <c r="M1228" s="31">
        <f>(F1228*8480)/3456</f>
        <v>0</v>
      </c>
      <c r="N1228" s="19"/>
      <c r="O1228" s="19"/>
      <c r="P1228" s="19"/>
      <c r="Q1228" s="30" t="s">
        <v>18</v>
      </c>
      <c r="R1228" s="19"/>
      <c r="S1228" s="19" t="s">
        <v>19</v>
      </c>
      <c r="T1228" s="32"/>
      <c r="U1228" s="19">
        <f>E1228/272*60</f>
        <v>0</v>
      </c>
      <c r="V1228" s="19"/>
      <c r="W1228" s="32"/>
      <c r="X1228" s="19"/>
    </row>
    <row r="1229" spans="1:24" s="20" customFormat="1" ht="19.5" thickBot="1" x14ac:dyDescent="0.35">
      <c r="A1229" s="26"/>
      <c r="B1229" s="26" t="s">
        <v>72</v>
      </c>
      <c r="C1229" s="922"/>
      <c r="D1229" s="922"/>
      <c r="E1229" s="19">
        <f t="shared" si="285"/>
        <v>0</v>
      </c>
      <c r="F1229" s="29"/>
      <c r="G1229" s="27"/>
      <c r="H1229" s="30"/>
      <c r="I1229" s="27"/>
      <c r="J1229" s="19"/>
      <c r="K1229" s="19"/>
      <c r="L1229" s="19"/>
      <c r="M1229" s="31">
        <f>(F1229*8480)/3456</f>
        <v>0</v>
      </c>
      <c r="N1229" s="19"/>
      <c r="O1229" s="19"/>
      <c r="P1229" s="19"/>
      <c r="Q1229" s="30" t="s">
        <v>18</v>
      </c>
      <c r="R1229" s="19"/>
      <c r="S1229" s="19" t="s">
        <v>19</v>
      </c>
      <c r="T1229" s="32"/>
      <c r="U1229" s="19">
        <f>E1229/272*60</f>
        <v>0</v>
      </c>
      <c r="V1229" s="19"/>
      <c r="W1229" s="32"/>
      <c r="X1229" s="19"/>
    </row>
    <row r="1230" spans="1:24" s="20" customFormat="1" ht="19.5" thickBot="1" x14ac:dyDescent="0.35">
      <c r="A1230" s="19"/>
      <c r="B1230" s="71" t="s">
        <v>145</v>
      </c>
      <c r="C1230" s="922"/>
      <c r="D1230" s="922"/>
      <c r="E1230" s="19">
        <f>C1230*12</f>
        <v>0</v>
      </c>
      <c r="F1230" s="36"/>
      <c r="G1230" s="27"/>
      <c r="H1230" s="30"/>
      <c r="I1230" s="27"/>
      <c r="J1230" s="19"/>
      <c r="K1230" s="19"/>
      <c r="L1230" s="19"/>
      <c r="M1230" s="31"/>
      <c r="N1230" s="19"/>
      <c r="O1230" s="19"/>
      <c r="P1230" s="19"/>
      <c r="Q1230" s="30"/>
      <c r="R1230" s="19"/>
      <c r="S1230" s="19"/>
      <c r="T1230" s="32"/>
      <c r="U1230" s="19">
        <f>D1230/375</f>
        <v>0</v>
      </c>
      <c r="V1230" s="19"/>
      <c r="W1230" s="32"/>
      <c r="X1230" s="19"/>
    </row>
    <row r="1231" spans="1:24" s="20" customFormat="1" ht="19.5" thickBot="1" x14ac:dyDescent="0.35">
      <c r="A1231" s="67"/>
      <c r="B1231" s="71" t="s">
        <v>146</v>
      </c>
      <c r="C1231" s="922"/>
      <c r="D1231" s="922"/>
      <c r="E1231" s="19">
        <f>C1231*12</f>
        <v>0</v>
      </c>
      <c r="F1231" s="67"/>
      <c r="G1231" s="73"/>
      <c r="H1231" s="67"/>
      <c r="I1231" s="73"/>
      <c r="J1231" s="67"/>
      <c r="K1231" s="67"/>
      <c r="L1231" s="67"/>
      <c r="M1231" s="67"/>
      <c r="N1231" s="67"/>
      <c r="O1231" s="67"/>
      <c r="P1231" s="67"/>
      <c r="Q1231" s="67"/>
      <c r="R1231" s="67"/>
      <c r="S1231" s="67"/>
      <c r="T1231" s="74"/>
      <c r="U1231" s="19">
        <f>D1231/375</f>
        <v>0</v>
      </c>
      <c r="V1231" s="67"/>
      <c r="W1231" s="74"/>
      <c r="X1231" s="67"/>
    </row>
    <row r="1232" spans="1:24" ht="19.5" thickBot="1" x14ac:dyDescent="0.35">
      <c r="A1232" s="925" t="s">
        <v>193</v>
      </c>
      <c r="B1232" s="925"/>
      <c r="C1232" s="925"/>
      <c r="D1232" s="925"/>
      <c r="E1232" s="925"/>
      <c r="F1232" s="925"/>
      <c r="G1232" s="925"/>
      <c r="H1232" s="925"/>
      <c r="I1232" s="925"/>
      <c r="J1232" s="925"/>
      <c r="K1232" s="925"/>
      <c r="L1232" s="925"/>
      <c r="M1232" s="925"/>
      <c r="N1232" s="925"/>
      <c r="O1232" s="925"/>
      <c r="P1232" s="925"/>
      <c r="Q1232" s="925"/>
      <c r="R1232" s="925"/>
      <c r="S1232" s="925"/>
      <c r="T1232" s="925"/>
      <c r="U1232" s="925"/>
      <c r="V1232" s="925"/>
      <c r="W1232" s="925"/>
      <c r="X1232" s="925"/>
    </row>
    <row r="1233" spans="1:24" s="20" customFormat="1" ht="38.25" thickBot="1" x14ac:dyDescent="0.35">
      <c r="A1233" s="26"/>
      <c r="B1233" s="26" t="s">
        <v>194</v>
      </c>
      <c r="C1233" s="922">
        <f>C1220</f>
        <v>0</v>
      </c>
      <c r="D1233" s="922"/>
      <c r="E1233" s="19">
        <f>C1233*12</f>
        <v>0</v>
      </c>
      <c r="F1233" s="29"/>
      <c r="G1233" s="27"/>
      <c r="H1233" s="30"/>
      <c r="I1233" s="27"/>
      <c r="J1233" s="19"/>
      <c r="K1233" s="19"/>
      <c r="L1233" s="19"/>
      <c r="M1233" s="31">
        <f>F1233*2352/12544</f>
        <v>0</v>
      </c>
      <c r="N1233" s="19"/>
      <c r="O1233" s="19"/>
      <c r="P1233" s="19"/>
      <c r="Q1233" s="30" t="s">
        <v>18</v>
      </c>
      <c r="R1233" s="19"/>
      <c r="S1233" s="19" t="s">
        <v>19</v>
      </c>
      <c r="T1233" s="32"/>
      <c r="U1233" s="19">
        <f>E1233/207*60</f>
        <v>0</v>
      </c>
      <c r="V1233" s="19"/>
      <c r="W1233" s="32"/>
      <c r="X1233" s="19"/>
    </row>
    <row r="1234" spans="1:24" s="20" customFormat="1" ht="38.25" thickBot="1" x14ac:dyDescent="0.35">
      <c r="A1234" s="26"/>
      <c r="B1234" s="26" t="s">
        <v>195</v>
      </c>
      <c r="C1234" s="922">
        <f>C1233</f>
        <v>0</v>
      </c>
      <c r="D1234" s="922"/>
      <c r="E1234" s="19">
        <f>C1234*12</f>
        <v>0</v>
      </c>
      <c r="F1234" s="29"/>
      <c r="G1234" s="27"/>
      <c r="H1234" s="30"/>
      <c r="I1234" s="27"/>
      <c r="J1234" s="19"/>
      <c r="K1234" s="19"/>
      <c r="L1234" s="19"/>
      <c r="M1234" s="31">
        <f>F1234*2352/12544</f>
        <v>0</v>
      </c>
      <c r="N1234" s="19"/>
      <c r="O1234" s="19"/>
      <c r="P1234" s="19"/>
      <c r="Q1234" s="30" t="s">
        <v>18</v>
      </c>
      <c r="R1234" s="19"/>
      <c r="S1234" s="19" t="s">
        <v>19</v>
      </c>
      <c r="T1234" s="32"/>
      <c r="U1234" s="19">
        <f>E1234/207*60</f>
        <v>0</v>
      </c>
      <c r="V1234" s="19"/>
      <c r="W1234" s="32"/>
      <c r="X1234" s="19"/>
    </row>
    <row r="1235" spans="1:24" s="20" customFormat="1" ht="19.5" thickBot="1" x14ac:dyDescent="0.35">
      <c r="A1235" s="26"/>
      <c r="B1235" s="26" t="s">
        <v>196</v>
      </c>
      <c r="C1235" s="922">
        <f>C1221</f>
        <v>0</v>
      </c>
      <c r="D1235" s="922"/>
      <c r="E1235" s="19">
        <f>C1235*12</f>
        <v>0</v>
      </c>
      <c r="F1235" s="29"/>
      <c r="G1235" s="27"/>
      <c r="H1235" s="30"/>
      <c r="I1235" s="27"/>
      <c r="J1235" s="19"/>
      <c r="K1235" s="19"/>
      <c r="L1235" s="19"/>
      <c r="M1235" s="31">
        <f>F1235*2352/12544</f>
        <v>0</v>
      </c>
      <c r="N1235" s="19"/>
      <c r="O1235" s="19"/>
      <c r="P1235" s="19"/>
      <c r="Q1235" s="30" t="s">
        <v>18</v>
      </c>
      <c r="R1235" s="19"/>
      <c r="S1235" s="19" t="s">
        <v>19</v>
      </c>
      <c r="T1235" s="32"/>
      <c r="U1235" s="19">
        <f t="shared" ref="U1235:U1242" si="286">E1235/207*60</f>
        <v>0</v>
      </c>
      <c r="V1235" s="19"/>
      <c r="W1235" s="32"/>
      <c r="X1235" s="19"/>
    </row>
    <row r="1236" spans="1:24" s="20" customFormat="1" ht="19.5" thickBot="1" x14ac:dyDescent="0.35">
      <c r="A1236" s="26"/>
      <c r="B1236" s="26" t="s">
        <v>197</v>
      </c>
      <c r="C1236" s="922">
        <f>C1221</f>
        <v>0</v>
      </c>
      <c r="D1236" s="922"/>
      <c r="E1236" s="19">
        <f>C1236*12</f>
        <v>0</v>
      </c>
      <c r="F1236" s="29"/>
      <c r="G1236" s="27"/>
      <c r="H1236" s="30"/>
      <c r="I1236" s="27"/>
      <c r="J1236" s="19"/>
      <c r="K1236" s="19"/>
      <c r="L1236" s="19"/>
      <c r="M1236" s="31">
        <f>F1236*2352/12544</f>
        <v>0</v>
      </c>
      <c r="N1236" s="19"/>
      <c r="O1236" s="19"/>
      <c r="P1236" s="19"/>
      <c r="Q1236" s="30" t="s">
        <v>18</v>
      </c>
      <c r="R1236" s="19"/>
      <c r="S1236" s="19" t="s">
        <v>19</v>
      </c>
      <c r="T1236" s="32"/>
      <c r="U1236" s="19">
        <f t="shared" si="286"/>
        <v>0</v>
      </c>
      <c r="V1236" s="19"/>
      <c r="W1236" s="32"/>
      <c r="X1236" s="19"/>
    </row>
    <row r="1237" spans="1:24" s="20" customFormat="1" ht="19.5" thickBot="1" x14ac:dyDescent="0.35">
      <c r="A1237" s="26"/>
      <c r="B1237" s="26" t="s">
        <v>198</v>
      </c>
      <c r="C1237" s="922">
        <f>C1222</f>
        <v>0</v>
      </c>
      <c r="D1237" s="922"/>
      <c r="E1237" s="19">
        <f>C1237*10</f>
        <v>0</v>
      </c>
      <c r="F1237" s="29"/>
      <c r="G1237" s="27"/>
      <c r="H1237" s="30"/>
      <c r="I1237" s="27"/>
      <c r="J1237" s="19"/>
      <c r="K1237" s="19"/>
      <c r="L1237" s="19"/>
      <c r="M1237" s="31">
        <f t="shared" ref="M1237:M1242" si="287">(F1237*11610)/3456</f>
        <v>0</v>
      </c>
      <c r="N1237" s="19"/>
      <c r="O1237" s="19"/>
      <c r="P1237" s="19"/>
      <c r="Q1237" s="30" t="s">
        <v>18</v>
      </c>
      <c r="R1237" s="19"/>
      <c r="S1237" s="19" t="s">
        <v>19</v>
      </c>
      <c r="T1237" s="32"/>
      <c r="U1237" s="19">
        <f t="shared" si="286"/>
        <v>0</v>
      </c>
      <c r="V1237" s="19"/>
      <c r="W1237" s="32"/>
      <c r="X1237" s="19"/>
    </row>
    <row r="1238" spans="1:24" s="20" customFormat="1" ht="19.5" thickBot="1" x14ac:dyDescent="0.35">
      <c r="A1238" s="26"/>
      <c r="B1238" s="26" t="s">
        <v>199</v>
      </c>
      <c r="C1238" s="922">
        <f>C1222</f>
        <v>0</v>
      </c>
      <c r="D1238" s="922"/>
      <c r="E1238" s="19">
        <f>C1238*10</f>
        <v>0</v>
      </c>
      <c r="F1238" s="29"/>
      <c r="G1238" s="27"/>
      <c r="H1238" s="30"/>
      <c r="I1238" s="27"/>
      <c r="J1238" s="19"/>
      <c r="K1238" s="19"/>
      <c r="L1238" s="19"/>
      <c r="M1238" s="31">
        <f t="shared" si="287"/>
        <v>0</v>
      </c>
      <c r="N1238" s="19"/>
      <c r="O1238" s="19"/>
      <c r="P1238" s="19"/>
      <c r="Q1238" s="30" t="s">
        <v>18</v>
      </c>
      <c r="R1238" s="19"/>
      <c r="S1238" s="19" t="s">
        <v>19</v>
      </c>
      <c r="T1238" s="32"/>
      <c r="U1238" s="19">
        <f t="shared" si="286"/>
        <v>0</v>
      </c>
      <c r="V1238" s="19"/>
      <c r="W1238" s="32"/>
      <c r="X1238" s="19"/>
    </row>
    <row r="1239" spans="1:24" s="20" customFormat="1" ht="19.5" thickBot="1" x14ac:dyDescent="0.35">
      <c r="A1239" s="26"/>
      <c r="B1239" s="26" t="s">
        <v>200</v>
      </c>
      <c r="C1239" s="922">
        <f>C1223</f>
        <v>0</v>
      </c>
      <c r="D1239" s="922"/>
      <c r="E1239" s="19">
        <f t="shared" ref="E1239:E1251" si="288">C1239*10</f>
        <v>0</v>
      </c>
      <c r="F1239" s="29"/>
      <c r="G1239" s="27"/>
      <c r="H1239" s="30"/>
      <c r="I1239" s="27"/>
      <c r="J1239" s="19"/>
      <c r="K1239" s="19"/>
      <c r="L1239" s="19"/>
      <c r="M1239" s="31">
        <f t="shared" si="287"/>
        <v>0</v>
      </c>
      <c r="N1239" s="19"/>
      <c r="O1239" s="19"/>
      <c r="P1239" s="19"/>
      <c r="Q1239" s="30" t="s">
        <v>18</v>
      </c>
      <c r="R1239" s="19"/>
      <c r="S1239" s="19" t="s">
        <v>19</v>
      </c>
      <c r="T1239" s="32"/>
      <c r="U1239" s="19">
        <f t="shared" si="286"/>
        <v>0</v>
      </c>
      <c r="V1239" s="19"/>
      <c r="W1239" s="32"/>
      <c r="X1239" s="19"/>
    </row>
    <row r="1240" spans="1:24" s="20" customFormat="1" ht="19.5" thickBot="1" x14ac:dyDescent="0.35">
      <c r="A1240" s="26"/>
      <c r="B1240" s="26" t="s">
        <v>201</v>
      </c>
      <c r="C1240" s="922">
        <f>C1223</f>
        <v>0</v>
      </c>
      <c r="D1240" s="922"/>
      <c r="E1240" s="19">
        <f>C1240*10</f>
        <v>0</v>
      </c>
      <c r="F1240" s="29"/>
      <c r="G1240" s="27"/>
      <c r="H1240" s="30"/>
      <c r="I1240" s="27"/>
      <c r="J1240" s="19"/>
      <c r="K1240" s="19"/>
      <c r="L1240" s="19"/>
      <c r="M1240" s="31">
        <f t="shared" si="287"/>
        <v>0</v>
      </c>
      <c r="N1240" s="19"/>
      <c r="O1240" s="19"/>
      <c r="P1240" s="19"/>
      <c r="Q1240" s="30" t="s">
        <v>18</v>
      </c>
      <c r="R1240" s="19"/>
      <c r="S1240" s="19" t="s">
        <v>19</v>
      </c>
      <c r="T1240" s="32"/>
      <c r="U1240" s="19">
        <f t="shared" si="286"/>
        <v>0</v>
      </c>
      <c r="V1240" s="19"/>
      <c r="W1240" s="32"/>
      <c r="X1240" s="19"/>
    </row>
    <row r="1241" spans="1:24" s="20" customFormat="1" ht="19.5" thickBot="1" x14ac:dyDescent="0.35">
      <c r="A1241" s="26"/>
      <c r="B1241" s="26" t="s">
        <v>202</v>
      </c>
      <c r="C1241" s="922">
        <f>C1224</f>
        <v>0</v>
      </c>
      <c r="D1241" s="922"/>
      <c r="E1241" s="19">
        <f t="shared" si="288"/>
        <v>0</v>
      </c>
      <c r="F1241" s="29"/>
      <c r="G1241" s="27"/>
      <c r="H1241" s="30"/>
      <c r="I1241" s="27"/>
      <c r="J1241" s="19"/>
      <c r="K1241" s="19"/>
      <c r="L1241" s="19"/>
      <c r="M1241" s="31">
        <f t="shared" si="287"/>
        <v>0</v>
      </c>
      <c r="N1241" s="19"/>
      <c r="O1241" s="19"/>
      <c r="P1241" s="19"/>
      <c r="Q1241" s="30" t="s">
        <v>18</v>
      </c>
      <c r="R1241" s="19"/>
      <c r="S1241" s="19" t="s">
        <v>19</v>
      </c>
      <c r="T1241" s="32"/>
      <c r="U1241" s="19">
        <f t="shared" si="286"/>
        <v>0</v>
      </c>
      <c r="V1241" s="19"/>
      <c r="W1241" s="32"/>
      <c r="X1241" s="19"/>
    </row>
    <row r="1242" spans="1:24" s="20" customFormat="1" ht="19.5" thickBot="1" x14ac:dyDescent="0.35">
      <c r="A1242" s="26"/>
      <c r="B1242" s="26" t="s">
        <v>203</v>
      </c>
      <c r="C1242" s="922">
        <f>C1224</f>
        <v>0</v>
      </c>
      <c r="D1242" s="922"/>
      <c r="E1242" s="19">
        <f>C1242*10</f>
        <v>0</v>
      </c>
      <c r="F1242" s="29"/>
      <c r="G1242" s="27"/>
      <c r="H1242" s="30"/>
      <c r="I1242" s="27"/>
      <c r="J1242" s="19"/>
      <c r="K1242" s="19"/>
      <c r="L1242" s="19"/>
      <c r="M1242" s="31">
        <f t="shared" si="287"/>
        <v>0</v>
      </c>
      <c r="N1242" s="19"/>
      <c r="O1242" s="19"/>
      <c r="P1242" s="19"/>
      <c r="Q1242" s="30" t="s">
        <v>18</v>
      </c>
      <c r="R1242" s="19"/>
      <c r="S1242" s="19" t="s">
        <v>19</v>
      </c>
      <c r="T1242" s="32"/>
      <c r="U1242" s="19">
        <f t="shared" si="286"/>
        <v>0</v>
      </c>
      <c r="V1242" s="19"/>
      <c r="W1242" s="32"/>
      <c r="X1242" s="19"/>
    </row>
    <row r="1243" spans="1:24" s="20" customFormat="1" ht="19.5" thickBot="1" x14ac:dyDescent="0.35">
      <c r="A1243" s="26"/>
      <c r="B1243" s="26" t="s">
        <v>204</v>
      </c>
      <c r="C1243" s="922">
        <f>C1225</f>
        <v>0</v>
      </c>
      <c r="D1243" s="922"/>
      <c r="E1243" s="19">
        <f t="shared" si="288"/>
        <v>0</v>
      </c>
      <c r="F1243" s="29"/>
      <c r="G1243" s="27"/>
      <c r="H1243" s="30"/>
      <c r="I1243" s="27"/>
      <c r="J1243" s="19"/>
      <c r="K1243" s="19"/>
      <c r="L1243" s="19"/>
      <c r="M1243" s="31">
        <f t="shared" ref="M1243:M1251" si="289">(F1243*8480)/3456</f>
        <v>0</v>
      </c>
      <c r="N1243" s="19"/>
      <c r="O1243" s="19"/>
      <c r="P1243" s="19"/>
      <c r="Q1243" s="30" t="s">
        <v>18</v>
      </c>
      <c r="R1243" s="19"/>
      <c r="S1243" s="19" t="s">
        <v>19</v>
      </c>
      <c r="T1243" s="32"/>
      <c r="U1243" s="19">
        <f t="shared" ref="U1243:U1251" si="290">E1243/272*60</f>
        <v>0</v>
      </c>
      <c r="V1243" s="19"/>
      <c r="W1243" s="32"/>
      <c r="X1243" s="19"/>
    </row>
    <row r="1244" spans="1:24" s="20" customFormat="1" ht="19.5" thickBot="1" x14ac:dyDescent="0.35">
      <c r="A1244" s="26"/>
      <c r="B1244" s="26" t="s">
        <v>205</v>
      </c>
      <c r="C1244" s="922">
        <f>C1225</f>
        <v>0</v>
      </c>
      <c r="D1244" s="922"/>
      <c r="E1244" s="19">
        <f>C1244*10</f>
        <v>0</v>
      </c>
      <c r="F1244" s="29"/>
      <c r="G1244" s="27"/>
      <c r="H1244" s="30"/>
      <c r="I1244" s="27"/>
      <c r="J1244" s="19"/>
      <c r="K1244" s="19"/>
      <c r="L1244" s="19"/>
      <c r="M1244" s="31">
        <f>(F1244*8480)/3456</f>
        <v>0</v>
      </c>
      <c r="N1244" s="19"/>
      <c r="O1244" s="19"/>
      <c r="P1244" s="19"/>
      <c r="Q1244" s="30" t="s">
        <v>18</v>
      </c>
      <c r="R1244" s="19"/>
      <c r="S1244" s="19" t="s">
        <v>19</v>
      </c>
      <c r="T1244" s="32"/>
      <c r="U1244" s="19">
        <f>E1244/272*60</f>
        <v>0</v>
      </c>
      <c r="V1244" s="19"/>
      <c r="W1244" s="32"/>
      <c r="X1244" s="19"/>
    </row>
    <row r="1245" spans="1:24" s="20" customFormat="1" ht="19.5" thickBot="1" x14ac:dyDescent="0.35">
      <c r="A1245" s="26"/>
      <c r="B1245" s="26" t="s">
        <v>206</v>
      </c>
      <c r="C1245" s="922">
        <f>C1226</f>
        <v>0</v>
      </c>
      <c r="D1245" s="922"/>
      <c r="E1245" s="19">
        <f t="shared" si="288"/>
        <v>0</v>
      </c>
      <c r="F1245" s="29"/>
      <c r="G1245" s="27"/>
      <c r="H1245" s="30"/>
      <c r="I1245" s="27"/>
      <c r="J1245" s="19"/>
      <c r="K1245" s="19"/>
      <c r="L1245" s="19"/>
      <c r="M1245" s="31">
        <f t="shared" si="289"/>
        <v>0</v>
      </c>
      <c r="N1245" s="19"/>
      <c r="O1245" s="19"/>
      <c r="P1245" s="19"/>
      <c r="Q1245" s="30" t="s">
        <v>18</v>
      </c>
      <c r="R1245" s="19"/>
      <c r="S1245" s="19" t="s">
        <v>19</v>
      </c>
      <c r="T1245" s="32"/>
      <c r="U1245" s="19">
        <f t="shared" si="290"/>
        <v>0</v>
      </c>
      <c r="V1245" s="19"/>
      <c r="W1245" s="32"/>
      <c r="X1245" s="19"/>
    </row>
    <row r="1246" spans="1:24" s="20" customFormat="1" ht="19.5" thickBot="1" x14ac:dyDescent="0.35">
      <c r="A1246" s="26"/>
      <c r="B1246" s="26" t="s">
        <v>207</v>
      </c>
      <c r="C1246" s="922">
        <f>C1226</f>
        <v>0</v>
      </c>
      <c r="D1246" s="922"/>
      <c r="E1246" s="19">
        <f>C1246*10</f>
        <v>0</v>
      </c>
      <c r="F1246" s="29"/>
      <c r="G1246" s="27"/>
      <c r="H1246" s="30"/>
      <c r="I1246" s="27"/>
      <c r="J1246" s="19"/>
      <c r="K1246" s="19"/>
      <c r="L1246" s="19"/>
      <c r="M1246" s="31">
        <f>(F1246*8480)/3456</f>
        <v>0</v>
      </c>
      <c r="N1246" s="19"/>
      <c r="O1246" s="19"/>
      <c r="P1246" s="19"/>
      <c r="Q1246" s="30" t="s">
        <v>18</v>
      </c>
      <c r="R1246" s="19"/>
      <c r="S1246" s="19" t="s">
        <v>19</v>
      </c>
      <c r="T1246" s="32"/>
      <c r="U1246" s="19">
        <f>E1246/272*60</f>
        <v>0</v>
      </c>
      <c r="V1246" s="19"/>
      <c r="W1246" s="32"/>
      <c r="X1246" s="19"/>
    </row>
    <row r="1247" spans="1:24" s="20" customFormat="1" ht="19.5" thickBot="1" x14ac:dyDescent="0.35">
      <c r="A1247" s="26"/>
      <c r="B1247" s="26" t="s">
        <v>208</v>
      </c>
      <c r="C1247" s="922">
        <f>C1227</f>
        <v>0</v>
      </c>
      <c r="D1247" s="922"/>
      <c r="E1247" s="19">
        <f t="shared" si="288"/>
        <v>0</v>
      </c>
      <c r="F1247" s="29"/>
      <c r="G1247" s="27"/>
      <c r="H1247" s="30"/>
      <c r="I1247" s="27"/>
      <c r="J1247" s="19"/>
      <c r="K1247" s="19"/>
      <c r="L1247" s="19"/>
      <c r="M1247" s="31">
        <f t="shared" si="289"/>
        <v>0</v>
      </c>
      <c r="N1247" s="19"/>
      <c r="O1247" s="19"/>
      <c r="P1247" s="19"/>
      <c r="Q1247" s="30" t="s">
        <v>18</v>
      </c>
      <c r="R1247" s="19"/>
      <c r="S1247" s="19" t="s">
        <v>19</v>
      </c>
      <c r="T1247" s="32"/>
      <c r="U1247" s="19">
        <f t="shared" si="290"/>
        <v>0</v>
      </c>
      <c r="V1247" s="19"/>
      <c r="W1247" s="32"/>
      <c r="X1247" s="19"/>
    </row>
    <row r="1248" spans="1:24" s="20" customFormat="1" ht="19.5" thickBot="1" x14ac:dyDescent="0.35">
      <c r="A1248" s="26"/>
      <c r="B1248" s="26" t="s">
        <v>209</v>
      </c>
      <c r="C1248" s="922">
        <f>C1227</f>
        <v>0</v>
      </c>
      <c r="D1248" s="922"/>
      <c r="E1248" s="19">
        <f>C1248*10</f>
        <v>0</v>
      </c>
      <c r="F1248" s="29"/>
      <c r="G1248" s="27"/>
      <c r="H1248" s="30"/>
      <c r="I1248" s="27"/>
      <c r="J1248" s="19"/>
      <c r="K1248" s="19"/>
      <c r="L1248" s="19"/>
      <c r="M1248" s="31">
        <f>(F1248*8480)/3456</f>
        <v>0</v>
      </c>
      <c r="N1248" s="19"/>
      <c r="O1248" s="19"/>
      <c r="P1248" s="19"/>
      <c r="Q1248" s="30" t="s">
        <v>18</v>
      </c>
      <c r="R1248" s="19"/>
      <c r="S1248" s="19" t="s">
        <v>19</v>
      </c>
      <c r="T1248" s="32"/>
      <c r="U1248" s="19">
        <f>E1248/272*60</f>
        <v>0</v>
      </c>
      <c r="V1248" s="19"/>
      <c r="W1248" s="32"/>
      <c r="X1248" s="19"/>
    </row>
    <row r="1249" spans="1:256" s="20" customFormat="1" ht="19.5" thickBot="1" x14ac:dyDescent="0.35">
      <c r="A1249" s="26"/>
      <c r="B1249" s="26" t="s">
        <v>210</v>
      </c>
      <c r="C1249" s="922">
        <f>C1228</f>
        <v>0</v>
      </c>
      <c r="D1249" s="922"/>
      <c r="E1249" s="19">
        <f t="shared" si="288"/>
        <v>0</v>
      </c>
      <c r="F1249" s="29"/>
      <c r="G1249" s="27"/>
      <c r="H1249" s="30"/>
      <c r="I1249" s="27"/>
      <c r="J1249" s="19"/>
      <c r="K1249" s="19"/>
      <c r="L1249" s="19"/>
      <c r="M1249" s="31">
        <f t="shared" si="289"/>
        <v>0</v>
      </c>
      <c r="N1249" s="19"/>
      <c r="O1249" s="19"/>
      <c r="P1249" s="19"/>
      <c r="Q1249" s="30" t="s">
        <v>18</v>
      </c>
      <c r="R1249" s="19"/>
      <c r="S1249" s="19" t="s">
        <v>19</v>
      </c>
      <c r="T1249" s="32"/>
      <c r="U1249" s="19">
        <f t="shared" si="290"/>
        <v>0</v>
      </c>
      <c r="V1249" s="19"/>
      <c r="W1249" s="32"/>
      <c r="X1249" s="19"/>
    </row>
    <row r="1250" spans="1:256" s="20" customFormat="1" ht="19.5" thickBot="1" x14ac:dyDescent="0.35">
      <c r="A1250" s="26"/>
      <c r="B1250" s="26" t="s">
        <v>211</v>
      </c>
      <c r="C1250" s="922">
        <f>C1228</f>
        <v>0</v>
      </c>
      <c r="D1250" s="922"/>
      <c r="E1250" s="19">
        <f>C1250*10</f>
        <v>0</v>
      </c>
      <c r="F1250" s="29"/>
      <c r="G1250" s="27"/>
      <c r="H1250" s="30"/>
      <c r="I1250" s="27"/>
      <c r="J1250" s="19"/>
      <c r="K1250" s="19"/>
      <c r="L1250" s="19"/>
      <c r="M1250" s="31">
        <f>(F1250*8480)/3456</f>
        <v>0</v>
      </c>
      <c r="N1250" s="19"/>
      <c r="O1250" s="19"/>
      <c r="P1250" s="19"/>
      <c r="Q1250" s="30" t="s">
        <v>18</v>
      </c>
      <c r="R1250" s="19"/>
      <c r="S1250" s="19" t="s">
        <v>19</v>
      </c>
      <c r="T1250" s="32"/>
      <c r="U1250" s="19">
        <f>E1250/272*60</f>
        <v>0</v>
      </c>
      <c r="V1250" s="19"/>
      <c r="W1250" s="32"/>
      <c r="X1250" s="19"/>
    </row>
    <row r="1251" spans="1:256" s="20" customFormat="1" ht="19.5" thickBot="1" x14ac:dyDescent="0.35">
      <c r="A1251" s="26"/>
      <c r="B1251" s="26" t="s">
        <v>212</v>
      </c>
      <c r="C1251" s="922">
        <f>C1229</f>
        <v>0</v>
      </c>
      <c r="D1251" s="922"/>
      <c r="E1251" s="19">
        <f t="shared" si="288"/>
        <v>0</v>
      </c>
      <c r="F1251" s="29"/>
      <c r="G1251" s="27"/>
      <c r="H1251" s="30"/>
      <c r="I1251" s="27"/>
      <c r="J1251" s="19"/>
      <c r="K1251" s="19"/>
      <c r="L1251" s="19"/>
      <c r="M1251" s="31">
        <f t="shared" si="289"/>
        <v>0</v>
      </c>
      <c r="N1251" s="19"/>
      <c r="O1251" s="19"/>
      <c r="P1251" s="19"/>
      <c r="Q1251" s="30" t="s">
        <v>18</v>
      </c>
      <c r="R1251" s="19"/>
      <c r="S1251" s="19" t="s">
        <v>19</v>
      </c>
      <c r="T1251" s="32"/>
      <c r="U1251" s="19">
        <f t="shared" si="290"/>
        <v>0</v>
      </c>
      <c r="V1251" s="19"/>
      <c r="W1251" s="32"/>
      <c r="X1251" s="19"/>
    </row>
    <row r="1252" spans="1:256" s="20" customFormat="1" ht="19.5" thickBot="1" x14ac:dyDescent="0.35">
      <c r="A1252" s="26"/>
      <c r="B1252" s="26" t="s">
        <v>213</v>
      </c>
      <c r="C1252" s="922">
        <f>C1229</f>
        <v>0</v>
      </c>
      <c r="D1252" s="922"/>
      <c r="E1252" s="19">
        <f>C1252*10</f>
        <v>0</v>
      </c>
      <c r="F1252" s="29"/>
      <c r="G1252" s="27"/>
      <c r="H1252" s="30"/>
      <c r="I1252" s="27"/>
      <c r="J1252" s="19"/>
      <c r="K1252" s="19"/>
      <c r="L1252" s="19"/>
      <c r="M1252" s="31">
        <f>(F1252*8480)/3456</f>
        <v>0</v>
      </c>
      <c r="N1252" s="19"/>
      <c r="O1252" s="19"/>
      <c r="P1252" s="19"/>
      <c r="Q1252" s="30" t="s">
        <v>18</v>
      </c>
      <c r="R1252" s="19"/>
      <c r="S1252" s="19" t="s">
        <v>19</v>
      </c>
      <c r="T1252" s="32"/>
      <c r="U1252" s="19">
        <f>E1252/272*60</f>
        <v>0</v>
      </c>
      <c r="V1252" s="19"/>
      <c r="W1252" s="32"/>
      <c r="X1252" s="19"/>
    </row>
    <row r="1253" spans="1:256" s="20" customFormat="1" ht="19.5" thickBot="1" x14ac:dyDescent="0.35">
      <c r="A1253" s="19"/>
      <c r="B1253" s="71" t="s">
        <v>214</v>
      </c>
      <c r="C1253" s="922">
        <f>C1230</f>
        <v>0</v>
      </c>
      <c r="D1253" s="922"/>
      <c r="E1253" s="19">
        <f>C1253*12</f>
        <v>0</v>
      </c>
      <c r="F1253" s="36"/>
      <c r="G1253" s="27"/>
      <c r="H1253" s="30"/>
      <c r="I1253" s="27"/>
      <c r="J1253" s="19"/>
      <c r="K1253" s="19"/>
      <c r="L1253" s="19"/>
      <c r="M1253" s="31"/>
      <c r="N1253" s="19"/>
      <c r="O1253" s="19"/>
      <c r="P1253" s="19"/>
      <c r="Q1253" s="30"/>
      <c r="R1253" s="19"/>
      <c r="S1253" s="19"/>
      <c r="T1253" s="32"/>
      <c r="U1253" s="19">
        <f>D1253/375</f>
        <v>0</v>
      </c>
      <c r="V1253" s="19"/>
      <c r="W1253" s="32"/>
      <c r="X1253" s="19"/>
    </row>
    <row r="1254" spans="1:256" s="20" customFormat="1" ht="19.5" thickBot="1" x14ac:dyDescent="0.35">
      <c r="A1254" s="19"/>
      <c r="B1254" s="71" t="s">
        <v>215</v>
      </c>
      <c r="C1254" s="922">
        <f>C1230</f>
        <v>0</v>
      </c>
      <c r="D1254" s="922"/>
      <c r="E1254" s="19">
        <f>C1254*12</f>
        <v>0</v>
      </c>
      <c r="F1254" s="36"/>
      <c r="G1254" s="27"/>
      <c r="H1254" s="30"/>
      <c r="I1254" s="27"/>
      <c r="J1254" s="19"/>
      <c r="K1254" s="19"/>
      <c r="L1254" s="19"/>
      <c r="M1254" s="31"/>
      <c r="N1254" s="19"/>
      <c r="O1254" s="19"/>
      <c r="P1254" s="19"/>
      <c r="Q1254" s="30"/>
      <c r="R1254" s="19"/>
      <c r="S1254" s="19"/>
      <c r="T1254" s="32"/>
      <c r="U1254" s="19">
        <f>D1254/375</f>
        <v>0</v>
      </c>
      <c r="V1254" s="19"/>
      <c r="W1254" s="32"/>
      <c r="X1254" s="19"/>
    </row>
    <row r="1255" spans="1:256" s="20" customFormat="1" ht="19.5" thickBot="1" x14ac:dyDescent="0.35">
      <c r="A1255" s="67"/>
      <c r="B1255" s="71" t="s">
        <v>216</v>
      </c>
      <c r="C1255" s="922">
        <f>C1231</f>
        <v>0</v>
      </c>
      <c r="D1255" s="922"/>
      <c r="E1255" s="19">
        <f>C1255*12</f>
        <v>0</v>
      </c>
      <c r="F1255" s="67"/>
      <c r="G1255" s="73"/>
      <c r="H1255" s="67"/>
      <c r="I1255" s="73"/>
      <c r="J1255" s="67"/>
      <c r="K1255" s="67"/>
      <c r="L1255" s="67"/>
      <c r="M1255" s="67"/>
      <c r="N1255" s="67"/>
      <c r="O1255" s="67"/>
      <c r="P1255" s="67"/>
      <c r="Q1255" s="67"/>
      <c r="R1255" s="67"/>
      <c r="S1255" s="67"/>
      <c r="T1255" s="74"/>
      <c r="U1255" s="19">
        <f>D1255/375</f>
        <v>0</v>
      </c>
      <c r="V1255" s="67"/>
      <c r="W1255" s="74"/>
      <c r="X1255" s="67"/>
    </row>
    <row r="1256" spans="1:256" s="20" customFormat="1" ht="19.5" thickBot="1" x14ac:dyDescent="0.35">
      <c r="A1256" s="102"/>
      <c r="B1256" s="103" t="s">
        <v>217</v>
      </c>
      <c r="C1256" s="924">
        <f>C1231</f>
        <v>0</v>
      </c>
      <c r="D1256" s="924"/>
      <c r="E1256" s="104">
        <f>C1256*12</f>
        <v>0</v>
      </c>
      <c r="F1256" s="102"/>
      <c r="G1256" s="105"/>
      <c r="H1256" s="102"/>
      <c r="I1256" s="105"/>
      <c r="J1256" s="102"/>
      <c r="K1256" s="102"/>
      <c r="L1256" s="102"/>
      <c r="M1256" s="102"/>
      <c r="N1256" s="102"/>
      <c r="O1256" s="102"/>
      <c r="P1256" s="102"/>
      <c r="Q1256" s="102"/>
      <c r="R1256" s="102"/>
      <c r="S1256" s="102"/>
      <c r="T1256" s="106"/>
      <c r="U1256" s="104">
        <f>D1256/375</f>
        <v>0</v>
      </c>
      <c r="V1256" s="102"/>
      <c r="W1256" s="106"/>
      <c r="X1256" s="102"/>
    </row>
    <row r="1257" spans="1:256" ht="19.5" thickBot="1" x14ac:dyDescent="0.35">
      <c r="A1257" s="107"/>
      <c r="B1257" s="112" t="s">
        <v>220</v>
      </c>
      <c r="C1257" s="108"/>
      <c r="D1257" s="113"/>
      <c r="E1257" s="114">
        <v>600</v>
      </c>
      <c r="F1257" s="113"/>
      <c r="G1257" s="109"/>
      <c r="H1257" s="109"/>
      <c r="I1257" s="109"/>
      <c r="J1257" s="109"/>
      <c r="K1257" s="109"/>
      <c r="L1257" s="109"/>
      <c r="M1257" s="109"/>
      <c r="N1257" s="109"/>
      <c r="O1257" s="109"/>
      <c r="P1257" s="109"/>
      <c r="Q1257" s="109"/>
      <c r="R1257" s="109"/>
      <c r="S1257" s="109"/>
      <c r="T1257" s="110"/>
      <c r="U1257" s="109"/>
      <c r="V1257" s="115"/>
      <c r="W1257" s="110"/>
      <c r="X1257" s="111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8"/>
      <c r="CW1257" s="8"/>
      <c r="CX1257" s="8"/>
      <c r="CY1257" s="8"/>
      <c r="CZ1257" s="8"/>
      <c r="DA1257" s="8"/>
      <c r="DB1257" s="8"/>
      <c r="DC1257" s="8"/>
      <c r="DD1257" s="8"/>
      <c r="DE1257" s="8"/>
      <c r="DF1257" s="8"/>
      <c r="DG1257" s="8"/>
      <c r="DH1257" s="8"/>
      <c r="DI1257" s="8"/>
      <c r="DJ1257" s="8"/>
      <c r="DK1257" s="8"/>
      <c r="DL1257" s="8"/>
      <c r="DM1257" s="8"/>
      <c r="DN1257" s="8"/>
      <c r="DO1257" s="8"/>
      <c r="DP1257" s="8"/>
      <c r="DQ1257" s="8"/>
      <c r="DR1257" s="8"/>
      <c r="DS1257" s="8"/>
      <c r="DT1257" s="8"/>
      <c r="DU1257" s="8"/>
      <c r="DV1257" s="8"/>
      <c r="DW1257" s="8"/>
      <c r="DX1257" s="8"/>
      <c r="DY1257" s="8"/>
      <c r="DZ1257" s="8"/>
      <c r="EA1257" s="8"/>
      <c r="EB1257" s="8"/>
      <c r="EC1257" s="8"/>
      <c r="ED1257" s="8"/>
      <c r="EE1257" s="8"/>
      <c r="EF1257" s="8"/>
      <c r="EG1257" s="8"/>
      <c r="EH1257" s="8"/>
      <c r="EI1257" s="8"/>
      <c r="EJ1257" s="8"/>
      <c r="EK1257" s="8"/>
      <c r="EL1257" s="8"/>
      <c r="EM1257" s="8"/>
      <c r="EN1257" s="8"/>
      <c r="EO1257" s="8"/>
      <c r="EP1257" s="8"/>
      <c r="EQ1257" s="8"/>
      <c r="ER1257" s="8"/>
      <c r="ES1257" s="8"/>
      <c r="ET1257" s="8"/>
      <c r="EU1257" s="8"/>
      <c r="EV1257" s="8"/>
      <c r="EW1257" s="8"/>
      <c r="EX1257" s="8"/>
      <c r="EY1257" s="8"/>
      <c r="EZ1257" s="8"/>
      <c r="FA1257" s="8"/>
      <c r="FB1257" s="8"/>
      <c r="FC1257" s="8"/>
      <c r="FD1257" s="8"/>
      <c r="FE1257" s="8"/>
      <c r="FF1257" s="8"/>
      <c r="FG1257" s="8"/>
      <c r="FH1257" s="8"/>
      <c r="FI1257" s="8"/>
      <c r="FJ1257" s="8"/>
      <c r="FK1257" s="8"/>
      <c r="FL1257" s="8"/>
      <c r="FM1257" s="8"/>
      <c r="FN1257" s="8"/>
      <c r="FO1257" s="8"/>
      <c r="FP1257" s="8"/>
      <c r="FQ1257" s="8"/>
      <c r="FR1257" s="8"/>
      <c r="FS1257" s="8"/>
      <c r="FT1257" s="8"/>
      <c r="FU1257" s="8"/>
      <c r="FV1257" s="8"/>
      <c r="FW1257" s="8"/>
      <c r="FX1257" s="8"/>
      <c r="FY1257" s="8"/>
      <c r="FZ1257" s="8"/>
      <c r="GA1257" s="8"/>
      <c r="GB1257" s="8"/>
      <c r="GC1257" s="8"/>
      <c r="GD1257" s="8"/>
      <c r="GE1257" s="8"/>
      <c r="GF1257" s="8"/>
      <c r="GG1257" s="8"/>
      <c r="GH1257" s="8"/>
      <c r="GI1257" s="8"/>
      <c r="GJ1257" s="8"/>
      <c r="GK1257" s="8"/>
      <c r="GL1257" s="8"/>
      <c r="GM1257" s="8"/>
      <c r="GN1257" s="8"/>
      <c r="GO1257" s="8"/>
      <c r="GP1257" s="8"/>
      <c r="GQ1257" s="8"/>
      <c r="GR1257" s="8"/>
      <c r="GS1257" s="8"/>
      <c r="GT1257" s="8"/>
      <c r="GU1257" s="8"/>
      <c r="GV1257" s="8"/>
      <c r="GW1257" s="8"/>
      <c r="GX1257" s="8"/>
      <c r="GY1257" s="8"/>
      <c r="GZ1257" s="8"/>
      <c r="HA1257" s="8"/>
      <c r="HB1257" s="8"/>
      <c r="HC1257" s="8"/>
      <c r="HD1257" s="8"/>
      <c r="HE1257" s="8"/>
      <c r="HF1257" s="8"/>
      <c r="HG1257" s="8"/>
      <c r="HH1257" s="8"/>
      <c r="HI1257" s="8"/>
      <c r="HJ1257" s="8"/>
      <c r="HK1257" s="8"/>
      <c r="HL1257" s="8"/>
      <c r="HM1257" s="8"/>
      <c r="HN1257" s="8"/>
      <c r="HO1257" s="8"/>
      <c r="HP1257" s="8"/>
      <c r="HQ1257" s="8"/>
      <c r="HR1257" s="8"/>
      <c r="HS1257" s="8"/>
      <c r="HT1257" s="8"/>
      <c r="HU1257" s="8"/>
      <c r="HV1257" s="8"/>
      <c r="HW1257" s="8"/>
      <c r="HX1257" s="8"/>
      <c r="HY1257" s="8"/>
      <c r="HZ1257" s="8"/>
      <c r="IA1257" s="8"/>
      <c r="IB1257" s="8"/>
      <c r="IC1257" s="8"/>
      <c r="ID1257" s="8"/>
      <c r="IE1257" s="8"/>
      <c r="IF1257" s="8"/>
      <c r="IG1257" s="8"/>
      <c r="IH1257" s="8"/>
      <c r="II1257" s="8"/>
      <c r="IJ1257" s="8"/>
      <c r="IK1257" s="8"/>
      <c r="IL1257" s="8"/>
      <c r="IM1257" s="8"/>
      <c r="IN1257" s="8"/>
      <c r="IO1257" s="8"/>
      <c r="IP1257" s="8"/>
      <c r="IQ1257" s="8"/>
      <c r="IR1257" s="8"/>
      <c r="IS1257" s="8"/>
      <c r="IT1257" s="8"/>
      <c r="IU1257" s="8"/>
      <c r="IV1257" s="8"/>
    </row>
    <row r="1258" spans="1:256" x14ac:dyDescent="0.2">
      <c r="A1258" s="85"/>
      <c r="B1258" s="86"/>
      <c r="C1258" s="87"/>
      <c r="D1258" s="85"/>
      <c r="E1258" s="88"/>
      <c r="F1258" s="85"/>
      <c r="G1258" s="85"/>
      <c r="H1258" s="85"/>
      <c r="I1258" s="85"/>
      <c r="J1258" s="85"/>
      <c r="K1258" s="85"/>
      <c r="L1258" s="85"/>
      <c r="M1258" s="85"/>
      <c r="N1258" s="85"/>
      <c r="O1258" s="85"/>
      <c r="P1258" s="85"/>
      <c r="Q1258" s="85"/>
      <c r="R1258" s="85"/>
      <c r="S1258" s="85"/>
      <c r="T1258" s="89"/>
      <c r="U1258" s="85"/>
      <c r="V1258" s="85"/>
      <c r="W1258" s="89"/>
      <c r="X1258" s="85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/>
      <c r="CT1258" s="8"/>
      <c r="CU1258" s="8"/>
      <c r="CV1258" s="8"/>
      <c r="CW1258" s="8"/>
      <c r="CX1258" s="8"/>
      <c r="CY1258" s="8"/>
      <c r="CZ1258" s="8"/>
      <c r="DA1258" s="8"/>
      <c r="DB1258" s="8"/>
      <c r="DC1258" s="8"/>
      <c r="DD1258" s="8"/>
      <c r="DE1258" s="8"/>
      <c r="DF1258" s="8"/>
      <c r="DG1258" s="8"/>
      <c r="DH1258" s="8"/>
      <c r="DI1258" s="8"/>
      <c r="DJ1258" s="8"/>
      <c r="DK1258" s="8"/>
      <c r="DL1258" s="8"/>
      <c r="DM1258" s="8"/>
      <c r="DN1258" s="8"/>
      <c r="DO1258" s="8"/>
      <c r="DP1258" s="8"/>
      <c r="DQ1258" s="8"/>
      <c r="DR1258" s="8"/>
      <c r="DS1258" s="8"/>
      <c r="DT1258" s="8"/>
      <c r="DU1258" s="8"/>
      <c r="DV1258" s="8"/>
      <c r="DW1258" s="8"/>
      <c r="DX1258" s="8"/>
      <c r="DY1258" s="8"/>
      <c r="DZ1258" s="8"/>
      <c r="EA1258" s="8"/>
      <c r="EB1258" s="8"/>
      <c r="EC1258" s="8"/>
      <c r="ED1258" s="8"/>
      <c r="EE1258" s="8"/>
      <c r="EF1258" s="8"/>
      <c r="EG1258" s="8"/>
      <c r="EH1258" s="8"/>
      <c r="EI1258" s="8"/>
      <c r="EJ1258" s="8"/>
      <c r="EK1258" s="8"/>
      <c r="EL1258" s="8"/>
      <c r="EM1258" s="8"/>
      <c r="EN1258" s="8"/>
      <c r="EO1258" s="8"/>
      <c r="EP1258" s="8"/>
      <c r="EQ1258" s="8"/>
      <c r="ER1258" s="8"/>
      <c r="ES1258" s="8"/>
      <c r="ET1258" s="8"/>
      <c r="EU1258" s="8"/>
      <c r="EV1258" s="8"/>
      <c r="EW1258" s="8"/>
      <c r="EX1258" s="8"/>
      <c r="EY1258" s="8"/>
      <c r="EZ1258" s="8"/>
      <c r="FA1258" s="8"/>
      <c r="FB1258" s="8"/>
      <c r="FC1258" s="8"/>
      <c r="FD1258" s="8"/>
      <c r="FE1258" s="8"/>
      <c r="FF1258" s="8"/>
      <c r="FG1258" s="8"/>
      <c r="FH1258" s="8"/>
      <c r="FI1258" s="8"/>
      <c r="FJ1258" s="8"/>
      <c r="FK1258" s="8"/>
      <c r="FL1258" s="8"/>
      <c r="FM1258" s="8"/>
      <c r="FN1258" s="8"/>
      <c r="FO1258" s="8"/>
      <c r="FP1258" s="8"/>
      <c r="FQ1258" s="8"/>
      <c r="FR1258" s="8"/>
      <c r="FS1258" s="8"/>
      <c r="FT1258" s="8"/>
      <c r="FU1258" s="8"/>
      <c r="FV1258" s="8"/>
      <c r="FW1258" s="8"/>
      <c r="FX1258" s="8"/>
      <c r="FY1258" s="8"/>
      <c r="FZ1258" s="8"/>
      <c r="GA1258" s="8"/>
      <c r="GB1258" s="8"/>
      <c r="GC1258" s="8"/>
      <c r="GD1258" s="8"/>
      <c r="GE1258" s="8"/>
      <c r="GF1258" s="8"/>
      <c r="GG1258" s="8"/>
      <c r="GH1258" s="8"/>
      <c r="GI1258" s="8"/>
      <c r="GJ1258" s="8"/>
      <c r="GK1258" s="8"/>
      <c r="GL1258" s="8"/>
      <c r="GM1258" s="8"/>
      <c r="GN1258" s="8"/>
      <c r="GO1258" s="8"/>
      <c r="GP1258" s="8"/>
      <c r="GQ1258" s="8"/>
      <c r="GR1258" s="8"/>
      <c r="GS1258" s="8"/>
      <c r="GT1258" s="8"/>
      <c r="GU1258" s="8"/>
      <c r="GV1258" s="8"/>
      <c r="GW1258" s="8"/>
      <c r="GX1258" s="8"/>
      <c r="GY1258" s="8"/>
      <c r="GZ1258" s="8"/>
      <c r="HA1258" s="8"/>
      <c r="HB1258" s="8"/>
      <c r="HC1258" s="8"/>
      <c r="HD1258" s="8"/>
      <c r="HE1258" s="8"/>
      <c r="HF1258" s="8"/>
      <c r="HG1258" s="8"/>
      <c r="HH1258" s="8"/>
      <c r="HI1258" s="8"/>
      <c r="HJ1258" s="8"/>
      <c r="HK1258" s="8"/>
      <c r="HL1258" s="8"/>
      <c r="HM1258" s="8"/>
      <c r="HN1258" s="8"/>
      <c r="HO1258" s="8"/>
      <c r="HP1258" s="8"/>
      <c r="HQ1258" s="8"/>
      <c r="HR1258" s="8"/>
      <c r="HS1258" s="8"/>
      <c r="HT1258" s="8"/>
      <c r="HU1258" s="8"/>
      <c r="HV1258" s="8"/>
      <c r="HW1258" s="8"/>
      <c r="HX1258" s="8"/>
      <c r="HY1258" s="8"/>
      <c r="HZ1258" s="8"/>
      <c r="IA1258" s="8"/>
      <c r="IB1258" s="8"/>
      <c r="IC1258" s="8"/>
      <c r="ID1258" s="8"/>
      <c r="IE1258" s="8"/>
      <c r="IF1258" s="8"/>
      <c r="IG1258" s="8"/>
      <c r="IH1258" s="8"/>
      <c r="II1258" s="8"/>
      <c r="IJ1258" s="8"/>
      <c r="IK1258" s="8"/>
      <c r="IL1258" s="8"/>
      <c r="IM1258" s="8"/>
      <c r="IN1258" s="8"/>
      <c r="IO1258" s="8"/>
      <c r="IP1258" s="8"/>
      <c r="IQ1258" s="8"/>
      <c r="IR1258" s="8"/>
      <c r="IS1258" s="8"/>
      <c r="IT1258" s="8"/>
      <c r="IU1258" s="8"/>
      <c r="IV1258" s="8"/>
    </row>
    <row r="1259" spans="1:256" x14ac:dyDescent="0.2">
      <c r="A1259" s="85"/>
      <c r="B1259" s="86"/>
      <c r="C1259" s="87"/>
      <c r="D1259" s="85"/>
      <c r="E1259" s="88"/>
      <c r="F1259" s="85"/>
      <c r="G1259" s="85"/>
      <c r="H1259" s="85"/>
      <c r="I1259" s="85"/>
      <c r="J1259" s="85"/>
      <c r="K1259" s="85"/>
      <c r="L1259" s="85"/>
      <c r="M1259" s="85"/>
      <c r="N1259" s="85"/>
      <c r="O1259" s="85"/>
      <c r="P1259" s="85"/>
      <c r="Q1259" s="85"/>
      <c r="R1259" s="85"/>
      <c r="S1259" s="85"/>
      <c r="T1259" s="89"/>
      <c r="U1259" s="85"/>
      <c r="V1259" s="85"/>
      <c r="W1259" s="89"/>
      <c r="X1259" s="85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8"/>
      <c r="CW1259" s="8"/>
      <c r="CX1259" s="8"/>
      <c r="CY1259" s="8"/>
      <c r="CZ1259" s="8"/>
      <c r="DA1259" s="8"/>
      <c r="DB1259" s="8"/>
      <c r="DC1259" s="8"/>
      <c r="DD1259" s="8"/>
      <c r="DE1259" s="8"/>
      <c r="DF1259" s="8"/>
      <c r="DG1259" s="8"/>
      <c r="DH1259" s="8"/>
      <c r="DI1259" s="8"/>
      <c r="DJ1259" s="8"/>
      <c r="DK1259" s="8"/>
      <c r="DL1259" s="8"/>
      <c r="DM1259" s="8"/>
      <c r="DN1259" s="8"/>
      <c r="DO1259" s="8"/>
      <c r="DP1259" s="8"/>
      <c r="DQ1259" s="8"/>
      <c r="DR1259" s="8"/>
      <c r="DS1259" s="8"/>
      <c r="DT1259" s="8"/>
      <c r="DU1259" s="8"/>
      <c r="DV1259" s="8"/>
      <c r="DW1259" s="8"/>
      <c r="DX1259" s="8"/>
      <c r="DY1259" s="8"/>
      <c r="DZ1259" s="8"/>
      <c r="EA1259" s="8"/>
      <c r="EB1259" s="8"/>
      <c r="EC1259" s="8"/>
      <c r="ED1259" s="8"/>
      <c r="EE1259" s="8"/>
      <c r="EF1259" s="8"/>
      <c r="EG1259" s="8"/>
      <c r="EH1259" s="8"/>
      <c r="EI1259" s="8"/>
      <c r="EJ1259" s="8"/>
      <c r="EK1259" s="8"/>
      <c r="EL1259" s="8"/>
      <c r="EM1259" s="8"/>
      <c r="EN1259" s="8"/>
      <c r="EO1259" s="8"/>
      <c r="EP1259" s="8"/>
      <c r="EQ1259" s="8"/>
      <c r="ER1259" s="8"/>
      <c r="ES1259" s="8"/>
      <c r="ET1259" s="8"/>
      <c r="EU1259" s="8"/>
      <c r="EV1259" s="8"/>
      <c r="EW1259" s="8"/>
      <c r="EX1259" s="8"/>
      <c r="EY1259" s="8"/>
      <c r="EZ1259" s="8"/>
      <c r="FA1259" s="8"/>
      <c r="FB1259" s="8"/>
      <c r="FC1259" s="8"/>
      <c r="FD1259" s="8"/>
      <c r="FE1259" s="8"/>
      <c r="FF1259" s="8"/>
      <c r="FG1259" s="8"/>
      <c r="FH1259" s="8"/>
      <c r="FI1259" s="8"/>
      <c r="FJ1259" s="8"/>
      <c r="FK1259" s="8"/>
      <c r="FL1259" s="8"/>
      <c r="FM1259" s="8"/>
      <c r="FN1259" s="8"/>
      <c r="FO1259" s="8"/>
      <c r="FP1259" s="8"/>
      <c r="FQ1259" s="8"/>
      <c r="FR1259" s="8"/>
      <c r="FS1259" s="8"/>
      <c r="FT1259" s="8"/>
      <c r="FU1259" s="8"/>
      <c r="FV1259" s="8"/>
      <c r="FW1259" s="8"/>
      <c r="FX1259" s="8"/>
      <c r="FY1259" s="8"/>
      <c r="FZ1259" s="8"/>
      <c r="GA1259" s="8"/>
      <c r="GB1259" s="8"/>
      <c r="GC1259" s="8"/>
      <c r="GD1259" s="8"/>
      <c r="GE1259" s="8"/>
      <c r="GF1259" s="8"/>
      <c r="GG1259" s="8"/>
      <c r="GH1259" s="8"/>
      <c r="GI1259" s="8"/>
      <c r="GJ1259" s="8"/>
      <c r="GK1259" s="8"/>
      <c r="GL1259" s="8"/>
      <c r="GM1259" s="8"/>
      <c r="GN1259" s="8"/>
      <c r="GO1259" s="8"/>
      <c r="GP1259" s="8"/>
      <c r="GQ1259" s="8"/>
      <c r="GR1259" s="8"/>
      <c r="GS1259" s="8"/>
      <c r="GT1259" s="8"/>
      <c r="GU1259" s="8"/>
      <c r="GV1259" s="8"/>
      <c r="GW1259" s="8"/>
      <c r="GX1259" s="8"/>
      <c r="GY1259" s="8"/>
      <c r="GZ1259" s="8"/>
      <c r="HA1259" s="8"/>
      <c r="HB1259" s="8"/>
      <c r="HC1259" s="8"/>
      <c r="HD1259" s="8"/>
      <c r="HE1259" s="8"/>
      <c r="HF1259" s="8"/>
      <c r="HG1259" s="8"/>
      <c r="HH1259" s="8"/>
      <c r="HI1259" s="8"/>
      <c r="HJ1259" s="8"/>
      <c r="HK1259" s="8"/>
      <c r="HL1259" s="8"/>
      <c r="HM1259" s="8"/>
      <c r="HN1259" s="8"/>
      <c r="HO1259" s="8"/>
      <c r="HP1259" s="8"/>
      <c r="HQ1259" s="8"/>
      <c r="HR1259" s="8"/>
      <c r="HS1259" s="8"/>
      <c r="HT1259" s="8"/>
      <c r="HU1259" s="8"/>
      <c r="HV1259" s="8"/>
      <c r="HW1259" s="8"/>
      <c r="HX1259" s="8"/>
      <c r="HY1259" s="8"/>
      <c r="HZ1259" s="8"/>
      <c r="IA1259" s="8"/>
      <c r="IB1259" s="8"/>
      <c r="IC1259" s="8"/>
      <c r="ID1259" s="8"/>
      <c r="IE1259" s="8"/>
      <c r="IF1259" s="8"/>
      <c r="IG1259" s="8"/>
      <c r="IH1259" s="8"/>
      <c r="II1259" s="8"/>
      <c r="IJ1259" s="8"/>
      <c r="IK1259" s="8"/>
      <c r="IL1259" s="8"/>
      <c r="IM1259" s="8"/>
      <c r="IN1259" s="8"/>
      <c r="IO1259" s="8"/>
      <c r="IP1259" s="8"/>
      <c r="IQ1259" s="8"/>
      <c r="IR1259" s="8"/>
      <c r="IS1259" s="8"/>
      <c r="IT1259" s="8"/>
      <c r="IU1259" s="8"/>
      <c r="IV1259" s="8"/>
    </row>
    <row r="1260" spans="1:256" x14ac:dyDescent="0.2">
      <c r="A1260" s="85"/>
      <c r="B1260" s="86"/>
      <c r="C1260" s="87"/>
      <c r="D1260" s="85"/>
      <c r="E1260" s="88"/>
      <c r="F1260" s="85"/>
      <c r="G1260" s="85"/>
      <c r="H1260" s="85"/>
      <c r="I1260" s="85"/>
      <c r="J1260" s="85"/>
      <c r="K1260" s="85"/>
      <c r="L1260" s="85"/>
      <c r="M1260" s="85"/>
      <c r="N1260" s="85"/>
      <c r="O1260" s="85"/>
      <c r="P1260" s="85"/>
      <c r="Q1260" s="85"/>
      <c r="R1260" s="85"/>
      <c r="S1260" s="85"/>
      <c r="T1260" s="89"/>
      <c r="U1260" s="85"/>
      <c r="V1260" s="85"/>
      <c r="W1260" s="89"/>
      <c r="X1260" s="85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/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8"/>
      <c r="CW1260" s="8"/>
      <c r="CX1260" s="8"/>
      <c r="CY1260" s="8"/>
      <c r="CZ1260" s="8"/>
      <c r="DA1260" s="8"/>
      <c r="DB1260" s="8"/>
      <c r="DC1260" s="8"/>
      <c r="DD1260" s="8"/>
      <c r="DE1260" s="8"/>
      <c r="DF1260" s="8"/>
      <c r="DG1260" s="8"/>
      <c r="DH1260" s="8"/>
      <c r="DI1260" s="8"/>
      <c r="DJ1260" s="8"/>
      <c r="DK1260" s="8"/>
      <c r="DL1260" s="8"/>
      <c r="DM1260" s="8"/>
      <c r="DN1260" s="8"/>
      <c r="DO1260" s="8"/>
      <c r="DP1260" s="8"/>
      <c r="DQ1260" s="8"/>
      <c r="DR1260" s="8"/>
      <c r="DS1260" s="8"/>
      <c r="DT1260" s="8"/>
      <c r="DU1260" s="8"/>
      <c r="DV1260" s="8"/>
      <c r="DW1260" s="8"/>
      <c r="DX1260" s="8"/>
      <c r="DY1260" s="8"/>
      <c r="DZ1260" s="8"/>
      <c r="EA1260" s="8"/>
      <c r="EB1260" s="8"/>
      <c r="EC1260" s="8"/>
      <c r="ED1260" s="8"/>
      <c r="EE1260" s="8"/>
      <c r="EF1260" s="8"/>
      <c r="EG1260" s="8"/>
      <c r="EH1260" s="8"/>
      <c r="EI1260" s="8"/>
      <c r="EJ1260" s="8"/>
      <c r="EK1260" s="8"/>
      <c r="EL1260" s="8"/>
      <c r="EM1260" s="8"/>
      <c r="EN1260" s="8"/>
      <c r="EO1260" s="8"/>
      <c r="EP1260" s="8"/>
      <c r="EQ1260" s="8"/>
      <c r="ER1260" s="8"/>
      <c r="ES1260" s="8"/>
      <c r="ET1260" s="8"/>
      <c r="EU1260" s="8"/>
      <c r="EV1260" s="8"/>
      <c r="EW1260" s="8"/>
      <c r="EX1260" s="8"/>
      <c r="EY1260" s="8"/>
      <c r="EZ1260" s="8"/>
      <c r="FA1260" s="8"/>
      <c r="FB1260" s="8"/>
      <c r="FC1260" s="8"/>
      <c r="FD1260" s="8"/>
      <c r="FE1260" s="8"/>
      <c r="FF1260" s="8"/>
      <c r="FG1260" s="8"/>
      <c r="FH1260" s="8"/>
      <c r="FI1260" s="8"/>
      <c r="FJ1260" s="8"/>
      <c r="FK1260" s="8"/>
      <c r="FL1260" s="8"/>
      <c r="FM1260" s="8"/>
      <c r="FN1260" s="8"/>
      <c r="FO1260" s="8"/>
      <c r="FP1260" s="8"/>
      <c r="FQ1260" s="8"/>
      <c r="FR1260" s="8"/>
      <c r="FS1260" s="8"/>
      <c r="FT1260" s="8"/>
      <c r="FU1260" s="8"/>
      <c r="FV1260" s="8"/>
      <c r="FW1260" s="8"/>
      <c r="FX1260" s="8"/>
      <c r="FY1260" s="8"/>
      <c r="FZ1260" s="8"/>
      <c r="GA1260" s="8"/>
      <c r="GB1260" s="8"/>
      <c r="GC1260" s="8"/>
      <c r="GD1260" s="8"/>
      <c r="GE1260" s="8"/>
      <c r="GF1260" s="8"/>
      <c r="GG1260" s="8"/>
      <c r="GH1260" s="8"/>
      <c r="GI1260" s="8"/>
      <c r="GJ1260" s="8"/>
      <c r="GK1260" s="8"/>
      <c r="GL1260" s="8"/>
      <c r="GM1260" s="8"/>
      <c r="GN1260" s="8"/>
      <c r="GO1260" s="8"/>
      <c r="GP1260" s="8"/>
      <c r="GQ1260" s="8"/>
      <c r="GR1260" s="8"/>
      <c r="GS1260" s="8"/>
      <c r="GT1260" s="8"/>
      <c r="GU1260" s="8"/>
      <c r="GV1260" s="8"/>
      <c r="GW1260" s="8"/>
      <c r="GX1260" s="8"/>
      <c r="GY1260" s="8"/>
      <c r="GZ1260" s="8"/>
      <c r="HA1260" s="8"/>
      <c r="HB1260" s="8"/>
      <c r="HC1260" s="8"/>
      <c r="HD1260" s="8"/>
      <c r="HE1260" s="8"/>
      <c r="HF1260" s="8"/>
      <c r="HG1260" s="8"/>
      <c r="HH1260" s="8"/>
      <c r="HI1260" s="8"/>
      <c r="HJ1260" s="8"/>
      <c r="HK1260" s="8"/>
      <c r="HL1260" s="8"/>
      <c r="HM1260" s="8"/>
      <c r="HN1260" s="8"/>
      <c r="HO1260" s="8"/>
      <c r="HP1260" s="8"/>
      <c r="HQ1260" s="8"/>
      <c r="HR1260" s="8"/>
      <c r="HS1260" s="8"/>
      <c r="HT1260" s="8"/>
      <c r="HU1260" s="8"/>
      <c r="HV1260" s="8"/>
      <c r="HW1260" s="8"/>
      <c r="HX1260" s="8"/>
      <c r="HY1260" s="8"/>
      <c r="HZ1260" s="8"/>
      <c r="IA1260" s="8"/>
      <c r="IB1260" s="8"/>
      <c r="IC1260" s="8"/>
      <c r="ID1260" s="8"/>
      <c r="IE1260" s="8"/>
      <c r="IF1260" s="8"/>
      <c r="IG1260" s="8"/>
      <c r="IH1260" s="8"/>
      <c r="II1260" s="8"/>
      <c r="IJ1260" s="8"/>
      <c r="IK1260" s="8"/>
      <c r="IL1260" s="8"/>
      <c r="IM1260" s="8"/>
      <c r="IN1260" s="8"/>
      <c r="IO1260" s="8"/>
      <c r="IP1260" s="8"/>
      <c r="IQ1260" s="8"/>
      <c r="IR1260" s="8"/>
      <c r="IS1260" s="8"/>
      <c r="IT1260" s="8"/>
      <c r="IU1260" s="8"/>
      <c r="IV1260" s="8"/>
    </row>
    <row r="1261" spans="1:256" x14ac:dyDescent="0.2">
      <c r="A1261" s="85"/>
      <c r="B1261" s="86"/>
      <c r="C1261" s="87"/>
      <c r="D1261" s="85"/>
      <c r="E1261" s="88"/>
      <c r="F1261" s="85"/>
      <c r="G1261" s="85"/>
      <c r="H1261" s="85"/>
      <c r="I1261" s="85"/>
      <c r="J1261" s="85"/>
      <c r="K1261" s="85"/>
      <c r="L1261" s="85"/>
      <c r="M1261" s="85"/>
      <c r="N1261" s="85"/>
      <c r="O1261" s="85"/>
      <c r="P1261" s="85"/>
      <c r="Q1261" s="85"/>
      <c r="R1261" s="85"/>
      <c r="S1261" s="85"/>
      <c r="T1261" s="89"/>
      <c r="U1261" s="85"/>
      <c r="V1261" s="85"/>
      <c r="W1261" s="89"/>
      <c r="X1261" s="85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8"/>
      <c r="BR1261" s="8"/>
      <c r="BS1261" s="8"/>
      <c r="BT1261" s="8"/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8"/>
      <c r="CW1261" s="8"/>
      <c r="CX1261" s="8"/>
      <c r="CY1261" s="8"/>
      <c r="CZ1261" s="8"/>
      <c r="DA1261" s="8"/>
      <c r="DB1261" s="8"/>
      <c r="DC1261" s="8"/>
      <c r="DD1261" s="8"/>
      <c r="DE1261" s="8"/>
      <c r="DF1261" s="8"/>
      <c r="DG1261" s="8"/>
      <c r="DH1261" s="8"/>
      <c r="DI1261" s="8"/>
      <c r="DJ1261" s="8"/>
      <c r="DK1261" s="8"/>
      <c r="DL1261" s="8"/>
      <c r="DM1261" s="8"/>
      <c r="DN1261" s="8"/>
      <c r="DO1261" s="8"/>
      <c r="DP1261" s="8"/>
      <c r="DQ1261" s="8"/>
      <c r="DR1261" s="8"/>
      <c r="DS1261" s="8"/>
      <c r="DT1261" s="8"/>
      <c r="DU1261" s="8"/>
      <c r="DV1261" s="8"/>
      <c r="DW1261" s="8"/>
      <c r="DX1261" s="8"/>
      <c r="DY1261" s="8"/>
      <c r="DZ1261" s="8"/>
      <c r="EA1261" s="8"/>
      <c r="EB1261" s="8"/>
      <c r="EC1261" s="8"/>
      <c r="ED1261" s="8"/>
      <c r="EE1261" s="8"/>
      <c r="EF1261" s="8"/>
      <c r="EG1261" s="8"/>
      <c r="EH1261" s="8"/>
      <c r="EI1261" s="8"/>
      <c r="EJ1261" s="8"/>
      <c r="EK1261" s="8"/>
      <c r="EL1261" s="8"/>
      <c r="EM1261" s="8"/>
      <c r="EN1261" s="8"/>
      <c r="EO1261" s="8"/>
      <c r="EP1261" s="8"/>
      <c r="EQ1261" s="8"/>
      <c r="ER1261" s="8"/>
      <c r="ES1261" s="8"/>
      <c r="ET1261" s="8"/>
      <c r="EU1261" s="8"/>
      <c r="EV1261" s="8"/>
      <c r="EW1261" s="8"/>
      <c r="EX1261" s="8"/>
      <c r="EY1261" s="8"/>
      <c r="EZ1261" s="8"/>
      <c r="FA1261" s="8"/>
      <c r="FB1261" s="8"/>
      <c r="FC1261" s="8"/>
      <c r="FD1261" s="8"/>
      <c r="FE1261" s="8"/>
      <c r="FF1261" s="8"/>
      <c r="FG1261" s="8"/>
      <c r="FH1261" s="8"/>
      <c r="FI1261" s="8"/>
      <c r="FJ1261" s="8"/>
      <c r="FK1261" s="8"/>
      <c r="FL1261" s="8"/>
      <c r="FM1261" s="8"/>
      <c r="FN1261" s="8"/>
      <c r="FO1261" s="8"/>
      <c r="FP1261" s="8"/>
      <c r="FQ1261" s="8"/>
      <c r="FR1261" s="8"/>
      <c r="FS1261" s="8"/>
      <c r="FT1261" s="8"/>
      <c r="FU1261" s="8"/>
      <c r="FV1261" s="8"/>
      <c r="FW1261" s="8"/>
      <c r="FX1261" s="8"/>
      <c r="FY1261" s="8"/>
      <c r="FZ1261" s="8"/>
      <c r="GA1261" s="8"/>
      <c r="GB1261" s="8"/>
      <c r="GC1261" s="8"/>
      <c r="GD1261" s="8"/>
      <c r="GE1261" s="8"/>
      <c r="GF1261" s="8"/>
      <c r="GG1261" s="8"/>
      <c r="GH1261" s="8"/>
      <c r="GI1261" s="8"/>
      <c r="GJ1261" s="8"/>
      <c r="GK1261" s="8"/>
      <c r="GL1261" s="8"/>
      <c r="GM1261" s="8"/>
      <c r="GN1261" s="8"/>
      <c r="GO1261" s="8"/>
      <c r="GP1261" s="8"/>
      <c r="GQ1261" s="8"/>
      <c r="GR1261" s="8"/>
      <c r="GS1261" s="8"/>
      <c r="GT1261" s="8"/>
      <c r="GU1261" s="8"/>
      <c r="GV1261" s="8"/>
      <c r="GW1261" s="8"/>
      <c r="GX1261" s="8"/>
      <c r="GY1261" s="8"/>
      <c r="GZ1261" s="8"/>
      <c r="HA1261" s="8"/>
      <c r="HB1261" s="8"/>
      <c r="HC1261" s="8"/>
      <c r="HD1261" s="8"/>
      <c r="HE1261" s="8"/>
      <c r="HF1261" s="8"/>
      <c r="HG1261" s="8"/>
      <c r="HH1261" s="8"/>
      <c r="HI1261" s="8"/>
      <c r="HJ1261" s="8"/>
      <c r="HK1261" s="8"/>
      <c r="HL1261" s="8"/>
      <c r="HM1261" s="8"/>
      <c r="HN1261" s="8"/>
      <c r="HO1261" s="8"/>
      <c r="HP1261" s="8"/>
      <c r="HQ1261" s="8"/>
      <c r="HR1261" s="8"/>
      <c r="HS1261" s="8"/>
      <c r="HT1261" s="8"/>
      <c r="HU1261" s="8"/>
      <c r="HV1261" s="8"/>
      <c r="HW1261" s="8"/>
      <c r="HX1261" s="8"/>
      <c r="HY1261" s="8"/>
      <c r="HZ1261" s="8"/>
      <c r="IA1261" s="8"/>
      <c r="IB1261" s="8"/>
      <c r="IC1261" s="8"/>
      <c r="ID1261" s="8"/>
      <c r="IE1261" s="8"/>
      <c r="IF1261" s="8"/>
      <c r="IG1261" s="8"/>
      <c r="IH1261" s="8"/>
      <c r="II1261" s="8"/>
      <c r="IJ1261" s="8"/>
      <c r="IK1261" s="8"/>
      <c r="IL1261" s="8"/>
      <c r="IM1261" s="8"/>
      <c r="IN1261" s="8"/>
      <c r="IO1261" s="8"/>
      <c r="IP1261" s="8"/>
      <c r="IQ1261" s="8"/>
      <c r="IR1261" s="8"/>
      <c r="IS1261" s="8"/>
      <c r="IT1261" s="8"/>
      <c r="IU1261" s="8"/>
      <c r="IV1261" s="8"/>
    </row>
    <row r="1262" spans="1:256" x14ac:dyDescent="0.2">
      <c r="A1262" s="923" t="s">
        <v>223</v>
      </c>
      <c r="B1262" s="923"/>
      <c r="C1262" s="923"/>
      <c r="D1262" s="923"/>
      <c r="E1262" s="923"/>
      <c r="F1262" s="923"/>
      <c r="G1262" s="923"/>
      <c r="H1262" s="923"/>
      <c r="I1262" s="923"/>
      <c r="J1262" s="923"/>
      <c r="K1262" s="923"/>
      <c r="L1262" s="923"/>
      <c r="M1262" s="923"/>
      <c r="N1262" s="923"/>
      <c r="O1262" s="923"/>
      <c r="P1262" s="923"/>
      <c r="Q1262" s="923"/>
      <c r="R1262" s="8"/>
      <c r="S1262" s="8"/>
      <c r="T1262" s="90"/>
      <c r="U1262" s="8"/>
      <c r="V1262" s="8"/>
      <c r="W1262" s="90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8"/>
      <c r="CW1262" s="8"/>
      <c r="CX1262" s="8"/>
      <c r="CY1262" s="8"/>
      <c r="CZ1262" s="8"/>
      <c r="DA1262" s="8"/>
      <c r="DB1262" s="8"/>
      <c r="DC1262" s="8"/>
      <c r="DD1262" s="8"/>
      <c r="DE1262" s="8"/>
      <c r="DF1262" s="8"/>
      <c r="DG1262" s="8"/>
      <c r="DH1262" s="8"/>
      <c r="DI1262" s="8"/>
      <c r="DJ1262" s="8"/>
      <c r="DK1262" s="8"/>
      <c r="DL1262" s="8"/>
      <c r="DM1262" s="8"/>
      <c r="DN1262" s="8"/>
      <c r="DO1262" s="8"/>
      <c r="DP1262" s="8"/>
      <c r="DQ1262" s="8"/>
      <c r="DR1262" s="8"/>
      <c r="DS1262" s="8"/>
      <c r="DT1262" s="8"/>
      <c r="DU1262" s="8"/>
      <c r="DV1262" s="8"/>
      <c r="DW1262" s="8"/>
      <c r="DX1262" s="8"/>
      <c r="DY1262" s="8"/>
      <c r="DZ1262" s="8"/>
      <c r="EA1262" s="8"/>
      <c r="EB1262" s="8"/>
      <c r="EC1262" s="8"/>
      <c r="ED1262" s="8"/>
      <c r="EE1262" s="8"/>
      <c r="EF1262" s="8"/>
      <c r="EG1262" s="8"/>
      <c r="EH1262" s="8"/>
      <c r="EI1262" s="8"/>
      <c r="EJ1262" s="8"/>
      <c r="EK1262" s="8"/>
      <c r="EL1262" s="8"/>
      <c r="EM1262" s="8"/>
      <c r="EN1262" s="8"/>
      <c r="EO1262" s="8"/>
      <c r="EP1262" s="8"/>
      <c r="EQ1262" s="8"/>
      <c r="ER1262" s="8"/>
      <c r="ES1262" s="8"/>
      <c r="ET1262" s="8"/>
      <c r="EU1262" s="8"/>
      <c r="EV1262" s="8"/>
      <c r="EW1262" s="8"/>
      <c r="EX1262" s="8"/>
      <c r="EY1262" s="8"/>
      <c r="EZ1262" s="8"/>
      <c r="FA1262" s="8"/>
      <c r="FB1262" s="8"/>
      <c r="FC1262" s="8"/>
      <c r="FD1262" s="8"/>
      <c r="FE1262" s="8"/>
      <c r="FF1262" s="8"/>
      <c r="FG1262" s="8"/>
      <c r="FH1262" s="8"/>
      <c r="FI1262" s="8"/>
      <c r="FJ1262" s="8"/>
      <c r="FK1262" s="8"/>
      <c r="FL1262" s="8"/>
      <c r="FM1262" s="8"/>
      <c r="FN1262" s="8"/>
      <c r="FO1262" s="8"/>
      <c r="FP1262" s="8"/>
      <c r="FQ1262" s="8"/>
      <c r="FR1262" s="8"/>
      <c r="FS1262" s="8"/>
      <c r="FT1262" s="8"/>
      <c r="FU1262" s="8"/>
      <c r="FV1262" s="8"/>
      <c r="FW1262" s="8"/>
      <c r="FX1262" s="8"/>
      <c r="FY1262" s="8"/>
      <c r="FZ1262" s="8"/>
      <c r="GA1262" s="8"/>
      <c r="GB1262" s="8"/>
      <c r="GC1262" s="8"/>
      <c r="GD1262" s="8"/>
      <c r="GE1262" s="8"/>
      <c r="GF1262" s="8"/>
      <c r="GG1262" s="8"/>
      <c r="GH1262" s="8"/>
      <c r="GI1262" s="8"/>
      <c r="GJ1262" s="8"/>
      <c r="GK1262" s="8"/>
      <c r="GL1262" s="8"/>
      <c r="GM1262" s="8"/>
      <c r="GN1262" s="8"/>
      <c r="GO1262" s="8"/>
      <c r="GP1262" s="8"/>
      <c r="GQ1262" s="8"/>
      <c r="GR1262" s="8"/>
      <c r="GS1262" s="8"/>
      <c r="GT1262" s="8"/>
      <c r="GU1262" s="8"/>
      <c r="GV1262" s="8"/>
      <c r="GW1262" s="8"/>
      <c r="GX1262" s="8"/>
      <c r="GY1262" s="8"/>
      <c r="GZ1262" s="8"/>
      <c r="HA1262" s="8"/>
      <c r="HB1262" s="8"/>
      <c r="HC1262" s="8"/>
      <c r="HD1262" s="8"/>
      <c r="HE1262" s="8"/>
      <c r="HF1262" s="8"/>
      <c r="HG1262" s="8"/>
      <c r="HH1262" s="8"/>
      <c r="HI1262" s="8"/>
      <c r="HJ1262" s="8"/>
      <c r="HK1262" s="8"/>
      <c r="HL1262" s="8"/>
      <c r="HM1262" s="8"/>
      <c r="HN1262" s="8"/>
      <c r="HO1262" s="8"/>
      <c r="HP1262" s="8"/>
      <c r="HQ1262" s="8"/>
      <c r="HR1262" s="8"/>
      <c r="HS1262" s="8"/>
      <c r="HT1262" s="8"/>
      <c r="HU1262" s="8"/>
      <c r="HV1262" s="8"/>
      <c r="HW1262" s="8"/>
      <c r="HX1262" s="8"/>
      <c r="HY1262" s="8"/>
      <c r="HZ1262" s="8"/>
      <c r="IA1262" s="8"/>
      <c r="IB1262" s="8"/>
      <c r="IC1262" s="8"/>
      <c r="ID1262" s="8"/>
      <c r="IE1262" s="8"/>
      <c r="IF1262" s="8"/>
      <c r="IG1262" s="8"/>
      <c r="IH1262" s="8"/>
      <c r="II1262" s="8"/>
      <c r="IJ1262" s="8"/>
      <c r="IK1262" s="8"/>
      <c r="IL1262" s="8"/>
      <c r="IM1262" s="8"/>
      <c r="IN1262" s="8"/>
      <c r="IO1262" s="8"/>
      <c r="IP1262" s="8"/>
      <c r="IQ1262" s="8"/>
      <c r="IR1262" s="8"/>
      <c r="IS1262" s="8"/>
      <c r="IT1262" s="8"/>
      <c r="IU1262" s="8"/>
      <c r="IV1262" s="8"/>
    </row>
    <row r="1263" spans="1:256" x14ac:dyDescent="0.2">
      <c r="A1263" s="8"/>
      <c r="B1263" s="8"/>
      <c r="C1263" s="91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90"/>
      <c r="U1263" s="8"/>
      <c r="V1263" s="8"/>
      <c r="W1263" s="90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8"/>
      <c r="CW1263" s="8"/>
      <c r="CX1263" s="8"/>
      <c r="CY1263" s="8"/>
      <c r="CZ1263" s="8"/>
      <c r="DA1263" s="8"/>
      <c r="DB1263" s="8"/>
      <c r="DC1263" s="8"/>
      <c r="DD1263" s="8"/>
      <c r="DE1263" s="8"/>
      <c r="DF1263" s="8"/>
      <c r="DG1263" s="8"/>
      <c r="DH1263" s="8"/>
      <c r="DI1263" s="8"/>
      <c r="DJ1263" s="8"/>
      <c r="DK1263" s="8"/>
      <c r="DL1263" s="8"/>
      <c r="DM1263" s="8"/>
      <c r="DN1263" s="8"/>
      <c r="DO1263" s="8"/>
      <c r="DP1263" s="8"/>
      <c r="DQ1263" s="8"/>
      <c r="DR1263" s="8"/>
      <c r="DS1263" s="8"/>
      <c r="DT1263" s="8"/>
      <c r="DU1263" s="8"/>
      <c r="DV1263" s="8"/>
      <c r="DW1263" s="8"/>
      <c r="DX1263" s="8"/>
      <c r="DY1263" s="8"/>
      <c r="DZ1263" s="8"/>
      <c r="EA1263" s="8"/>
      <c r="EB1263" s="8"/>
      <c r="EC1263" s="8"/>
      <c r="ED1263" s="8"/>
      <c r="EE1263" s="8"/>
      <c r="EF1263" s="8"/>
      <c r="EG1263" s="8"/>
      <c r="EH1263" s="8"/>
      <c r="EI1263" s="8"/>
      <c r="EJ1263" s="8"/>
      <c r="EK1263" s="8"/>
      <c r="EL1263" s="8"/>
      <c r="EM1263" s="8"/>
      <c r="EN1263" s="8"/>
      <c r="EO1263" s="8"/>
      <c r="EP1263" s="8"/>
      <c r="EQ1263" s="8"/>
      <c r="ER1263" s="8"/>
      <c r="ES1263" s="8"/>
      <c r="ET1263" s="8"/>
      <c r="EU1263" s="8"/>
      <c r="EV1263" s="8"/>
      <c r="EW1263" s="8"/>
      <c r="EX1263" s="8"/>
      <c r="EY1263" s="8"/>
      <c r="EZ1263" s="8"/>
      <c r="FA1263" s="8"/>
      <c r="FB1263" s="8"/>
      <c r="FC1263" s="8"/>
      <c r="FD1263" s="8"/>
      <c r="FE1263" s="8"/>
      <c r="FF1263" s="8"/>
      <c r="FG1263" s="8"/>
      <c r="FH1263" s="8"/>
      <c r="FI1263" s="8"/>
      <c r="FJ1263" s="8"/>
      <c r="FK1263" s="8"/>
      <c r="FL1263" s="8"/>
      <c r="FM1263" s="8"/>
      <c r="FN1263" s="8"/>
      <c r="FO1263" s="8"/>
      <c r="FP1263" s="8"/>
      <c r="FQ1263" s="8"/>
      <c r="FR1263" s="8"/>
      <c r="FS1263" s="8"/>
      <c r="FT1263" s="8"/>
      <c r="FU1263" s="8"/>
      <c r="FV1263" s="8"/>
      <c r="FW1263" s="8"/>
      <c r="FX1263" s="8"/>
      <c r="FY1263" s="8"/>
      <c r="FZ1263" s="8"/>
      <c r="GA1263" s="8"/>
      <c r="GB1263" s="8"/>
      <c r="GC1263" s="8"/>
      <c r="GD1263" s="8"/>
      <c r="GE1263" s="8"/>
      <c r="GF1263" s="8"/>
      <c r="GG1263" s="8"/>
      <c r="GH1263" s="8"/>
      <c r="GI1263" s="8"/>
      <c r="GJ1263" s="8"/>
      <c r="GK1263" s="8"/>
      <c r="GL1263" s="8"/>
      <c r="GM1263" s="8"/>
      <c r="GN1263" s="8"/>
      <c r="GO1263" s="8"/>
      <c r="GP1263" s="8"/>
      <c r="GQ1263" s="8"/>
      <c r="GR1263" s="8"/>
      <c r="GS1263" s="8"/>
      <c r="GT1263" s="8"/>
      <c r="GU1263" s="8"/>
      <c r="GV1263" s="8"/>
      <c r="GW1263" s="8"/>
      <c r="GX1263" s="8"/>
      <c r="GY1263" s="8"/>
      <c r="GZ1263" s="8"/>
      <c r="HA1263" s="8"/>
      <c r="HB1263" s="8"/>
      <c r="HC1263" s="8"/>
      <c r="HD1263" s="8"/>
      <c r="HE1263" s="8"/>
      <c r="HF1263" s="8"/>
      <c r="HG1263" s="8"/>
      <c r="HH1263" s="8"/>
      <c r="HI1263" s="8"/>
      <c r="HJ1263" s="8"/>
      <c r="HK1263" s="8"/>
      <c r="HL1263" s="8"/>
      <c r="HM1263" s="8"/>
      <c r="HN1263" s="8"/>
      <c r="HO1263" s="8"/>
      <c r="HP1263" s="8"/>
      <c r="HQ1263" s="8"/>
      <c r="HR1263" s="8"/>
      <c r="HS1263" s="8"/>
      <c r="HT1263" s="8"/>
      <c r="HU1263" s="8"/>
      <c r="HV1263" s="8"/>
      <c r="HW1263" s="8"/>
      <c r="HX1263" s="8"/>
      <c r="HY1263" s="8"/>
      <c r="HZ1263" s="8"/>
      <c r="IA1263" s="8"/>
      <c r="IB1263" s="8"/>
      <c r="IC1263" s="8"/>
      <c r="ID1263" s="8"/>
      <c r="IE1263" s="8"/>
      <c r="IF1263" s="8"/>
      <c r="IG1263" s="8"/>
      <c r="IH1263" s="8"/>
      <c r="II1263" s="8"/>
      <c r="IJ1263" s="8"/>
      <c r="IK1263" s="8"/>
      <c r="IL1263" s="8"/>
      <c r="IM1263" s="8"/>
      <c r="IN1263" s="8"/>
      <c r="IO1263" s="8"/>
      <c r="IP1263" s="8"/>
      <c r="IQ1263" s="8"/>
      <c r="IR1263" s="8"/>
      <c r="IS1263" s="8"/>
      <c r="IT1263" s="8"/>
      <c r="IU1263" s="8"/>
      <c r="IV1263" s="8"/>
    </row>
    <row r="1264" spans="1:256" x14ac:dyDescent="0.2">
      <c r="A1264" s="923" t="s">
        <v>218</v>
      </c>
      <c r="B1264" s="923"/>
      <c r="C1264" s="923"/>
      <c r="D1264" s="923"/>
      <c r="E1264" s="923"/>
      <c r="F1264" s="923"/>
      <c r="G1264" s="923"/>
      <c r="H1264" s="923"/>
      <c r="I1264" s="923"/>
      <c r="J1264" s="923"/>
      <c r="K1264" s="923"/>
      <c r="L1264" s="8"/>
      <c r="M1264" s="8"/>
      <c r="N1264" s="8"/>
      <c r="O1264" s="8"/>
      <c r="P1264" s="8"/>
      <c r="Q1264" s="8"/>
      <c r="R1264" s="8"/>
      <c r="S1264" s="8"/>
      <c r="T1264" s="90"/>
      <c r="U1264" s="8"/>
      <c r="V1264" s="8"/>
      <c r="W1264" s="90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8"/>
      <c r="CW1264" s="8"/>
      <c r="CX1264" s="8"/>
      <c r="CY1264" s="8"/>
      <c r="CZ1264" s="8"/>
      <c r="DA1264" s="8"/>
      <c r="DB1264" s="8"/>
      <c r="DC1264" s="8"/>
      <c r="DD1264" s="8"/>
      <c r="DE1264" s="8"/>
      <c r="DF1264" s="8"/>
      <c r="DG1264" s="8"/>
      <c r="DH1264" s="8"/>
      <c r="DI1264" s="8"/>
      <c r="DJ1264" s="8"/>
      <c r="DK1264" s="8"/>
      <c r="DL1264" s="8"/>
      <c r="DM1264" s="8"/>
      <c r="DN1264" s="8"/>
      <c r="DO1264" s="8"/>
      <c r="DP1264" s="8"/>
      <c r="DQ1264" s="8"/>
      <c r="DR1264" s="8"/>
      <c r="DS1264" s="8"/>
      <c r="DT1264" s="8"/>
      <c r="DU1264" s="8"/>
      <c r="DV1264" s="8"/>
      <c r="DW1264" s="8"/>
      <c r="DX1264" s="8"/>
      <c r="DY1264" s="8"/>
      <c r="DZ1264" s="8"/>
      <c r="EA1264" s="8"/>
      <c r="EB1264" s="8"/>
      <c r="EC1264" s="8"/>
      <c r="ED1264" s="8"/>
      <c r="EE1264" s="8"/>
      <c r="EF1264" s="8"/>
      <c r="EG1264" s="8"/>
      <c r="EH1264" s="8"/>
      <c r="EI1264" s="8"/>
      <c r="EJ1264" s="8"/>
      <c r="EK1264" s="8"/>
      <c r="EL1264" s="8"/>
      <c r="EM1264" s="8"/>
      <c r="EN1264" s="8"/>
      <c r="EO1264" s="8"/>
      <c r="EP1264" s="8"/>
      <c r="EQ1264" s="8"/>
      <c r="ER1264" s="8"/>
      <c r="ES1264" s="8"/>
      <c r="ET1264" s="8"/>
      <c r="EU1264" s="8"/>
      <c r="EV1264" s="8"/>
      <c r="EW1264" s="8"/>
      <c r="EX1264" s="8"/>
      <c r="EY1264" s="8"/>
      <c r="EZ1264" s="8"/>
      <c r="FA1264" s="8"/>
      <c r="FB1264" s="8"/>
      <c r="FC1264" s="8"/>
      <c r="FD1264" s="8"/>
      <c r="FE1264" s="8"/>
      <c r="FF1264" s="8"/>
      <c r="FG1264" s="8"/>
      <c r="FH1264" s="8"/>
      <c r="FI1264" s="8"/>
      <c r="FJ1264" s="8"/>
      <c r="FK1264" s="8"/>
      <c r="FL1264" s="8"/>
      <c r="FM1264" s="8"/>
      <c r="FN1264" s="8"/>
      <c r="FO1264" s="8"/>
      <c r="FP1264" s="8"/>
      <c r="FQ1264" s="8"/>
      <c r="FR1264" s="8"/>
      <c r="FS1264" s="8"/>
      <c r="FT1264" s="8"/>
      <c r="FU1264" s="8"/>
      <c r="FV1264" s="8"/>
      <c r="FW1264" s="8"/>
      <c r="FX1264" s="8"/>
      <c r="FY1264" s="8"/>
      <c r="FZ1264" s="8"/>
      <c r="GA1264" s="8"/>
      <c r="GB1264" s="8"/>
      <c r="GC1264" s="8"/>
      <c r="GD1264" s="8"/>
      <c r="GE1264" s="8"/>
      <c r="GF1264" s="8"/>
      <c r="GG1264" s="8"/>
      <c r="GH1264" s="8"/>
      <c r="GI1264" s="8"/>
      <c r="GJ1264" s="8"/>
      <c r="GK1264" s="8"/>
      <c r="GL1264" s="8"/>
      <c r="GM1264" s="8"/>
      <c r="GN1264" s="8"/>
      <c r="GO1264" s="8"/>
      <c r="GP1264" s="8"/>
      <c r="GQ1264" s="8"/>
      <c r="GR1264" s="8"/>
      <c r="GS1264" s="8"/>
      <c r="GT1264" s="8"/>
      <c r="GU1264" s="8"/>
      <c r="GV1264" s="8"/>
      <c r="GW1264" s="8"/>
      <c r="GX1264" s="8"/>
      <c r="GY1264" s="8"/>
      <c r="GZ1264" s="8"/>
      <c r="HA1264" s="8"/>
      <c r="HB1264" s="8"/>
      <c r="HC1264" s="8"/>
      <c r="HD1264" s="8"/>
      <c r="HE1264" s="8"/>
      <c r="HF1264" s="8"/>
      <c r="HG1264" s="8"/>
      <c r="HH1264" s="8"/>
      <c r="HI1264" s="8"/>
      <c r="HJ1264" s="8"/>
      <c r="HK1264" s="8"/>
      <c r="HL1264" s="8"/>
      <c r="HM1264" s="8"/>
      <c r="HN1264" s="8"/>
      <c r="HO1264" s="8"/>
      <c r="HP1264" s="8"/>
      <c r="HQ1264" s="8"/>
      <c r="HR1264" s="8"/>
      <c r="HS1264" s="8"/>
      <c r="HT1264" s="8"/>
      <c r="HU1264" s="8"/>
      <c r="HV1264" s="8"/>
      <c r="HW1264" s="8"/>
      <c r="HX1264" s="8"/>
      <c r="HY1264" s="8"/>
      <c r="HZ1264" s="8"/>
      <c r="IA1264" s="8"/>
      <c r="IB1264" s="8"/>
      <c r="IC1264" s="8"/>
      <c r="ID1264" s="8"/>
      <c r="IE1264" s="8"/>
      <c r="IF1264" s="8"/>
      <c r="IG1264" s="8"/>
      <c r="IH1264" s="8"/>
      <c r="II1264" s="8"/>
      <c r="IJ1264" s="8"/>
      <c r="IK1264" s="8"/>
      <c r="IL1264" s="8"/>
      <c r="IM1264" s="8"/>
      <c r="IN1264" s="8"/>
      <c r="IO1264" s="8"/>
      <c r="IP1264" s="8"/>
      <c r="IQ1264" s="8"/>
      <c r="IR1264" s="8"/>
      <c r="IS1264" s="8"/>
      <c r="IT1264" s="8"/>
      <c r="IU1264" s="8"/>
      <c r="IV1264" s="8"/>
    </row>
    <row r="1265" spans="3:24" s="92" customFormat="1" x14ac:dyDescent="0.2">
      <c r="C1265" s="93"/>
      <c r="D1265" s="94"/>
      <c r="G1265" s="93"/>
      <c r="I1265" s="93"/>
      <c r="T1265" s="95"/>
      <c r="V1265" s="96"/>
      <c r="W1265" s="95"/>
      <c r="X1265" s="96"/>
    </row>
    <row r="1266" spans="3:24" s="92" customFormat="1" x14ac:dyDescent="0.2">
      <c r="C1266" s="93"/>
      <c r="D1266" s="94"/>
      <c r="G1266" s="93"/>
      <c r="I1266" s="93"/>
      <c r="T1266" s="95"/>
      <c r="V1266" s="96"/>
      <c r="W1266" s="95"/>
      <c r="X1266" s="96"/>
    </row>
    <row r="1267" spans="3:24" s="92" customFormat="1" x14ac:dyDescent="0.2">
      <c r="C1267" s="93"/>
      <c r="D1267" s="94"/>
      <c r="G1267" s="93"/>
      <c r="I1267" s="93"/>
      <c r="T1267" s="95"/>
      <c r="V1267" s="96"/>
      <c r="W1267" s="95"/>
      <c r="X1267" s="96"/>
    </row>
    <row r="1268" spans="3:24" s="92" customFormat="1" x14ac:dyDescent="0.2">
      <c r="C1268" s="93"/>
      <c r="D1268" s="94"/>
      <c r="G1268" s="93"/>
      <c r="I1268" s="93"/>
      <c r="T1268" s="95"/>
      <c r="V1268" s="96"/>
      <c r="W1268" s="95"/>
      <c r="X1268" s="96"/>
    </row>
    <row r="1269" spans="3:24" s="92" customFormat="1" x14ac:dyDescent="0.2">
      <c r="C1269" s="93"/>
      <c r="D1269" s="94"/>
      <c r="G1269" s="93"/>
      <c r="I1269" s="93"/>
      <c r="T1269" s="95"/>
      <c r="V1269" s="96"/>
      <c r="W1269" s="95"/>
      <c r="X1269" s="96"/>
    </row>
    <row r="1270" spans="3:24" s="92" customFormat="1" x14ac:dyDescent="0.2">
      <c r="C1270" s="93"/>
      <c r="D1270" s="94"/>
      <c r="G1270" s="93"/>
      <c r="I1270" s="93"/>
      <c r="T1270" s="95"/>
      <c r="V1270" s="96"/>
      <c r="W1270" s="95"/>
      <c r="X1270" s="96"/>
    </row>
    <row r="1271" spans="3:24" s="92" customFormat="1" x14ac:dyDescent="0.2">
      <c r="C1271" s="93"/>
      <c r="D1271" s="94"/>
      <c r="G1271" s="93"/>
      <c r="I1271" s="93"/>
      <c r="T1271" s="95"/>
      <c r="V1271" s="96"/>
      <c r="W1271" s="95"/>
      <c r="X1271" s="96"/>
    </row>
    <row r="1272" spans="3:24" s="92" customFormat="1" x14ac:dyDescent="0.2">
      <c r="C1272" s="93"/>
      <c r="D1272" s="94"/>
      <c r="G1272" s="93"/>
      <c r="I1272" s="93"/>
      <c r="T1272" s="95"/>
      <c r="V1272" s="96"/>
      <c r="W1272" s="95"/>
      <c r="X1272" s="96"/>
    </row>
    <row r="1273" spans="3:24" s="92" customFormat="1" x14ac:dyDescent="0.2">
      <c r="C1273" s="93"/>
      <c r="D1273" s="94"/>
      <c r="G1273" s="93"/>
      <c r="I1273" s="93"/>
      <c r="T1273" s="95"/>
      <c r="V1273" s="96"/>
      <c r="W1273" s="95"/>
      <c r="X1273" s="96"/>
    </row>
    <row r="1274" spans="3:24" s="92" customFormat="1" x14ac:dyDescent="0.2">
      <c r="C1274" s="93"/>
      <c r="D1274" s="94"/>
      <c r="G1274" s="93"/>
      <c r="I1274" s="93"/>
      <c r="T1274" s="95"/>
      <c r="V1274" s="96"/>
      <c r="W1274" s="95"/>
      <c r="X1274" s="96"/>
    </row>
    <row r="1275" spans="3:24" s="92" customFormat="1" x14ac:dyDescent="0.2">
      <c r="C1275" s="93"/>
      <c r="D1275" s="94"/>
      <c r="G1275" s="93"/>
      <c r="I1275" s="93"/>
      <c r="T1275" s="95"/>
      <c r="V1275" s="96"/>
      <c r="W1275" s="95"/>
      <c r="X1275" s="96"/>
    </row>
    <row r="1276" spans="3:24" s="92" customFormat="1" x14ac:dyDescent="0.2">
      <c r="C1276" s="93"/>
      <c r="D1276" s="94"/>
      <c r="G1276" s="93"/>
      <c r="I1276" s="93"/>
      <c r="T1276" s="95"/>
      <c r="V1276" s="96"/>
      <c r="W1276" s="95"/>
      <c r="X1276" s="96"/>
    </row>
    <row r="1277" spans="3:24" s="92" customFormat="1" x14ac:dyDescent="0.2">
      <c r="C1277" s="93"/>
      <c r="D1277" s="94"/>
      <c r="G1277" s="93"/>
      <c r="I1277" s="93"/>
      <c r="T1277" s="95"/>
      <c r="V1277" s="96"/>
      <c r="W1277" s="95"/>
      <c r="X1277" s="96"/>
    </row>
    <row r="1278" spans="3:24" s="92" customFormat="1" x14ac:dyDescent="0.2">
      <c r="C1278" s="93"/>
      <c r="D1278" s="94"/>
      <c r="G1278" s="93"/>
      <c r="I1278" s="93"/>
      <c r="T1278" s="95"/>
      <c r="V1278" s="96"/>
      <c r="W1278" s="95"/>
      <c r="X1278" s="96"/>
    </row>
    <row r="1279" spans="3:24" s="92" customFormat="1" x14ac:dyDescent="0.2">
      <c r="C1279" s="93"/>
      <c r="D1279" s="94"/>
      <c r="G1279" s="93"/>
      <c r="I1279" s="93"/>
      <c r="T1279" s="95"/>
      <c r="V1279" s="96"/>
      <c r="W1279" s="95"/>
      <c r="X1279" s="96"/>
    </row>
    <row r="1280" spans="3:24" s="92" customFormat="1" x14ac:dyDescent="0.2">
      <c r="C1280" s="93"/>
      <c r="D1280" s="94"/>
      <c r="G1280" s="93"/>
      <c r="I1280" s="93"/>
      <c r="T1280" s="95"/>
      <c r="V1280" s="96"/>
      <c r="W1280" s="95"/>
      <c r="X1280" s="96"/>
    </row>
    <row r="1281" spans="3:24" s="92" customFormat="1" x14ac:dyDescent="0.2">
      <c r="C1281" s="93"/>
      <c r="D1281" s="94"/>
      <c r="G1281" s="93"/>
      <c r="I1281" s="93"/>
      <c r="T1281" s="95"/>
      <c r="V1281" s="96"/>
      <c r="W1281" s="95"/>
      <c r="X1281" s="96"/>
    </row>
    <row r="1282" spans="3:24" s="92" customFormat="1" x14ac:dyDescent="0.2">
      <c r="C1282" s="93"/>
      <c r="D1282" s="94"/>
      <c r="G1282" s="93"/>
      <c r="I1282" s="93"/>
      <c r="T1282" s="95"/>
      <c r="V1282" s="96"/>
      <c r="W1282" s="95"/>
      <c r="X1282" s="96"/>
    </row>
    <row r="1283" spans="3:24" s="92" customFormat="1" x14ac:dyDescent="0.2">
      <c r="C1283" s="93"/>
      <c r="D1283" s="94"/>
      <c r="G1283" s="93"/>
      <c r="I1283" s="93"/>
      <c r="T1283" s="95"/>
      <c r="V1283" s="96"/>
      <c r="W1283" s="95"/>
      <c r="X1283" s="96"/>
    </row>
    <row r="1284" spans="3:24" s="92" customFormat="1" x14ac:dyDescent="0.2">
      <c r="C1284" s="93"/>
      <c r="D1284" s="94"/>
      <c r="G1284" s="93"/>
      <c r="I1284" s="93"/>
      <c r="T1284" s="95"/>
      <c r="V1284" s="96"/>
      <c r="W1284" s="95"/>
      <c r="X1284" s="96"/>
    </row>
    <row r="1285" spans="3:24" s="92" customFormat="1" x14ac:dyDescent="0.2">
      <c r="C1285" s="93"/>
      <c r="D1285" s="94"/>
      <c r="G1285" s="93"/>
      <c r="I1285" s="93"/>
      <c r="T1285" s="95"/>
      <c r="V1285" s="96"/>
      <c r="W1285" s="95"/>
      <c r="X1285" s="96"/>
    </row>
    <row r="1286" spans="3:24" s="92" customFormat="1" x14ac:dyDescent="0.2">
      <c r="C1286" s="93"/>
      <c r="D1286" s="94"/>
      <c r="G1286" s="93"/>
      <c r="I1286" s="93"/>
      <c r="T1286" s="95"/>
      <c r="V1286" s="96"/>
      <c r="W1286" s="95"/>
      <c r="X1286" s="96"/>
    </row>
    <row r="1287" spans="3:24" s="92" customFormat="1" x14ac:dyDescent="0.2">
      <c r="C1287" s="93"/>
      <c r="D1287" s="94"/>
      <c r="G1287" s="93"/>
      <c r="I1287" s="93"/>
      <c r="T1287" s="95"/>
      <c r="V1287" s="96"/>
      <c r="W1287" s="95"/>
      <c r="X1287" s="96"/>
    </row>
    <row r="1288" spans="3:24" s="92" customFormat="1" x14ac:dyDescent="0.2">
      <c r="C1288" s="93"/>
      <c r="D1288" s="94"/>
      <c r="G1288" s="93"/>
      <c r="I1288" s="93"/>
      <c r="T1288" s="95"/>
      <c r="V1288" s="96"/>
      <c r="W1288" s="95"/>
      <c r="X1288" s="96"/>
    </row>
    <row r="1289" spans="3:24" s="92" customFormat="1" x14ac:dyDescent="0.2">
      <c r="C1289" s="93"/>
      <c r="D1289" s="94"/>
      <c r="G1289" s="93"/>
      <c r="I1289" s="93"/>
      <c r="T1289" s="95"/>
      <c r="V1289" s="96"/>
      <c r="W1289" s="95"/>
      <c r="X1289" s="96"/>
    </row>
    <row r="1290" spans="3:24" s="92" customFormat="1" x14ac:dyDescent="0.2">
      <c r="C1290" s="93"/>
      <c r="D1290" s="94"/>
      <c r="G1290" s="93"/>
      <c r="I1290" s="93"/>
      <c r="T1290" s="95"/>
      <c r="V1290" s="96"/>
      <c r="W1290" s="95"/>
      <c r="X1290" s="96"/>
    </row>
    <row r="1291" spans="3:24" s="92" customFormat="1" x14ac:dyDescent="0.2">
      <c r="C1291" s="93"/>
      <c r="D1291" s="94"/>
      <c r="G1291" s="93"/>
      <c r="I1291" s="93"/>
      <c r="T1291" s="95"/>
      <c r="V1291" s="96"/>
      <c r="W1291" s="95"/>
      <c r="X1291" s="96"/>
    </row>
    <row r="1292" spans="3:24" s="92" customFormat="1" x14ac:dyDescent="0.2">
      <c r="C1292" s="93"/>
      <c r="D1292" s="94"/>
      <c r="G1292" s="93"/>
      <c r="I1292" s="93"/>
      <c r="T1292" s="95"/>
      <c r="V1292" s="96"/>
      <c r="W1292" s="95"/>
      <c r="X1292" s="96"/>
    </row>
    <row r="1293" spans="3:24" s="92" customFormat="1" x14ac:dyDescent="0.2">
      <c r="C1293" s="93"/>
      <c r="D1293" s="94"/>
      <c r="G1293" s="93"/>
      <c r="I1293" s="93"/>
      <c r="T1293" s="95"/>
      <c r="V1293" s="96"/>
      <c r="W1293" s="95"/>
      <c r="X1293" s="96"/>
    </row>
    <row r="1294" spans="3:24" s="92" customFormat="1" x14ac:dyDescent="0.2">
      <c r="C1294" s="93"/>
      <c r="D1294" s="94"/>
      <c r="G1294" s="93"/>
      <c r="I1294" s="93"/>
      <c r="T1294" s="95"/>
      <c r="V1294" s="96"/>
      <c r="W1294" s="95"/>
      <c r="X1294" s="96"/>
    </row>
    <row r="1295" spans="3:24" s="92" customFormat="1" x14ac:dyDescent="0.2">
      <c r="C1295" s="93"/>
      <c r="D1295" s="94"/>
      <c r="G1295" s="93"/>
      <c r="I1295" s="93"/>
      <c r="T1295" s="95"/>
      <c r="V1295" s="96"/>
      <c r="W1295" s="95"/>
      <c r="X1295" s="96"/>
    </row>
    <row r="1296" spans="3:24" s="92" customFormat="1" x14ac:dyDescent="0.2">
      <c r="C1296" s="93"/>
      <c r="D1296" s="94"/>
      <c r="G1296" s="93"/>
      <c r="I1296" s="93"/>
      <c r="T1296" s="95"/>
      <c r="V1296" s="96"/>
      <c r="W1296" s="95"/>
      <c r="X1296" s="96"/>
    </row>
    <row r="1297" spans="3:24" s="92" customFormat="1" x14ac:dyDescent="0.2">
      <c r="C1297" s="93"/>
      <c r="D1297" s="94"/>
      <c r="G1297" s="93"/>
      <c r="I1297" s="93"/>
      <c r="T1297" s="95"/>
      <c r="V1297" s="96"/>
      <c r="W1297" s="95"/>
      <c r="X1297" s="96"/>
    </row>
    <row r="1298" spans="3:24" s="92" customFormat="1" x14ac:dyDescent="0.2">
      <c r="C1298" s="93"/>
      <c r="D1298" s="94"/>
      <c r="G1298" s="93"/>
      <c r="I1298" s="93"/>
      <c r="T1298" s="95"/>
      <c r="V1298" s="96"/>
      <c r="W1298" s="95"/>
      <c r="X1298" s="96"/>
    </row>
    <row r="1299" spans="3:24" s="92" customFormat="1" x14ac:dyDescent="0.2">
      <c r="C1299" s="93"/>
      <c r="D1299" s="94"/>
      <c r="G1299" s="93"/>
      <c r="I1299" s="93"/>
      <c r="T1299" s="95"/>
      <c r="V1299" s="96"/>
      <c r="W1299" s="95"/>
      <c r="X1299" s="96"/>
    </row>
    <row r="1300" spans="3:24" s="92" customFormat="1" x14ac:dyDescent="0.2">
      <c r="C1300" s="93"/>
      <c r="D1300" s="94"/>
      <c r="G1300" s="93"/>
      <c r="I1300" s="93"/>
      <c r="T1300" s="95"/>
      <c r="V1300" s="96"/>
      <c r="W1300" s="95"/>
      <c r="X1300" s="96"/>
    </row>
    <row r="1301" spans="3:24" s="92" customFormat="1" x14ac:dyDescent="0.2">
      <c r="C1301" s="93"/>
      <c r="D1301" s="94"/>
      <c r="G1301" s="93"/>
      <c r="I1301" s="93"/>
      <c r="T1301" s="95"/>
      <c r="V1301" s="96"/>
      <c r="W1301" s="95"/>
      <c r="X1301" s="96"/>
    </row>
    <row r="1302" spans="3:24" s="92" customFormat="1" x14ac:dyDescent="0.2">
      <c r="C1302" s="93"/>
      <c r="D1302" s="94"/>
      <c r="G1302" s="93"/>
      <c r="I1302" s="93"/>
      <c r="T1302" s="95"/>
      <c r="V1302" s="96"/>
      <c r="W1302" s="95"/>
      <c r="X1302" s="96"/>
    </row>
    <row r="1303" spans="3:24" s="92" customFormat="1" x14ac:dyDescent="0.2">
      <c r="C1303" s="93"/>
      <c r="D1303" s="94"/>
      <c r="G1303" s="93"/>
      <c r="I1303" s="93"/>
      <c r="T1303" s="95"/>
      <c r="V1303" s="96"/>
      <c r="W1303" s="95"/>
      <c r="X1303" s="96"/>
    </row>
    <row r="1304" spans="3:24" s="92" customFormat="1" x14ac:dyDescent="0.2">
      <c r="C1304" s="93"/>
      <c r="D1304" s="94"/>
      <c r="G1304" s="93"/>
      <c r="I1304" s="93"/>
      <c r="T1304" s="95"/>
      <c r="V1304" s="96"/>
      <c r="W1304" s="95"/>
      <c r="X1304" s="96"/>
    </row>
    <row r="1305" spans="3:24" s="92" customFormat="1" x14ac:dyDescent="0.2">
      <c r="C1305" s="93"/>
      <c r="D1305" s="94"/>
      <c r="G1305" s="93"/>
      <c r="I1305" s="93"/>
      <c r="T1305" s="95"/>
      <c r="V1305" s="96"/>
      <c r="W1305" s="95"/>
      <c r="X1305" s="96"/>
    </row>
    <row r="1306" spans="3:24" s="92" customFormat="1" x14ac:dyDescent="0.2">
      <c r="C1306" s="93"/>
      <c r="D1306" s="94"/>
      <c r="G1306" s="93"/>
      <c r="I1306" s="93"/>
      <c r="T1306" s="95"/>
      <c r="V1306" s="96"/>
      <c r="W1306" s="95"/>
      <c r="X1306" s="96"/>
    </row>
    <row r="1307" spans="3:24" s="92" customFormat="1" x14ac:dyDescent="0.2">
      <c r="C1307" s="93"/>
      <c r="D1307" s="94"/>
      <c r="G1307" s="93"/>
      <c r="I1307" s="93"/>
      <c r="T1307" s="95"/>
      <c r="V1307" s="96"/>
      <c r="W1307" s="95"/>
      <c r="X1307" s="96"/>
    </row>
    <row r="1308" spans="3:24" s="92" customFormat="1" x14ac:dyDescent="0.2">
      <c r="C1308" s="93"/>
      <c r="D1308" s="94"/>
      <c r="G1308" s="93"/>
      <c r="I1308" s="93"/>
      <c r="T1308" s="95"/>
      <c r="V1308" s="96"/>
      <c r="W1308" s="95"/>
      <c r="X1308" s="96"/>
    </row>
    <row r="1309" spans="3:24" s="92" customFormat="1" x14ac:dyDescent="0.2">
      <c r="C1309" s="93"/>
      <c r="D1309" s="94"/>
      <c r="G1309" s="93"/>
      <c r="I1309" s="93"/>
      <c r="T1309" s="95"/>
      <c r="V1309" s="96"/>
      <c r="W1309" s="95"/>
      <c r="X1309" s="96"/>
    </row>
    <row r="1310" spans="3:24" s="92" customFormat="1" x14ac:dyDescent="0.2">
      <c r="C1310" s="93"/>
      <c r="D1310" s="94"/>
      <c r="G1310" s="93"/>
      <c r="I1310" s="93"/>
      <c r="T1310" s="95"/>
      <c r="V1310" s="96"/>
      <c r="W1310" s="95"/>
      <c r="X1310" s="96"/>
    </row>
    <row r="1311" spans="3:24" s="92" customFormat="1" x14ac:dyDescent="0.2">
      <c r="C1311" s="93"/>
      <c r="D1311" s="94"/>
      <c r="G1311" s="93"/>
      <c r="I1311" s="93"/>
      <c r="T1311" s="95"/>
      <c r="V1311" s="96"/>
      <c r="W1311" s="95"/>
      <c r="X1311" s="96"/>
    </row>
    <row r="1312" spans="3:24" s="92" customFormat="1" x14ac:dyDescent="0.2">
      <c r="C1312" s="93"/>
      <c r="D1312" s="94"/>
      <c r="G1312" s="93"/>
      <c r="I1312" s="93"/>
      <c r="T1312" s="95"/>
      <c r="V1312" s="96"/>
      <c r="W1312" s="95"/>
      <c r="X1312" s="96"/>
    </row>
    <row r="1313" spans="3:24" s="92" customFormat="1" x14ac:dyDescent="0.2">
      <c r="C1313" s="93"/>
      <c r="D1313" s="94"/>
      <c r="G1313" s="93"/>
      <c r="I1313" s="93"/>
      <c r="T1313" s="95"/>
      <c r="V1313" s="96"/>
      <c r="W1313" s="95"/>
      <c r="X1313" s="96"/>
    </row>
    <row r="1314" spans="3:24" s="92" customFormat="1" x14ac:dyDescent="0.2">
      <c r="C1314" s="93"/>
      <c r="D1314" s="94"/>
      <c r="G1314" s="93"/>
      <c r="I1314" s="93"/>
      <c r="T1314" s="95"/>
      <c r="V1314" s="96"/>
      <c r="W1314" s="95"/>
      <c r="X1314" s="96"/>
    </row>
    <row r="1315" spans="3:24" s="92" customFormat="1" x14ac:dyDescent="0.2">
      <c r="C1315" s="93"/>
      <c r="D1315" s="94"/>
      <c r="G1315" s="93"/>
      <c r="I1315" s="93"/>
      <c r="T1315" s="95"/>
      <c r="V1315" s="96"/>
      <c r="W1315" s="95"/>
      <c r="X1315" s="96"/>
    </row>
    <row r="1316" spans="3:24" s="92" customFormat="1" x14ac:dyDescent="0.2">
      <c r="C1316" s="93"/>
      <c r="D1316" s="94"/>
      <c r="G1316" s="93"/>
      <c r="I1316" s="93"/>
      <c r="T1316" s="95"/>
      <c r="V1316" s="96"/>
      <c r="W1316" s="95"/>
      <c r="X1316" s="96"/>
    </row>
    <row r="1317" spans="3:24" s="92" customFormat="1" x14ac:dyDescent="0.2">
      <c r="C1317" s="93"/>
      <c r="D1317" s="94"/>
      <c r="G1317" s="93"/>
      <c r="I1317" s="93"/>
      <c r="T1317" s="95"/>
      <c r="V1317" s="96"/>
      <c r="W1317" s="95"/>
      <c r="X1317" s="96"/>
    </row>
    <row r="1318" spans="3:24" s="92" customFormat="1" x14ac:dyDescent="0.2">
      <c r="C1318" s="93"/>
      <c r="D1318" s="94"/>
      <c r="G1318" s="93"/>
      <c r="I1318" s="93"/>
      <c r="T1318" s="95"/>
      <c r="V1318" s="96"/>
      <c r="W1318" s="95"/>
      <c r="X1318" s="96"/>
    </row>
    <row r="1319" spans="3:24" s="92" customFormat="1" x14ac:dyDescent="0.2">
      <c r="C1319" s="93"/>
      <c r="D1319" s="94"/>
      <c r="G1319" s="93"/>
      <c r="I1319" s="93"/>
      <c r="T1319" s="95"/>
      <c r="V1319" s="96"/>
      <c r="W1319" s="95"/>
      <c r="X1319" s="96"/>
    </row>
    <row r="1320" spans="3:24" s="92" customFormat="1" x14ac:dyDescent="0.2">
      <c r="C1320" s="93"/>
      <c r="D1320" s="94"/>
      <c r="G1320" s="93"/>
      <c r="I1320" s="93"/>
      <c r="T1320" s="95"/>
      <c r="V1320" s="96"/>
      <c r="W1320" s="95"/>
      <c r="X1320" s="96"/>
    </row>
    <row r="1321" spans="3:24" s="92" customFormat="1" x14ac:dyDescent="0.2">
      <c r="C1321" s="93"/>
      <c r="D1321" s="94"/>
      <c r="G1321" s="93"/>
      <c r="I1321" s="93"/>
      <c r="T1321" s="95"/>
      <c r="V1321" s="96"/>
      <c r="W1321" s="95"/>
      <c r="X1321" s="96"/>
    </row>
    <row r="1322" spans="3:24" s="92" customFormat="1" x14ac:dyDescent="0.2">
      <c r="C1322" s="93"/>
      <c r="D1322" s="94"/>
      <c r="G1322" s="93"/>
      <c r="I1322" s="93"/>
      <c r="T1322" s="95"/>
      <c r="V1322" s="96"/>
      <c r="W1322" s="95"/>
      <c r="X1322" s="96"/>
    </row>
    <row r="1323" spans="3:24" s="92" customFormat="1" x14ac:dyDescent="0.2">
      <c r="C1323" s="93"/>
      <c r="D1323" s="94"/>
      <c r="G1323" s="93"/>
      <c r="I1323" s="93"/>
      <c r="T1323" s="95"/>
      <c r="V1323" s="96"/>
      <c r="W1323" s="95"/>
      <c r="X1323" s="96"/>
    </row>
    <row r="1324" spans="3:24" s="92" customFormat="1" x14ac:dyDescent="0.2">
      <c r="C1324" s="93"/>
      <c r="D1324" s="94"/>
      <c r="G1324" s="93"/>
      <c r="I1324" s="93"/>
      <c r="T1324" s="95"/>
      <c r="V1324" s="96"/>
      <c r="W1324" s="95"/>
      <c r="X1324" s="96"/>
    </row>
    <row r="1325" spans="3:24" s="92" customFormat="1" x14ac:dyDescent="0.2">
      <c r="C1325" s="93"/>
      <c r="D1325" s="94"/>
      <c r="G1325" s="93"/>
      <c r="I1325" s="93"/>
      <c r="T1325" s="95"/>
      <c r="V1325" s="96"/>
      <c r="W1325" s="95"/>
      <c r="X1325" s="96"/>
    </row>
    <row r="1326" spans="3:24" s="92" customFormat="1" x14ac:dyDescent="0.2">
      <c r="C1326" s="93"/>
      <c r="D1326" s="94"/>
      <c r="G1326" s="93"/>
      <c r="I1326" s="93"/>
      <c r="T1326" s="95"/>
      <c r="V1326" s="96"/>
      <c r="W1326" s="95"/>
      <c r="X1326" s="96"/>
    </row>
    <row r="1327" spans="3:24" s="92" customFormat="1" x14ac:dyDescent="0.2">
      <c r="C1327" s="93"/>
      <c r="D1327" s="94"/>
      <c r="G1327" s="93"/>
      <c r="I1327" s="93"/>
      <c r="T1327" s="95"/>
      <c r="V1327" s="96"/>
      <c r="W1327" s="95"/>
      <c r="X1327" s="96"/>
    </row>
    <row r="1328" spans="3:24" s="92" customFormat="1" x14ac:dyDescent="0.2">
      <c r="C1328" s="93"/>
      <c r="D1328" s="94"/>
      <c r="G1328" s="93"/>
      <c r="I1328" s="93"/>
      <c r="T1328" s="95"/>
      <c r="V1328" s="96"/>
      <c r="W1328" s="95"/>
      <c r="X1328" s="96"/>
    </row>
    <row r="1329" spans="3:24" s="92" customFormat="1" x14ac:dyDescent="0.2">
      <c r="C1329" s="93"/>
      <c r="D1329" s="94"/>
      <c r="G1329" s="93"/>
      <c r="I1329" s="93"/>
      <c r="T1329" s="95"/>
      <c r="V1329" s="96"/>
      <c r="W1329" s="95"/>
      <c r="X1329" s="96"/>
    </row>
    <row r="1330" spans="3:24" s="92" customFormat="1" x14ac:dyDescent="0.2">
      <c r="C1330" s="93"/>
      <c r="D1330" s="94"/>
      <c r="G1330" s="93"/>
      <c r="I1330" s="93"/>
      <c r="T1330" s="95"/>
      <c r="V1330" s="96"/>
      <c r="W1330" s="95"/>
      <c r="X1330" s="96"/>
    </row>
    <row r="1331" spans="3:24" s="92" customFormat="1" x14ac:dyDescent="0.2">
      <c r="C1331" s="93"/>
      <c r="D1331" s="94"/>
      <c r="G1331" s="93"/>
      <c r="I1331" s="93"/>
      <c r="T1331" s="95"/>
      <c r="V1331" s="96"/>
      <c r="W1331" s="95"/>
      <c r="X1331" s="96"/>
    </row>
    <row r="1332" spans="3:24" s="92" customFormat="1" x14ac:dyDescent="0.2">
      <c r="C1332" s="93"/>
      <c r="D1332" s="94"/>
      <c r="G1332" s="93"/>
      <c r="I1332" s="93"/>
      <c r="T1332" s="95"/>
      <c r="V1332" s="96"/>
      <c r="W1332" s="95"/>
      <c r="X1332" s="96"/>
    </row>
    <row r="1333" spans="3:24" s="92" customFormat="1" x14ac:dyDescent="0.2">
      <c r="C1333" s="93"/>
      <c r="D1333" s="94"/>
      <c r="G1333" s="93"/>
      <c r="I1333" s="93"/>
      <c r="T1333" s="95"/>
      <c r="V1333" s="96"/>
      <c r="W1333" s="95"/>
      <c r="X1333" s="96"/>
    </row>
    <row r="1334" spans="3:24" s="92" customFormat="1" x14ac:dyDescent="0.2">
      <c r="C1334" s="93"/>
      <c r="D1334" s="94"/>
      <c r="G1334" s="93"/>
      <c r="I1334" s="93"/>
      <c r="T1334" s="95"/>
      <c r="V1334" s="96"/>
      <c r="W1334" s="95"/>
      <c r="X1334" s="96"/>
    </row>
    <row r="1335" spans="3:24" s="92" customFormat="1" x14ac:dyDescent="0.2">
      <c r="C1335" s="93"/>
      <c r="D1335" s="94"/>
      <c r="G1335" s="93"/>
      <c r="I1335" s="93"/>
      <c r="T1335" s="95"/>
      <c r="V1335" s="96"/>
      <c r="W1335" s="95"/>
      <c r="X1335" s="96"/>
    </row>
    <row r="1336" spans="3:24" s="92" customFormat="1" x14ac:dyDescent="0.2">
      <c r="C1336" s="93"/>
      <c r="D1336" s="94"/>
      <c r="G1336" s="93"/>
      <c r="I1336" s="93"/>
      <c r="T1336" s="95"/>
      <c r="V1336" s="96"/>
      <c r="W1336" s="95"/>
      <c r="X1336" s="96"/>
    </row>
    <row r="1337" spans="3:24" s="92" customFormat="1" x14ac:dyDescent="0.2">
      <c r="C1337" s="93"/>
      <c r="D1337" s="94"/>
      <c r="G1337" s="93"/>
      <c r="I1337" s="93"/>
      <c r="T1337" s="95"/>
      <c r="V1337" s="96"/>
      <c r="W1337" s="95"/>
      <c r="X1337" s="96"/>
    </row>
    <row r="1338" spans="3:24" s="92" customFormat="1" x14ac:dyDescent="0.2">
      <c r="C1338" s="93"/>
      <c r="D1338" s="94"/>
      <c r="G1338" s="93"/>
      <c r="I1338" s="93"/>
      <c r="T1338" s="95"/>
      <c r="V1338" s="96"/>
      <c r="W1338" s="95"/>
      <c r="X1338" s="96"/>
    </row>
    <row r="1339" spans="3:24" s="92" customFormat="1" x14ac:dyDescent="0.2">
      <c r="C1339" s="93"/>
      <c r="D1339" s="94"/>
      <c r="G1339" s="93"/>
      <c r="I1339" s="93"/>
      <c r="T1339" s="95"/>
      <c r="V1339" s="96"/>
      <c r="W1339" s="95"/>
      <c r="X1339" s="96"/>
    </row>
    <row r="1340" spans="3:24" s="92" customFormat="1" x14ac:dyDescent="0.2">
      <c r="C1340" s="93"/>
      <c r="D1340" s="94"/>
      <c r="G1340" s="93"/>
      <c r="I1340" s="93"/>
      <c r="T1340" s="95"/>
      <c r="V1340" s="96"/>
      <c r="W1340" s="95"/>
      <c r="X1340" s="96"/>
    </row>
    <row r="1341" spans="3:24" s="92" customFormat="1" x14ac:dyDescent="0.2">
      <c r="C1341" s="93"/>
      <c r="D1341" s="94"/>
      <c r="G1341" s="93"/>
      <c r="I1341" s="93"/>
      <c r="T1341" s="95"/>
      <c r="V1341" s="96"/>
      <c r="W1341" s="95"/>
      <c r="X1341" s="96"/>
    </row>
    <row r="1342" spans="3:24" s="92" customFormat="1" x14ac:dyDescent="0.2">
      <c r="C1342" s="93"/>
      <c r="D1342" s="94"/>
      <c r="G1342" s="93"/>
      <c r="I1342" s="93"/>
      <c r="T1342" s="95"/>
      <c r="V1342" s="96"/>
      <c r="W1342" s="95"/>
      <c r="X1342" s="96"/>
    </row>
    <row r="1343" spans="3:24" s="92" customFormat="1" x14ac:dyDescent="0.2">
      <c r="C1343" s="93"/>
      <c r="D1343" s="94"/>
      <c r="G1343" s="93"/>
      <c r="I1343" s="93"/>
      <c r="T1343" s="95"/>
      <c r="V1343" s="96"/>
      <c r="W1343" s="95"/>
      <c r="X1343" s="96"/>
    </row>
    <row r="1344" spans="3:24" s="92" customFormat="1" x14ac:dyDescent="0.2">
      <c r="C1344" s="93"/>
      <c r="D1344" s="94"/>
      <c r="G1344" s="93"/>
      <c r="I1344" s="93"/>
      <c r="T1344" s="95"/>
      <c r="V1344" s="96"/>
      <c r="W1344" s="95"/>
      <c r="X1344" s="96"/>
    </row>
    <row r="1345" spans="3:24" s="92" customFormat="1" x14ac:dyDescent="0.2">
      <c r="C1345" s="93"/>
      <c r="D1345" s="94"/>
      <c r="G1345" s="93"/>
      <c r="I1345" s="93"/>
      <c r="T1345" s="95"/>
      <c r="V1345" s="96"/>
      <c r="W1345" s="95"/>
      <c r="X1345" s="96"/>
    </row>
    <row r="1346" spans="3:24" s="92" customFormat="1" x14ac:dyDescent="0.2">
      <c r="C1346" s="93"/>
      <c r="D1346" s="94"/>
      <c r="G1346" s="93"/>
      <c r="I1346" s="93"/>
      <c r="T1346" s="95"/>
      <c r="V1346" s="96"/>
      <c r="W1346" s="95"/>
      <c r="X1346" s="96"/>
    </row>
    <row r="1347" spans="3:24" s="92" customFormat="1" x14ac:dyDescent="0.2">
      <c r="C1347" s="93"/>
      <c r="D1347" s="94"/>
      <c r="G1347" s="93"/>
      <c r="I1347" s="93"/>
      <c r="T1347" s="95"/>
      <c r="V1347" s="96"/>
      <c r="W1347" s="95"/>
      <c r="X1347" s="96"/>
    </row>
    <row r="1348" spans="3:24" s="92" customFormat="1" x14ac:dyDescent="0.2">
      <c r="C1348" s="93"/>
      <c r="D1348" s="94"/>
      <c r="G1348" s="93"/>
      <c r="I1348" s="93"/>
      <c r="T1348" s="95"/>
      <c r="V1348" s="96"/>
      <c r="W1348" s="95"/>
      <c r="X1348" s="96"/>
    </row>
    <row r="1349" spans="3:24" s="92" customFormat="1" x14ac:dyDescent="0.2">
      <c r="C1349" s="93"/>
      <c r="D1349" s="94"/>
      <c r="G1349" s="93"/>
      <c r="I1349" s="93"/>
      <c r="T1349" s="95"/>
      <c r="V1349" s="96"/>
      <c r="W1349" s="95"/>
      <c r="X1349" s="96"/>
    </row>
    <row r="1350" spans="3:24" s="92" customFormat="1" x14ac:dyDescent="0.2">
      <c r="C1350" s="93"/>
      <c r="D1350" s="94"/>
      <c r="G1350" s="93"/>
      <c r="I1350" s="93"/>
      <c r="T1350" s="95"/>
      <c r="V1350" s="96"/>
      <c r="W1350" s="95"/>
      <c r="X1350" s="96"/>
    </row>
    <row r="1351" spans="3:24" s="92" customFormat="1" x14ac:dyDescent="0.2">
      <c r="C1351" s="93"/>
      <c r="D1351" s="94"/>
      <c r="G1351" s="93"/>
      <c r="I1351" s="93"/>
      <c r="T1351" s="95"/>
      <c r="V1351" s="96"/>
      <c r="W1351" s="95"/>
      <c r="X1351" s="96"/>
    </row>
    <row r="1352" spans="3:24" s="92" customFormat="1" x14ac:dyDescent="0.2">
      <c r="C1352" s="93"/>
      <c r="D1352" s="94"/>
      <c r="G1352" s="93"/>
      <c r="I1352" s="93"/>
      <c r="T1352" s="95"/>
      <c r="V1352" s="96"/>
      <c r="W1352" s="95"/>
      <c r="X1352" s="96"/>
    </row>
    <row r="1353" spans="3:24" s="92" customFormat="1" x14ac:dyDescent="0.2">
      <c r="C1353" s="93"/>
      <c r="D1353" s="94"/>
      <c r="G1353" s="93"/>
      <c r="I1353" s="93"/>
      <c r="T1353" s="95"/>
      <c r="V1353" s="96"/>
      <c r="W1353" s="95"/>
      <c r="X1353" s="96"/>
    </row>
    <row r="1354" spans="3:24" s="92" customFormat="1" x14ac:dyDescent="0.2">
      <c r="C1354" s="93"/>
      <c r="D1354" s="94"/>
      <c r="G1354" s="93"/>
      <c r="I1354" s="93"/>
      <c r="T1354" s="95"/>
      <c r="V1354" s="96"/>
      <c r="W1354" s="95"/>
      <c r="X1354" s="96"/>
    </row>
    <row r="1355" spans="3:24" s="92" customFormat="1" x14ac:dyDescent="0.2">
      <c r="C1355" s="93"/>
      <c r="D1355" s="94"/>
      <c r="G1355" s="93"/>
      <c r="I1355" s="93"/>
      <c r="T1355" s="95"/>
      <c r="V1355" s="96"/>
      <c r="W1355" s="95"/>
      <c r="X1355" s="96"/>
    </row>
    <row r="1356" spans="3:24" s="92" customFormat="1" x14ac:dyDescent="0.2">
      <c r="C1356" s="93"/>
      <c r="D1356" s="94"/>
      <c r="G1356" s="93"/>
      <c r="I1356" s="93"/>
      <c r="T1356" s="95"/>
      <c r="V1356" s="96"/>
      <c r="W1356" s="95"/>
      <c r="X1356" s="96"/>
    </row>
    <row r="1357" spans="3:24" s="92" customFormat="1" x14ac:dyDescent="0.2">
      <c r="C1357" s="93"/>
      <c r="D1357" s="94"/>
      <c r="G1357" s="93"/>
      <c r="I1357" s="93"/>
      <c r="T1357" s="95"/>
      <c r="V1357" s="96"/>
      <c r="W1357" s="95"/>
      <c r="X1357" s="96"/>
    </row>
    <row r="1358" spans="3:24" s="92" customFormat="1" x14ac:dyDescent="0.2">
      <c r="C1358" s="93"/>
      <c r="D1358" s="94"/>
      <c r="G1358" s="93"/>
      <c r="I1358" s="93"/>
      <c r="T1358" s="95"/>
      <c r="V1358" s="96"/>
      <c r="W1358" s="95"/>
      <c r="X1358" s="96"/>
    </row>
    <row r="1359" spans="3:24" s="92" customFormat="1" x14ac:dyDescent="0.2">
      <c r="C1359" s="93"/>
      <c r="D1359" s="94"/>
      <c r="G1359" s="93"/>
      <c r="I1359" s="93"/>
      <c r="T1359" s="95"/>
      <c r="V1359" s="96"/>
      <c r="W1359" s="95"/>
      <c r="X1359" s="96"/>
    </row>
    <row r="1360" spans="3:24" s="92" customFormat="1" x14ac:dyDescent="0.2">
      <c r="C1360" s="93"/>
      <c r="D1360" s="94"/>
      <c r="G1360" s="93"/>
      <c r="I1360" s="93"/>
      <c r="T1360" s="95"/>
      <c r="V1360" s="96"/>
      <c r="W1360" s="95"/>
      <c r="X1360" s="96"/>
    </row>
    <row r="1361" spans="3:24" s="92" customFormat="1" x14ac:dyDescent="0.2">
      <c r="C1361" s="93"/>
      <c r="D1361" s="94"/>
      <c r="G1361" s="93"/>
      <c r="I1361" s="93"/>
      <c r="T1361" s="95"/>
      <c r="V1361" s="96"/>
      <c r="W1361" s="95"/>
      <c r="X1361" s="96"/>
    </row>
    <row r="1362" spans="3:24" s="92" customFormat="1" x14ac:dyDescent="0.2">
      <c r="C1362" s="93"/>
      <c r="D1362" s="94"/>
      <c r="G1362" s="93"/>
      <c r="I1362" s="93"/>
      <c r="T1362" s="95"/>
      <c r="V1362" s="96"/>
      <c r="W1362" s="95"/>
      <c r="X1362" s="96"/>
    </row>
    <row r="1363" spans="3:24" s="92" customFormat="1" x14ac:dyDescent="0.2">
      <c r="C1363" s="93"/>
      <c r="D1363" s="94"/>
      <c r="G1363" s="93"/>
      <c r="I1363" s="93"/>
      <c r="T1363" s="95"/>
      <c r="V1363" s="96"/>
      <c r="W1363" s="95"/>
      <c r="X1363" s="96"/>
    </row>
    <row r="1364" spans="3:24" s="92" customFormat="1" x14ac:dyDescent="0.2">
      <c r="C1364" s="93"/>
      <c r="D1364" s="94"/>
      <c r="G1364" s="93"/>
      <c r="I1364" s="93"/>
      <c r="T1364" s="95"/>
      <c r="V1364" s="96"/>
      <c r="W1364" s="95"/>
      <c r="X1364" s="96"/>
    </row>
    <row r="1365" spans="3:24" s="92" customFormat="1" x14ac:dyDescent="0.2">
      <c r="C1365" s="93"/>
      <c r="D1365" s="94"/>
      <c r="G1365" s="93"/>
      <c r="I1365" s="93"/>
      <c r="T1365" s="95"/>
      <c r="V1365" s="96"/>
      <c r="W1365" s="95"/>
      <c r="X1365" s="96"/>
    </row>
    <row r="1366" spans="3:24" s="92" customFormat="1" x14ac:dyDescent="0.2">
      <c r="C1366" s="93"/>
      <c r="D1366" s="94"/>
      <c r="G1366" s="93"/>
      <c r="I1366" s="93"/>
      <c r="T1366" s="95"/>
      <c r="V1366" s="96"/>
      <c r="W1366" s="95"/>
      <c r="X1366" s="96"/>
    </row>
    <row r="1367" spans="3:24" s="92" customFormat="1" x14ac:dyDescent="0.2">
      <c r="C1367" s="93"/>
      <c r="D1367" s="94"/>
      <c r="G1367" s="93"/>
      <c r="I1367" s="93"/>
      <c r="T1367" s="95"/>
      <c r="V1367" s="96"/>
      <c r="W1367" s="95"/>
      <c r="X1367" s="96"/>
    </row>
    <row r="1368" spans="3:24" s="92" customFormat="1" x14ac:dyDescent="0.2">
      <c r="C1368" s="93"/>
      <c r="D1368" s="94"/>
      <c r="G1368" s="93"/>
      <c r="I1368" s="93"/>
      <c r="T1368" s="95"/>
      <c r="V1368" s="96"/>
      <c r="W1368" s="95"/>
      <c r="X1368" s="96"/>
    </row>
    <row r="1369" spans="3:24" s="92" customFormat="1" x14ac:dyDescent="0.2">
      <c r="C1369" s="93"/>
      <c r="D1369" s="94"/>
      <c r="G1369" s="93"/>
      <c r="I1369" s="93"/>
      <c r="T1369" s="95"/>
      <c r="V1369" s="96"/>
      <c r="W1369" s="95"/>
      <c r="X1369" s="96"/>
    </row>
    <row r="1370" spans="3:24" s="92" customFormat="1" x14ac:dyDescent="0.2">
      <c r="C1370" s="93"/>
      <c r="D1370" s="94"/>
      <c r="G1370" s="93"/>
      <c r="I1370" s="93"/>
      <c r="T1370" s="95"/>
      <c r="V1370" s="96"/>
      <c r="W1370" s="95"/>
      <c r="X1370" s="96"/>
    </row>
    <row r="1371" spans="3:24" s="92" customFormat="1" x14ac:dyDescent="0.2">
      <c r="C1371" s="93"/>
      <c r="D1371" s="94"/>
      <c r="G1371" s="93"/>
      <c r="I1371" s="93"/>
      <c r="T1371" s="95"/>
      <c r="V1371" s="96"/>
      <c r="W1371" s="95"/>
      <c r="X1371" s="96"/>
    </row>
    <row r="1372" spans="3:24" s="92" customFormat="1" x14ac:dyDescent="0.2">
      <c r="C1372" s="93"/>
      <c r="D1372" s="94"/>
      <c r="G1372" s="93"/>
      <c r="I1372" s="93"/>
      <c r="T1372" s="95"/>
      <c r="V1372" s="96"/>
      <c r="W1372" s="95"/>
      <c r="X1372" s="96"/>
    </row>
    <row r="1373" spans="3:24" s="92" customFormat="1" x14ac:dyDescent="0.2">
      <c r="C1373" s="93"/>
      <c r="D1373" s="94"/>
      <c r="G1373" s="93"/>
      <c r="I1373" s="93"/>
      <c r="T1373" s="95"/>
      <c r="V1373" s="96"/>
      <c r="W1373" s="95"/>
      <c r="X1373" s="96"/>
    </row>
    <row r="1374" spans="3:24" s="92" customFormat="1" x14ac:dyDescent="0.2">
      <c r="C1374" s="93"/>
      <c r="D1374" s="94"/>
      <c r="G1374" s="93"/>
      <c r="I1374" s="93"/>
      <c r="T1374" s="95"/>
      <c r="V1374" s="96"/>
      <c r="W1374" s="95"/>
      <c r="X1374" s="96"/>
    </row>
    <row r="1375" spans="3:24" s="92" customFormat="1" x14ac:dyDescent="0.2">
      <c r="C1375" s="93"/>
      <c r="D1375" s="94"/>
      <c r="G1375" s="93"/>
      <c r="I1375" s="93"/>
      <c r="T1375" s="95"/>
      <c r="V1375" s="96"/>
      <c r="W1375" s="95"/>
      <c r="X1375" s="96"/>
    </row>
    <row r="1376" spans="3:24" s="92" customFormat="1" x14ac:dyDescent="0.2">
      <c r="C1376" s="93"/>
      <c r="D1376" s="94"/>
      <c r="G1376" s="93"/>
      <c r="I1376" s="93"/>
      <c r="T1376" s="95"/>
      <c r="V1376" s="96"/>
      <c r="W1376" s="95"/>
      <c r="X1376" s="96"/>
    </row>
    <row r="1377" spans="3:24" s="92" customFormat="1" x14ac:dyDescent="0.2">
      <c r="C1377" s="93"/>
      <c r="D1377" s="94"/>
      <c r="G1377" s="93"/>
      <c r="I1377" s="93"/>
      <c r="T1377" s="95"/>
      <c r="V1377" s="96"/>
      <c r="W1377" s="95"/>
      <c r="X1377" s="96"/>
    </row>
    <row r="1378" spans="3:24" s="92" customFormat="1" x14ac:dyDescent="0.2">
      <c r="C1378" s="93"/>
      <c r="D1378" s="94"/>
      <c r="G1378" s="93"/>
      <c r="I1378" s="93"/>
      <c r="T1378" s="95"/>
      <c r="V1378" s="96"/>
      <c r="W1378" s="95"/>
      <c r="X1378" s="96"/>
    </row>
    <row r="1379" spans="3:24" s="92" customFormat="1" x14ac:dyDescent="0.2">
      <c r="C1379" s="93"/>
      <c r="D1379" s="94"/>
      <c r="G1379" s="93"/>
      <c r="I1379" s="93"/>
      <c r="T1379" s="95"/>
      <c r="V1379" s="96"/>
      <c r="W1379" s="95"/>
      <c r="X1379" s="96"/>
    </row>
    <row r="1380" spans="3:24" s="92" customFormat="1" x14ac:dyDescent="0.2">
      <c r="C1380" s="93"/>
      <c r="D1380" s="94"/>
      <c r="G1380" s="93"/>
      <c r="I1380" s="93"/>
      <c r="T1380" s="95"/>
      <c r="V1380" s="96"/>
      <c r="W1380" s="95"/>
      <c r="X1380" s="96"/>
    </row>
    <row r="1381" spans="3:24" s="92" customFormat="1" x14ac:dyDescent="0.2">
      <c r="C1381" s="93"/>
      <c r="D1381" s="94"/>
      <c r="G1381" s="93"/>
      <c r="I1381" s="93"/>
      <c r="T1381" s="95"/>
      <c r="V1381" s="96"/>
      <c r="W1381" s="95"/>
      <c r="X1381" s="96"/>
    </row>
    <row r="1382" spans="3:24" s="92" customFormat="1" x14ac:dyDescent="0.2">
      <c r="C1382" s="93"/>
      <c r="D1382" s="94"/>
      <c r="G1382" s="93"/>
      <c r="I1382" s="93"/>
      <c r="T1382" s="95"/>
      <c r="V1382" s="96"/>
      <c r="W1382" s="95"/>
      <c r="X1382" s="96"/>
    </row>
    <row r="1383" spans="3:24" s="92" customFormat="1" x14ac:dyDescent="0.2">
      <c r="C1383" s="93"/>
      <c r="D1383" s="94"/>
      <c r="G1383" s="93"/>
      <c r="I1383" s="93"/>
      <c r="T1383" s="95"/>
      <c r="V1383" s="96"/>
      <c r="W1383" s="95"/>
      <c r="X1383" s="96"/>
    </row>
    <row r="1384" spans="3:24" s="92" customFormat="1" x14ac:dyDescent="0.2">
      <c r="C1384" s="93"/>
      <c r="D1384" s="94"/>
      <c r="G1384" s="93"/>
      <c r="I1384" s="93"/>
      <c r="T1384" s="95"/>
      <c r="V1384" s="96"/>
      <c r="W1384" s="95"/>
      <c r="X1384" s="96"/>
    </row>
    <row r="1385" spans="3:24" s="92" customFormat="1" x14ac:dyDescent="0.2">
      <c r="C1385" s="93"/>
      <c r="D1385" s="94"/>
      <c r="G1385" s="93"/>
      <c r="I1385" s="93"/>
      <c r="T1385" s="95"/>
      <c r="V1385" s="96"/>
      <c r="W1385" s="95"/>
      <c r="X1385" s="96"/>
    </row>
    <row r="1386" spans="3:24" s="92" customFormat="1" x14ac:dyDescent="0.2">
      <c r="C1386" s="93"/>
      <c r="D1386" s="94"/>
      <c r="G1386" s="93"/>
      <c r="I1386" s="93"/>
      <c r="T1386" s="95"/>
      <c r="V1386" s="96"/>
      <c r="W1386" s="95"/>
      <c r="X1386" s="96"/>
    </row>
    <row r="1387" spans="3:24" s="92" customFormat="1" x14ac:dyDescent="0.2">
      <c r="C1387" s="93"/>
      <c r="D1387" s="94"/>
      <c r="G1387" s="93"/>
      <c r="I1387" s="93"/>
      <c r="T1387" s="95"/>
      <c r="V1387" s="96"/>
      <c r="W1387" s="95"/>
      <c r="X1387" s="96"/>
    </row>
    <row r="1388" spans="3:24" s="92" customFormat="1" x14ac:dyDescent="0.2">
      <c r="C1388" s="93"/>
      <c r="D1388" s="94"/>
      <c r="G1388" s="93"/>
      <c r="I1388" s="93"/>
      <c r="T1388" s="95"/>
      <c r="V1388" s="96"/>
      <c r="W1388" s="95"/>
      <c r="X1388" s="96"/>
    </row>
    <row r="1389" spans="3:24" s="92" customFormat="1" x14ac:dyDescent="0.2">
      <c r="C1389" s="93"/>
      <c r="D1389" s="94"/>
      <c r="G1389" s="93"/>
      <c r="I1389" s="93"/>
      <c r="T1389" s="95"/>
      <c r="V1389" s="96"/>
      <c r="W1389" s="95"/>
      <c r="X1389" s="96"/>
    </row>
    <row r="1390" spans="3:24" s="92" customFormat="1" x14ac:dyDescent="0.2">
      <c r="C1390" s="93"/>
      <c r="D1390" s="94"/>
      <c r="G1390" s="93"/>
      <c r="I1390" s="93"/>
      <c r="T1390" s="95"/>
      <c r="V1390" s="96"/>
      <c r="W1390" s="95"/>
      <c r="X1390" s="96"/>
    </row>
    <row r="1391" spans="3:24" s="92" customFormat="1" x14ac:dyDescent="0.2">
      <c r="C1391" s="93"/>
      <c r="D1391" s="94"/>
      <c r="G1391" s="93"/>
      <c r="I1391" s="93"/>
      <c r="T1391" s="95"/>
      <c r="V1391" s="96"/>
      <c r="W1391" s="95"/>
      <c r="X1391" s="96"/>
    </row>
    <row r="1392" spans="3:24" s="92" customFormat="1" ht="13.5" thickBot="1" x14ac:dyDescent="0.25">
      <c r="C1392" s="93"/>
      <c r="D1392" s="94"/>
      <c r="G1392" s="93"/>
      <c r="I1392" s="93"/>
      <c r="T1392" s="95"/>
      <c r="V1392" s="96"/>
      <c r="W1392" s="95"/>
      <c r="X1392" s="96"/>
    </row>
    <row r="1393" ht="13.5" thickBot="1" x14ac:dyDescent="0.25"/>
    <row r="1394" ht="13.5" thickBot="1" x14ac:dyDescent="0.25"/>
  </sheetData>
  <sheetProtection selectLockedCells="1" selectUnlockedCells="1"/>
  <mergeCells count="119">
    <mergeCell ref="A1:B1"/>
    <mergeCell ref="A3:B3"/>
    <mergeCell ref="A4:A6"/>
    <mergeCell ref="B4:B6"/>
    <mergeCell ref="C4:J5"/>
    <mergeCell ref="K4:S5"/>
    <mergeCell ref="W4:X4"/>
    <mergeCell ref="G6:J6"/>
    <mergeCell ref="P6:S6"/>
    <mergeCell ref="B36:X36"/>
    <mergeCell ref="A49:X49"/>
    <mergeCell ref="T4:V4"/>
    <mergeCell ref="B7:X7"/>
    <mergeCell ref="B50:X50"/>
    <mergeCell ref="B78:X78"/>
    <mergeCell ref="A91:X91"/>
    <mergeCell ref="B92:X92"/>
    <mergeCell ref="B93:X93"/>
    <mergeCell ref="B133:X133"/>
    <mergeCell ref="B262:X262"/>
    <mergeCell ref="B275:X275"/>
    <mergeCell ref="B276:X276"/>
    <mergeCell ref="A635:X635"/>
    <mergeCell ref="A693:X693"/>
    <mergeCell ref="B316:X316"/>
    <mergeCell ref="B442:X442"/>
    <mergeCell ref="B455:X455"/>
    <mergeCell ref="B456:X456"/>
    <mergeCell ref="B496:X496"/>
    <mergeCell ref="B694:X694"/>
    <mergeCell ref="B805:X805"/>
    <mergeCell ref="B813:X813"/>
    <mergeCell ref="A818:X818"/>
    <mergeCell ref="B824:X824"/>
    <mergeCell ref="B864:X864"/>
    <mergeCell ref="B750:X750"/>
    <mergeCell ref="B1164:X1164"/>
    <mergeCell ref="B1197:X1197"/>
    <mergeCell ref="B890:X890"/>
    <mergeCell ref="B931:X931"/>
    <mergeCell ref="B968:X968"/>
    <mergeCell ref="B994:X994"/>
    <mergeCell ref="B1000:X1000"/>
    <mergeCell ref="B1053:X1053"/>
    <mergeCell ref="B1036:X1036"/>
    <mergeCell ref="C1209:E1209"/>
    <mergeCell ref="K1209:N1209"/>
    <mergeCell ref="C1201:E1201"/>
    <mergeCell ref="C1202:E1202"/>
    <mergeCell ref="C1203:E1203"/>
    <mergeCell ref="C1204:E1204"/>
    <mergeCell ref="C1206:E1206"/>
    <mergeCell ref="C1207:E1207"/>
    <mergeCell ref="C1208:E1208"/>
    <mergeCell ref="C1210:E1210"/>
    <mergeCell ref="K1210:N1210"/>
    <mergeCell ref="C1211:E1211"/>
    <mergeCell ref="K1211:N1211"/>
    <mergeCell ref="C1212:E1212"/>
    <mergeCell ref="K1212:N1212"/>
    <mergeCell ref="C1213:E1213"/>
    <mergeCell ref="K1213:N1213"/>
    <mergeCell ref="C1214:E1214"/>
    <mergeCell ref="B1215:X1215"/>
    <mergeCell ref="C1216:E1216"/>
    <mergeCell ref="K1216:N1216"/>
    <mergeCell ref="C1217:E1217"/>
    <mergeCell ref="K1217:N1217"/>
    <mergeCell ref="B1218:X1218"/>
    <mergeCell ref="B1219:X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A1232:X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A1264:K1264"/>
    <mergeCell ref="C1253:D1253"/>
    <mergeCell ref="C1254:D1254"/>
    <mergeCell ref="C1255:D1255"/>
    <mergeCell ref="C1256:D1256"/>
    <mergeCell ref="A1262:Q1262"/>
    <mergeCell ref="B622:X622"/>
    <mergeCell ref="C1205:E1205"/>
    <mergeCell ref="B1198:X1198"/>
    <mergeCell ref="C1199:E1199"/>
    <mergeCell ref="K1199:N1199"/>
    <mergeCell ref="C1200:E1200"/>
    <mergeCell ref="B1068:X1068"/>
    <mergeCell ref="B1087:X1087"/>
    <mergeCell ref="B1096:X1096"/>
    <mergeCell ref="B1130:X1130"/>
  </mergeCells>
  <pageMargins left="0" right="0" top="0" bottom="0" header="0.51181102362204722" footer="0.51181102362204722"/>
  <pageSetup paperSize="9" scale="10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"/>
  <sheetViews>
    <sheetView topLeftCell="A2" zoomScale="80" zoomScaleNormal="80" workbookViewId="0">
      <selection activeCell="W8" sqref="W8:W22"/>
    </sheetView>
  </sheetViews>
  <sheetFormatPr defaultColWidth="8.85546875" defaultRowHeight="12.75" x14ac:dyDescent="0.2"/>
  <cols>
    <col min="5" max="5" width="11.42578125" customWidth="1"/>
    <col min="24" max="24" width="27.42578125" customWidth="1"/>
  </cols>
  <sheetData>
    <row r="1" spans="1:24" x14ac:dyDescent="0.2">
      <c r="A1" s="8"/>
      <c r="B1" s="121" t="s">
        <v>251</v>
      </c>
      <c r="C1" s="121"/>
      <c r="D1" s="121"/>
      <c r="E1" s="8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22" t="s">
        <v>0</v>
      </c>
    </row>
    <row r="2" spans="1:24" x14ac:dyDescent="0.2">
      <c r="A2" s="8"/>
      <c r="B2" s="123" t="s">
        <v>252</v>
      </c>
      <c r="C2" s="123"/>
      <c r="D2" s="8" t="s">
        <v>253</v>
      </c>
      <c r="E2" s="8"/>
      <c r="F2" s="8"/>
      <c r="G2" s="8"/>
      <c r="H2" s="167" t="s">
        <v>3</v>
      </c>
      <c r="I2" s="167"/>
      <c r="J2" s="16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22" t="s">
        <v>254</v>
      </c>
    </row>
    <row r="3" spans="1:2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68" t="s">
        <v>383</v>
      </c>
    </row>
    <row r="4" spans="1:24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ht="15.75" thickBot="1" x14ac:dyDescent="0.3">
      <c r="A5" s="1041" t="s">
        <v>543</v>
      </c>
      <c r="B5" s="1041"/>
      <c r="C5" s="1041"/>
      <c r="D5" s="1041"/>
      <c r="E5" s="1041"/>
      <c r="F5" s="1041"/>
      <c r="G5" s="1041"/>
      <c r="H5" s="1041"/>
      <c r="I5" s="1041"/>
      <c r="J5" s="1041"/>
      <c r="K5" s="1041"/>
      <c r="L5" s="1041"/>
      <c r="M5" s="1041"/>
      <c r="N5" s="1041"/>
      <c r="O5" s="1041"/>
      <c r="P5" s="1041"/>
      <c r="Q5" s="1041"/>
      <c r="R5" s="1041"/>
      <c r="S5" s="1041"/>
      <c r="T5" s="1041"/>
      <c r="U5" s="1041"/>
      <c r="V5" s="1041"/>
      <c r="W5" s="1041"/>
    </row>
    <row r="6" spans="1:24" ht="27.75" customHeight="1" thickTop="1" thickBot="1" x14ac:dyDescent="0.25">
      <c r="A6" s="1042" t="s">
        <v>3</v>
      </c>
      <c r="B6" s="1044" t="s">
        <v>255</v>
      </c>
      <c r="C6" s="1045"/>
      <c r="D6" s="1045"/>
      <c r="E6" s="1045"/>
      <c r="F6" s="1048" t="s">
        <v>256</v>
      </c>
      <c r="G6" s="1049"/>
      <c r="H6" s="1049"/>
      <c r="I6" s="1000" t="s">
        <v>257</v>
      </c>
      <c r="J6" s="1001"/>
      <c r="K6" s="1001"/>
      <c r="L6" s="1001"/>
      <c r="M6" s="1002"/>
      <c r="N6" s="1050" t="s">
        <v>399</v>
      </c>
      <c r="O6" s="1051"/>
      <c r="P6" s="1052"/>
      <c r="Q6" s="1053" t="s">
        <v>258</v>
      </c>
      <c r="R6" s="1054"/>
      <c r="S6" s="1054"/>
      <c r="T6" s="1033" t="s">
        <v>259</v>
      </c>
      <c r="U6" s="1033" t="s">
        <v>260</v>
      </c>
      <c r="V6" s="1035" t="s">
        <v>261</v>
      </c>
      <c r="W6" s="1031" t="s">
        <v>134</v>
      </c>
      <c r="X6" s="1037" t="s">
        <v>541</v>
      </c>
    </row>
    <row r="7" spans="1:24" ht="54" customHeight="1" thickTop="1" thickBot="1" x14ac:dyDescent="0.25">
      <c r="A7" s="1043"/>
      <c r="B7" s="1046"/>
      <c r="C7" s="1047"/>
      <c r="D7" s="1047"/>
      <c r="E7" s="1047"/>
      <c r="F7" s="124" t="s">
        <v>262</v>
      </c>
      <c r="G7" s="124" t="s">
        <v>12</v>
      </c>
      <c r="H7" s="124" t="s">
        <v>13</v>
      </c>
      <c r="I7" s="177" t="s">
        <v>390</v>
      </c>
      <c r="J7" s="177" t="s">
        <v>391</v>
      </c>
      <c r="K7" s="177" t="s">
        <v>392</v>
      </c>
      <c r="L7" s="177" t="s">
        <v>393</v>
      </c>
      <c r="M7" s="177" t="s">
        <v>394</v>
      </c>
      <c r="N7" s="200" t="s">
        <v>262</v>
      </c>
      <c r="O7" s="200" t="s">
        <v>11</v>
      </c>
      <c r="P7" s="200" t="s">
        <v>13</v>
      </c>
      <c r="Q7" s="124" t="s">
        <v>262</v>
      </c>
      <c r="R7" s="124" t="s">
        <v>11</v>
      </c>
      <c r="S7" s="124" t="s">
        <v>13</v>
      </c>
      <c r="T7" s="1034"/>
      <c r="U7" s="1034"/>
      <c r="V7" s="1036"/>
      <c r="W7" s="1032"/>
      <c r="X7" s="1038"/>
    </row>
    <row r="8" spans="1:24" ht="27.75" customHeight="1" thickTop="1" thickBot="1" x14ac:dyDescent="0.3">
      <c r="A8" s="175">
        <v>1</v>
      </c>
      <c r="B8" s="1018" t="str">
        <f>'Задание '!B37</f>
        <v>"Сокол-пай" пастила глазир. с ароматом апельсина 40гр 28шт</v>
      </c>
      <c r="C8" s="1019"/>
      <c r="D8" s="1019"/>
      <c r="E8" s="1020"/>
      <c r="F8" s="178">
        <f>'Задание '!C37</f>
        <v>0</v>
      </c>
      <c r="G8" s="179">
        <f>'Задание '!D37</f>
        <v>0</v>
      </c>
      <c r="H8" s="180">
        <f>'Задание '!E37</f>
        <v>0</v>
      </c>
      <c r="I8" s="181">
        <f>'Задание '!V37</f>
        <v>0</v>
      </c>
      <c r="J8" s="182"/>
      <c r="K8" s="183"/>
      <c r="L8" s="184"/>
      <c r="M8" s="184"/>
      <c r="N8" s="201">
        <f t="shared" ref="N8:P10" si="0">Q8-F8</f>
        <v>0</v>
      </c>
      <c r="O8" s="201">
        <f t="shared" si="0"/>
        <v>0</v>
      </c>
      <c r="P8" s="201">
        <f t="shared" si="0"/>
        <v>0</v>
      </c>
      <c r="Q8" s="193"/>
      <c r="R8" s="194"/>
      <c r="S8" s="194"/>
      <c r="T8" s="126" t="s">
        <v>13</v>
      </c>
      <c r="U8" s="197"/>
      <c r="V8" s="169">
        <f>U8*S8+U8*R8</f>
        <v>0</v>
      </c>
      <c r="W8" s="1039">
        <f>SUM(V8:V22)</f>
        <v>0</v>
      </c>
      <c r="X8" s="223"/>
    </row>
    <row r="9" spans="1:24" ht="27.75" customHeight="1" thickTop="1" thickBot="1" x14ac:dyDescent="0.3">
      <c r="A9" s="175">
        <v>2</v>
      </c>
      <c r="B9" s="1018" t="str">
        <f>'Задание '!B38</f>
        <v>"Сокол-пай" пастила глазир. с ароматом банана 40гр 28шт</v>
      </c>
      <c r="C9" s="1019"/>
      <c r="D9" s="1019"/>
      <c r="E9" s="1020"/>
      <c r="F9" s="178">
        <f>'Задание '!C38</f>
        <v>0</v>
      </c>
      <c r="G9" s="179">
        <f>'Задание '!D38</f>
        <v>0</v>
      </c>
      <c r="H9" s="180">
        <f>'Задание '!E38</f>
        <v>0</v>
      </c>
      <c r="I9" s="181">
        <f>'Задание '!V38</f>
        <v>0</v>
      </c>
      <c r="J9" s="182"/>
      <c r="K9" s="183"/>
      <c r="L9" s="184"/>
      <c r="M9" s="184"/>
      <c r="N9" s="201">
        <f t="shared" si="0"/>
        <v>0</v>
      </c>
      <c r="O9" s="201">
        <f t="shared" si="0"/>
        <v>0</v>
      </c>
      <c r="P9" s="201">
        <f t="shared" si="0"/>
        <v>0</v>
      </c>
      <c r="Q9" s="193"/>
      <c r="R9" s="194"/>
      <c r="S9" s="194"/>
      <c r="T9" s="126" t="s">
        <v>13</v>
      </c>
      <c r="U9" s="197"/>
      <c r="V9" s="169">
        <f>U9*S9+U9*R9</f>
        <v>0</v>
      </c>
      <c r="W9" s="1039"/>
      <c r="X9" s="223"/>
    </row>
    <row r="10" spans="1:24" ht="30.75" customHeight="1" thickTop="1" thickBot="1" x14ac:dyDescent="0.3">
      <c r="A10" s="175">
        <v>3</v>
      </c>
      <c r="B10" s="1018" t="str">
        <f>'Задание '!B39</f>
        <v>"Сокол-пай" пастила глазир. с ароматом кокоса 40гр 28шт</v>
      </c>
      <c r="C10" s="1019"/>
      <c r="D10" s="1019"/>
      <c r="E10" s="1020"/>
      <c r="F10" s="178">
        <f>'Задание '!C39</f>
        <v>0</v>
      </c>
      <c r="G10" s="179">
        <f>'Задание '!D39</f>
        <v>0</v>
      </c>
      <c r="H10" s="180">
        <f>'Задание '!E39</f>
        <v>0</v>
      </c>
      <c r="I10" s="181">
        <f>'Задание '!V39</f>
        <v>0</v>
      </c>
      <c r="J10" s="182"/>
      <c r="K10" s="183"/>
      <c r="L10" s="184"/>
      <c r="M10" s="184"/>
      <c r="N10" s="201">
        <f t="shared" si="0"/>
        <v>0</v>
      </c>
      <c r="O10" s="201">
        <f t="shared" si="0"/>
        <v>0</v>
      </c>
      <c r="P10" s="201">
        <f t="shared" si="0"/>
        <v>0</v>
      </c>
      <c r="Q10" s="193"/>
      <c r="R10" s="194"/>
      <c r="S10" s="194"/>
      <c r="T10" s="126" t="s">
        <v>13</v>
      </c>
      <c r="U10" s="197"/>
      <c r="V10" s="169">
        <f t="shared" ref="V10:V22" si="1">U10*S10+U10*R10</f>
        <v>0</v>
      </c>
      <c r="W10" s="1039"/>
      <c r="X10" s="223"/>
    </row>
    <row r="11" spans="1:24" ht="27.75" customHeight="1" thickTop="1" thickBot="1" x14ac:dyDescent="0.3">
      <c r="A11" s="175">
        <v>4</v>
      </c>
      <c r="B11" s="1018" t="str">
        <f>'Задание '!B40</f>
        <v>Конфета со сбивным корпусом "Сокол" с арахисом с ароматом ванили 100 г</v>
      </c>
      <c r="C11" s="1019"/>
      <c r="D11" s="1019"/>
      <c r="E11" s="1020"/>
      <c r="F11" s="178">
        <f>'Задание '!C40</f>
        <v>0</v>
      </c>
      <c r="G11" s="179">
        <f>'Задание '!D40</f>
        <v>0</v>
      </c>
      <c r="H11" s="180">
        <f>'Задание '!E40</f>
        <v>0</v>
      </c>
      <c r="I11" s="181">
        <f>'Задание '!V40</f>
        <v>0</v>
      </c>
      <c r="J11" s="182"/>
      <c r="K11" s="185"/>
      <c r="L11" s="186"/>
      <c r="M11" s="186"/>
      <c r="N11" s="201">
        <f t="shared" ref="N11:P22" si="2">Q11-F11</f>
        <v>0</v>
      </c>
      <c r="O11" s="201">
        <f t="shared" si="2"/>
        <v>0</v>
      </c>
      <c r="P11" s="201">
        <f t="shared" si="2"/>
        <v>0</v>
      </c>
      <c r="Q11" s="193"/>
      <c r="R11" s="194"/>
      <c r="S11" s="194"/>
      <c r="T11" s="126" t="s">
        <v>13</v>
      </c>
      <c r="U11" s="197"/>
      <c r="V11" s="169">
        <f t="shared" si="1"/>
        <v>0</v>
      </c>
      <c r="W11" s="1039"/>
      <c r="X11" s="223"/>
    </row>
    <row r="12" spans="1:24" ht="47.25" customHeight="1" thickTop="1" thickBot="1" x14ac:dyDescent="0.3">
      <c r="A12" s="175">
        <v>5</v>
      </c>
      <c r="B12" s="1018" t="str">
        <f>'Задание '!B41</f>
        <v>Конфета со сбивным корпусом "Сокол" в шокладной глазури  с арахисом с ароматом ванили 120 г</v>
      </c>
      <c r="C12" s="1019"/>
      <c r="D12" s="1019"/>
      <c r="E12" s="1020"/>
      <c r="F12" s="178">
        <f>'Задание '!C41</f>
        <v>0</v>
      </c>
      <c r="G12" s="179">
        <f>'Задание '!D41</f>
        <v>0</v>
      </c>
      <c r="H12" s="180">
        <f>'Задание '!E41</f>
        <v>0</v>
      </c>
      <c r="I12" s="181">
        <f>'Задание '!V41</f>
        <v>0</v>
      </c>
      <c r="J12" s="182"/>
      <c r="K12" s="185"/>
      <c r="L12" s="186"/>
      <c r="M12" s="186"/>
      <c r="N12" s="201">
        <f t="shared" si="2"/>
        <v>0</v>
      </c>
      <c r="O12" s="201">
        <f t="shared" si="2"/>
        <v>0</v>
      </c>
      <c r="P12" s="201">
        <f t="shared" si="2"/>
        <v>0</v>
      </c>
      <c r="Q12" s="193"/>
      <c r="R12" s="194"/>
      <c r="S12" s="194"/>
      <c r="T12" s="126" t="s">
        <v>13</v>
      </c>
      <c r="U12" s="197"/>
      <c r="V12" s="169">
        <f t="shared" si="1"/>
        <v>0</v>
      </c>
      <c r="W12" s="1039"/>
      <c r="X12" s="223"/>
    </row>
    <row r="13" spans="1:24" ht="25.5" customHeight="1" thickTop="1" thickBot="1" x14ac:dyDescent="0.3">
      <c r="A13" s="175">
        <v>6</v>
      </c>
      <c r="B13" s="1018" t="str">
        <f>'Задание '!B42</f>
        <v>Пастила "Сокол" с арахисом с ароматом ванили 4,8 кг (6 шт)</v>
      </c>
      <c r="C13" s="1019"/>
      <c r="D13" s="1019"/>
      <c r="E13" s="1019"/>
      <c r="F13" s="178">
        <f>'Задание '!C42</f>
        <v>0</v>
      </c>
      <c r="G13" s="179">
        <f>'Задание '!D42</f>
        <v>0</v>
      </c>
      <c r="H13" s="180">
        <f>'Задание '!E42</f>
        <v>0</v>
      </c>
      <c r="I13" s="181">
        <f>'Задание '!V42</f>
        <v>0</v>
      </c>
      <c r="J13" s="182"/>
      <c r="K13" s="185"/>
      <c r="L13" s="186"/>
      <c r="M13" s="186"/>
      <c r="N13" s="201">
        <f t="shared" si="2"/>
        <v>0</v>
      </c>
      <c r="O13" s="201">
        <f t="shared" si="2"/>
        <v>0</v>
      </c>
      <c r="P13" s="201">
        <f t="shared" si="2"/>
        <v>0</v>
      </c>
      <c r="Q13" s="193"/>
      <c r="R13" s="194"/>
      <c r="S13" s="194"/>
      <c r="T13" s="126" t="s">
        <v>13</v>
      </c>
      <c r="U13" s="197"/>
      <c r="V13" s="169">
        <f t="shared" si="1"/>
        <v>0</v>
      </c>
      <c r="W13" s="1039"/>
      <c r="X13" s="223"/>
    </row>
    <row r="14" spans="1:24" ht="26.25" customHeight="1" thickTop="1" thickBot="1" x14ac:dyDescent="0.3">
      <c r="A14" s="175">
        <v>7</v>
      </c>
      <c r="B14" s="1018" t="str">
        <f>'Задание '!B43</f>
        <v>Пастила "Сокол" с ароматом апельсина 4,0 кг</v>
      </c>
      <c r="C14" s="1019"/>
      <c r="D14" s="1019"/>
      <c r="E14" s="1019"/>
      <c r="F14" s="178">
        <f>'Задание '!C43</f>
        <v>0</v>
      </c>
      <c r="G14" s="179">
        <f>'Задание '!D43</f>
        <v>0</v>
      </c>
      <c r="H14" s="180">
        <f>'Задание '!E43</f>
        <v>0</v>
      </c>
      <c r="I14" s="181">
        <f>'Задание '!V43</f>
        <v>0</v>
      </c>
      <c r="J14" s="182"/>
      <c r="K14" s="185"/>
      <c r="L14" s="186"/>
      <c r="M14" s="186"/>
      <c r="N14" s="201">
        <f t="shared" si="2"/>
        <v>0</v>
      </c>
      <c r="O14" s="201">
        <f t="shared" si="2"/>
        <v>0</v>
      </c>
      <c r="P14" s="201">
        <f t="shared" si="2"/>
        <v>0</v>
      </c>
      <c r="Q14" s="193"/>
      <c r="R14" s="194"/>
      <c r="S14" s="194"/>
      <c r="T14" s="126" t="s">
        <v>13</v>
      </c>
      <c r="U14" s="197"/>
      <c r="V14" s="169">
        <f t="shared" si="1"/>
        <v>0</v>
      </c>
      <c r="W14" s="1039"/>
      <c r="X14" s="223"/>
    </row>
    <row r="15" spans="1:24" ht="24" customHeight="1" thickTop="1" thickBot="1" x14ac:dyDescent="0.3">
      <c r="A15" s="175">
        <v>8</v>
      </c>
      <c r="B15" s="1018" t="str">
        <f>'Задание '!B44</f>
        <v>Пастила "Сокол" с ароматом банана 4,0 кг</v>
      </c>
      <c r="C15" s="1019"/>
      <c r="D15" s="1019"/>
      <c r="E15" s="1019"/>
      <c r="F15" s="178">
        <f>'Задание '!C44</f>
        <v>0</v>
      </c>
      <c r="G15" s="179">
        <f>'Задание '!D44</f>
        <v>0</v>
      </c>
      <c r="H15" s="180">
        <f>'Задание '!E44</f>
        <v>0</v>
      </c>
      <c r="I15" s="181">
        <f>'Задание '!V44</f>
        <v>0</v>
      </c>
      <c r="J15" s="182"/>
      <c r="K15" s="185"/>
      <c r="L15" s="186"/>
      <c r="M15" s="186"/>
      <c r="N15" s="201">
        <f t="shared" si="2"/>
        <v>0</v>
      </c>
      <c r="O15" s="201">
        <f t="shared" si="2"/>
        <v>0</v>
      </c>
      <c r="P15" s="201">
        <f t="shared" si="2"/>
        <v>0</v>
      </c>
      <c r="Q15" s="193"/>
      <c r="R15" s="194"/>
      <c r="S15" s="194"/>
      <c r="T15" s="126" t="s">
        <v>13</v>
      </c>
      <c r="U15" s="197"/>
      <c r="V15" s="169">
        <f t="shared" si="1"/>
        <v>0</v>
      </c>
      <c r="W15" s="1039"/>
      <c r="X15" s="223"/>
    </row>
    <row r="16" spans="1:24" ht="26.25" customHeight="1" thickTop="1" thickBot="1" x14ac:dyDescent="0.3">
      <c r="A16" s="175">
        <v>9</v>
      </c>
      <c r="B16" s="1018" t="str">
        <f>'Задание '!B45</f>
        <v>Пастила "Сокол" с ароматом кокоса 4,0 кг</v>
      </c>
      <c r="C16" s="1019"/>
      <c r="D16" s="1019"/>
      <c r="E16" s="1019"/>
      <c r="F16" s="178">
        <f>'Задание '!C45</f>
        <v>0</v>
      </c>
      <c r="G16" s="179">
        <f>'Задание '!D45</f>
        <v>0</v>
      </c>
      <c r="H16" s="180">
        <f>'Задание '!E45</f>
        <v>0</v>
      </c>
      <c r="I16" s="181">
        <f>'Задание '!V45</f>
        <v>0</v>
      </c>
      <c r="J16" s="182"/>
      <c r="K16" s="185"/>
      <c r="L16" s="186"/>
      <c r="M16" s="186"/>
      <c r="N16" s="201">
        <f t="shared" si="2"/>
        <v>0</v>
      </c>
      <c r="O16" s="201">
        <f t="shared" si="2"/>
        <v>0</v>
      </c>
      <c r="P16" s="201">
        <f t="shared" si="2"/>
        <v>0</v>
      </c>
      <c r="Q16" s="193"/>
      <c r="R16" s="194"/>
      <c r="S16" s="194"/>
      <c r="T16" s="126" t="s">
        <v>13</v>
      </c>
      <c r="U16" s="197"/>
      <c r="V16" s="169">
        <f t="shared" si="1"/>
        <v>0</v>
      </c>
      <c r="W16" s="1039"/>
      <c r="X16" s="223"/>
    </row>
    <row r="17" spans="1:24" ht="24.75" customHeight="1" thickTop="1" thickBot="1" x14ac:dyDescent="0.3">
      <c r="A17" s="175">
        <v>10</v>
      </c>
      <c r="B17" s="1018" t="str">
        <f>'Задание '!B46</f>
        <v>Пастила с арахисом 5 кг</v>
      </c>
      <c r="C17" s="1019"/>
      <c r="D17" s="1019"/>
      <c r="E17" s="1019"/>
      <c r="F17" s="178">
        <f>'Задание '!C46</f>
        <v>0</v>
      </c>
      <c r="G17" s="179">
        <f>'Задание '!D46</f>
        <v>0</v>
      </c>
      <c r="H17" s="180">
        <f>'Задание '!E46</f>
        <v>0</v>
      </c>
      <c r="I17" s="181"/>
      <c r="J17" s="182"/>
      <c r="K17" s="185"/>
      <c r="L17" s="186"/>
      <c r="M17" s="186"/>
      <c r="N17" s="201">
        <f t="shared" si="2"/>
        <v>0</v>
      </c>
      <c r="O17" s="201">
        <f t="shared" si="2"/>
        <v>0</v>
      </c>
      <c r="P17" s="201">
        <f t="shared" si="2"/>
        <v>0</v>
      </c>
      <c r="Q17" s="193"/>
      <c r="R17" s="194"/>
      <c r="S17" s="194"/>
      <c r="T17" s="126" t="s">
        <v>13</v>
      </c>
      <c r="U17" s="197"/>
      <c r="V17" s="169">
        <f t="shared" si="1"/>
        <v>0</v>
      </c>
      <c r="W17" s="1039"/>
      <c r="X17" s="223"/>
    </row>
    <row r="18" spans="1:24" ht="16.5" thickBot="1" x14ac:dyDescent="0.3">
      <c r="A18" s="175">
        <v>11</v>
      </c>
      <c r="B18" s="1018" t="s">
        <v>396</v>
      </c>
      <c r="C18" s="1019"/>
      <c r="D18" s="1019"/>
      <c r="E18" s="1020"/>
      <c r="F18" s="187"/>
      <c r="G18" s="188"/>
      <c r="H18" s="189"/>
      <c r="I18" s="181"/>
      <c r="J18" s="182"/>
      <c r="K18" s="182"/>
      <c r="L18" s="182"/>
      <c r="M18" s="182"/>
      <c r="N18" s="201">
        <f t="shared" si="2"/>
        <v>0</v>
      </c>
      <c r="O18" s="201">
        <f t="shared" si="2"/>
        <v>0</v>
      </c>
      <c r="P18" s="201">
        <f t="shared" si="2"/>
        <v>0</v>
      </c>
      <c r="Q18" s="195"/>
      <c r="R18" s="196"/>
      <c r="S18" s="196"/>
      <c r="T18" s="126" t="s">
        <v>395</v>
      </c>
      <c r="U18" s="197"/>
      <c r="V18" s="169">
        <f t="shared" si="1"/>
        <v>0</v>
      </c>
      <c r="W18" s="1039"/>
      <c r="X18" s="223"/>
    </row>
    <row r="19" spans="1:24" ht="16.5" thickBot="1" x14ac:dyDescent="0.3">
      <c r="A19" s="175">
        <v>12</v>
      </c>
      <c r="B19" s="1018" t="s">
        <v>397</v>
      </c>
      <c r="C19" s="1019"/>
      <c r="D19" s="1019"/>
      <c r="E19" s="1020"/>
      <c r="F19" s="187"/>
      <c r="G19" s="188"/>
      <c r="H19" s="189"/>
      <c r="I19" s="181"/>
      <c r="J19" s="182"/>
      <c r="K19" s="182"/>
      <c r="L19" s="182"/>
      <c r="M19" s="182"/>
      <c r="N19" s="201">
        <f t="shared" si="2"/>
        <v>0</v>
      </c>
      <c r="O19" s="201">
        <f t="shared" si="2"/>
        <v>0</v>
      </c>
      <c r="P19" s="201">
        <f t="shared" si="2"/>
        <v>0</v>
      </c>
      <c r="Q19" s="195"/>
      <c r="R19" s="196"/>
      <c r="S19" s="196"/>
      <c r="T19" s="126" t="s">
        <v>395</v>
      </c>
      <c r="U19" s="197"/>
      <c r="V19" s="169">
        <f t="shared" si="1"/>
        <v>0</v>
      </c>
      <c r="W19" s="1039"/>
      <c r="X19" s="223"/>
    </row>
    <row r="20" spans="1:24" ht="16.5" thickBot="1" x14ac:dyDescent="0.3">
      <c r="A20" s="175"/>
      <c r="B20" s="1018"/>
      <c r="C20" s="1019"/>
      <c r="D20" s="1019"/>
      <c r="E20" s="1020"/>
      <c r="F20" s="187"/>
      <c r="G20" s="188"/>
      <c r="H20" s="189"/>
      <c r="I20" s="181"/>
      <c r="J20" s="182"/>
      <c r="K20" s="182"/>
      <c r="L20" s="182"/>
      <c r="M20" s="182"/>
      <c r="N20" s="201">
        <f t="shared" si="2"/>
        <v>0</v>
      </c>
      <c r="O20" s="201">
        <f t="shared" si="2"/>
        <v>0</v>
      </c>
      <c r="P20" s="201">
        <f t="shared" si="2"/>
        <v>0</v>
      </c>
      <c r="Q20" s="195"/>
      <c r="R20" s="196"/>
      <c r="S20" s="196"/>
      <c r="T20" s="126"/>
      <c r="U20" s="197"/>
      <c r="V20" s="169">
        <f t="shared" si="1"/>
        <v>0</v>
      </c>
      <c r="W20" s="1039"/>
      <c r="X20" s="223"/>
    </row>
    <row r="21" spans="1:24" ht="16.5" thickBot="1" x14ac:dyDescent="0.3">
      <c r="A21" s="175"/>
      <c r="B21" s="1018"/>
      <c r="C21" s="1019"/>
      <c r="D21" s="1019"/>
      <c r="E21" s="1020"/>
      <c r="F21" s="187"/>
      <c r="G21" s="188"/>
      <c r="H21" s="189"/>
      <c r="I21" s="181"/>
      <c r="J21" s="182"/>
      <c r="K21" s="182"/>
      <c r="L21" s="182"/>
      <c r="M21" s="182"/>
      <c r="N21" s="201">
        <f t="shared" si="2"/>
        <v>0</v>
      </c>
      <c r="O21" s="201">
        <f t="shared" si="2"/>
        <v>0</v>
      </c>
      <c r="P21" s="201">
        <f t="shared" si="2"/>
        <v>0</v>
      </c>
      <c r="Q21" s="195"/>
      <c r="R21" s="196"/>
      <c r="S21" s="196"/>
      <c r="T21" s="126"/>
      <c r="U21" s="197"/>
      <c r="V21" s="169">
        <f t="shared" si="1"/>
        <v>0</v>
      </c>
      <c r="W21" s="1039"/>
      <c r="X21" s="223"/>
    </row>
    <row r="22" spans="1:24" ht="16.5" thickBot="1" x14ac:dyDescent="0.3">
      <c r="A22" s="175"/>
      <c r="B22" s="1018"/>
      <c r="C22" s="1019"/>
      <c r="D22" s="1019"/>
      <c r="E22" s="1020"/>
      <c r="F22" s="190"/>
      <c r="G22" s="191"/>
      <c r="H22" s="192"/>
      <c r="I22" s="181"/>
      <c r="J22" s="182"/>
      <c r="K22" s="182"/>
      <c r="L22" s="182"/>
      <c r="M22" s="182"/>
      <c r="N22" s="201">
        <f t="shared" si="2"/>
        <v>0</v>
      </c>
      <c r="O22" s="201">
        <f t="shared" si="2"/>
        <v>0</v>
      </c>
      <c r="P22" s="201">
        <f t="shared" si="2"/>
        <v>0</v>
      </c>
      <c r="Q22" s="198"/>
      <c r="R22" s="199"/>
      <c r="S22" s="199"/>
      <c r="T22" s="126"/>
      <c r="U22" s="197"/>
      <c r="V22" s="169">
        <f t="shared" si="1"/>
        <v>0</v>
      </c>
      <c r="W22" s="1040"/>
      <c r="X22" s="223"/>
    </row>
    <row r="23" spans="1:24" ht="15" x14ac:dyDescent="0.25">
      <c r="A23" s="121"/>
      <c r="B23" s="1021" t="s">
        <v>263</v>
      </c>
      <c r="C23" s="1021"/>
      <c r="D23" s="1021"/>
      <c r="E23" s="1021"/>
      <c r="F23" s="85"/>
      <c r="G23" s="85"/>
      <c r="H23" s="85"/>
      <c r="I23" s="85"/>
      <c r="J23" s="85"/>
      <c r="K23" s="85"/>
      <c r="L23" s="85"/>
      <c r="M23" s="121"/>
      <c r="N23" s="121"/>
      <c r="O23" s="121"/>
      <c r="P23" s="121"/>
      <c r="Q23" s="121"/>
      <c r="R23" s="170"/>
      <c r="S23" s="170"/>
      <c r="T23" s="170"/>
      <c r="U23" s="170"/>
      <c r="V23" s="170"/>
      <c r="W23" s="170"/>
    </row>
    <row r="24" spans="1:24" x14ac:dyDescent="0.2">
      <c r="A24" s="8"/>
      <c r="B24" s="8" t="s">
        <v>264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23"/>
      <c r="N24" s="123"/>
      <c r="O24" s="123"/>
      <c r="P24" s="123"/>
      <c r="Q24" s="123"/>
      <c r="R24" s="8"/>
      <c r="S24" s="8"/>
      <c r="T24" s="8"/>
      <c r="U24" s="8"/>
      <c r="V24" s="8"/>
      <c r="W24" s="8"/>
    </row>
    <row r="25" spans="1:24" ht="13.5" thickBo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23"/>
      <c r="N25" s="123"/>
      <c r="O25" s="123"/>
      <c r="P25" s="123"/>
      <c r="Q25" s="123"/>
      <c r="R25" s="8"/>
      <c r="S25" s="8"/>
      <c r="T25" s="8"/>
      <c r="U25" s="8"/>
      <c r="V25" s="8"/>
      <c r="W25" s="8"/>
    </row>
    <row r="26" spans="1:24" ht="13.5" thickBot="1" x14ac:dyDescent="0.25">
      <c r="A26" s="1022" t="s">
        <v>3</v>
      </c>
      <c r="B26" s="1023" t="s">
        <v>398</v>
      </c>
      <c r="C26" s="1024"/>
      <c r="D26" s="1025"/>
      <c r="E26" s="1029" t="s">
        <v>265</v>
      </c>
      <c r="F26" s="997" t="s">
        <v>266</v>
      </c>
      <c r="G26" s="998"/>
      <c r="H26" s="998"/>
      <c r="I26" s="999"/>
      <c r="J26" s="999"/>
      <c r="K26" s="999"/>
      <c r="L26" s="1000" t="s">
        <v>267</v>
      </c>
      <c r="M26" s="1001"/>
      <c r="N26" s="1001"/>
      <c r="O26" s="1001"/>
      <c r="P26" s="1001"/>
      <c r="Q26" s="1002"/>
      <c r="R26" s="1003" t="s">
        <v>268</v>
      </c>
      <c r="S26" s="1004" t="s">
        <v>269</v>
      </c>
      <c r="T26" s="1005"/>
      <c r="U26" s="1006"/>
      <c r="V26" s="1007" t="s">
        <v>134</v>
      </c>
      <c r="W26" s="1008" t="s">
        <v>270</v>
      </c>
    </row>
    <row r="27" spans="1:24" ht="60.75" thickBot="1" x14ac:dyDescent="0.25">
      <c r="A27" s="1022"/>
      <c r="B27" s="1026"/>
      <c r="C27" s="1027"/>
      <c r="D27" s="1028"/>
      <c r="E27" s="1030"/>
      <c r="F27" s="213" t="s">
        <v>271</v>
      </c>
      <c r="G27" s="214" t="s">
        <v>272</v>
      </c>
      <c r="H27" s="219" t="s">
        <v>273</v>
      </c>
      <c r="I27" s="1010" t="s">
        <v>134</v>
      </c>
      <c r="J27" s="1011"/>
      <c r="K27" s="1012"/>
      <c r="L27" s="1013" t="s">
        <v>274</v>
      </c>
      <c r="M27" s="1014"/>
      <c r="N27" s="1015" t="s">
        <v>275</v>
      </c>
      <c r="O27" s="1016"/>
      <c r="P27" s="1016"/>
      <c r="Q27" s="1017"/>
      <c r="R27" s="1003"/>
      <c r="S27" s="127" t="s">
        <v>278</v>
      </c>
      <c r="T27" s="127" t="s">
        <v>279</v>
      </c>
      <c r="U27" s="127" t="s">
        <v>384</v>
      </c>
      <c r="V27" s="1007"/>
      <c r="W27" s="1009"/>
    </row>
    <row r="28" spans="1:24" ht="15.75" thickBot="1" x14ac:dyDescent="0.3">
      <c r="A28" s="228">
        <v>1</v>
      </c>
      <c r="B28" s="992" t="s">
        <v>402</v>
      </c>
      <c r="C28" s="992"/>
      <c r="D28" s="993"/>
      <c r="E28" s="202"/>
      <c r="F28" s="215"/>
      <c r="G28" s="216"/>
      <c r="H28" s="217"/>
      <c r="I28" s="971">
        <f>SUM(F28:H28)</f>
        <v>0</v>
      </c>
      <c r="J28" s="972"/>
      <c r="K28" s="973"/>
      <c r="L28" s="960"/>
      <c r="M28" s="996"/>
      <c r="N28" s="962"/>
      <c r="O28" s="962"/>
      <c r="P28" s="962"/>
      <c r="Q28" s="962"/>
      <c r="R28" s="220" t="e">
        <f>$W$8/$F$280*F28*N28</f>
        <v>#DIV/0!</v>
      </c>
      <c r="S28" s="160" t="e">
        <f t="shared" ref="S28:S95" si="3">R28*0.125</f>
        <v>#DIV/0!</v>
      </c>
      <c r="T28" s="171" t="e">
        <f t="shared" ref="T28:T95" si="4">R28*0.05</f>
        <v>#DIV/0!</v>
      </c>
      <c r="U28" s="161" t="e">
        <f t="shared" ref="U28:U95" si="5">R28*0.125</f>
        <v>#DIV/0!</v>
      </c>
      <c r="V28" s="162" t="e">
        <f t="shared" ref="V28:V95" si="6">S28+T28+U28</f>
        <v>#DIV/0!</v>
      </c>
      <c r="W28" s="172" t="e">
        <f t="shared" ref="W28:W95" si="7">R28+V28</f>
        <v>#DIV/0!</v>
      </c>
    </row>
    <row r="29" spans="1:24" ht="15.75" thickBot="1" x14ac:dyDescent="0.3">
      <c r="A29" s="228">
        <v>2</v>
      </c>
      <c r="B29" s="992" t="s">
        <v>403</v>
      </c>
      <c r="C29" s="992"/>
      <c r="D29" s="993"/>
      <c r="E29" s="202"/>
      <c r="F29" s="215"/>
      <c r="G29" s="216"/>
      <c r="H29" s="217"/>
      <c r="I29" s="971">
        <f t="shared" ref="I29:I96" si="8">SUM(F29:H29)</f>
        <v>0</v>
      </c>
      <c r="J29" s="972"/>
      <c r="K29" s="973"/>
      <c r="L29" s="960"/>
      <c r="M29" s="961"/>
      <c r="N29" s="962"/>
      <c r="O29" s="962"/>
      <c r="P29" s="962"/>
      <c r="Q29" s="962"/>
      <c r="R29" s="220" t="e">
        <f t="shared" ref="R29:R96" si="9">$W$8/$F$280*F29*N29</f>
        <v>#DIV/0!</v>
      </c>
      <c r="S29" s="160" t="e">
        <f t="shared" si="3"/>
        <v>#DIV/0!</v>
      </c>
      <c r="T29" s="171" t="e">
        <f t="shared" si="4"/>
        <v>#DIV/0!</v>
      </c>
      <c r="U29" s="161" t="e">
        <f t="shared" si="5"/>
        <v>#DIV/0!</v>
      </c>
      <c r="V29" s="162" t="e">
        <f t="shared" si="6"/>
        <v>#DIV/0!</v>
      </c>
      <c r="W29" s="172" t="e">
        <f t="shared" si="7"/>
        <v>#DIV/0!</v>
      </c>
    </row>
    <row r="30" spans="1:24" ht="15.75" thickBot="1" x14ac:dyDescent="0.3">
      <c r="A30" s="228">
        <v>3</v>
      </c>
      <c r="B30" s="992" t="s">
        <v>404</v>
      </c>
      <c r="C30" s="992"/>
      <c r="D30" s="993"/>
      <c r="E30" s="202"/>
      <c r="F30" s="215"/>
      <c r="G30" s="216"/>
      <c r="H30" s="217"/>
      <c r="I30" s="971">
        <f t="shared" si="8"/>
        <v>0</v>
      </c>
      <c r="J30" s="972"/>
      <c r="K30" s="973"/>
      <c r="L30" s="960"/>
      <c r="M30" s="961"/>
      <c r="N30" s="962"/>
      <c r="O30" s="962"/>
      <c r="P30" s="962"/>
      <c r="Q30" s="962"/>
      <c r="R30" s="220" t="e">
        <f t="shared" si="9"/>
        <v>#DIV/0!</v>
      </c>
      <c r="S30" s="160" t="e">
        <f t="shared" si="3"/>
        <v>#DIV/0!</v>
      </c>
      <c r="T30" s="171" t="e">
        <f t="shared" si="4"/>
        <v>#DIV/0!</v>
      </c>
      <c r="U30" s="161" t="e">
        <f t="shared" si="5"/>
        <v>#DIV/0!</v>
      </c>
      <c r="V30" s="162" t="e">
        <f t="shared" si="6"/>
        <v>#DIV/0!</v>
      </c>
      <c r="W30" s="172" t="e">
        <f t="shared" si="7"/>
        <v>#DIV/0!</v>
      </c>
    </row>
    <row r="31" spans="1:24" ht="15.75" thickBot="1" x14ac:dyDescent="0.3">
      <c r="A31" s="228">
        <v>4</v>
      </c>
      <c r="B31" s="992" t="s">
        <v>405</v>
      </c>
      <c r="C31" s="992"/>
      <c r="D31" s="993"/>
      <c r="E31" s="202"/>
      <c r="F31" s="215"/>
      <c r="G31" s="216"/>
      <c r="H31" s="217"/>
      <c r="I31" s="971">
        <f t="shared" si="8"/>
        <v>0</v>
      </c>
      <c r="J31" s="972"/>
      <c r="K31" s="973"/>
      <c r="L31" s="960"/>
      <c r="M31" s="961"/>
      <c r="N31" s="962"/>
      <c r="O31" s="962"/>
      <c r="P31" s="962"/>
      <c r="Q31" s="962"/>
      <c r="R31" s="220" t="e">
        <f t="shared" si="9"/>
        <v>#DIV/0!</v>
      </c>
      <c r="S31" s="160" t="e">
        <f t="shared" si="3"/>
        <v>#DIV/0!</v>
      </c>
      <c r="T31" s="171" t="e">
        <f t="shared" si="4"/>
        <v>#DIV/0!</v>
      </c>
      <c r="U31" s="161" t="e">
        <f t="shared" si="5"/>
        <v>#DIV/0!</v>
      </c>
      <c r="V31" s="162" t="e">
        <f t="shared" si="6"/>
        <v>#DIV/0!</v>
      </c>
      <c r="W31" s="172" t="e">
        <f t="shared" si="7"/>
        <v>#DIV/0!</v>
      </c>
    </row>
    <row r="32" spans="1:24" ht="15.75" thickBot="1" x14ac:dyDescent="0.3">
      <c r="A32" s="228">
        <v>5</v>
      </c>
      <c r="B32" s="992" t="s">
        <v>406</v>
      </c>
      <c r="C32" s="992"/>
      <c r="D32" s="993"/>
      <c r="E32" s="202"/>
      <c r="F32" s="215"/>
      <c r="G32" s="216"/>
      <c r="H32" s="217"/>
      <c r="I32" s="971">
        <f t="shared" si="8"/>
        <v>0</v>
      </c>
      <c r="J32" s="972"/>
      <c r="K32" s="973"/>
      <c r="L32" s="960"/>
      <c r="M32" s="961"/>
      <c r="N32" s="962"/>
      <c r="O32" s="962"/>
      <c r="P32" s="962"/>
      <c r="Q32" s="962"/>
      <c r="R32" s="220" t="e">
        <f t="shared" si="9"/>
        <v>#DIV/0!</v>
      </c>
      <c r="S32" s="160" t="e">
        <f t="shared" si="3"/>
        <v>#DIV/0!</v>
      </c>
      <c r="T32" s="171" t="e">
        <f t="shared" si="4"/>
        <v>#DIV/0!</v>
      </c>
      <c r="U32" s="161" t="e">
        <f t="shared" si="5"/>
        <v>#DIV/0!</v>
      </c>
      <c r="V32" s="162" t="e">
        <f t="shared" si="6"/>
        <v>#DIV/0!</v>
      </c>
      <c r="W32" s="172" t="e">
        <f t="shared" si="7"/>
        <v>#DIV/0!</v>
      </c>
    </row>
    <row r="33" spans="1:23" ht="15.75" thickBot="1" x14ac:dyDescent="0.3">
      <c r="A33" s="228">
        <v>6</v>
      </c>
      <c r="B33" s="992" t="s">
        <v>407</v>
      </c>
      <c r="C33" s="992"/>
      <c r="D33" s="993"/>
      <c r="E33" s="202"/>
      <c r="F33" s="215"/>
      <c r="G33" s="216"/>
      <c r="H33" s="217"/>
      <c r="I33" s="971">
        <f t="shared" si="8"/>
        <v>0</v>
      </c>
      <c r="J33" s="972"/>
      <c r="K33" s="973"/>
      <c r="L33" s="960"/>
      <c r="M33" s="961"/>
      <c r="N33" s="962"/>
      <c r="O33" s="962"/>
      <c r="P33" s="962"/>
      <c r="Q33" s="962"/>
      <c r="R33" s="220" t="e">
        <f t="shared" si="9"/>
        <v>#DIV/0!</v>
      </c>
      <c r="S33" s="160" t="e">
        <f t="shared" si="3"/>
        <v>#DIV/0!</v>
      </c>
      <c r="T33" s="171" t="e">
        <f t="shared" si="4"/>
        <v>#DIV/0!</v>
      </c>
      <c r="U33" s="161" t="e">
        <f t="shared" si="5"/>
        <v>#DIV/0!</v>
      </c>
      <c r="V33" s="162" t="e">
        <f t="shared" si="6"/>
        <v>#DIV/0!</v>
      </c>
      <c r="W33" s="172" t="e">
        <f t="shared" si="7"/>
        <v>#DIV/0!</v>
      </c>
    </row>
    <row r="34" spans="1:23" ht="15.75" thickBot="1" x14ac:dyDescent="0.3">
      <c r="A34" s="228">
        <v>7</v>
      </c>
      <c r="B34" s="992" t="s">
        <v>408</v>
      </c>
      <c r="C34" s="992"/>
      <c r="D34" s="993"/>
      <c r="E34" s="202"/>
      <c r="F34" s="215"/>
      <c r="G34" s="216"/>
      <c r="H34" s="217"/>
      <c r="I34" s="971">
        <f t="shared" si="8"/>
        <v>0</v>
      </c>
      <c r="J34" s="972"/>
      <c r="K34" s="973"/>
      <c r="L34" s="960"/>
      <c r="M34" s="961"/>
      <c r="N34" s="962"/>
      <c r="O34" s="962"/>
      <c r="P34" s="962"/>
      <c r="Q34" s="962"/>
      <c r="R34" s="220" t="e">
        <f t="shared" si="9"/>
        <v>#DIV/0!</v>
      </c>
      <c r="S34" s="160" t="e">
        <f t="shared" si="3"/>
        <v>#DIV/0!</v>
      </c>
      <c r="T34" s="171" t="e">
        <f t="shared" si="4"/>
        <v>#DIV/0!</v>
      </c>
      <c r="U34" s="161" t="e">
        <f t="shared" si="5"/>
        <v>#DIV/0!</v>
      </c>
      <c r="V34" s="162" t="e">
        <f t="shared" si="6"/>
        <v>#DIV/0!</v>
      </c>
      <c r="W34" s="172" t="e">
        <f t="shared" si="7"/>
        <v>#DIV/0!</v>
      </c>
    </row>
    <row r="35" spans="1:23" ht="15.75" thickBot="1" x14ac:dyDescent="0.3">
      <c r="A35" s="228">
        <v>8</v>
      </c>
      <c r="B35" s="992" t="s">
        <v>409</v>
      </c>
      <c r="C35" s="992"/>
      <c r="D35" s="993"/>
      <c r="E35" s="202"/>
      <c r="F35" s="215"/>
      <c r="G35" s="216"/>
      <c r="H35" s="217"/>
      <c r="I35" s="971">
        <f t="shared" si="8"/>
        <v>0</v>
      </c>
      <c r="J35" s="972"/>
      <c r="K35" s="973"/>
      <c r="L35" s="960"/>
      <c r="M35" s="961"/>
      <c r="N35" s="962"/>
      <c r="O35" s="962"/>
      <c r="P35" s="962"/>
      <c r="Q35" s="962"/>
      <c r="R35" s="220" t="e">
        <f t="shared" si="9"/>
        <v>#DIV/0!</v>
      </c>
      <c r="S35" s="160" t="e">
        <f t="shared" si="3"/>
        <v>#DIV/0!</v>
      </c>
      <c r="T35" s="171" t="e">
        <f t="shared" si="4"/>
        <v>#DIV/0!</v>
      </c>
      <c r="U35" s="161" t="e">
        <f t="shared" si="5"/>
        <v>#DIV/0!</v>
      </c>
      <c r="V35" s="162" t="e">
        <f t="shared" si="6"/>
        <v>#DIV/0!</v>
      </c>
      <c r="W35" s="172" t="e">
        <f t="shared" si="7"/>
        <v>#DIV/0!</v>
      </c>
    </row>
    <row r="36" spans="1:23" ht="15.75" thickBot="1" x14ac:dyDescent="0.3">
      <c r="A36" s="228">
        <v>9</v>
      </c>
      <c r="B36" s="992" t="s">
        <v>385</v>
      </c>
      <c r="C36" s="992"/>
      <c r="D36" s="993"/>
      <c r="E36" s="202"/>
      <c r="F36" s="215"/>
      <c r="G36" s="216"/>
      <c r="H36" s="217"/>
      <c r="I36" s="971">
        <f t="shared" si="8"/>
        <v>0</v>
      </c>
      <c r="J36" s="972"/>
      <c r="K36" s="973"/>
      <c r="L36" s="960"/>
      <c r="M36" s="961"/>
      <c r="N36" s="962"/>
      <c r="O36" s="962"/>
      <c r="P36" s="962"/>
      <c r="Q36" s="962"/>
      <c r="R36" s="220" t="e">
        <f t="shared" si="9"/>
        <v>#DIV/0!</v>
      </c>
      <c r="S36" s="160" t="e">
        <f t="shared" si="3"/>
        <v>#DIV/0!</v>
      </c>
      <c r="T36" s="171" t="e">
        <f t="shared" si="4"/>
        <v>#DIV/0!</v>
      </c>
      <c r="U36" s="161" t="e">
        <f t="shared" si="5"/>
        <v>#DIV/0!</v>
      </c>
      <c r="V36" s="162" t="e">
        <f t="shared" si="6"/>
        <v>#DIV/0!</v>
      </c>
      <c r="W36" s="172" t="e">
        <f t="shared" si="7"/>
        <v>#DIV/0!</v>
      </c>
    </row>
    <row r="37" spans="1:23" ht="15.75" thickBot="1" x14ac:dyDescent="0.3">
      <c r="A37" s="228">
        <v>10</v>
      </c>
      <c r="B37" s="992" t="s">
        <v>410</v>
      </c>
      <c r="C37" s="992"/>
      <c r="D37" s="993"/>
      <c r="E37" s="202"/>
      <c r="F37" s="215"/>
      <c r="G37" s="216"/>
      <c r="H37" s="217"/>
      <c r="I37" s="971">
        <f t="shared" si="8"/>
        <v>0</v>
      </c>
      <c r="J37" s="972"/>
      <c r="K37" s="973"/>
      <c r="L37" s="960"/>
      <c r="M37" s="961"/>
      <c r="N37" s="962"/>
      <c r="O37" s="962"/>
      <c r="P37" s="962"/>
      <c r="Q37" s="962"/>
      <c r="R37" s="220" t="e">
        <f t="shared" si="9"/>
        <v>#DIV/0!</v>
      </c>
      <c r="S37" s="160" t="e">
        <f t="shared" si="3"/>
        <v>#DIV/0!</v>
      </c>
      <c r="T37" s="171" t="e">
        <f t="shared" si="4"/>
        <v>#DIV/0!</v>
      </c>
      <c r="U37" s="161" t="e">
        <f t="shared" si="5"/>
        <v>#DIV/0!</v>
      </c>
      <c r="V37" s="162" t="e">
        <f t="shared" si="6"/>
        <v>#DIV/0!</v>
      </c>
      <c r="W37" s="172" t="e">
        <f t="shared" si="7"/>
        <v>#DIV/0!</v>
      </c>
    </row>
    <row r="38" spans="1:23" ht="15.75" thickBot="1" x14ac:dyDescent="0.3">
      <c r="A38" s="228">
        <v>11</v>
      </c>
      <c r="B38" s="992" t="s">
        <v>411</v>
      </c>
      <c r="C38" s="992"/>
      <c r="D38" s="993"/>
      <c r="E38" s="202"/>
      <c r="F38" s="215"/>
      <c r="G38" s="216"/>
      <c r="H38" s="217"/>
      <c r="I38" s="971">
        <f t="shared" si="8"/>
        <v>0</v>
      </c>
      <c r="J38" s="972"/>
      <c r="K38" s="973"/>
      <c r="L38" s="960"/>
      <c r="M38" s="961"/>
      <c r="N38" s="962"/>
      <c r="O38" s="962"/>
      <c r="P38" s="962"/>
      <c r="Q38" s="962"/>
      <c r="R38" s="220" t="e">
        <f t="shared" si="9"/>
        <v>#DIV/0!</v>
      </c>
      <c r="S38" s="160" t="e">
        <f t="shared" si="3"/>
        <v>#DIV/0!</v>
      </c>
      <c r="T38" s="171" t="e">
        <f t="shared" si="4"/>
        <v>#DIV/0!</v>
      </c>
      <c r="U38" s="161" t="e">
        <f t="shared" si="5"/>
        <v>#DIV/0!</v>
      </c>
      <c r="V38" s="162" t="e">
        <f t="shared" si="6"/>
        <v>#DIV/0!</v>
      </c>
      <c r="W38" s="172" t="e">
        <f t="shared" si="7"/>
        <v>#DIV/0!</v>
      </c>
    </row>
    <row r="39" spans="1:23" ht="15.75" thickBot="1" x14ac:dyDescent="0.3">
      <c r="A39" s="228">
        <v>12</v>
      </c>
      <c r="B39" s="992" t="s">
        <v>412</v>
      </c>
      <c r="C39" s="992"/>
      <c r="D39" s="993"/>
      <c r="E39" s="202"/>
      <c r="F39" s="215"/>
      <c r="G39" s="216"/>
      <c r="H39" s="217"/>
      <c r="I39" s="971">
        <f t="shared" si="8"/>
        <v>0</v>
      </c>
      <c r="J39" s="972"/>
      <c r="K39" s="973"/>
      <c r="L39" s="960"/>
      <c r="M39" s="961"/>
      <c r="N39" s="962"/>
      <c r="O39" s="962"/>
      <c r="P39" s="962"/>
      <c r="Q39" s="962"/>
      <c r="R39" s="220" t="e">
        <f t="shared" si="9"/>
        <v>#DIV/0!</v>
      </c>
      <c r="S39" s="160" t="e">
        <f t="shared" si="3"/>
        <v>#DIV/0!</v>
      </c>
      <c r="T39" s="171" t="e">
        <f t="shared" si="4"/>
        <v>#DIV/0!</v>
      </c>
      <c r="U39" s="161" t="e">
        <f t="shared" si="5"/>
        <v>#DIV/0!</v>
      </c>
      <c r="V39" s="162" t="e">
        <f t="shared" si="6"/>
        <v>#DIV/0!</v>
      </c>
      <c r="W39" s="172" t="e">
        <f t="shared" si="7"/>
        <v>#DIV/0!</v>
      </c>
    </row>
    <row r="40" spans="1:23" ht="15.75" thickBot="1" x14ac:dyDescent="0.3">
      <c r="A40" s="228">
        <v>13</v>
      </c>
      <c r="B40" s="992" t="s">
        <v>413</v>
      </c>
      <c r="C40" s="992"/>
      <c r="D40" s="993"/>
      <c r="E40" s="202"/>
      <c r="F40" s="215"/>
      <c r="G40" s="216"/>
      <c r="H40" s="217"/>
      <c r="I40" s="971">
        <f t="shared" si="8"/>
        <v>0</v>
      </c>
      <c r="J40" s="972"/>
      <c r="K40" s="973"/>
      <c r="L40" s="960"/>
      <c r="M40" s="961"/>
      <c r="N40" s="962"/>
      <c r="O40" s="962"/>
      <c r="P40" s="962"/>
      <c r="Q40" s="962"/>
      <c r="R40" s="220" t="e">
        <f t="shared" si="9"/>
        <v>#DIV/0!</v>
      </c>
      <c r="S40" s="160" t="e">
        <f t="shared" si="3"/>
        <v>#DIV/0!</v>
      </c>
      <c r="T40" s="171" t="e">
        <f t="shared" si="4"/>
        <v>#DIV/0!</v>
      </c>
      <c r="U40" s="161" t="e">
        <f t="shared" si="5"/>
        <v>#DIV/0!</v>
      </c>
      <c r="V40" s="162" t="e">
        <f t="shared" si="6"/>
        <v>#DIV/0!</v>
      </c>
      <c r="W40" s="172" t="e">
        <f t="shared" si="7"/>
        <v>#DIV/0!</v>
      </c>
    </row>
    <row r="41" spans="1:23" ht="15.75" thickBot="1" x14ac:dyDescent="0.3">
      <c r="A41" s="228">
        <v>14</v>
      </c>
      <c r="B41" s="992" t="s">
        <v>414</v>
      </c>
      <c r="C41" s="992"/>
      <c r="D41" s="993"/>
      <c r="E41" s="202"/>
      <c r="F41" s="215"/>
      <c r="G41" s="216"/>
      <c r="H41" s="217"/>
      <c r="I41" s="971">
        <f t="shared" si="8"/>
        <v>0</v>
      </c>
      <c r="J41" s="972"/>
      <c r="K41" s="973"/>
      <c r="L41" s="960"/>
      <c r="M41" s="961"/>
      <c r="N41" s="962"/>
      <c r="O41" s="962"/>
      <c r="P41" s="962"/>
      <c r="Q41" s="962"/>
      <c r="R41" s="220" t="e">
        <f t="shared" si="9"/>
        <v>#DIV/0!</v>
      </c>
      <c r="S41" s="160" t="e">
        <f t="shared" si="3"/>
        <v>#DIV/0!</v>
      </c>
      <c r="T41" s="171" t="e">
        <f t="shared" si="4"/>
        <v>#DIV/0!</v>
      </c>
      <c r="U41" s="161" t="e">
        <f t="shared" si="5"/>
        <v>#DIV/0!</v>
      </c>
      <c r="V41" s="162" t="e">
        <f t="shared" si="6"/>
        <v>#DIV/0!</v>
      </c>
      <c r="W41" s="172" t="e">
        <f t="shared" si="7"/>
        <v>#DIV/0!</v>
      </c>
    </row>
    <row r="42" spans="1:23" ht="15.75" thickBot="1" x14ac:dyDescent="0.3">
      <c r="A42" s="228">
        <v>15</v>
      </c>
      <c r="B42" s="992" t="s">
        <v>415</v>
      </c>
      <c r="C42" s="992"/>
      <c r="D42" s="993"/>
      <c r="E42" s="202"/>
      <c r="F42" s="215"/>
      <c r="G42" s="216"/>
      <c r="H42" s="217"/>
      <c r="I42" s="971">
        <f t="shared" si="8"/>
        <v>0</v>
      </c>
      <c r="J42" s="972"/>
      <c r="K42" s="973"/>
      <c r="L42" s="960"/>
      <c r="M42" s="961"/>
      <c r="N42" s="962"/>
      <c r="O42" s="962"/>
      <c r="P42" s="962"/>
      <c r="Q42" s="962"/>
      <c r="R42" s="220" t="e">
        <f t="shared" si="9"/>
        <v>#DIV/0!</v>
      </c>
      <c r="S42" s="160" t="e">
        <f t="shared" si="3"/>
        <v>#DIV/0!</v>
      </c>
      <c r="T42" s="171" t="e">
        <f t="shared" si="4"/>
        <v>#DIV/0!</v>
      </c>
      <c r="U42" s="161" t="e">
        <f t="shared" si="5"/>
        <v>#DIV/0!</v>
      </c>
      <c r="V42" s="162" t="e">
        <f t="shared" si="6"/>
        <v>#DIV/0!</v>
      </c>
      <c r="W42" s="172" t="e">
        <f t="shared" si="7"/>
        <v>#DIV/0!</v>
      </c>
    </row>
    <row r="43" spans="1:23" ht="15.75" thickBot="1" x14ac:dyDescent="0.3">
      <c r="A43" s="228">
        <v>16</v>
      </c>
      <c r="B43" s="992" t="s">
        <v>416</v>
      </c>
      <c r="C43" s="992"/>
      <c r="D43" s="993"/>
      <c r="E43" s="202"/>
      <c r="F43" s="215"/>
      <c r="G43" s="216"/>
      <c r="H43" s="217"/>
      <c r="I43" s="971">
        <f t="shared" si="8"/>
        <v>0</v>
      </c>
      <c r="J43" s="972"/>
      <c r="K43" s="973"/>
      <c r="L43" s="960"/>
      <c r="M43" s="961"/>
      <c r="N43" s="962"/>
      <c r="O43" s="962"/>
      <c r="P43" s="962"/>
      <c r="Q43" s="962"/>
      <c r="R43" s="220" t="e">
        <f t="shared" si="9"/>
        <v>#DIV/0!</v>
      </c>
      <c r="S43" s="160" t="e">
        <f t="shared" si="3"/>
        <v>#DIV/0!</v>
      </c>
      <c r="T43" s="171" t="e">
        <f t="shared" si="4"/>
        <v>#DIV/0!</v>
      </c>
      <c r="U43" s="161" t="e">
        <f t="shared" si="5"/>
        <v>#DIV/0!</v>
      </c>
      <c r="V43" s="162" t="e">
        <f t="shared" si="6"/>
        <v>#DIV/0!</v>
      </c>
      <c r="W43" s="172" t="e">
        <f t="shared" si="7"/>
        <v>#DIV/0!</v>
      </c>
    </row>
    <row r="44" spans="1:23" ht="15.75" thickBot="1" x14ac:dyDescent="0.3">
      <c r="A44" s="228">
        <v>17</v>
      </c>
      <c r="B44" s="992" t="s">
        <v>417</v>
      </c>
      <c r="C44" s="992"/>
      <c r="D44" s="993"/>
      <c r="E44" s="202"/>
      <c r="F44" s="215"/>
      <c r="G44" s="216"/>
      <c r="H44" s="217"/>
      <c r="I44" s="971">
        <f t="shared" si="8"/>
        <v>0</v>
      </c>
      <c r="J44" s="972"/>
      <c r="K44" s="973"/>
      <c r="L44" s="960"/>
      <c r="M44" s="961"/>
      <c r="N44" s="962"/>
      <c r="O44" s="962"/>
      <c r="P44" s="962"/>
      <c r="Q44" s="962"/>
      <c r="R44" s="220" t="e">
        <f t="shared" si="9"/>
        <v>#DIV/0!</v>
      </c>
      <c r="S44" s="160" t="e">
        <f t="shared" si="3"/>
        <v>#DIV/0!</v>
      </c>
      <c r="T44" s="171" t="e">
        <f t="shared" si="4"/>
        <v>#DIV/0!</v>
      </c>
      <c r="U44" s="161" t="e">
        <f t="shared" si="5"/>
        <v>#DIV/0!</v>
      </c>
      <c r="V44" s="162" t="e">
        <f t="shared" si="6"/>
        <v>#DIV/0!</v>
      </c>
      <c r="W44" s="172" t="e">
        <f t="shared" si="7"/>
        <v>#DIV/0!</v>
      </c>
    </row>
    <row r="45" spans="1:23" ht="15.75" thickBot="1" x14ac:dyDescent="0.3">
      <c r="A45" s="228">
        <v>18</v>
      </c>
      <c r="B45" s="992" t="s">
        <v>418</v>
      </c>
      <c r="C45" s="992"/>
      <c r="D45" s="993"/>
      <c r="E45" s="202"/>
      <c r="F45" s="215"/>
      <c r="G45" s="216"/>
      <c r="H45" s="217"/>
      <c r="I45" s="971">
        <f t="shared" si="8"/>
        <v>0</v>
      </c>
      <c r="J45" s="972"/>
      <c r="K45" s="973"/>
      <c r="L45" s="960"/>
      <c r="M45" s="961"/>
      <c r="N45" s="962"/>
      <c r="O45" s="962"/>
      <c r="P45" s="962"/>
      <c r="Q45" s="962"/>
      <c r="R45" s="220" t="e">
        <f t="shared" si="9"/>
        <v>#DIV/0!</v>
      </c>
      <c r="S45" s="160" t="e">
        <f t="shared" si="3"/>
        <v>#DIV/0!</v>
      </c>
      <c r="T45" s="171" t="e">
        <f t="shared" si="4"/>
        <v>#DIV/0!</v>
      </c>
      <c r="U45" s="161" t="e">
        <f t="shared" si="5"/>
        <v>#DIV/0!</v>
      </c>
      <c r="V45" s="162" t="e">
        <f t="shared" si="6"/>
        <v>#DIV/0!</v>
      </c>
      <c r="W45" s="172" t="e">
        <f t="shared" si="7"/>
        <v>#DIV/0!</v>
      </c>
    </row>
    <row r="46" spans="1:23" ht="15.75" thickBot="1" x14ac:dyDescent="0.3">
      <c r="A46" s="228">
        <v>19</v>
      </c>
      <c r="B46" s="992" t="s">
        <v>419</v>
      </c>
      <c r="C46" s="992"/>
      <c r="D46" s="993"/>
      <c r="E46" s="202"/>
      <c r="F46" s="215"/>
      <c r="G46" s="216"/>
      <c r="H46" s="217"/>
      <c r="I46" s="971">
        <f t="shared" si="8"/>
        <v>0</v>
      </c>
      <c r="J46" s="972"/>
      <c r="K46" s="973"/>
      <c r="L46" s="960"/>
      <c r="M46" s="961"/>
      <c r="N46" s="962"/>
      <c r="O46" s="962"/>
      <c r="P46" s="962"/>
      <c r="Q46" s="962"/>
      <c r="R46" s="220" t="e">
        <f t="shared" si="9"/>
        <v>#DIV/0!</v>
      </c>
      <c r="S46" s="160" t="e">
        <f t="shared" si="3"/>
        <v>#DIV/0!</v>
      </c>
      <c r="T46" s="171" t="e">
        <f t="shared" si="4"/>
        <v>#DIV/0!</v>
      </c>
      <c r="U46" s="161" t="e">
        <f t="shared" si="5"/>
        <v>#DIV/0!</v>
      </c>
      <c r="V46" s="162" t="e">
        <f t="shared" si="6"/>
        <v>#DIV/0!</v>
      </c>
      <c r="W46" s="172" t="e">
        <f t="shared" si="7"/>
        <v>#DIV/0!</v>
      </c>
    </row>
    <row r="47" spans="1:23" ht="15.75" thickBot="1" x14ac:dyDescent="0.3">
      <c r="A47" s="228">
        <v>20</v>
      </c>
      <c r="B47" s="992" t="s">
        <v>420</v>
      </c>
      <c r="C47" s="992"/>
      <c r="D47" s="993"/>
      <c r="E47" s="202"/>
      <c r="F47" s="215"/>
      <c r="G47" s="216"/>
      <c r="H47" s="217"/>
      <c r="I47" s="971">
        <f t="shared" si="8"/>
        <v>0</v>
      </c>
      <c r="J47" s="972"/>
      <c r="K47" s="973"/>
      <c r="L47" s="960"/>
      <c r="M47" s="961"/>
      <c r="N47" s="962"/>
      <c r="O47" s="962"/>
      <c r="P47" s="962"/>
      <c r="Q47" s="962"/>
      <c r="R47" s="220" t="e">
        <f t="shared" si="9"/>
        <v>#DIV/0!</v>
      </c>
      <c r="S47" s="160" t="e">
        <f t="shared" si="3"/>
        <v>#DIV/0!</v>
      </c>
      <c r="T47" s="171" t="e">
        <f t="shared" si="4"/>
        <v>#DIV/0!</v>
      </c>
      <c r="U47" s="161" t="e">
        <f t="shared" si="5"/>
        <v>#DIV/0!</v>
      </c>
      <c r="V47" s="162" t="e">
        <f t="shared" si="6"/>
        <v>#DIV/0!</v>
      </c>
      <c r="W47" s="172" t="e">
        <f t="shared" si="7"/>
        <v>#DIV/0!</v>
      </c>
    </row>
    <row r="48" spans="1:23" ht="15.75" thickBot="1" x14ac:dyDescent="0.3">
      <c r="A48" s="228">
        <v>21</v>
      </c>
      <c r="B48" s="992" t="s">
        <v>421</v>
      </c>
      <c r="C48" s="992"/>
      <c r="D48" s="993"/>
      <c r="E48" s="202"/>
      <c r="F48" s="215"/>
      <c r="G48" s="216"/>
      <c r="H48" s="217"/>
      <c r="I48" s="971">
        <f t="shared" si="8"/>
        <v>0</v>
      </c>
      <c r="J48" s="972"/>
      <c r="K48" s="973"/>
      <c r="L48" s="960"/>
      <c r="M48" s="961"/>
      <c r="N48" s="962"/>
      <c r="O48" s="962"/>
      <c r="P48" s="962"/>
      <c r="Q48" s="962"/>
      <c r="R48" s="220" t="e">
        <f t="shared" si="9"/>
        <v>#DIV/0!</v>
      </c>
      <c r="S48" s="160" t="e">
        <f t="shared" si="3"/>
        <v>#DIV/0!</v>
      </c>
      <c r="T48" s="171" t="e">
        <f t="shared" si="4"/>
        <v>#DIV/0!</v>
      </c>
      <c r="U48" s="161" t="e">
        <f t="shared" si="5"/>
        <v>#DIV/0!</v>
      </c>
      <c r="V48" s="162" t="e">
        <f t="shared" si="6"/>
        <v>#DIV/0!</v>
      </c>
      <c r="W48" s="172" t="e">
        <f t="shared" si="7"/>
        <v>#DIV/0!</v>
      </c>
    </row>
    <row r="49" spans="1:23" ht="15.75" thickBot="1" x14ac:dyDescent="0.3">
      <c r="A49" s="228">
        <v>22</v>
      </c>
      <c r="B49" s="992" t="s">
        <v>422</v>
      </c>
      <c r="C49" s="992"/>
      <c r="D49" s="993"/>
      <c r="E49" s="202"/>
      <c r="F49" s="215"/>
      <c r="G49" s="216"/>
      <c r="H49" s="217"/>
      <c r="I49" s="971">
        <f t="shared" si="8"/>
        <v>0</v>
      </c>
      <c r="J49" s="972"/>
      <c r="K49" s="973"/>
      <c r="L49" s="960"/>
      <c r="M49" s="961"/>
      <c r="N49" s="962"/>
      <c r="O49" s="962"/>
      <c r="P49" s="962"/>
      <c r="Q49" s="962"/>
      <c r="R49" s="220" t="e">
        <f t="shared" si="9"/>
        <v>#DIV/0!</v>
      </c>
      <c r="S49" s="160" t="e">
        <f t="shared" si="3"/>
        <v>#DIV/0!</v>
      </c>
      <c r="T49" s="171" t="e">
        <f t="shared" si="4"/>
        <v>#DIV/0!</v>
      </c>
      <c r="U49" s="161" t="e">
        <f t="shared" si="5"/>
        <v>#DIV/0!</v>
      </c>
      <c r="V49" s="162" t="e">
        <f t="shared" si="6"/>
        <v>#DIV/0!</v>
      </c>
      <c r="W49" s="172" t="e">
        <f t="shared" si="7"/>
        <v>#DIV/0!</v>
      </c>
    </row>
    <row r="50" spans="1:23" ht="15.75" thickBot="1" x14ac:dyDescent="0.3">
      <c r="A50" s="228">
        <v>23</v>
      </c>
      <c r="B50" s="992" t="s">
        <v>423</v>
      </c>
      <c r="C50" s="992"/>
      <c r="D50" s="993"/>
      <c r="E50" s="202"/>
      <c r="F50" s="215"/>
      <c r="G50" s="216"/>
      <c r="H50" s="217"/>
      <c r="I50" s="971">
        <f t="shared" si="8"/>
        <v>0</v>
      </c>
      <c r="J50" s="972"/>
      <c r="K50" s="973"/>
      <c r="L50" s="960"/>
      <c r="M50" s="961"/>
      <c r="N50" s="962"/>
      <c r="O50" s="962"/>
      <c r="P50" s="962"/>
      <c r="Q50" s="962"/>
      <c r="R50" s="220" t="e">
        <f t="shared" si="9"/>
        <v>#DIV/0!</v>
      </c>
      <c r="S50" s="160" t="e">
        <f t="shared" si="3"/>
        <v>#DIV/0!</v>
      </c>
      <c r="T50" s="171" t="e">
        <f t="shared" si="4"/>
        <v>#DIV/0!</v>
      </c>
      <c r="U50" s="161" t="e">
        <f t="shared" si="5"/>
        <v>#DIV/0!</v>
      </c>
      <c r="V50" s="162" t="e">
        <f t="shared" si="6"/>
        <v>#DIV/0!</v>
      </c>
      <c r="W50" s="172" t="e">
        <f t="shared" si="7"/>
        <v>#DIV/0!</v>
      </c>
    </row>
    <row r="51" spans="1:23" ht="15.75" thickBot="1" x14ac:dyDescent="0.3">
      <c r="A51" s="228">
        <v>24</v>
      </c>
      <c r="B51" s="992" t="s">
        <v>424</v>
      </c>
      <c r="C51" s="992"/>
      <c r="D51" s="993"/>
      <c r="E51" s="202"/>
      <c r="F51" s="215"/>
      <c r="G51" s="216"/>
      <c r="H51" s="217"/>
      <c r="I51" s="971">
        <f t="shared" si="8"/>
        <v>0</v>
      </c>
      <c r="J51" s="972"/>
      <c r="K51" s="973"/>
      <c r="L51" s="960"/>
      <c r="M51" s="961"/>
      <c r="N51" s="962"/>
      <c r="O51" s="962"/>
      <c r="P51" s="962"/>
      <c r="Q51" s="962"/>
      <c r="R51" s="220" t="e">
        <f t="shared" si="9"/>
        <v>#DIV/0!</v>
      </c>
      <c r="S51" s="160" t="e">
        <f t="shared" si="3"/>
        <v>#DIV/0!</v>
      </c>
      <c r="T51" s="171" t="e">
        <f t="shared" si="4"/>
        <v>#DIV/0!</v>
      </c>
      <c r="U51" s="161" t="e">
        <f t="shared" si="5"/>
        <v>#DIV/0!</v>
      </c>
      <c r="V51" s="162" t="e">
        <f t="shared" si="6"/>
        <v>#DIV/0!</v>
      </c>
      <c r="W51" s="172" t="e">
        <f t="shared" si="7"/>
        <v>#DIV/0!</v>
      </c>
    </row>
    <row r="52" spans="1:23" ht="15.75" thickBot="1" x14ac:dyDescent="0.3">
      <c r="A52" s="228">
        <v>25</v>
      </c>
      <c r="B52" s="992" t="s">
        <v>425</v>
      </c>
      <c r="C52" s="992"/>
      <c r="D52" s="993"/>
      <c r="E52" s="202"/>
      <c r="F52" s="215"/>
      <c r="G52" s="216"/>
      <c r="H52" s="217"/>
      <c r="I52" s="971">
        <f t="shared" si="8"/>
        <v>0</v>
      </c>
      <c r="J52" s="972"/>
      <c r="K52" s="973"/>
      <c r="L52" s="960"/>
      <c r="M52" s="961"/>
      <c r="N52" s="962"/>
      <c r="O52" s="962"/>
      <c r="P52" s="962"/>
      <c r="Q52" s="962"/>
      <c r="R52" s="220" t="e">
        <f t="shared" si="9"/>
        <v>#DIV/0!</v>
      </c>
      <c r="S52" s="160" t="e">
        <f t="shared" si="3"/>
        <v>#DIV/0!</v>
      </c>
      <c r="T52" s="171" t="e">
        <f t="shared" si="4"/>
        <v>#DIV/0!</v>
      </c>
      <c r="U52" s="161" t="e">
        <f t="shared" si="5"/>
        <v>#DIV/0!</v>
      </c>
      <c r="V52" s="162" t="e">
        <f t="shared" si="6"/>
        <v>#DIV/0!</v>
      </c>
      <c r="W52" s="172" t="e">
        <f t="shared" si="7"/>
        <v>#DIV/0!</v>
      </c>
    </row>
    <row r="53" spans="1:23" ht="15.75" thickBot="1" x14ac:dyDescent="0.3">
      <c r="A53" s="228">
        <v>26</v>
      </c>
      <c r="B53" s="992" t="s">
        <v>426</v>
      </c>
      <c r="C53" s="992"/>
      <c r="D53" s="993"/>
      <c r="E53" s="202"/>
      <c r="F53" s="215"/>
      <c r="G53" s="216"/>
      <c r="H53" s="217"/>
      <c r="I53" s="971">
        <f t="shared" si="8"/>
        <v>0</v>
      </c>
      <c r="J53" s="972"/>
      <c r="K53" s="973"/>
      <c r="L53" s="960"/>
      <c r="M53" s="961"/>
      <c r="N53" s="962"/>
      <c r="O53" s="962"/>
      <c r="P53" s="962"/>
      <c r="Q53" s="962"/>
      <c r="R53" s="220" t="e">
        <f t="shared" si="9"/>
        <v>#DIV/0!</v>
      </c>
      <c r="S53" s="160" t="e">
        <f t="shared" si="3"/>
        <v>#DIV/0!</v>
      </c>
      <c r="T53" s="171" t="e">
        <f t="shared" si="4"/>
        <v>#DIV/0!</v>
      </c>
      <c r="U53" s="161" t="e">
        <f t="shared" si="5"/>
        <v>#DIV/0!</v>
      </c>
      <c r="V53" s="162" t="e">
        <f t="shared" si="6"/>
        <v>#DIV/0!</v>
      </c>
      <c r="W53" s="172" t="e">
        <f t="shared" si="7"/>
        <v>#DIV/0!</v>
      </c>
    </row>
    <row r="54" spans="1:23" ht="15.75" thickBot="1" x14ac:dyDescent="0.3">
      <c r="A54" s="228">
        <v>27</v>
      </c>
      <c r="B54" s="992" t="s">
        <v>427</v>
      </c>
      <c r="C54" s="992"/>
      <c r="D54" s="993"/>
      <c r="E54" s="202"/>
      <c r="F54" s="215"/>
      <c r="G54" s="216"/>
      <c r="H54" s="217"/>
      <c r="I54" s="971">
        <f t="shared" si="8"/>
        <v>0</v>
      </c>
      <c r="J54" s="972"/>
      <c r="K54" s="973"/>
      <c r="L54" s="960"/>
      <c r="M54" s="961"/>
      <c r="N54" s="962"/>
      <c r="O54" s="962"/>
      <c r="P54" s="962"/>
      <c r="Q54" s="962"/>
      <c r="R54" s="220" t="e">
        <f t="shared" si="9"/>
        <v>#DIV/0!</v>
      </c>
      <c r="S54" s="160" t="e">
        <f t="shared" si="3"/>
        <v>#DIV/0!</v>
      </c>
      <c r="T54" s="171" t="e">
        <f t="shared" si="4"/>
        <v>#DIV/0!</v>
      </c>
      <c r="U54" s="161" t="e">
        <f t="shared" si="5"/>
        <v>#DIV/0!</v>
      </c>
      <c r="V54" s="162" t="e">
        <f t="shared" si="6"/>
        <v>#DIV/0!</v>
      </c>
      <c r="W54" s="172" t="e">
        <f t="shared" si="7"/>
        <v>#DIV/0!</v>
      </c>
    </row>
    <row r="55" spans="1:23" ht="15.75" thickBot="1" x14ac:dyDescent="0.3">
      <c r="A55" s="228">
        <v>28</v>
      </c>
      <c r="B55" s="992" t="s">
        <v>428</v>
      </c>
      <c r="C55" s="992"/>
      <c r="D55" s="993"/>
      <c r="E55" s="202"/>
      <c r="F55" s="215"/>
      <c r="G55" s="216"/>
      <c r="H55" s="217"/>
      <c r="I55" s="971">
        <f t="shared" si="8"/>
        <v>0</v>
      </c>
      <c r="J55" s="972"/>
      <c r="K55" s="973"/>
      <c r="L55" s="960"/>
      <c r="M55" s="961"/>
      <c r="N55" s="962"/>
      <c r="O55" s="962"/>
      <c r="P55" s="962"/>
      <c r="Q55" s="962"/>
      <c r="R55" s="220" t="e">
        <f t="shared" si="9"/>
        <v>#DIV/0!</v>
      </c>
      <c r="S55" s="160" t="e">
        <f t="shared" si="3"/>
        <v>#DIV/0!</v>
      </c>
      <c r="T55" s="171" t="e">
        <f t="shared" si="4"/>
        <v>#DIV/0!</v>
      </c>
      <c r="U55" s="161" t="e">
        <f t="shared" si="5"/>
        <v>#DIV/0!</v>
      </c>
      <c r="V55" s="162" t="e">
        <f t="shared" si="6"/>
        <v>#DIV/0!</v>
      </c>
      <c r="W55" s="172" t="e">
        <f t="shared" si="7"/>
        <v>#DIV/0!</v>
      </c>
    </row>
    <row r="56" spans="1:23" ht="15.75" thickBot="1" x14ac:dyDescent="0.3">
      <c r="A56" s="228">
        <v>29</v>
      </c>
      <c r="B56" s="992" t="s">
        <v>429</v>
      </c>
      <c r="C56" s="992"/>
      <c r="D56" s="993"/>
      <c r="E56" s="202"/>
      <c r="F56" s="215"/>
      <c r="G56" s="216"/>
      <c r="H56" s="217"/>
      <c r="I56" s="971">
        <f t="shared" si="8"/>
        <v>0</v>
      </c>
      <c r="J56" s="972"/>
      <c r="K56" s="973"/>
      <c r="L56" s="960"/>
      <c r="M56" s="961"/>
      <c r="N56" s="962"/>
      <c r="O56" s="962"/>
      <c r="P56" s="962"/>
      <c r="Q56" s="962"/>
      <c r="R56" s="220" t="e">
        <f t="shared" si="9"/>
        <v>#DIV/0!</v>
      </c>
      <c r="S56" s="160" t="e">
        <f t="shared" si="3"/>
        <v>#DIV/0!</v>
      </c>
      <c r="T56" s="171" t="e">
        <f t="shared" si="4"/>
        <v>#DIV/0!</v>
      </c>
      <c r="U56" s="161" t="e">
        <f t="shared" si="5"/>
        <v>#DIV/0!</v>
      </c>
      <c r="V56" s="162" t="e">
        <f t="shared" si="6"/>
        <v>#DIV/0!</v>
      </c>
      <c r="W56" s="172" t="e">
        <f t="shared" si="7"/>
        <v>#DIV/0!</v>
      </c>
    </row>
    <row r="57" spans="1:23" ht="15.75" thickBot="1" x14ac:dyDescent="0.3">
      <c r="A57" s="228">
        <v>30</v>
      </c>
      <c r="B57" s="992" t="s">
        <v>430</v>
      </c>
      <c r="C57" s="992"/>
      <c r="D57" s="993"/>
      <c r="E57" s="202"/>
      <c r="F57" s="215"/>
      <c r="G57" s="216"/>
      <c r="H57" s="217"/>
      <c r="I57" s="971">
        <f t="shared" si="8"/>
        <v>0</v>
      </c>
      <c r="J57" s="972"/>
      <c r="K57" s="973"/>
      <c r="L57" s="960"/>
      <c r="M57" s="961"/>
      <c r="N57" s="962"/>
      <c r="O57" s="962"/>
      <c r="P57" s="962"/>
      <c r="Q57" s="962"/>
      <c r="R57" s="220" t="e">
        <f t="shared" si="9"/>
        <v>#DIV/0!</v>
      </c>
      <c r="S57" s="160" t="e">
        <f t="shared" si="3"/>
        <v>#DIV/0!</v>
      </c>
      <c r="T57" s="171" t="e">
        <f t="shared" si="4"/>
        <v>#DIV/0!</v>
      </c>
      <c r="U57" s="161" t="e">
        <f t="shared" si="5"/>
        <v>#DIV/0!</v>
      </c>
      <c r="V57" s="162" t="e">
        <f t="shared" si="6"/>
        <v>#DIV/0!</v>
      </c>
      <c r="W57" s="172" t="e">
        <f t="shared" si="7"/>
        <v>#DIV/0!</v>
      </c>
    </row>
    <row r="58" spans="1:23" ht="15.75" thickBot="1" x14ac:dyDescent="0.3">
      <c r="A58" s="228">
        <v>31</v>
      </c>
      <c r="B58" s="992" t="s">
        <v>386</v>
      </c>
      <c r="C58" s="992"/>
      <c r="D58" s="993"/>
      <c r="E58" s="202"/>
      <c r="F58" s="215"/>
      <c r="G58" s="216"/>
      <c r="H58" s="217"/>
      <c r="I58" s="971">
        <f t="shared" si="8"/>
        <v>0</v>
      </c>
      <c r="J58" s="972"/>
      <c r="K58" s="973"/>
      <c r="L58" s="960"/>
      <c r="M58" s="961"/>
      <c r="N58" s="962"/>
      <c r="O58" s="962"/>
      <c r="P58" s="962"/>
      <c r="Q58" s="962"/>
      <c r="R58" s="220" t="e">
        <f t="shared" si="9"/>
        <v>#DIV/0!</v>
      </c>
      <c r="S58" s="160" t="e">
        <f t="shared" si="3"/>
        <v>#DIV/0!</v>
      </c>
      <c r="T58" s="171" t="e">
        <f t="shared" si="4"/>
        <v>#DIV/0!</v>
      </c>
      <c r="U58" s="161" t="e">
        <f t="shared" si="5"/>
        <v>#DIV/0!</v>
      </c>
      <c r="V58" s="162" t="e">
        <f t="shared" si="6"/>
        <v>#DIV/0!</v>
      </c>
      <c r="W58" s="172" t="e">
        <f t="shared" si="7"/>
        <v>#DIV/0!</v>
      </c>
    </row>
    <row r="59" spans="1:23" ht="15.75" thickBot="1" x14ac:dyDescent="0.3">
      <c r="A59" s="228">
        <v>32</v>
      </c>
      <c r="B59" s="992" t="s">
        <v>431</v>
      </c>
      <c r="C59" s="992"/>
      <c r="D59" s="993"/>
      <c r="E59" s="202"/>
      <c r="F59" s="215"/>
      <c r="G59" s="216"/>
      <c r="H59" s="217"/>
      <c r="I59" s="971">
        <f t="shared" si="8"/>
        <v>0</v>
      </c>
      <c r="J59" s="972"/>
      <c r="K59" s="973"/>
      <c r="L59" s="960"/>
      <c r="M59" s="961"/>
      <c r="N59" s="962"/>
      <c r="O59" s="962"/>
      <c r="P59" s="962"/>
      <c r="Q59" s="962"/>
      <c r="R59" s="220" t="e">
        <f t="shared" si="9"/>
        <v>#DIV/0!</v>
      </c>
      <c r="S59" s="160" t="e">
        <f t="shared" si="3"/>
        <v>#DIV/0!</v>
      </c>
      <c r="T59" s="171" t="e">
        <f t="shared" si="4"/>
        <v>#DIV/0!</v>
      </c>
      <c r="U59" s="161" t="e">
        <f t="shared" si="5"/>
        <v>#DIV/0!</v>
      </c>
      <c r="V59" s="162" t="e">
        <f t="shared" si="6"/>
        <v>#DIV/0!</v>
      </c>
      <c r="W59" s="172" t="e">
        <f t="shared" si="7"/>
        <v>#DIV/0!</v>
      </c>
    </row>
    <row r="60" spans="1:23" ht="15.75" thickBot="1" x14ac:dyDescent="0.3">
      <c r="A60" s="228">
        <v>33</v>
      </c>
      <c r="B60" s="992" t="s">
        <v>400</v>
      </c>
      <c r="C60" s="992"/>
      <c r="D60" s="993"/>
      <c r="E60" s="202"/>
      <c r="F60" s="215"/>
      <c r="G60" s="216"/>
      <c r="H60" s="217"/>
      <c r="I60" s="971">
        <f t="shared" si="8"/>
        <v>0</v>
      </c>
      <c r="J60" s="972"/>
      <c r="K60" s="973"/>
      <c r="L60" s="960"/>
      <c r="M60" s="961"/>
      <c r="N60" s="962"/>
      <c r="O60" s="962"/>
      <c r="P60" s="962"/>
      <c r="Q60" s="962"/>
      <c r="R60" s="220" t="e">
        <f t="shared" si="9"/>
        <v>#DIV/0!</v>
      </c>
      <c r="S60" s="160" t="e">
        <f t="shared" si="3"/>
        <v>#DIV/0!</v>
      </c>
      <c r="T60" s="171" t="e">
        <f t="shared" si="4"/>
        <v>#DIV/0!</v>
      </c>
      <c r="U60" s="161" t="e">
        <f t="shared" si="5"/>
        <v>#DIV/0!</v>
      </c>
      <c r="V60" s="162" t="e">
        <f t="shared" si="6"/>
        <v>#DIV/0!</v>
      </c>
      <c r="W60" s="172" t="e">
        <f t="shared" si="7"/>
        <v>#DIV/0!</v>
      </c>
    </row>
    <row r="61" spans="1:23" ht="15.75" thickBot="1" x14ac:dyDescent="0.3">
      <c r="A61" s="228">
        <v>34</v>
      </c>
      <c r="B61" s="992" t="s">
        <v>401</v>
      </c>
      <c r="C61" s="992"/>
      <c r="D61" s="993"/>
      <c r="E61" s="202"/>
      <c r="F61" s="215"/>
      <c r="G61" s="216"/>
      <c r="H61" s="217"/>
      <c r="I61" s="971">
        <f t="shared" si="8"/>
        <v>0</v>
      </c>
      <c r="J61" s="972"/>
      <c r="K61" s="973"/>
      <c r="L61" s="960"/>
      <c r="M61" s="961"/>
      <c r="N61" s="962"/>
      <c r="O61" s="962"/>
      <c r="P61" s="962"/>
      <c r="Q61" s="962"/>
      <c r="R61" s="220" t="e">
        <f t="shared" si="9"/>
        <v>#DIV/0!</v>
      </c>
      <c r="S61" s="160" t="e">
        <f t="shared" si="3"/>
        <v>#DIV/0!</v>
      </c>
      <c r="T61" s="171" t="e">
        <f t="shared" si="4"/>
        <v>#DIV/0!</v>
      </c>
      <c r="U61" s="161" t="e">
        <f t="shared" si="5"/>
        <v>#DIV/0!</v>
      </c>
      <c r="V61" s="162" t="e">
        <f t="shared" si="6"/>
        <v>#DIV/0!</v>
      </c>
      <c r="W61" s="172" t="e">
        <f t="shared" si="7"/>
        <v>#DIV/0!</v>
      </c>
    </row>
    <row r="62" spans="1:23" ht="15.75" thickBot="1" x14ac:dyDescent="0.3">
      <c r="A62" s="228">
        <v>35</v>
      </c>
      <c r="B62" s="992" t="s">
        <v>432</v>
      </c>
      <c r="C62" s="992"/>
      <c r="D62" s="993"/>
      <c r="E62" s="202"/>
      <c r="F62" s="215"/>
      <c r="G62" s="216"/>
      <c r="H62" s="217"/>
      <c r="I62" s="971">
        <f t="shared" si="8"/>
        <v>0</v>
      </c>
      <c r="J62" s="972"/>
      <c r="K62" s="973"/>
      <c r="L62" s="960"/>
      <c r="M62" s="961"/>
      <c r="N62" s="962"/>
      <c r="O62" s="962"/>
      <c r="P62" s="962"/>
      <c r="Q62" s="962"/>
      <c r="R62" s="220" t="e">
        <f t="shared" si="9"/>
        <v>#DIV/0!</v>
      </c>
      <c r="S62" s="160" t="e">
        <f t="shared" si="3"/>
        <v>#DIV/0!</v>
      </c>
      <c r="T62" s="171" t="e">
        <f t="shared" si="4"/>
        <v>#DIV/0!</v>
      </c>
      <c r="U62" s="161" t="e">
        <f t="shared" si="5"/>
        <v>#DIV/0!</v>
      </c>
      <c r="V62" s="162" t="e">
        <f t="shared" si="6"/>
        <v>#DIV/0!</v>
      </c>
      <c r="W62" s="172" t="e">
        <f t="shared" si="7"/>
        <v>#DIV/0!</v>
      </c>
    </row>
    <row r="63" spans="1:23" ht="15.75" thickBot="1" x14ac:dyDescent="0.3">
      <c r="A63" s="228">
        <v>36</v>
      </c>
      <c r="B63" s="992" t="s">
        <v>433</v>
      </c>
      <c r="C63" s="992"/>
      <c r="D63" s="993"/>
      <c r="E63" s="202"/>
      <c r="F63" s="215"/>
      <c r="G63" s="216"/>
      <c r="H63" s="217"/>
      <c r="I63" s="971">
        <f t="shared" si="8"/>
        <v>0</v>
      </c>
      <c r="J63" s="972"/>
      <c r="K63" s="973"/>
      <c r="L63" s="960"/>
      <c r="M63" s="961"/>
      <c r="N63" s="962"/>
      <c r="O63" s="962"/>
      <c r="P63" s="962"/>
      <c r="Q63" s="962"/>
      <c r="R63" s="220" t="e">
        <f t="shared" si="9"/>
        <v>#DIV/0!</v>
      </c>
      <c r="S63" s="160" t="e">
        <f t="shared" si="3"/>
        <v>#DIV/0!</v>
      </c>
      <c r="T63" s="171" t="e">
        <f t="shared" si="4"/>
        <v>#DIV/0!</v>
      </c>
      <c r="U63" s="161" t="e">
        <f t="shared" si="5"/>
        <v>#DIV/0!</v>
      </c>
      <c r="V63" s="162" t="e">
        <f t="shared" si="6"/>
        <v>#DIV/0!</v>
      </c>
      <c r="W63" s="172" t="e">
        <f t="shared" si="7"/>
        <v>#DIV/0!</v>
      </c>
    </row>
    <row r="64" spans="1:23" ht="15.75" thickBot="1" x14ac:dyDescent="0.3">
      <c r="A64" s="228">
        <v>37</v>
      </c>
      <c r="B64" s="992" t="s">
        <v>434</v>
      </c>
      <c r="C64" s="992"/>
      <c r="D64" s="993"/>
      <c r="E64" s="202"/>
      <c r="F64" s="215"/>
      <c r="G64" s="216"/>
      <c r="H64" s="217"/>
      <c r="I64" s="971">
        <f t="shared" si="8"/>
        <v>0</v>
      </c>
      <c r="J64" s="972"/>
      <c r="K64" s="973"/>
      <c r="L64" s="960"/>
      <c r="M64" s="961"/>
      <c r="N64" s="962"/>
      <c r="O64" s="962"/>
      <c r="P64" s="962"/>
      <c r="Q64" s="962"/>
      <c r="R64" s="220" t="e">
        <f t="shared" si="9"/>
        <v>#DIV/0!</v>
      </c>
      <c r="S64" s="160" t="e">
        <f t="shared" si="3"/>
        <v>#DIV/0!</v>
      </c>
      <c r="T64" s="171" t="e">
        <f t="shared" si="4"/>
        <v>#DIV/0!</v>
      </c>
      <c r="U64" s="161" t="e">
        <f t="shared" si="5"/>
        <v>#DIV/0!</v>
      </c>
      <c r="V64" s="162" t="e">
        <f t="shared" si="6"/>
        <v>#DIV/0!</v>
      </c>
      <c r="W64" s="172" t="e">
        <f t="shared" si="7"/>
        <v>#DIV/0!</v>
      </c>
    </row>
    <row r="65" spans="1:23" ht="15.75" thickBot="1" x14ac:dyDescent="0.3">
      <c r="A65" s="228">
        <v>38</v>
      </c>
      <c r="B65" s="992" t="s">
        <v>435</v>
      </c>
      <c r="C65" s="992"/>
      <c r="D65" s="993"/>
      <c r="E65" s="202"/>
      <c r="F65" s="215"/>
      <c r="G65" s="216"/>
      <c r="H65" s="217"/>
      <c r="I65" s="971">
        <f t="shared" si="8"/>
        <v>0</v>
      </c>
      <c r="J65" s="972"/>
      <c r="K65" s="973"/>
      <c r="L65" s="960"/>
      <c r="M65" s="961"/>
      <c r="N65" s="962"/>
      <c r="O65" s="962"/>
      <c r="P65" s="962"/>
      <c r="Q65" s="962"/>
      <c r="R65" s="220" t="e">
        <f t="shared" si="9"/>
        <v>#DIV/0!</v>
      </c>
      <c r="S65" s="160" t="e">
        <f t="shared" si="3"/>
        <v>#DIV/0!</v>
      </c>
      <c r="T65" s="171" t="e">
        <f t="shared" si="4"/>
        <v>#DIV/0!</v>
      </c>
      <c r="U65" s="161" t="e">
        <f t="shared" si="5"/>
        <v>#DIV/0!</v>
      </c>
      <c r="V65" s="162" t="e">
        <f t="shared" si="6"/>
        <v>#DIV/0!</v>
      </c>
      <c r="W65" s="172" t="e">
        <f t="shared" si="7"/>
        <v>#DIV/0!</v>
      </c>
    </row>
    <row r="66" spans="1:23" ht="15.75" thickBot="1" x14ac:dyDescent="0.3">
      <c r="A66" s="228">
        <v>39</v>
      </c>
      <c r="B66" s="992" t="s">
        <v>436</v>
      </c>
      <c r="C66" s="992"/>
      <c r="D66" s="993"/>
      <c r="E66" s="202"/>
      <c r="F66" s="215"/>
      <c r="G66" s="216"/>
      <c r="H66" s="217"/>
      <c r="I66" s="971">
        <f t="shared" si="8"/>
        <v>0</v>
      </c>
      <c r="J66" s="972"/>
      <c r="K66" s="973"/>
      <c r="L66" s="960"/>
      <c r="M66" s="961"/>
      <c r="N66" s="962"/>
      <c r="O66" s="962"/>
      <c r="P66" s="962"/>
      <c r="Q66" s="962"/>
      <c r="R66" s="220" t="e">
        <f t="shared" si="9"/>
        <v>#DIV/0!</v>
      </c>
      <c r="S66" s="160" t="e">
        <f t="shared" si="3"/>
        <v>#DIV/0!</v>
      </c>
      <c r="T66" s="171" t="e">
        <f t="shared" si="4"/>
        <v>#DIV/0!</v>
      </c>
      <c r="U66" s="161" t="e">
        <f t="shared" si="5"/>
        <v>#DIV/0!</v>
      </c>
      <c r="V66" s="162" t="e">
        <f t="shared" si="6"/>
        <v>#DIV/0!</v>
      </c>
      <c r="W66" s="172" t="e">
        <f t="shared" si="7"/>
        <v>#DIV/0!</v>
      </c>
    </row>
    <row r="67" spans="1:23" ht="15.75" thickBot="1" x14ac:dyDescent="0.3">
      <c r="A67" s="228">
        <v>40</v>
      </c>
      <c r="B67" s="992" t="s">
        <v>437</v>
      </c>
      <c r="C67" s="992"/>
      <c r="D67" s="993"/>
      <c r="E67" s="202"/>
      <c r="F67" s="215"/>
      <c r="G67" s="216"/>
      <c r="H67" s="217"/>
      <c r="I67" s="971">
        <f t="shared" si="8"/>
        <v>0</v>
      </c>
      <c r="J67" s="972"/>
      <c r="K67" s="973"/>
      <c r="L67" s="960"/>
      <c r="M67" s="961"/>
      <c r="N67" s="962"/>
      <c r="O67" s="962"/>
      <c r="P67" s="962"/>
      <c r="Q67" s="962"/>
      <c r="R67" s="220" t="e">
        <f t="shared" si="9"/>
        <v>#DIV/0!</v>
      </c>
      <c r="S67" s="160" t="e">
        <f t="shared" si="3"/>
        <v>#DIV/0!</v>
      </c>
      <c r="T67" s="171" t="e">
        <f t="shared" si="4"/>
        <v>#DIV/0!</v>
      </c>
      <c r="U67" s="161" t="e">
        <f t="shared" si="5"/>
        <v>#DIV/0!</v>
      </c>
      <c r="V67" s="162" t="e">
        <f t="shared" si="6"/>
        <v>#DIV/0!</v>
      </c>
      <c r="W67" s="172" t="e">
        <f t="shared" si="7"/>
        <v>#DIV/0!</v>
      </c>
    </row>
    <row r="68" spans="1:23" ht="15.75" thickBot="1" x14ac:dyDescent="0.3">
      <c r="A68" s="228">
        <v>41</v>
      </c>
      <c r="B68" s="992" t="s">
        <v>438</v>
      </c>
      <c r="C68" s="992"/>
      <c r="D68" s="993"/>
      <c r="E68" s="202"/>
      <c r="F68" s="215"/>
      <c r="G68" s="216"/>
      <c r="H68" s="217"/>
      <c r="I68" s="971">
        <f t="shared" si="8"/>
        <v>0</v>
      </c>
      <c r="J68" s="972"/>
      <c r="K68" s="973"/>
      <c r="L68" s="960"/>
      <c r="M68" s="961"/>
      <c r="N68" s="962"/>
      <c r="O68" s="962"/>
      <c r="P68" s="962"/>
      <c r="Q68" s="962"/>
      <c r="R68" s="220" t="e">
        <f t="shared" si="9"/>
        <v>#DIV/0!</v>
      </c>
      <c r="S68" s="160" t="e">
        <f t="shared" si="3"/>
        <v>#DIV/0!</v>
      </c>
      <c r="T68" s="171" t="e">
        <f t="shared" si="4"/>
        <v>#DIV/0!</v>
      </c>
      <c r="U68" s="161" t="e">
        <f t="shared" si="5"/>
        <v>#DIV/0!</v>
      </c>
      <c r="V68" s="162" t="e">
        <f t="shared" si="6"/>
        <v>#DIV/0!</v>
      </c>
      <c r="W68" s="172" t="e">
        <f t="shared" si="7"/>
        <v>#DIV/0!</v>
      </c>
    </row>
    <row r="69" spans="1:23" ht="15.75" thickBot="1" x14ac:dyDescent="0.3">
      <c r="A69" s="228">
        <v>42</v>
      </c>
      <c r="B69" s="992" t="s">
        <v>439</v>
      </c>
      <c r="C69" s="992"/>
      <c r="D69" s="993"/>
      <c r="E69" s="202"/>
      <c r="F69" s="215"/>
      <c r="G69" s="216"/>
      <c r="H69" s="217"/>
      <c r="I69" s="971">
        <f t="shared" si="8"/>
        <v>0</v>
      </c>
      <c r="J69" s="972"/>
      <c r="K69" s="973"/>
      <c r="L69" s="960"/>
      <c r="M69" s="961"/>
      <c r="N69" s="962"/>
      <c r="O69" s="962"/>
      <c r="P69" s="962"/>
      <c r="Q69" s="962"/>
      <c r="R69" s="220" t="e">
        <f t="shared" si="9"/>
        <v>#DIV/0!</v>
      </c>
      <c r="S69" s="160" t="e">
        <f t="shared" si="3"/>
        <v>#DIV/0!</v>
      </c>
      <c r="T69" s="171" t="e">
        <f t="shared" si="4"/>
        <v>#DIV/0!</v>
      </c>
      <c r="U69" s="161" t="e">
        <f t="shared" si="5"/>
        <v>#DIV/0!</v>
      </c>
      <c r="V69" s="162" t="e">
        <f t="shared" si="6"/>
        <v>#DIV/0!</v>
      </c>
      <c r="W69" s="172" t="e">
        <f t="shared" si="7"/>
        <v>#DIV/0!</v>
      </c>
    </row>
    <row r="70" spans="1:23" ht="15.75" thickBot="1" x14ac:dyDescent="0.3">
      <c r="A70" s="228">
        <v>43</v>
      </c>
      <c r="B70" s="992" t="s">
        <v>387</v>
      </c>
      <c r="C70" s="992"/>
      <c r="D70" s="993"/>
      <c r="E70" s="202"/>
      <c r="F70" s="215"/>
      <c r="G70" s="216"/>
      <c r="H70" s="217"/>
      <c r="I70" s="971">
        <f t="shared" si="8"/>
        <v>0</v>
      </c>
      <c r="J70" s="972"/>
      <c r="K70" s="973"/>
      <c r="L70" s="960"/>
      <c r="M70" s="961"/>
      <c r="N70" s="962"/>
      <c r="O70" s="962"/>
      <c r="P70" s="962"/>
      <c r="Q70" s="962"/>
      <c r="R70" s="220" t="e">
        <f t="shared" si="9"/>
        <v>#DIV/0!</v>
      </c>
      <c r="S70" s="160" t="e">
        <f t="shared" si="3"/>
        <v>#DIV/0!</v>
      </c>
      <c r="T70" s="171" t="e">
        <f t="shared" si="4"/>
        <v>#DIV/0!</v>
      </c>
      <c r="U70" s="161" t="e">
        <f t="shared" si="5"/>
        <v>#DIV/0!</v>
      </c>
      <c r="V70" s="162" t="e">
        <f t="shared" si="6"/>
        <v>#DIV/0!</v>
      </c>
      <c r="W70" s="172" t="e">
        <f t="shared" si="7"/>
        <v>#DIV/0!</v>
      </c>
    </row>
    <row r="71" spans="1:23" ht="15.75" thickBot="1" x14ac:dyDescent="0.3">
      <c r="A71" s="228">
        <v>44</v>
      </c>
      <c r="B71" s="992" t="s">
        <v>440</v>
      </c>
      <c r="C71" s="992"/>
      <c r="D71" s="993"/>
      <c r="E71" s="202"/>
      <c r="F71" s="215"/>
      <c r="G71" s="216"/>
      <c r="H71" s="217"/>
      <c r="I71" s="971">
        <f t="shared" si="8"/>
        <v>0</v>
      </c>
      <c r="J71" s="972"/>
      <c r="K71" s="973"/>
      <c r="L71" s="960"/>
      <c r="M71" s="961"/>
      <c r="N71" s="962"/>
      <c r="O71" s="962"/>
      <c r="P71" s="962"/>
      <c r="Q71" s="962"/>
      <c r="R71" s="220" t="e">
        <f t="shared" si="9"/>
        <v>#DIV/0!</v>
      </c>
      <c r="S71" s="160" t="e">
        <f t="shared" si="3"/>
        <v>#DIV/0!</v>
      </c>
      <c r="T71" s="171" t="e">
        <f t="shared" si="4"/>
        <v>#DIV/0!</v>
      </c>
      <c r="U71" s="161" t="e">
        <f t="shared" si="5"/>
        <v>#DIV/0!</v>
      </c>
      <c r="V71" s="162" t="e">
        <f t="shared" si="6"/>
        <v>#DIV/0!</v>
      </c>
      <c r="W71" s="172" t="e">
        <f t="shared" si="7"/>
        <v>#DIV/0!</v>
      </c>
    </row>
    <row r="72" spans="1:23" ht="15.75" thickBot="1" x14ac:dyDescent="0.3">
      <c r="A72" s="228">
        <v>45</v>
      </c>
      <c r="B72" s="992" t="s">
        <v>441</v>
      </c>
      <c r="C72" s="992"/>
      <c r="D72" s="993"/>
      <c r="E72" s="202"/>
      <c r="F72" s="215"/>
      <c r="G72" s="216"/>
      <c r="H72" s="217"/>
      <c r="I72" s="971">
        <f t="shared" si="8"/>
        <v>0</v>
      </c>
      <c r="J72" s="972"/>
      <c r="K72" s="973"/>
      <c r="L72" s="960"/>
      <c r="M72" s="961"/>
      <c r="N72" s="962"/>
      <c r="O72" s="962"/>
      <c r="P72" s="962"/>
      <c r="Q72" s="962"/>
      <c r="R72" s="220" t="e">
        <f t="shared" si="9"/>
        <v>#DIV/0!</v>
      </c>
      <c r="S72" s="160" t="e">
        <f t="shared" si="3"/>
        <v>#DIV/0!</v>
      </c>
      <c r="T72" s="171" t="e">
        <f t="shared" si="4"/>
        <v>#DIV/0!</v>
      </c>
      <c r="U72" s="161" t="e">
        <f t="shared" si="5"/>
        <v>#DIV/0!</v>
      </c>
      <c r="V72" s="162" t="e">
        <f t="shared" si="6"/>
        <v>#DIV/0!</v>
      </c>
      <c r="W72" s="172" t="e">
        <f t="shared" si="7"/>
        <v>#DIV/0!</v>
      </c>
    </row>
    <row r="73" spans="1:23" ht="15.75" thickBot="1" x14ac:dyDescent="0.3">
      <c r="A73" s="228">
        <v>46</v>
      </c>
      <c r="B73" s="992" t="s">
        <v>442</v>
      </c>
      <c r="C73" s="992"/>
      <c r="D73" s="993"/>
      <c r="E73" s="202"/>
      <c r="F73" s="215"/>
      <c r="G73" s="216"/>
      <c r="H73" s="217"/>
      <c r="I73" s="971">
        <f t="shared" si="8"/>
        <v>0</v>
      </c>
      <c r="J73" s="972"/>
      <c r="K73" s="973"/>
      <c r="L73" s="960"/>
      <c r="M73" s="961"/>
      <c r="N73" s="962"/>
      <c r="O73" s="962"/>
      <c r="P73" s="962"/>
      <c r="Q73" s="962"/>
      <c r="R73" s="220" t="e">
        <f t="shared" si="9"/>
        <v>#DIV/0!</v>
      </c>
      <c r="S73" s="160" t="e">
        <f t="shared" si="3"/>
        <v>#DIV/0!</v>
      </c>
      <c r="T73" s="171" t="e">
        <f t="shared" si="4"/>
        <v>#DIV/0!</v>
      </c>
      <c r="U73" s="161" t="e">
        <f t="shared" si="5"/>
        <v>#DIV/0!</v>
      </c>
      <c r="V73" s="162" t="e">
        <f t="shared" si="6"/>
        <v>#DIV/0!</v>
      </c>
      <c r="W73" s="172" t="e">
        <f t="shared" si="7"/>
        <v>#DIV/0!</v>
      </c>
    </row>
    <row r="74" spans="1:23" ht="15.75" thickBot="1" x14ac:dyDescent="0.3">
      <c r="A74" s="228">
        <v>47</v>
      </c>
      <c r="B74" s="992" t="s">
        <v>388</v>
      </c>
      <c r="C74" s="992"/>
      <c r="D74" s="993"/>
      <c r="E74" s="202"/>
      <c r="F74" s="215"/>
      <c r="G74" s="216"/>
      <c r="H74" s="217"/>
      <c r="I74" s="971">
        <f t="shared" si="8"/>
        <v>0</v>
      </c>
      <c r="J74" s="972"/>
      <c r="K74" s="973"/>
      <c r="L74" s="960"/>
      <c r="M74" s="961"/>
      <c r="N74" s="962"/>
      <c r="O74" s="962"/>
      <c r="P74" s="962"/>
      <c r="Q74" s="962"/>
      <c r="R74" s="220" t="e">
        <f t="shared" si="9"/>
        <v>#DIV/0!</v>
      </c>
      <c r="S74" s="160" t="e">
        <f t="shared" si="3"/>
        <v>#DIV/0!</v>
      </c>
      <c r="T74" s="171" t="e">
        <f t="shared" si="4"/>
        <v>#DIV/0!</v>
      </c>
      <c r="U74" s="161" t="e">
        <f t="shared" si="5"/>
        <v>#DIV/0!</v>
      </c>
      <c r="V74" s="162" t="e">
        <f t="shared" si="6"/>
        <v>#DIV/0!</v>
      </c>
      <c r="W74" s="172" t="e">
        <f t="shared" si="7"/>
        <v>#DIV/0!</v>
      </c>
    </row>
    <row r="75" spans="1:23" ht="15.75" thickBot="1" x14ac:dyDescent="0.3">
      <c r="A75" s="228">
        <v>48</v>
      </c>
      <c r="B75" s="992" t="s">
        <v>443</v>
      </c>
      <c r="C75" s="992"/>
      <c r="D75" s="993"/>
      <c r="E75" s="202"/>
      <c r="F75" s="215"/>
      <c r="G75" s="216"/>
      <c r="H75" s="217"/>
      <c r="I75" s="971">
        <f t="shared" si="8"/>
        <v>0</v>
      </c>
      <c r="J75" s="972"/>
      <c r="K75" s="973"/>
      <c r="L75" s="960"/>
      <c r="M75" s="961"/>
      <c r="N75" s="962"/>
      <c r="O75" s="962"/>
      <c r="P75" s="962"/>
      <c r="Q75" s="962"/>
      <c r="R75" s="220" t="e">
        <f t="shared" si="9"/>
        <v>#DIV/0!</v>
      </c>
      <c r="S75" s="160" t="e">
        <f t="shared" si="3"/>
        <v>#DIV/0!</v>
      </c>
      <c r="T75" s="171" t="e">
        <f t="shared" si="4"/>
        <v>#DIV/0!</v>
      </c>
      <c r="U75" s="161" t="e">
        <f t="shared" si="5"/>
        <v>#DIV/0!</v>
      </c>
      <c r="V75" s="162" t="e">
        <f t="shared" si="6"/>
        <v>#DIV/0!</v>
      </c>
      <c r="W75" s="172" t="e">
        <f t="shared" si="7"/>
        <v>#DIV/0!</v>
      </c>
    </row>
    <row r="76" spans="1:23" ht="15.75" thickBot="1" x14ac:dyDescent="0.3">
      <c r="A76" s="228">
        <v>49</v>
      </c>
      <c r="B76" s="992" t="s">
        <v>444</v>
      </c>
      <c r="C76" s="992"/>
      <c r="D76" s="993"/>
      <c r="E76" s="202"/>
      <c r="F76" s="215"/>
      <c r="G76" s="216"/>
      <c r="H76" s="217"/>
      <c r="I76" s="971">
        <f t="shared" si="8"/>
        <v>0</v>
      </c>
      <c r="J76" s="972"/>
      <c r="K76" s="973"/>
      <c r="L76" s="960"/>
      <c r="M76" s="961"/>
      <c r="N76" s="962"/>
      <c r="O76" s="962"/>
      <c r="P76" s="962"/>
      <c r="Q76" s="962"/>
      <c r="R76" s="220" t="e">
        <f t="shared" si="9"/>
        <v>#DIV/0!</v>
      </c>
      <c r="S76" s="160" t="e">
        <f t="shared" si="3"/>
        <v>#DIV/0!</v>
      </c>
      <c r="T76" s="171" t="e">
        <f t="shared" si="4"/>
        <v>#DIV/0!</v>
      </c>
      <c r="U76" s="161" t="e">
        <f t="shared" si="5"/>
        <v>#DIV/0!</v>
      </c>
      <c r="V76" s="162" t="e">
        <f t="shared" si="6"/>
        <v>#DIV/0!</v>
      </c>
      <c r="W76" s="172" t="e">
        <f t="shared" si="7"/>
        <v>#DIV/0!</v>
      </c>
    </row>
    <row r="77" spans="1:23" ht="15.75" thickBot="1" x14ac:dyDescent="0.3">
      <c r="A77" s="228">
        <v>50</v>
      </c>
      <c r="B77" s="992" t="s">
        <v>445</v>
      </c>
      <c r="C77" s="992"/>
      <c r="D77" s="993"/>
      <c r="E77" s="202"/>
      <c r="F77" s="215"/>
      <c r="G77" s="216"/>
      <c r="H77" s="217"/>
      <c r="I77" s="971">
        <f t="shared" si="8"/>
        <v>0</v>
      </c>
      <c r="J77" s="972"/>
      <c r="K77" s="973"/>
      <c r="L77" s="960"/>
      <c r="M77" s="961"/>
      <c r="N77" s="962"/>
      <c r="O77" s="962"/>
      <c r="P77" s="962"/>
      <c r="Q77" s="962"/>
      <c r="R77" s="220" t="e">
        <f t="shared" si="9"/>
        <v>#DIV/0!</v>
      </c>
      <c r="S77" s="160" t="e">
        <f t="shared" si="3"/>
        <v>#DIV/0!</v>
      </c>
      <c r="T77" s="171" t="e">
        <f t="shared" si="4"/>
        <v>#DIV/0!</v>
      </c>
      <c r="U77" s="161" t="e">
        <f t="shared" si="5"/>
        <v>#DIV/0!</v>
      </c>
      <c r="V77" s="162" t="e">
        <f t="shared" si="6"/>
        <v>#DIV/0!</v>
      </c>
      <c r="W77" s="172" t="e">
        <f t="shared" si="7"/>
        <v>#DIV/0!</v>
      </c>
    </row>
    <row r="78" spans="1:23" ht="15.75" thickBot="1" x14ac:dyDescent="0.3">
      <c r="A78" s="228">
        <v>51</v>
      </c>
      <c r="B78" s="992" t="s">
        <v>446</v>
      </c>
      <c r="C78" s="992"/>
      <c r="D78" s="993"/>
      <c r="E78" s="202"/>
      <c r="F78" s="215"/>
      <c r="G78" s="216"/>
      <c r="H78" s="217"/>
      <c r="I78" s="971">
        <f t="shared" si="8"/>
        <v>0</v>
      </c>
      <c r="J78" s="972"/>
      <c r="K78" s="973"/>
      <c r="L78" s="960"/>
      <c r="M78" s="961"/>
      <c r="N78" s="962"/>
      <c r="O78" s="962"/>
      <c r="P78" s="962"/>
      <c r="Q78" s="962"/>
      <c r="R78" s="220" t="e">
        <f t="shared" si="9"/>
        <v>#DIV/0!</v>
      </c>
      <c r="S78" s="160" t="e">
        <f t="shared" si="3"/>
        <v>#DIV/0!</v>
      </c>
      <c r="T78" s="171" t="e">
        <f t="shared" si="4"/>
        <v>#DIV/0!</v>
      </c>
      <c r="U78" s="161" t="e">
        <f t="shared" si="5"/>
        <v>#DIV/0!</v>
      </c>
      <c r="V78" s="162" t="e">
        <f t="shared" si="6"/>
        <v>#DIV/0!</v>
      </c>
      <c r="W78" s="172" t="e">
        <f t="shared" si="7"/>
        <v>#DIV/0!</v>
      </c>
    </row>
    <row r="79" spans="1:23" ht="15.75" thickBot="1" x14ac:dyDescent="0.3">
      <c r="A79" s="228">
        <v>52</v>
      </c>
      <c r="B79" s="992" t="s">
        <v>447</v>
      </c>
      <c r="C79" s="992"/>
      <c r="D79" s="993"/>
      <c r="E79" s="202"/>
      <c r="F79" s="215"/>
      <c r="G79" s="216"/>
      <c r="H79" s="217"/>
      <c r="I79" s="971">
        <f t="shared" si="8"/>
        <v>0</v>
      </c>
      <c r="J79" s="972"/>
      <c r="K79" s="973"/>
      <c r="L79" s="960"/>
      <c r="M79" s="961"/>
      <c r="N79" s="962"/>
      <c r="O79" s="962"/>
      <c r="P79" s="962"/>
      <c r="Q79" s="962"/>
      <c r="R79" s="220" t="e">
        <f t="shared" si="9"/>
        <v>#DIV/0!</v>
      </c>
      <c r="S79" s="160" t="e">
        <f t="shared" si="3"/>
        <v>#DIV/0!</v>
      </c>
      <c r="T79" s="171" t="e">
        <f t="shared" si="4"/>
        <v>#DIV/0!</v>
      </c>
      <c r="U79" s="161" t="e">
        <f t="shared" si="5"/>
        <v>#DIV/0!</v>
      </c>
      <c r="V79" s="162" t="e">
        <f t="shared" si="6"/>
        <v>#DIV/0!</v>
      </c>
      <c r="W79" s="172" t="e">
        <f t="shared" si="7"/>
        <v>#DIV/0!</v>
      </c>
    </row>
    <row r="80" spans="1:23" ht="15.75" thickBot="1" x14ac:dyDescent="0.3">
      <c r="A80" s="228">
        <v>53</v>
      </c>
      <c r="B80" s="992" t="s">
        <v>448</v>
      </c>
      <c r="C80" s="992"/>
      <c r="D80" s="993"/>
      <c r="E80" s="202"/>
      <c r="F80" s="215"/>
      <c r="G80" s="216"/>
      <c r="H80" s="217"/>
      <c r="I80" s="971">
        <f t="shared" si="8"/>
        <v>0</v>
      </c>
      <c r="J80" s="972"/>
      <c r="K80" s="973"/>
      <c r="L80" s="960"/>
      <c r="M80" s="961"/>
      <c r="N80" s="962"/>
      <c r="O80" s="962"/>
      <c r="P80" s="962"/>
      <c r="Q80" s="962"/>
      <c r="R80" s="220" t="e">
        <f t="shared" si="9"/>
        <v>#DIV/0!</v>
      </c>
      <c r="S80" s="160" t="e">
        <f t="shared" si="3"/>
        <v>#DIV/0!</v>
      </c>
      <c r="T80" s="171" t="e">
        <f t="shared" si="4"/>
        <v>#DIV/0!</v>
      </c>
      <c r="U80" s="161" t="e">
        <f t="shared" si="5"/>
        <v>#DIV/0!</v>
      </c>
      <c r="V80" s="162" t="e">
        <f t="shared" si="6"/>
        <v>#DIV/0!</v>
      </c>
      <c r="W80" s="172" t="e">
        <f t="shared" si="7"/>
        <v>#DIV/0!</v>
      </c>
    </row>
    <row r="81" spans="1:23" ht="15.75" thickBot="1" x14ac:dyDescent="0.3">
      <c r="A81" s="228">
        <v>54</v>
      </c>
      <c r="B81" s="992" t="s">
        <v>449</v>
      </c>
      <c r="C81" s="992"/>
      <c r="D81" s="993"/>
      <c r="E81" s="202"/>
      <c r="F81" s="215"/>
      <c r="G81" s="216"/>
      <c r="H81" s="217"/>
      <c r="I81" s="971">
        <f t="shared" si="8"/>
        <v>0</v>
      </c>
      <c r="J81" s="972"/>
      <c r="K81" s="973"/>
      <c r="L81" s="960"/>
      <c r="M81" s="961"/>
      <c r="N81" s="962"/>
      <c r="O81" s="962"/>
      <c r="P81" s="962"/>
      <c r="Q81" s="962"/>
      <c r="R81" s="220" t="e">
        <f t="shared" si="9"/>
        <v>#DIV/0!</v>
      </c>
      <c r="S81" s="160" t="e">
        <f t="shared" si="3"/>
        <v>#DIV/0!</v>
      </c>
      <c r="T81" s="171" t="e">
        <f t="shared" si="4"/>
        <v>#DIV/0!</v>
      </c>
      <c r="U81" s="161" t="e">
        <f t="shared" si="5"/>
        <v>#DIV/0!</v>
      </c>
      <c r="V81" s="162" t="e">
        <f t="shared" si="6"/>
        <v>#DIV/0!</v>
      </c>
      <c r="W81" s="172" t="e">
        <f t="shared" si="7"/>
        <v>#DIV/0!</v>
      </c>
    </row>
    <row r="82" spans="1:23" ht="15.75" thickBot="1" x14ac:dyDescent="0.3">
      <c r="A82" s="228">
        <v>55</v>
      </c>
      <c r="B82" s="992" t="s">
        <v>450</v>
      </c>
      <c r="C82" s="992"/>
      <c r="D82" s="993"/>
      <c r="E82" s="202"/>
      <c r="F82" s="215"/>
      <c r="G82" s="216"/>
      <c r="H82" s="217"/>
      <c r="I82" s="971">
        <f t="shared" si="8"/>
        <v>0</v>
      </c>
      <c r="J82" s="972"/>
      <c r="K82" s="973"/>
      <c r="L82" s="960"/>
      <c r="M82" s="961"/>
      <c r="N82" s="962"/>
      <c r="O82" s="962"/>
      <c r="P82" s="962"/>
      <c r="Q82" s="962"/>
      <c r="R82" s="220" t="e">
        <f t="shared" si="9"/>
        <v>#DIV/0!</v>
      </c>
      <c r="S82" s="160" t="e">
        <f t="shared" si="3"/>
        <v>#DIV/0!</v>
      </c>
      <c r="T82" s="171" t="e">
        <f t="shared" si="4"/>
        <v>#DIV/0!</v>
      </c>
      <c r="U82" s="161" t="e">
        <f t="shared" si="5"/>
        <v>#DIV/0!</v>
      </c>
      <c r="V82" s="162" t="e">
        <f t="shared" si="6"/>
        <v>#DIV/0!</v>
      </c>
      <c r="W82" s="172" t="e">
        <f t="shared" si="7"/>
        <v>#DIV/0!</v>
      </c>
    </row>
    <row r="83" spans="1:23" ht="15.75" thickBot="1" x14ac:dyDescent="0.3">
      <c r="A83" s="228">
        <v>56</v>
      </c>
      <c r="B83" s="992" t="s">
        <v>451</v>
      </c>
      <c r="C83" s="992"/>
      <c r="D83" s="993"/>
      <c r="E83" s="202"/>
      <c r="F83" s="215"/>
      <c r="G83" s="216"/>
      <c r="H83" s="217"/>
      <c r="I83" s="971">
        <f t="shared" si="8"/>
        <v>0</v>
      </c>
      <c r="J83" s="972"/>
      <c r="K83" s="973"/>
      <c r="L83" s="960"/>
      <c r="M83" s="961"/>
      <c r="N83" s="962"/>
      <c r="O83" s="962"/>
      <c r="P83" s="962"/>
      <c r="Q83" s="962"/>
      <c r="R83" s="220" t="e">
        <f t="shared" si="9"/>
        <v>#DIV/0!</v>
      </c>
      <c r="S83" s="160" t="e">
        <f t="shared" si="3"/>
        <v>#DIV/0!</v>
      </c>
      <c r="T83" s="171" t="e">
        <f t="shared" si="4"/>
        <v>#DIV/0!</v>
      </c>
      <c r="U83" s="161" t="e">
        <f t="shared" si="5"/>
        <v>#DIV/0!</v>
      </c>
      <c r="V83" s="162" t="e">
        <f t="shared" si="6"/>
        <v>#DIV/0!</v>
      </c>
      <c r="W83" s="172" t="e">
        <f t="shared" si="7"/>
        <v>#DIV/0!</v>
      </c>
    </row>
    <row r="84" spans="1:23" ht="15.75" thickBot="1" x14ac:dyDescent="0.3">
      <c r="A84" s="228">
        <v>57</v>
      </c>
      <c r="B84" s="994" t="s">
        <v>452</v>
      </c>
      <c r="C84" s="994"/>
      <c r="D84" s="995"/>
      <c r="E84" s="202"/>
      <c r="F84" s="215"/>
      <c r="G84" s="216"/>
      <c r="H84" s="217"/>
      <c r="I84" s="971">
        <f t="shared" si="8"/>
        <v>0</v>
      </c>
      <c r="J84" s="972"/>
      <c r="K84" s="973"/>
      <c r="L84" s="960"/>
      <c r="M84" s="961"/>
      <c r="N84" s="962"/>
      <c r="O84" s="962"/>
      <c r="P84" s="962"/>
      <c r="Q84" s="962"/>
      <c r="R84" s="220" t="e">
        <f t="shared" si="9"/>
        <v>#DIV/0!</v>
      </c>
      <c r="S84" s="160" t="e">
        <f t="shared" si="3"/>
        <v>#DIV/0!</v>
      </c>
      <c r="T84" s="171" t="e">
        <f t="shared" si="4"/>
        <v>#DIV/0!</v>
      </c>
      <c r="U84" s="161" t="e">
        <f t="shared" si="5"/>
        <v>#DIV/0!</v>
      </c>
      <c r="V84" s="162" t="e">
        <f t="shared" si="6"/>
        <v>#DIV/0!</v>
      </c>
      <c r="W84" s="172" t="e">
        <f t="shared" si="7"/>
        <v>#DIV/0!</v>
      </c>
    </row>
    <row r="85" spans="1:23" ht="15.75" thickBot="1" x14ac:dyDescent="0.3">
      <c r="A85" s="228">
        <v>58</v>
      </c>
      <c r="B85" s="992" t="s">
        <v>453</v>
      </c>
      <c r="C85" s="992"/>
      <c r="D85" s="993"/>
      <c r="E85" s="202"/>
      <c r="F85" s="215"/>
      <c r="G85" s="216"/>
      <c r="H85" s="217"/>
      <c r="I85" s="971">
        <f t="shared" si="8"/>
        <v>0</v>
      </c>
      <c r="J85" s="972"/>
      <c r="K85" s="973"/>
      <c r="L85" s="960"/>
      <c r="M85" s="961"/>
      <c r="N85" s="962"/>
      <c r="O85" s="962"/>
      <c r="P85" s="962"/>
      <c r="Q85" s="962"/>
      <c r="R85" s="220" t="e">
        <f t="shared" si="9"/>
        <v>#DIV/0!</v>
      </c>
      <c r="S85" s="160" t="e">
        <f t="shared" si="3"/>
        <v>#DIV/0!</v>
      </c>
      <c r="T85" s="171" t="e">
        <f t="shared" si="4"/>
        <v>#DIV/0!</v>
      </c>
      <c r="U85" s="161" t="e">
        <f t="shared" si="5"/>
        <v>#DIV/0!</v>
      </c>
      <c r="V85" s="162" t="e">
        <f t="shared" si="6"/>
        <v>#DIV/0!</v>
      </c>
      <c r="W85" s="172" t="e">
        <f t="shared" si="7"/>
        <v>#DIV/0!</v>
      </c>
    </row>
    <row r="86" spans="1:23" ht="15.75" thickBot="1" x14ac:dyDescent="0.3">
      <c r="A86" s="228">
        <v>59</v>
      </c>
      <c r="B86" s="992" t="s">
        <v>454</v>
      </c>
      <c r="C86" s="992"/>
      <c r="D86" s="993"/>
      <c r="E86" s="202"/>
      <c r="F86" s="215"/>
      <c r="G86" s="216"/>
      <c r="H86" s="217"/>
      <c r="I86" s="971">
        <f t="shared" si="8"/>
        <v>0</v>
      </c>
      <c r="J86" s="972"/>
      <c r="K86" s="973"/>
      <c r="L86" s="960"/>
      <c r="M86" s="961"/>
      <c r="N86" s="962"/>
      <c r="O86" s="962"/>
      <c r="P86" s="962"/>
      <c r="Q86" s="962"/>
      <c r="R86" s="220" t="e">
        <f t="shared" si="9"/>
        <v>#DIV/0!</v>
      </c>
      <c r="S86" s="160" t="e">
        <f t="shared" si="3"/>
        <v>#DIV/0!</v>
      </c>
      <c r="T86" s="171" t="e">
        <f t="shared" si="4"/>
        <v>#DIV/0!</v>
      </c>
      <c r="U86" s="161" t="e">
        <f t="shared" si="5"/>
        <v>#DIV/0!</v>
      </c>
      <c r="V86" s="162" t="e">
        <f t="shared" si="6"/>
        <v>#DIV/0!</v>
      </c>
      <c r="W86" s="172" t="e">
        <f t="shared" si="7"/>
        <v>#DIV/0!</v>
      </c>
    </row>
    <row r="87" spans="1:23" ht="15.75" thickBot="1" x14ac:dyDescent="0.3">
      <c r="A87" s="228">
        <v>60</v>
      </c>
      <c r="B87" s="992" t="s">
        <v>455</v>
      </c>
      <c r="C87" s="992"/>
      <c r="D87" s="993"/>
      <c r="E87" s="202"/>
      <c r="F87" s="215"/>
      <c r="G87" s="216"/>
      <c r="H87" s="217"/>
      <c r="I87" s="971">
        <f t="shared" si="8"/>
        <v>0</v>
      </c>
      <c r="J87" s="972"/>
      <c r="K87" s="973"/>
      <c r="L87" s="960"/>
      <c r="M87" s="961"/>
      <c r="N87" s="962"/>
      <c r="O87" s="962"/>
      <c r="P87" s="962"/>
      <c r="Q87" s="962"/>
      <c r="R87" s="220" t="e">
        <f t="shared" si="9"/>
        <v>#DIV/0!</v>
      </c>
      <c r="S87" s="160" t="e">
        <f t="shared" si="3"/>
        <v>#DIV/0!</v>
      </c>
      <c r="T87" s="171" t="e">
        <f t="shared" si="4"/>
        <v>#DIV/0!</v>
      </c>
      <c r="U87" s="161" t="e">
        <f t="shared" si="5"/>
        <v>#DIV/0!</v>
      </c>
      <c r="V87" s="162" t="e">
        <f t="shared" si="6"/>
        <v>#DIV/0!</v>
      </c>
      <c r="W87" s="172" t="e">
        <f t="shared" si="7"/>
        <v>#DIV/0!</v>
      </c>
    </row>
    <row r="88" spans="1:23" ht="15.75" thickBot="1" x14ac:dyDescent="0.3">
      <c r="A88" s="228">
        <v>61</v>
      </c>
      <c r="B88" s="992" t="s">
        <v>456</v>
      </c>
      <c r="C88" s="992"/>
      <c r="D88" s="993"/>
      <c r="E88" s="202"/>
      <c r="F88" s="215"/>
      <c r="G88" s="216"/>
      <c r="H88" s="217"/>
      <c r="I88" s="971">
        <f t="shared" si="8"/>
        <v>0</v>
      </c>
      <c r="J88" s="972"/>
      <c r="K88" s="973"/>
      <c r="L88" s="960"/>
      <c r="M88" s="961"/>
      <c r="N88" s="962"/>
      <c r="O88" s="962"/>
      <c r="P88" s="962"/>
      <c r="Q88" s="962"/>
      <c r="R88" s="220" t="e">
        <f t="shared" si="9"/>
        <v>#DIV/0!</v>
      </c>
      <c r="S88" s="160" t="e">
        <f t="shared" si="3"/>
        <v>#DIV/0!</v>
      </c>
      <c r="T88" s="171" t="e">
        <f t="shared" si="4"/>
        <v>#DIV/0!</v>
      </c>
      <c r="U88" s="161" t="e">
        <f t="shared" si="5"/>
        <v>#DIV/0!</v>
      </c>
      <c r="V88" s="162" t="e">
        <f t="shared" si="6"/>
        <v>#DIV/0!</v>
      </c>
      <c r="W88" s="172" t="e">
        <f t="shared" si="7"/>
        <v>#DIV/0!</v>
      </c>
    </row>
    <row r="89" spans="1:23" ht="15.75" thickBot="1" x14ac:dyDescent="0.3">
      <c r="A89" s="228">
        <v>62</v>
      </c>
      <c r="B89" s="992" t="s">
        <v>457</v>
      </c>
      <c r="C89" s="992"/>
      <c r="D89" s="993"/>
      <c r="E89" s="202"/>
      <c r="F89" s="215"/>
      <c r="G89" s="216"/>
      <c r="H89" s="217"/>
      <c r="I89" s="971">
        <f t="shared" si="8"/>
        <v>0</v>
      </c>
      <c r="J89" s="972"/>
      <c r="K89" s="973"/>
      <c r="L89" s="960"/>
      <c r="M89" s="961"/>
      <c r="N89" s="962"/>
      <c r="O89" s="962"/>
      <c r="P89" s="962"/>
      <c r="Q89" s="962"/>
      <c r="R89" s="220" t="e">
        <f t="shared" si="9"/>
        <v>#DIV/0!</v>
      </c>
      <c r="S89" s="160" t="e">
        <f t="shared" si="3"/>
        <v>#DIV/0!</v>
      </c>
      <c r="T89" s="171" t="e">
        <f t="shared" si="4"/>
        <v>#DIV/0!</v>
      </c>
      <c r="U89" s="161" t="e">
        <f t="shared" si="5"/>
        <v>#DIV/0!</v>
      </c>
      <c r="V89" s="162" t="e">
        <f t="shared" si="6"/>
        <v>#DIV/0!</v>
      </c>
      <c r="W89" s="172" t="e">
        <f t="shared" si="7"/>
        <v>#DIV/0!</v>
      </c>
    </row>
    <row r="90" spans="1:23" ht="15.75" thickBot="1" x14ac:dyDescent="0.3">
      <c r="A90" s="228">
        <v>63</v>
      </c>
      <c r="B90" s="990" t="s">
        <v>458</v>
      </c>
      <c r="C90" s="990"/>
      <c r="D90" s="991"/>
      <c r="E90" s="202"/>
      <c r="F90" s="215"/>
      <c r="G90" s="216"/>
      <c r="H90" s="217"/>
      <c r="I90" s="971">
        <f t="shared" si="8"/>
        <v>0</v>
      </c>
      <c r="J90" s="972"/>
      <c r="K90" s="973"/>
      <c r="L90" s="960"/>
      <c r="M90" s="961"/>
      <c r="N90" s="962"/>
      <c r="O90" s="962"/>
      <c r="P90" s="962"/>
      <c r="Q90" s="962"/>
      <c r="R90" s="220" t="e">
        <f t="shared" si="9"/>
        <v>#DIV/0!</v>
      </c>
      <c r="S90" s="160" t="e">
        <f t="shared" si="3"/>
        <v>#DIV/0!</v>
      </c>
      <c r="T90" s="171" t="e">
        <f t="shared" si="4"/>
        <v>#DIV/0!</v>
      </c>
      <c r="U90" s="161" t="e">
        <f t="shared" si="5"/>
        <v>#DIV/0!</v>
      </c>
      <c r="V90" s="162" t="e">
        <f t="shared" si="6"/>
        <v>#DIV/0!</v>
      </c>
      <c r="W90" s="172" t="e">
        <f t="shared" si="7"/>
        <v>#DIV/0!</v>
      </c>
    </row>
    <row r="91" spans="1:23" ht="15.75" thickBot="1" x14ac:dyDescent="0.3">
      <c r="A91" s="228">
        <v>64</v>
      </c>
      <c r="B91" s="990" t="s">
        <v>459</v>
      </c>
      <c r="C91" s="990"/>
      <c r="D91" s="991"/>
      <c r="E91" s="202"/>
      <c r="F91" s="215"/>
      <c r="G91" s="216"/>
      <c r="H91" s="217"/>
      <c r="I91" s="971">
        <f t="shared" si="8"/>
        <v>0</v>
      </c>
      <c r="J91" s="972"/>
      <c r="K91" s="973"/>
      <c r="L91" s="960"/>
      <c r="M91" s="961"/>
      <c r="N91" s="962"/>
      <c r="O91" s="962"/>
      <c r="P91" s="962"/>
      <c r="Q91" s="962"/>
      <c r="R91" s="220" t="e">
        <f t="shared" si="9"/>
        <v>#DIV/0!</v>
      </c>
      <c r="S91" s="160" t="e">
        <f t="shared" si="3"/>
        <v>#DIV/0!</v>
      </c>
      <c r="T91" s="171" t="e">
        <f t="shared" si="4"/>
        <v>#DIV/0!</v>
      </c>
      <c r="U91" s="161" t="e">
        <f t="shared" si="5"/>
        <v>#DIV/0!</v>
      </c>
      <c r="V91" s="162" t="e">
        <f t="shared" si="6"/>
        <v>#DIV/0!</v>
      </c>
      <c r="W91" s="172" t="e">
        <f t="shared" si="7"/>
        <v>#DIV/0!</v>
      </c>
    </row>
    <row r="92" spans="1:23" ht="15.75" thickBot="1" x14ac:dyDescent="0.3">
      <c r="A92" s="228">
        <v>65</v>
      </c>
      <c r="B92" s="990" t="s">
        <v>545</v>
      </c>
      <c r="C92" s="990"/>
      <c r="D92" s="991"/>
      <c r="E92" s="202"/>
      <c r="F92" s="215"/>
      <c r="G92" s="216"/>
      <c r="H92" s="217"/>
      <c r="I92" s="971">
        <f t="shared" si="8"/>
        <v>0</v>
      </c>
      <c r="J92" s="972"/>
      <c r="K92" s="973"/>
      <c r="L92" s="960"/>
      <c r="M92" s="961"/>
      <c r="N92" s="962"/>
      <c r="O92" s="962"/>
      <c r="P92" s="962"/>
      <c r="Q92" s="962"/>
      <c r="R92" s="220" t="e">
        <f t="shared" si="9"/>
        <v>#DIV/0!</v>
      </c>
      <c r="S92" s="160" t="e">
        <f t="shared" si="3"/>
        <v>#DIV/0!</v>
      </c>
      <c r="T92" s="171" t="e">
        <f t="shared" si="4"/>
        <v>#DIV/0!</v>
      </c>
      <c r="U92" s="161" t="e">
        <f t="shared" si="5"/>
        <v>#DIV/0!</v>
      </c>
      <c r="V92" s="162" t="e">
        <f t="shared" si="6"/>
        <v>#DIV/0!</v>
      </c>
      <c r="W92" s="172" t="e">
        <f t="shared" si="7"/>
        <v>#DIV/0!</v>
      </c>
    </row>
    <row r="93" spans="1:23" ht="15.75" thickBot="1" x14ac:dyDescent="0.3">
      <c r="A93" s="228">
        <v>66</v>
      </c>
      <c r="B93" s="990" t="s">
        <v>549</v>
      </c>
      <c r="C93" s="990"/>
      <c r="D93" s="991"/>
      <c r="E93" s="202"/>
      <c r="F93" s="215"/>
      <c r="G93" s="216"/>
      <c r="H93" s="217"/>
      <c r="I93" s="971">
        <f t="shared" si="8"/>
        <v>0</v>
      </c>
      <c r="J93" s="972"/>
      <c r="K93" s="973"/>
      <c r="L93" s="960"/>
      <c r="M93" s="961"/>
      <c r="N93" s="962"/>
      <c r="O93" s="962"/>
      <c r="P93" s="962"/>
      <c r="Q93" s="962"/>
      <c r="R93" s="220" t="e">
        <f t="shared" si="9"/>
        <v>#DIV/0!</v>
      </c>
      <c r="S93" s="160" t="e">
        <f t="shared" si="3"/>
        <v>#DIV/0!</v>
      </c>
      <c r="T93" s="171" t="e">
        <f t="shared" si="4"/>
        <v>#DIV/0!</v>
      </c>
      <c r="U93" s="161" t="e">
        <f t="shared" si="5"/>
        <v>#DIV/0!</v>
      </c>
      <c r="V93" s="162" t="e">
        <f t="shared" si="6"/>
        <v>#DIV/0!</v>
      </c>
      <c r="W93" s="172" t="e">
        <f t="shared" si="7"/>
        <v>#DIV/0!</v>
      </c>
    </row>
    <row r="94" spans="1:23" ht="15.75" thickBot="1" x14ac:dyDescent="0.3">
      <c r="A94" s="228">
        <v>67</v>
      </c>
      <c r="B94" s="990" t="s">
        <v>548</v>
      </c>
      <c r="C94" s="990"/>
      <c r="D94" s="991"/>
      <c r="E94" s="202"/>
      <c r="F94" s="215"/>
      <c r="G94" s="216"/>
      <c r="H94" s="217"/>
      <c r="I94" s="971">
        <f t="shared" si="8"/>
        <v>0</v>
      </c>
      <c r="J94" s="972"/>
      <c r="K94" s="973"/>
      <c r="L94" s="960"/>
      <c r="M94" s="961"/>
      <c r="N94" s="962"/>
      <c r="O94" s="962"/>
      <c r="P94" s="962"/>
      <c r="Q94" s="962"/>
      <c r="R94" s="220" t="e">
        <f t="shared" si="9"/>
        <v>#DIV/0!</v>
      </c>
      <c r="S94" s="160" t="e">
        <f t="shared" si="3"/>
        <v>#DIV/0!</v>
      </c>
      <c r="T94" s="171" t="e">
        <f t="shared" si="4"/>
        <v>#DIV/0!</v>
      </c>
      <c r="U94" s="161" t="e">
        <f t="shared" si="5"/>
        <v>#DIV/0!</v>
      </c>
      <c r="V94" s="162" t="e">
        <f t="shared" si="6"/>
        <v>#DIV/0!</v>
      </c>
      <c r="W94" s="172" t="e">
        <f t="shared" si="7"/>
        <v>#DIV/0!</v>
      </c>
    </row>
    <row r="95" spans="1:23" ht="15.75" thickBot="1" x14ac:dyDescent="0.3">
      <c r="A95" s="228">
        <v>68</v>
      </c>
      <c r="B95" s="992" t="s">
        <v>551</v>
      </c>
      <c r="C95" s="992"/>
      <c r="D95" s="993"/>
      <c r="E95" s="202"/>
      <c r="F95" s="215"/>
      <c r="G95" s="216"/>
      <c r="H95" s="217"/>
      <c r="I95" s="971">
        <f t="shared" si="8"/>
        <v>0</v>
      </c>
      <c r="J95" s="972"/>
      <c r="K95" s="973"/>
      <c r="L95" s="960"/>
      <c r="M95" s="961"/>
      <c r="N95" s="962"/>
      <c r="O95" s="962"/>
      <c r="P95" s="962"/>
      <c r="Q95" s="962"/>
      <c r="R95" s="220" t="e">
        <f t="shared" si="9"/>
        <v>#DIV/0!</v>
      </c>
      <c r="S95" s="160" t="e">
        <f t="shared" si="3"/>
        <v>#DIV/0!</v>
      </c>
      <c r="T95" s="171" t="e">
        <f t="shared" si="4"/>
        <v>#DIV/0!</v>
      </c>
      <c r="U95" s="161" t="e">
        <f t="shared" si="5"/>
        <v>#DIV/0!</v>
      </c>
      <c r="V95" s="162" t="e">
        <f t="shared" si="6"/>
        <v>#DIV/0!</v>
      </c>
      <c r="W95" s="172" t="e">
        <f t="shared" si="7"/>
        <v>#DIV/0!</v>
      </c>
    </row>
    <row r="96" spans="1:23" ht="15.75" thickBot="1" x14ac:dyDescent="0.3">
      <c r="A96" s="228">
        <v>69</v>
      </c>
      <c r="B96" s="983" t="s">
        <v>460</v>
      </c>
      <c r="C96" s="984"/>
      <c r="D96" s="989"/>
      <c r="E96" s="202"/>
      <c r="F96" s="215"/>
      <c r="G96" s="216"/>
      <c r="H96" s="217"/>
      <c r="I96" s="971">
        <f t="shared" si="8"/>
        <v>0</v>
      </c>
      <c r="J96" s="972"/>
      <c r="K96" s="973"/>
      <c r="L96" s="960"/>
      <c r="M96" s="961"/>
      <c r="N96" s="962"/>
      <c r="O96" s="962"/>
      <c r="P96" s="962"/>
      <c r="Q96" s="962"/>
      <c r="R96" s="220" t="e">
        <f t="shared" si="9"/>
        <v>#DIV/0!</v>
      </c>
      <c r="S96" s="160" t="e">
        <f t="shared" ref="S96:S136" si="10">R96*0.125</f>
        <v>#DIV/0!</v>
      </c>
      <c r="T96" s="171" t="e">
        <f t="shared" ref="T96:T136" si="11">R96*0.05</f>
        <v>#DIV/0!</v>
      </c>
      <c r="U96" s="161" t="e">
        <f t="shared" ref="U96:U136" si="12">R96*0.125</f>
        <v>#DIV/0!</v>
      </c>
      <c r="V96" s="162" t="e">
        <f t="shared" ref="V96:V136" si="13">S96+T96+U96</f>
        <v>#DIV/0!</v>
      </c>
      <c r="W96" s="172" t="e">
        <f t="shared" ref="W96:W136" si="14">R96+V96</f>
        <v>#DIV/0!</v>
      </c>
    </row>
    <row r="97" spans="1:23" ht="15.75" thickBot="1" x14ac:dyDescent="0.3">
      <c r="A97" s="228">
        <v>70</v>
      </c>
      <c r="B97" s="983" t="s">
        <v>461</v>
      </c>
      <c r="C97" s="984"/>
      <c r="D97" s="989"/>
      <c r="E97" s="202"/>
      <c r="F97" s="215"/>
      <c r="G97" s="216"/>
      <c r="H97" s="217"/>
      <c r="I97" s="971">
        <f t="shared" ref="I97:I185" si="15">SUM(F97:H97)</f>
        <v>0</v>
      </c>
      <c r="J97" s="972"/>
      <c r="K97" s="973"/>
      <c r="L97" s="960"/>
      <c r="M97" s="961"/>
      <c r="N97" s="962"/>
      <c r="O97" s="962"/>
      <c r="P97" s="962"/>
      <c r="Q97" s="962"/>
      <c r="R97" s="220" t="e">
        <f t="shared" ref="R97:R160" si="16">$W$8/$F$280*F97*N97</f>
        <v>#DIV/0!</v>
      </c>
      <c r="S97" s="160" t="e">
        <f t="shared" si="10"/>
        <v>#DIV/0!</v>
      </c>
      <c r="T97" s="171" t="e">
        <f t="shared" si="11"/>
        <v>#DIV/0!</v>
      </c>
      <c r="U97" s="161" t="e">
        <f t="shared" si="12"/>
        <v>#DIV/0!</v>
      </c>
      <c r="V97" s="162" t="e">
        <f t="shared" si="13"/>
        <v>#DIV/0!</v>
      </c>
      <c r="W97" s="172" t="e">
        <f t="shared" si="14"/>
        <v>#DIV/0!</v>
      </c>
    </row>
    <row r="98" spans="1:23" ht="15.75" thickBot="1" x14ac:dyDescent="0.3">
      <c r="A98" s="228">
        <v>71</v>
      </c>
      <c r="B98" s="983" t="s">
        <v>462</v>
      </c>
      <c r="C98" s="984"/>
      <c r="D98" s="989"/>
      <c r="E98" s="202"/>
      <c r="F98" s="215"/>
      <c r="G98" s="216"/>
      <c r="H98" s="217"/>
      <c r="I98" s="971">
        <f t="shared" si="15"/>
        <v>0</v>
      </c>
      <c r="J98" s="972"/>
      <c r="K98" s="973"/>
      <c r="L98" s="960"/>
      <c r="M98" s="961"/>
      <c r="N98" s="962"/>
      <c r="O98" s="962"/>
      <c r="P98" s="962"/>
      <c r="Q98" s="962"/>
      <c r="R98" s="220" t="e">
        <f t="shared" si="16"/>
        <v>#DIV/0!</v>
      </c>
      <c r="S98" s="160" t="e">
        <f t="shared" si="10"/>
        <v>#DIV/0!</v>
      </c>
      <c r="T98" s="171" t="e">
        <f t="shared" si="11"/>
        <v>#DIV/0!</v>
      </c>
      <c r="U98" s="161" t="e">
        <f t="shared" si="12"/>
        <v>#DIV/0!</v>
      </c>
      <c r="V98" s="162" t="e">
        <f t="shared" si="13"/>
        <v>#DIV/0!</v>
      </c>
      <c r="W98" s="172" t="e">
        <f t="shared" si="14"/>
        <v>#DIV/0!</v>
      </c>
    </row>
    <row r="99" spans="1:23" ht="15.75" thickBot="1" x14ac:dyDescent="0.3">
      <c r="A99" s="228">
        <v>72</v>
      </c>
      <c r="B99" s="983" t="s">
        <v>463</v>
      </c>
      <c r="C99" s="984"/>
      <c r="D99" s="989"/>
      <c r="E99" s="202"/>
      <c r="F99" s="215"/>
      <c r="G99" s="216"/>
      <c r="H99" s="217"/>
      <c r="I99" s="971">
        <f t="shared" si="15"/>
        <v>0</v>
      </c>
      <c r="J99" s="972"/>
      <c r="K99" s="973"/>
      <c r="L99" s="960"/>
      <c r="M99" s="961"/>
      <c r="N99" s="962"/>
      <c r="O99" s="962"/>
      <c r="P99" s="962"/>
      <c r="Q99" s="962"/>
      <c r="R99" s="220" t="e">
        <f t="shared" si="16"/>
        <v>#DIV/0!</v>
      </c>
      <c r="S99" s="160" t="e">
        <f t="shared" si="10"/>
        <v>#DIV/0!</v>
      </c>
      <c r="T99" s="171" t="e">
        <f t="shared" si="11"/>
        <v>#DIV/0!</v>
      </c>
      <c r="U99" s="161" t="e">
        <f t="shared" si="12"/>
        <v>#DIV/0!</v>
      </c>
      <c r="V99" s="162" t="e">
        <f t="shared" si="13"/>
        <v>#DIV/0!</v>
      </c>
      <c r="W99" s="172" t="e">
        <f t="shared" si="14"/>
        <v>#DIV/0!</v>
      </c>
    </row>
    <row r="100" spans="1:23" ht="15.75" thickBot="1" x14ac:dyDescent="0.3">
      <c r="A100" s="228">
        <v>73</v>
      </c>
      <c r="B100" s="983" t="s">
        <v>464</v>
      </c>
      <c r="C100" s="984"/>
      <c r="D100" s="989"/>
      <c r="E100" s="202"/>
      <c r="F100" s="215"/>
      <c r="G100" s="216"/>
      <c r="H100" s="217"/>
      <c r="I100" s="971">
        <f t="shared" si="15"/>
        <v>0</v>
      </c>
      <c r="J100" s="972"/>
      <c r="K100" s="973"/>
      <c r="L100" s="960"/>
      <c r="M100" s="961"/>
      <c r="N100" s="962"/>
      <c r="O100" s="962"/>
      <c r="P100" s="962"/>
      <c r="Q100" s="962"/>
      <c r="R100" s="220" t="e">
        <f t="shared" si="16"/>
        <v>#DIV/0!</v>
      </c>
      <c r="S100" s="160" t="e">
        <f t="shared" si="10"/>
        <v>#DIV/0!</v>
      </c>
      <c r="T100" s="171" t="e">
        <f t="shared" si="11"/>
        <v>#DIV/0!</v>
      </c>
      <c r="U100" s="161" t="e">
        <f t="shared" si="12"/>
        <v>#DIV/0!</v>
      </c>
      <c r="V100" s="162" t="e">
        <f t="shared" si="13"/>
        <v>#DIV/0!</v>
      </c>
      <c r="W100" s="172" t="e">
        <f t="shared" si="14"/>
        <v>#DIV/0!</v>
      </c>
    </row>
    <row r="101" spans="1:23" ht="15.75" thickBot="1" x14ac:dyDescent="0.3">
      <c r="A101" s="228">
        <v>74</v>
      </c>
      <c r="B101" s="983" t="s">
        <v>465</v>
      </c>
      <c r="C101" s="984"/>
      <c r="D101" s="989"/>
      <c r="E101" s="202"/>
      <c r="F101" s="215"/>
      <c r="G101" s="216"/>
      <c r="H101" s="217"/>
      <c r="I101" s="971">
        <f t="shared" si="15"/>
        <v>0</v>
      </c>
      <c r="J101" s="972"/>
      <c r="K101" s="973"/>
      <c r="L101" s="960"/>
      <c r="M101" s="961"/>
      <c r="N101" s="962"/>
      <c r="O101" s="962"/>
      <c r="P101" s="962"/>
      <c r="Q101" s="962"/>
      <c r="R101" s="220" t="e">
        <f t="shared" si="16"/>
        <v>#DIV/0!</v>
      </c>
      <c r="S101" s="160" t="e">
        <f t="shared" si="10"/>
        <v>#DIV/0!</v>
      </c>
      <c r="T101" s="171" t="e">
        <f t="shared" si="11"/>
        <v>#DIV/0!</v>
      </c>
      <c r="U101" s="161" t="e">
        <f t="shared" si="12"/>
        <v>#DIV/0!</v>
      </c>
      <c r="V101" s="162" t="e">
        <f t="shared" si="13"/>
        <v>#DIV/0!</v>
      </c>
      <c r="W101" s="172" t="e">
        <f t="shared" si="14"/>
        <v>#DIV/0!</v>
      </c>
    </row>
    <row r="102" spans="1:23" ht="15.75" thickBot="1" x14ac:dyDescent="0.3">
      <c r="A102" s="228">
        <v>75</v>
      </c>
      <c r="B102" s="983" t="s">
        <v>466</v>
      </c>
      <c r="C102" s="984"/>
      <c r="D102" s="989"/>
      <c r="E102" s="202"/>
      <c r="F102" s="215"/>
      <c r="G102" s="216"/>
      <c r="H102" s="217"/>
      <c r="I102" s="971">
        <f t="shared" si="15"/>
        <v>0</v>
      </c>
      <c r="J102" s="972"/>
      <c r="K102" s="973"/>
      <c r="L102" s="960"/>
      <c r="M102" s="961"/>
      <c r="N102" s="962"/>
      <c r="O102" s="962"/>
      <c r="P102" s="962"/>
      <c r="Q102" s="962"/>
      <c r="R102" s="220" t="e">
        <f t="shared" si="16"/>
        <v>#DIV/0!</v>
      </c>
      <c r="S102" s="160" t="e">
        <f t="shared" si="10"/>
        <v>#DIV/0!</v>
      </c>
      <c r="T102" s="171" t="e">
        <f t="shared" si="11"/>
        <v>#DIV/0!</v>
      </c>
      <c r="U102" s="161" t="e">
        <f t="shared" si="12"/>
        <v>#DIV/0!</v>
      </c>
      <c r="V102" s="162" t="e">
        <f t="shared" si="13"/>
        <v>#DIV/0!</v>
      </c>
      <c r="W102" s="172" t="e">
        <f t="shared" si="14"/>
        <v>#DIV/0!</v>
      </c>
    </row>
    <row r="103" spans="1:23" ht="15.75" thickBot="1" x14ac:dyDescent="0.3">
      <c r="A103" s="228">
        <v>76</v>
      </c>
      <c r="B103" s="983" t="s">
        <v>467</v>
      </c>
      <c r="C103" s="984"/>
      <c r="D103" s="989"/>
      <c r="E103" s="202"/>
      <c r="F103" s="215"/>
      <c r="G103" s="216"/>
      <c r="H103" s="217"/>
      <c r="I103" s="971">
        <f t="shared" si="15"/>
        <v>0</v>
      </c>
      <c r="J103" s="972"/>
      <c r="K103" s="973"/>
      <c r="L103" s="960"/>
      <c r="M103" s="961"/>
      <c r="N103" s="962"/>
      <c r="O103" s="962"/>
      <c r="P103" s="962"/>
      <c r="Q103" s="962"/>
      <c r="R103" s="220" t="e">
        <f t="shared" si="16"/>
        <v>#DIV/0!</v>
      </c>
      <c r="S103" s="160" t="e">
        <f t="shared" si="10"/>
        <v>#DIV/0!</v>
      </c>
      <c r="T103" s="171" t="e">
        <f t="shared" si="11"/>
        <v>#DIV/0!</v>
      </c>
      <c r="U103" s="161" t="e">
        <f t="shared" si="12"/>
        <v>#DIV/0!</v>
      </c>
      <c r="V103" s="162" t="e">
        <f t="shared" si="13"/>
        <v>#DIV/0!</v>
      </c>
      <c r="W103" s="172" t="e">
        <f t="shared" si="14"/>
        <v>#DIV/0!</v>
      </c>
    </row>
    <row r="104" spans="1:23" ht="15.75" thickBot="1" x14ac:dyDescent="0.3">
      <c r="A104" s="228">
        <v>77</v>
      </c>
      <c r="B104" s="983" t="s">
        <v>468</v>
      </c>
      <c r="C104" s="984"/>
      <c r="D104" s="989"/>
      <c r="E104" s="202"/>
      <c r="F104" s="215"/>
      <c r="G104" s="216"/>
      <c r="H104" s="217"/>
      <c r="I104" s="971">
        <f t="shared" si="15"/>
        <v>0</v>
      </c>
      <c r="J104" s="972"/>
      <c r="K104" s="973"/>
      <c r="L104" s="960"/>
      <c r="M104" s="961"/>
      <c r="N104" s="962"/>
      <c r="O104" s="962"/>
      <c r="P104" s="962"/>
      <c r="Q104" s="962"/>
      <c r="R104" s="220" t="e">
        <f t="shared" si="16"/>
        <v>#DIV/0!</v>
      </c>
      <c r="S104" s="160" t="e">
        <f t="shared" si="10"/>
        <v>#DIV/0!</v>
      </c>
      <c r="T104" s="171" t="e">
        <f t="shared" si="11"/>
        <v>#DIV/0!</v>
      </c>
      <c r="U104" s="161" t="e">
        <f t="shared" si="12"/>
        <v>#DIV/0!</v>
      </c>
      <c r="V104" s="162" t="e">
        <f t="shared" si="13"/>
        <v>#DIV/0!</v>
      </c>
      <c r="W104" s="172" t="e">
        <f t="shared" si="14"/>
        <v>#DIV/0!</v>
      </c>
    </row>
    <row r="105" spans="1:23" ht="15.75" thickBot="1" x14ac:dyDescent="0.3">
      <c r="A105" s="228">
        <v>78</v>
      </c>
      <c r="B105" s="983" t="s">
        <v>469</v>
      </c>
      <c r="C105" s="984"/>
      <c r="D105" s="989"/>
      <c r="E105" s="202"/>
      <c r="F105" s="215"/>
      <c r="G105" s="216"/>
      <c r="H105" s="217"/>
      <c r="I105" s="971">
        <f t="shared" si="15"/>
        <v>0</v>
      </c>
      <c r="J105" s="972"/>
      <c r="K105" s="973"/>
      <c r="L105" s="960"/>
      <c r="M105" s="961"/>
      <c r="N105" s="962"/>
      <c r="O105" s="962"/>
      <c r="P105" s="962"/>
      <c r="Q105" s="962"/>
      <c r="R105" s="220" t="e">
        <f t="shared" si="16"/>
        <v>#DIV/0!</v>
      </c>
      <c r="S105" s="160" t="e">
        <f t="shared" si="10"/>
        <v>#DIV/0!</v>
      </c>
      <c r="T105" s="171" t="e">
        <f t="shared" si="11"/>
        <v>#DIV/0!</v>
      </c>
      <c r="U105" s="161" t="e">
        <f t="shared" si="12"/>
        <v>#DIV/0!</v>
      </c>
      <c r="V105" s="162" t="e">
        <f t="shared" si="13"/>
        <v>#DIV/0!</v>
      </c>
      <c r="W105" s="172" t="e">
        <f t="shared" si="14"/>
        <v>#DIV/0!</v>
      </c>
    </row>
    <row r="106" spans="1:23" ht="15.75" thickBot="1" x14ac:dyDescent="0.3">
      <c r="A106" s="228">
        <v>79</v>
      </c>
      <c r="B106" s="983" t="s">
        <v>470</v>
      </c>
      <c r="C106" s="984"/>
      <c r="D106" s="989"/>
      <c r="E106" s="202"/>
      <c r="F106" s="215"/>
      <c r="G106" s="216"/>
      <c r="H106" s="217"/>
      <c r="I106" s="971">
        <f t="shared" si="15"/>
        <v>0</v>
      </c>
      <c r="J106" s="972"/>
      <c r="K106" s="973"/>
      <c r="L106" s="960"/>
      <c r="M106" s="961"/>
      <c r="N106" s="962"/>
      <c r="O106" s="962"/>
      <c r="P106" s="962"/>
      <c r="Q106" s="962"/>
      <c r="R106" s="220" t="e">
        <f t="shared" si="16"/>
        <v>#DIV/0!</v>
      </c>
      <c r="S106" s="160" t="e">
        <f t="shared" si="10"/>
        <v>#DIV/0!</v>
      </c>
      <c r="T106" s="171" t="e">
        <f t="shared" si="11"/>
        <v>#DIV/0!</v>
      </c>
      <c r="U106" s="161" t="e">
        <f t="shared" si="12"/>
        <v>#DIV/0!</v>
      </c>
      <c r="V106" s="162" t="e">
        <f t="shared" si="13"/>
        <v>#DIV/0!</v>
      </c>
      <c r="W106" s="172" t="e">
        <f t="shared" si="14"/>
        <v>#DIV/0!</v>
      </c>
    </row>
    <row r="107" spans="1:23" ht="15.75" thickBot="1" x14ac:dyDescent="0.3">
      <c r="A107" s="228">
        <v>80</v>
      </c>
      <c r="B107" s="983" t="s">
        <v>471</v>
      </c>
      <c r="C107" s="984"/>
      <c r="D107" s="989"/>
      <c r="E107" s="202"/>
      <c r="F107" s="215"/>
      <c r="G107" s="216"/>
      <c r="H107" s="217"/>
      <c r="I107" s="971">
        <f t="shared" si="15"/>
        <v>0</v>
      </c>
      <c r="J107" s="972"/>
      <c r="K107" s="973"/>
      <c r="L107" s="960"/>
      <c r="M107" s="961"/>
      <c r="N107" s="962"/>
      <c r="O107" s="962"/>
      <c r="P107" s="962"/>
      <c r="Q107" s="962"/>
      <c r="R107" s="220" t="e">
        <f t="shared" si="16"/>
        <v>#DIV/0!</v>
      </c>
      <c r="S107" s="160" t="e">
        <f t="shared" si="10"/>
        <v>#DIV/0!</v>
      </c>
      <c r="T107" s="171" t="e">
        <f t="shared" si="11"/>
        <v>#DIV/0!</v>
      </c>
      <c r="U107" s="161" t="e">
        <f t="shared" si="12"/>
        <v>#DIV/0!</v>
      </c>
      <c r="V107" s="162" t="e">
        <f t="shared" si="13"/>
        <v>#DIV/0!</v>
      </c>
      <c r="W107" s="172" t="e">
        <f t="shared" si="14"/>
        <v>#DIV/0!</v>
      </c>
    </row>
    <row r="108" spans="1:23" ht="15.75" thickBot="1" x14ac:dyDescent="0.3">
      <c r="A108" s="228">
        <v>81</v>
      </c>
      <c r="B108" s="983" t="s">
        <v>472</v>
      </c>
      <c r="C108" s="984"/>
      <c r="D108" s="989"/>
      <c r="E108" s="202"/>
      <c r="F108" s="215"/>
      <c r="G108" s="216"/>
      <c r="H108" s="217"/>
      <c r="I108" s="971">
        <f t="shared" si="15"/>
        <v>0</v>
      </c>
      <c r="J108" s="972"/>
      <c r="K108" s="973"/>
      <c r="L108" s="960"/>
      <c r="M108" s="961"/>
      <c r="N108" s="962"/>
      <c r="O108" s="962"/>
      <c r="P108" s="962"/>
      <c r="Q108" s="962"/>
      <c r="R108" s="220" t="e">
        <f t="shared" si="16"/>
        <v>#DIV/0!</v>
      </c>
      <c r="S108" s="160" t="e">
        <f t="shared" si="10"/>
        <v>#DIV/0!</v>
      </c>
      <c r="T108" s="171" t="e">
        <f t="shared" si="11"/>
        <v>#DIV/0!</v>
      </c>
      <c r="U108" s="161" t="e">
        <f t="shared" si="12"/>
        <v>#DIV/0!</v>
      </c>
      <c r="V108" s="162" t="e">
        <f t="shared" si="13"/>
        <v>#DIV/0!</v>
      </c>
      <c r="W108" s="172" t="e">
        <f t="shared" si="14"/>
        <v>#DIV/0!</v>
      </c>
    </row>
    <row r="109" spans="1:23" ht="15.75" thickBot="1" x14ac:dyDescent="0.3">
      <c r="A109" s="228">
        <v>82</v>
      </c>
      <c r="B109" s="983" t="s">
        <v>473</v>
      </c>
      <c r="C109" s="984"/>
      <c r="D109" s="989"/>
      <c r="E109" s="202"/>
      <c r="F109" s="215"/>
      <c r="G109" s="216"/>
      <c r="H109" s="217"/>
      <c r="I109" s="971">
        <f t="shared" si="15"/>
        <v>0</v>
      </c>
      <c r="J109" s="972"/>
      <c r="K109" s="973"/>
      <c r="L109" s="960"/>
      <c r="M109" s="961"/>
      <c r="N109" s="962"/>
      <c r="O109" s="962"/>
      <c r="P109" s="962"/>
      <c r="Q109" s="962"/>
      <c r="R109" s="220" t="e">
        <f t="shared" si="16"/>
        <v>#DIV/0!</v>
      </c>
      <c r="S109" s="160" t="e">
        <f t="shared" si="10"/>
        <v>#DIV/0!</v>
      </c>
      <c r="T109" s="171" t="e">
        <f t="shared" si="11"/>
        <v>#DIV/0!</v>
      </c>
      <c r="U109" s="161" t="e">
        <f t="shared" si="12"/>
        <v>#DIV/0!</v>
      </c>
      <c r="V109" s="162" t="e">
        <f t="shared" si="13"/>
        <v>#DIV/0!</v>
      </c>
      <c r="W109" s="172" t="e">
        <f t="shared" si="14"/>
        <v>#DIV/0!</v>
      </c>
    </row>
    <row r="110" spans="1:23" ht="15.75" thickBot="1" x14ac:dyDescent="0.3">
      <c r="A110" s="228">
        <v>83</v>
      </c>
      <c r="B110" s="983" t="s">
        <v>474</v>
      </c>
      <c r="C110" s="984"/>
      <c r="D110" s="989"/>
      <c r="E110" s="202"/>
      <c r="F110" s="215"/>
      <c r="G110" s="216"/>
      <c r="H110" s="217"/>
      <c r="I110" s="971">
        <f t="shared" si="15"/>
        <v>0</v>
      </c>
      <c r="J110" s="972"/>
      <c r="K110" s="973"/>
      <c r="L110" s="960"/>
      <c r="M110" s="961"/>
      <c r="N110" s="962"/>
      <c r="O110" s="962"/>
      <c r="P110" s="962"/>
      <c r="Q110" s="962"/>
      <c r="R110" s="220" t="e">
        <f t="shared" si="16"/>
        <v>#DIV/0!</v>
      </c>
      <c r="S110" s="160" t="e">
        <f t="shared" si="10"/>
        <v>#DIV/0!</v>
      </c>
      <c r="T110" s="171" t="e">
        <f t="shared" si="11"/>
        <v>#DIV/0!</v>
      </c>
      <c r="U110" s="161" t="e">
        <f t="shared" si="12"/>
        <v>#DIV/0!</v>
      </c>
      <c r="V110" s="162" t="e">
        <f t="shared" si="13"/>
        <v>#DIV/0!</v>
      </c>
      <c r="W110" s="172" t="e">
        <f t="shared" si="14"/>
        <v>#DIV/0!</v>
      </c>
    </row>
    <row r="111" spans="1:23" ht="15.75" thickBot="1" x14ac:dyDescent="0.3">
      <c r="A111" s="228">
        <v>84</v>
      </c>
      <c r="B111" s="983" t="s">
        <v>475</v>
      </c>
      <c r="C111" s="984"/>
      <c r="D111" s="989"/>
      <c r="E111" s="202"/>
      <c r="F111" s="215"/>
      <c r="G111" s="216"/>
      <c r="H111" s="217"/>
      <c r="I111" s="971">
        <f t="shared" si="15"/>
        <v>0</v>
      </c>
      <c r="J111" s="972"/>
      <c r="K111" s="973"/>
      <c r="L111" s="960"/>
      <c r="M111" s="961"/>
      <c r="N111" s="962"/>
      <c r="O111" s="962"/>
      <c r="P111" s="962"/>
      <c r="Q111" s="962"/>
      <c r="R111" s="220" t="e">
        <f t="shared" si="16"/>
        <v>#DIV/0!</v>
      </c>
      <c r="S111" s="160" t="e">
        <f t="shared" si="10"/>
        <v>#DIV/0!</v>
      </c>
      <c r="T111" s="171" t="e">
        <f t="shared" si="11"/>
        <v>#DIV/0!</v>
      </c>
      <c r="U111" s="161" t="e">
        <f t="shared" si="12"/>
        <v>#DIV/0!</v>
      </c>
      <c r="V111" s="162" t="e">
        <f t="shared" si="13"/>
        <v>#DIV/0!</v>
      </c>
      <c r="W111" s="172" t="e">
        <f t="shared" si="14"/>
        <v>#DIV/0!</v>
      </c>
    </row>
    <row r="112" spans="1:23" ht="15.75" thickBot="1" x14ac:dyDescent="0.3">
      <c r="A112" s="228">
        <v>85</v>
      </c>
      <c r="B112" s="983" t="s">
        <v>476</v>
      </c>
      <c r="C112" s="984"/>
      <c r="D112" s="989"/>
      <c r="E112" s="202"/>
      <c r="F112" s="215"/>
      <c r="G112" s="216"/>
      <c r="H112" s="217"/>
      <c r="I112" s="971">
        <f t="shared" si="15"/>
        <v>0</v>
      </c>
      <c r="J112" s="972"/>
      <c r="K112" s="973"/>
      <c r="L112" s="960"/>
      <c r="M112" s="961"/>
      <c r="N112" s="962"/>
      <c r="O112" s="962"/>
      <c r="P112" s="962"/>
      <c r="Q112" s="962"/>
      <c r="R112" s="220" t="e">
        <f t="shared" si="16"/>
        <v>#DIV/0!</v>
      </c>
      <c r="S112" s="160" t="e">
        <f t="shared" si="10"/>
        <v>#DIV/0!</v>
      </c>
      <c r="T112" s="171" t="e">
        <f t="shared" si="11"/>
        <v>#DIV/0!</v>
      </c>
      <c r="U112" s="161" t="e">
        <f t="shared" si="12"/>
        <v>#DIV/0!</v>
      </c>
      <c r="V112" s="162" t="e">
        <f t="shared" si="13"/>
        <v>#DIV/0!</v>
      </c>
      <c r="W112" s="172" t="e">
        <f t="shared" si="14"/>
        <v>#DIV/0!</v>
      </c>
    </row>
    <row r="113" spans="1:23" ht="15.75" thickBot="1" x14ac:dyDescent="0.3">
      <c r="A113" s="228">
        <v>86</v>
      </c>
      <c r="B113" s="983" t="s">
        <v>477</v>
      </c>
      <c r="C113" s="984"/>
      <c r="D113" s="989"/>
      <c r="E113" s="202"/>
      <c r="F113" s="215"/>
      <c r="G113" s="216"/>
      <c r="H113" s="217"/>
      <c r="I113" s="971">
        <f t="shared" si="15"/>
        <v>0</v>
      </c>
      <c r="J113" s="972"/>
      <c r="K113" s="973"/>
      <c r="L113" s="960"/>
      <c r="M113" s="961"/>
      <c r="N113" s="962"/>
      <c r="O113" s="962"/>
      <c r="P113" s="962"/>
      <c r="Q113" s="962"/>
      <c r="R113" s="220" t="e">
        <f t="shared" si="16"/>
        <v>#DIV/0!</v>
      </c>
      <c r="S113" s="160" t="e">
        <f t="shared" si="10"/>
        <v>#DIV/0!</v>
      </c>
      <c r="T113" s="171" t="e">
        <f t="shared" si="11"/>
        <v>#DIV/0!</v>
      </c>
      <c r="U113" s="161" t="e">
        <f t="shared" si="12"/>
        <v>#DIV/0!</v>
      </c>
      <c r="V113" s="162" t="e">
        <f t="shared" si="13"/>
        <v>#DIV/0!</v>
      </c>
      <c r="W113" s="172" t="e">
        <f t="shared" si="14"/>
        <v>#DIV/0!</v>
      </c>
    </row>
    <row r="114" spans="1:23" ht="15.75" thickBot="1" x14ac:dyDescent="0.3">
      <c r="A114" s="228">
        <v>87</v>
      </c>
      <c r="B114" s="983" t="s">
        <v>478</v>
      </c>
      <c r="C114" s="984"/>
      <c r="D114" s="989"/>
      <c r="E114" s="202"/>
      <c r="F114" s="215"/>
      <c r="G114" s="216"/>
      <c r="H114" s="217"/>
      <c r="I114" s="971">
        <f t="shared" si="15"/>
        <v>0</v>
      </c>
      <c r="J114" s="972"/>
      <c r="K114" s="973"/>
      <c r="L114" s="960"/>
      <c r="M114" s="961"/>
      <c r="N114" s="962"/>
      <c r="O114" s="962"/>
      <c r="P114" s="962"/>
      <c r="Q114" s="962"/>
      <c r="R114" s="220" t="e">
        <f t="shared" si="16"/>
        <v>#DIV/0!</v>
      </c>
      <c r="S114" s="160" t="e">
        <f t="shared" si="10"/>
        <v>#DIV/0!</v>
      </c>
      <c r="T114" s="171" t="e">
        <f t="shared" si="11"/>
        <v>#DIV/0!</v>
      </c>
      <c r="U114" s="161" t="e">
        <f t="shared" si="12"/>
        <v>#DIV/0!</v>
      </c>
      <c r="V114" s="162" t="e">
        <f t="shared" si="13"/>
        <v>#DIV/0!</v>
      </c>
      <c r="W114" s="172" t="e">
        <f t="shared" si="14"/>
        <v>#DIV/0!</v>
      </c>
    </row>
    <row r="115" spans="1:23" ht="15.75" thickBot="1" x14ac:dyDescent="0.3">
      <c r="A115" s="228">
        <v>88</v>
      </c>
      <c r="B115" s="983" t="s">
        <v>479</v>
      </c>
      <c r="C115" s="984"/>
      <c r="D115" s="989"/>
      <c r="E115" s="202"/>
      <c r="F115" s="215"/>
      <c r="G115" s="216"/>
      <c r="H115" s="217"/>
      <c r="I115" s="971">
        <f t="shared" si="15"/>
        <v>0</v>
      </c>
      <c r="J115" s="972"/>
      <c r="K115" s="973"/>
      <c r="L115" s="960"/>
      <c r="M115" s="961"/>
      <c r="N115" s="962"/>
      <c r="O115" s="962"/>
      <c r="P115" s="962"/>
      <c r="Q115" s="962"/>
      <c r="R115" s="220" t="e">
        <f t="shared" si="16"/>
        <v>#DIV/0!</v>
      </c>
      <c r="S115" s="160" t="e">
        <f t="shared" si="10"/>
        <v>#DIV/0!</v>
      </c>
      <c r="T115" s="171" t="e">
        <f t="shared" si="11"/>
        <v>#DIV/0!</v>
      </c>
      <c r="U115" s="161" t="e">
        <f t="shared" si="12"/>
        <v>#DIV/0!</v>
      </c>
      <c r="V115" s="162" t="e">
        <f t="shared" si="13"/>
        <v>#DIV/0!</v>
      </c>
      <c r="W115" s="172" t="e">
        <f t="shared" si="14"/>
        <v>#DIV/0!</v>
      </c>
    </row>
    <row r="116" spans="1:23" ht="15.75" thickBot="1" x14ac:dyDescent="0.3">
      <c r="A116" s="228">
        <v>89</v>
      </c>
      <c r="B116" s="983" t="s">
        <v>480</v>
      </c>
      <c r="C116" s="984"/>
      <c r="D116" s="989"/>
      <c r="E116" s="202"/>
      <c r="F116" s="215"/>
      <c r="G116" s="216"/>
      <c r="H116" s="217"/>
      <c r="I116" s="971">
        <f t="shared" si="15"/>
        <v>0</v>
      </c>
      <c r="J116" s="972"/>
      <c r="K116" s="973"/>
      <c r="L116" s="960"/>
      <c r="M116" s="961"/>
      <c r="N116" s="962"/>
      <c r="O116" s="962"/>
      <c r="P116" s="962"/>
      <c r="Q116" s="962"/>
      <c r="R116" s="220" t="e">
        <f t="shared" si="16"/>
        <v>#DIV/0!</v>
      </c>
      <c r="S116" s="160" t="e">
        <f t="shared" si="10"/>
        <v>#DIV/0!</v>
      </c>
      <c r="T116" s="171" t="e">
        <f t="shared" si="11"/>
        <v>#DIV/0!</v>
      </c>
      <c r="U116" s="161" t="e">
        <f t="shared" si="12"/>
        <v>#DIV/0!</v>
      </c>
      <c r="V116" s="162" t="e">
        <f t="shared" si="13"/>
        <v>#DIV/0!</v>
      </c>
      <c r="W116" s="172" t="e">
        <f t="shared" si="14"/>
        <v>#DIV/0!</v>
      </c>
    </row>
    <row r="117" spans="1:23" ht="15.75" thickBot="1" x14ac:dyDescent="0.3">
      <c r="A117" s="228">
        <v>90</v>
      </c>
      <c r="B117" s="983" t="s">
        <v>481</v>
      </c>
      <c r="C117" s="984"/>
      <c r="D117" s="989"/>
      <c r="E117" s="202"/>
      <c r="F117" s="215"/>
      <c r="G117" s="216"/>
      <c r="H117" s="217"/>
      <c r="I117" s="971">
        <f t="shared" si="15"/>
        <v>0</v>
      </c>
      <c r="J117" s="972"/>
      <c r="K117" s="973"/>
      <c r="L117" s="960"/>
      <c r="M117" s="961"/>
      <c r="N117" s="962"/>
      <c r="O117" s="962"/>
      <c r="P117" s="962"/>
      <c r="Q117" s="962"/>
      <c r="R117" s="220" t="e">
        <f t="shared" si="16"/>
        <v>#DIV/0!</v>
      </c>
      <c r="S117" s="160" t="e">
        <f t="shared" si="10"/>
        <v>#DIV/0!</v>
      </c>
      <c r="T117" s="171" t="e">
        <f t="shared" si="11"/>
        <v>#DIV/0!</v>
      </c>
      <c r="U117" s="161" t="e">
        <f t="shared" si="12"/>
        <v>#DIV/0!</v>
      </c>
      <c r="V117" s="162" t="e">
        <f t="shared" si="13"/>
        <v>#DIV/0!</v>
      </c>
      <c r="W117" s="172" t="e">
        <f t="shared" si="14"/>
        <v>#DIV/0!</v>
      </c>
    </row>
    <row r="118" spans="1:23" ht="15.75" thickBot="1" x14ac:dyDescent="0.3">
      <c r="A118" s="228">
        <v>91</v>
      </c>
      <c r="B118" s="983" t="s">
        <v>482</v>
      </c>
      <c r="C118" s="984"/>
      <c r="D118" s="989"/>
      <c r="E118" s="202"/>
      <c r="F118" s="215"/>
      <c r="G118" s="216"/>
      <c r="H118" s="217"/>
      <c r="I118" s="971">
        <f t="shared" si="15"/>
        <v>0</v>
      </c>
      <c r="J118" s="972"/>
      <c r="K118" s="973"/>
      <c r="L118" s="960"/>
      <c r="M118" s="961"/>
      <c r="N118" s="962"/>
      <c r="O118" s="962"/>
      <c r="P118" s="962"/>
      <c r="Q118" s="962"/>
      <c r="R118" s="220" t="e">
        <f t="shared" si="16"/>
        <v>#DIV/0!</v>
      </c>
      <c r="S118" s="160" t="e">
        <f t="shared" si="10"/>
        <v>#DIV/0!</v>
      </c>
      <c r="T118" s="171" t="e">
        <f t="shared" si="11"/>
        <v>#DIV/0!</v>
      </c>
      <c r="U118" s="161" t="e">
        <f t="shared" si="12"/>
        <v>#DIV/0!</v>
      </c>
      <c r="V118" s="162" t="e">
        <f t="shared" si="13"/>
        <v>#DIV/0!</v>
      </c>
      <c r="W118" s="172" t="e">
        <f t="shared" si="14"/>
        <v>#DIV/0!</v>
      </c>
    </row>
    <row r="119" spans="1:23" ht="15.75" thickBot="1" x14ac:dyDescent="0.3">
      <c r="A119" s="228">
        <v>92</v>
      </c>
      <c r="B119" s="983" t="s">
        <v>483</v>
      </c>
      <c r="C119" s="984"/>
      <c r="D119" s="989"/>
      <c r="E119" s="202"/>
      <c r="F119" s="215"/>
      <c r="G119" s="216"/>
      <c r="H119" s="217"/>
      <c r="I119" s="971">
        <f t="shared" si="15"/>
        <v>0</v>
      </c>
      <c r="J119" s="972"/>
      <c r="K119" s="973"/>
      <c r="L119" s="960"/>
      <c r="M119" s="961"/>
      <c r="N119" s="962"/>
      <c r="O119" s="962"/>
      <c r="P119" s="962"/>
      <c r="Q119" s="962"/>
      <c r="R119" s="220" t="e">
        <f t="shared" si="16"/>
        <v>#DIV/0!</v>
      </c>
      <c r="S119" s="160" t="e">
        <f t="shared" si="10"/>
        <v>#DIV/0!</v>
      </c>
      <c r="T119" s="171" t="e">
        <f t="shared" si="11"/>
        <v>#DIV/0!</v>
      </c>
      <c r="U119" s="161" t="e">
        <f t="shared" si="12"/>
        <v>#DIV/0!</v>
      </c>
      <c r="V119" s="162" t="e">
        <f t="shared" si="13"/>
        <v>#DIV/0!</v>
      </c>
      <c r="W119" s="172" t="e">
        <f t="shared" si="14"/>
        <v>#DIV/0!</v>
      </c>
    </row>
    <row r="120" spans="1:23" ht="15.75" thickBot="1" x14ac:dyDescent="0.3">
      <c r="A120" s="228">
        <v>93</v>
      </c>
      <c r="B120" s="983" t="s">
        <v>484</v>
      </c>
      <c r="C120" s="984"/>
      <c r="D120" s="989"/>
      <c r="E120" s="202"/>
      <c r="F120" s="215"/>
      <c r="G120" s="216"/>
      <c r="H120" s="217"/>
      <c r="I120" s="971">
        <f t="shared" si="15"/>
        <v>0</v>
      </c>
      <c r="J120" s="972"/>
      <c r="K120" s="973"/>
      <c r="L120" s="960"/>
      <c r="M120" s="961"/>
      <c r="N120" s="962"/>
      <c r="O120" s="962"/>
      <c r="P120" s="962"/>
      <c r="Q120" s="962"/>
      <c r="R120" s="220" t="e">
        <f t="shared" si="16"/>
        <v>#DIV/0!</v>
      </c>
      <c r="S120" s="160" t="e">
        <f t="shared" si="10"/>
        <v>#DIV/0!</v>
      </c>
      <c r="T120" s="171" t="e">
        <f t="shared" si="11"/>
        <v>#DIV/0!</v>
      </c>
      <c r="U120" s="161" t="e">
        <f t="shared" si="12"/>
        <v>#DIV/0!</v>
      </c>
      <c r="V120" s="162" t="e">
        <f t="shared" si="13"/>
        <v>#DIV/0!</v>
      </c>
      <c r="W120" s="172" t="e">
        <f t="shared" si="14"/>
        <v>#DIV/0!</v>
      </c>
    </row>
    <row r="121" spans="1:23" ht="15.75" thickBot="1" x14ac:dyDescent="0.3">
      <c r="A121" s="228">
        <v>94</v>
      </c>
      <c r="B121" s="983" t="s">
        <v>485</v>
      </c>
      <c r="C121" s="984"/>
      <c r="D121" s="989"/>
      <c r="E121" s="202"/>
      <c r="F121" s="215"/>
      <c r="G121" s="216"/>
      <c r="H121" s="217"/>
      <c r="I121" s="971">
        <f t="shared" si="15"/>
        <v>0</v>
      </c>
      <c r="J121" s="972"/>
      <c r="K121" s="973"/>
      <c r="L121" s="960"/>
      <c r="M121" s="961"/>
      <c r="N121" s="962"/>
      <c r="O121" s="962"/>
      <c r="P121" s="962"/>
      <c r="Q121" s="962"/>
      <c r="R121" s="220" t="e">
        <f t="shared" si="16"/>
        <v>#DIV/0!</v>
      </c>
      <c r="S121" s="160" t="e">
        <f t="shared" si="10"/>
        <v>#DIV/0!</v>
      </c>
      <c r="T121" s="171" t="e">
        <f t="shared" si="11"/>
        <v>#DIV/0!</v>
      </c>
      <c r="U121" s="161" t="e">
        <f t="shared" si="12"/>
        <v>#DIV/0!</v>
      </c>
      <c r="V121" s="162" t="e">
        <f t="shared" si="13"/>
        <v>#DIV/0!</v>
      </c>
      <c r="W121" s="172" t="e">
        <f t="shared" si="14"/>
        <v>#DIV/0!</v>
      </c>
    </row>
    <row r="122" spans="1:23" ht="15.75" thickBot="1" x14ac:dyDescent="0.3">
      <c r="A122" s="228">
        <v>95</v>
      </c>
      <c r="B122" s="983" t="s">
        <v>486</v>
      </c>
      <c r="C122" s="984"/>
      <c r="D122" s="989"/>
      <c r="E122" s="202"/>
      <c r="F122" s="215"/>
      <c r="G122" s="216"/>
      <c r="H122" s="217"/>
      <c r="I122" s="971">
        <f t="shared" si="15"/>
        <v>0</v>
      </c>
      <c r="J122" s="972"/>
      <c r="K122" s="973"/>
      <c r="L122" s="960"/>
      <c r="M122" s="961"/>
      <c r="N122" s="962"/>
      <c r="O122" s="962"/>
      <c r="P122" s="962"/>
      <c r="Q122" s="962"/>
      <c r="R122" s="220" t="e">
        <f t="shared" si="16"/>
        <v>#DIV/0!</v>
      </c>
      <c r="S122" s="160" t="e">
        <f t="shared" si="10"/>
        <v>#DIV/0!</v>
      </c>
      <c r="T122" s="171" t="e">
        <f t="shared" si="11"/>
        <v>#DIV/0!</v>
      </c>
      <c r="U122" s="161" t="e">
        <f t="shared" si="12"/>
        <v>#DIV/0!</v>
      </c>
      <c r="V122" s="162" t="e">
        <f t="shared" si="13"/>
        <v>#DIV/0!</v>
      </c>
      <c r="W122" s="172" t="e">
        <f t="shared" si="14"/>
        <v>#DIV/0!</v>
      </c>
    </row>
    <row r="123" spans="1:23" ht="15.75" thickBot="1" x14ac:dyDescent="0.3">
      <c r="A123" s="228">
        <v>96</v>
      </c>
      <c r="B123" s="983" t="s">
        <v>487</v>
      </c>
      <c r="C123" s="984"/>
      <c r="D123" s="989"/>
      <c r="E123" s="202"/>
      <c r="F123" s="215"/>
      <c r="G123" s="216"/>
      <c r="H123" s="217"/>
      <c r="I123" s="971">
        <f t="shared" si="15"/>
        <v>0</v>
      </c>
      <c r="J123" s="972"/>
      <c r="K123" s="973"/>
      <c r="L123" s="960"/>
      <c r="M123" s="961"/>
      <c r="N123" s="962"/>
      <c r="O123" s="962"/>
      <c r="P123" s="962"/>
      <c r="Q123" s="962"/>
      <c r="R123" s="220" t="e">
        <f t="shared" si="16"/>
        <v>#DIV/0!</v>
      </c>
      <c r="S123" s="160" t="e">
        <f t="shared" si="10"/>
        <v>#DIV/0!</v>
      </c>
      <c r="T123" s="171" t="e">
        <f t="shared" si="11"/>
        <v>#DIV/0!</v>
      </c>
      <c r="U123" s="161" t="e">
        <f t="shared" si="12"/>
        <v>#DIV/0!</v>
      </c>
      <c r="V123" s="162" t="e">
        <f t="shared" si="13"/>
        <v>#DIV/0!</v>
      </c>
      <c r="W123" s="172" t="e">
        <f t="shared" si="14"/>
        <v>#DIV/0!</v>
      </c>
    </row>
    <row r="124" spans="1:23" ht="15.75" thickBot="1" x14ac:dyDescent="0.3">
      <c r="A124" s="228">
        <v>97</v>
      </c>
      <c r="B124" s="983" t="s">
        <v>488</v>
      </c>
      <c r="C124" s="984"/>
      <c r="D124" s="989"/>
      <c r="E124" s="202"/>
      <c r="F124" s="215"/>
      <c r="G124" s="216"/>
      <c r="H124" s="217"/>
      <c r="I124" s="971">
        <f t="shared" si="15"/>
        <v>0</v>
      </c>
      <c r="J124" s="972"/>
      <c r="K124" s="973"/>
      <c r="L124" s="960"/>
      <c r="M124" s="961"/>
      <c r="N124" s="962"/>
      <c r="O124" s="962"/>
      <c r="P124" s="962"/>
      <c r="Q124" s="962"/>
      <c r="R124" s="220" t="e">
        <f t="shared" si="16"/>
        <v>#DIV/0!</v>
      </c>
      <c r="S124" s="160" t="e">
        <f t="shared" si="10"/>
        <v>#DIV/0!</v>
      </c>
      <c r="T124" s="171" t="e">
        <f t="shared" si="11"/>
        <v>#DIV/0!</v>
      </c>
      <c r="U124" s="161" t="e">
        <f t="shared" si="12"/>
        <v>#DIV/0!</v>
      </c>
      <c r="V124" s="162" t="e">
        <f t="shared" si="13"/>
        <v>#DIV/0!</v>
      </c>
      <c r="W124" s="172" t="e">
        <f t="shared" si="14"/>
        <v>#DIV/0!</v>
      </c>
    </row>
    <row r="125" spans="1:23" ht="15.75" thickBot="1" x14ac:dyDescent="0.3">
      <c r="A125" s="228">
        <v>98</v>
      </c>
      <c r="B125" s="983" t="s">
        <v>489</v>
      </c>
      <c r="C125" s="984"/>
      <c r="D125" s="989"/>
      <c r="E125" s="202"/>
      <c r="F125" s="215"/>
      <c r="G125" s="216"/>
      <c r="H125" s="217"/>
      <c r="I125" s="971">
        <f t="shared" si="15"/>
        <v>0</v>
      </c>
      <c r="J125" s="972"/>
      <c r="K125" s="973"/>
      <c r="L125" s="960"/>
      <c r="M125" s="961"/>
      <c r="N125" s="962"/>
      <c r="O125" s="962"/>
      <c r="P125" s="962"/>
      <c r="Q125" s="962"/>
      <c r="R125" s="220" t="e">
        <f t="shared" si="16"/>
        <v>#DIV/0!</v>
      </c>
      <c r="S125" s="160" t="e">
        <f t="shared" si="10"/>
        <v>#DIV/0!</v>
      </c>
      <c r="T125" s="171" t="e">
        <f t="shared" si="11"/>
        <v>#DIV/0!</v>
      </c>
      <c r="U125" s="161" t="e">
        <f t="shared" si="12"/>
        <v>#DIV/0!</v>
      </c>
      <c r="V125" s="162" t="e">
        <f t="shared" si="13"/>
        <v>#DIV/0!</v>
      </c>
      <c r="W125" s="172" t="e">
        <f t="shared" si="14"/>
        <v>#DIV/0!</v>
      </c>
    </row>
    <row r="126" spans="1:23" ht="15.75" thickBot="1" x14ac:dyDescent="0.3">
      <c r="A126" s="228">
        <v>99</v>
      </c>
      <c r="B126" s="974" t="s">
        <v>490</v>
      </c>
      <c r="C126" s="975"/>
      <c r="D126" s="976"/>
      <c r="E126" s="202"/>
      <c r="F126" s="215"/>
      <c r="G126" s="216"/>
      <c r="H126" s="217"/>
      <c r="I126" s="971">
        <f t="shared" si="15"/>
        <v>0</v>
      </c>
      <c r="J126" s="972"/>
      <c r="K126" s="973"/>
      <c r="L126" s="960"/>
      <c r="M126" s="961"/>
      <c r="N126" s="962"/>
      <c r="O126" s="962"/>
      <c r="P126" s="962"/>
      <c r="Q126" s="962"/>
      <c r="R126" s="220" t="e">
        <f t="shared" si="16"/>
        <v>#DIV/0!</v>
      </c>
      <c r="S126" s="160" t="e">
        <f t="shared" si="10"/>
        <v>#DIV/0!</v>
      </c>
      <c r="T126" s="171" t="e">
        <f t="shared" si="11"/>
        <v>#DIV/0!</v>
      </c>
      <c r="U126" s="161" t="e">
        <f t="shared" si="12"/>
        <v>#DIV/0!</v>
      </c>
      <c r="V126" s="162" t="e">
        <f t="shared" si="13"/>
        <v>#DIV/0!</v>
      </c>
      <c r="W126" s="172" t="e">
        <f t="shared" si="14"/>
        <v>#DIV/0!</v>
      </c>
    </row>
    <row r="127" spans="1:23" ht="15.75" thickBot="1" x14ac:dyDescent="0.3">
      <c r="A127" s="228">
        <v>100</v>
      </c>
      <c r="B127" s="974" t="s">
        <v>492</v>
      </c>
      <c r="C127" s="975"/>
      <c r="D127" s="976"/>
      <c r="E127" s="202"/>
      <c r="F127" s="215"/>
      <c r="G127" s="216"/>
      <c r="H127" s="217"/>
      <c r="I127" s="971">
        <f t="shared" si="15"/>
        <v>0</v>
      </c>
      <c r="J127" s="972"/>
      <c r="K127" s="973"/>
      <c r="L127" s="960"/>
      <c r="M127" s="961"/>
      <c r="N127" s="962"/>
      <c r="O127" s="962"/>
      <c r="P127" s="962"/>
      <c r="Q127" s="962"/>
      <c r="R127" s="220" t="e">
        <f t="shared" si="16"/>
        <v>#DIV/0!</v>
      </c>
      <c r="S127" s="160" t="e">
        <f t="shared" si="10"/>
        <v>#DIV/0!</v>
      </c>
      <c r="T127" s="171" t="e">
        <f t="shared" si="11"/>
        <v>#DIV/0!</v>
      </c>
      <c r="U127" s="161" t="e">
        <f t="shared" si="12"/>
        <v>#DIV/0!</v>
      </c>
      <c r="V127" s="162" t="e">
        <f t="shared" si="13"/>
        <v>#DIV/0!</v>
      </c>
      <c r="W127" s="172" t="e">
        <f t="shared" si="14"/>
        <v>#DIV/0!</v>
      </c>
    </row>
    <row r="128" spans="1:23" ht="15.75" thickBot="1" x14ac:dyDescent="0.3">
      <c r="A128" s="228">
        <v>101</v>
      </c>
      <c r="B128" s="974" t="s">
        <v>491</v>
      </c>
      <c r="C128" s="975"/>
      <c r="D128" s="976"/>
      <c r="E128" s="202"/>
      <c r="F128" s="215"/>
      <c r="G128" s="216"/>
      <c r="H128" s="217"/>
      <c r="I128" s="971">
        <f t="shared" si="15"/>
        <v>0</v>
      </c>
      <c r="J128" s="972"/>
      <c r="K128" s="973"/>
      <c r="L128" s="960"/>
      <c r="M128" s="961"/>
      <c r="N128" s="962"/>
      <c r="O128" s="962"/>
      <c r="P128" s="962"/>
      <c r="Q128" s="962"/>
      <c r="R128" s="220" t="e">
        <f t="shared" si="16"/>
        <v>#DIV/0!</v>
      </c>
      <c r="S128" s="160" t="e">
        <f t="shared" si="10"/>
        <v>#DIV/0!</v>
      </c>
      <c r="T128" s="171" t="e">
        <f t="shared" si="11"/>
        <v>#DIV/0!</v>
      </c>
      <c r="U128" s="161" t="e">
        <f t="shared" si="12"/>
        <v>#DIV/0!</v>
      </c>
      <c r="V128" s="162" t="e">
        <f t="shared" si="13"/>
        <v>#DIV/0!</v>
      </c>
      <c r="W128" s="172" t="e">
        <f t="shared" si="14"/>
        <v>#DIV/0!</v>
      </c>
    </row>
    <row r="129" spans="1:23" ht="15.75" thickBot="1" x14ac:dyDescent="0.3">
      <c r="A129" s="228">
        <v>102</v>
      </c>
      <c r="B129" s="974" t="s">
        <v>493</v>
      </c>
      <c r="C129" s="975"/>
      <c r="D129" s="976"/>
      <c r="E129" s="202"/>
      <c r="F129" s="215"/>
      <c r="G129" s="216"/>
      <c r="H129" s="217"/>
      <c r="I129" s="971">
        <f t="shared" si="15"/>
        <v>0</v>
      </c>
      <c r="J129" s="972"/>
      <c r="K129" s="973"/>
      <c r="L129" s="960"/>
      <c r="M129" s="961"/>
      <c r="N129" s="962"/>
      <c r="O129" s="962"/>
      <c r="P129" s="962"/>
      <c r="Q129" s="962"/>
      <c r="R129" s="220" t="e">
        <f t="shared" si="16"/>
        <v>#DIV/0!</v>
      </c>
      <c r="S129" s="160" t="e">
        <f t="shared" si="10"/>
        <v>#DIV/0!</v>
      </c>
      <c r="T129" s="171" t="e">
        <f t="shared" si="11"/>
        <v>#DIV/0!</v>
      </c>
      <c r="U129" s="161" t="e">
        <f t="shared" si="12"/>
        <v>#DIV/0!</v>
      </c>
      <c r="V129" s="162" t="e">
        <f t="shared" si="13"/>
        <v>#DIV/0!</v>
      </c>
      <c r="W129" s="172" t="e">
        <f t="shared" si="14"/>
        <v>#DIV/0!</v>
      </c>
    </row>
    <row r="130" spans="1:23" ht="15.75" thickBot="1" x14ac:dyDescent="0.3">
      <c r="A130" s="228">
        <v>103</v>
      </c>
      <c r="B130" s="983" t="s">
        <v>494</v>
      </c>
      <c r="C130" s="984"/>
      <c r="D130" s="989"/>
      <c r="E130" s="202"/>
      <c r="F130" s="215"/>
      <c r="G130" s="216"/>
      <c r="H130" s="217"/>
      <c r="I130" s="971">
        <f t="shared" si="15"/>
        <v>0</v>
      </c>
      <c r="J130" s="972"/>
      <c r="K130" s="973"/>
      <c r="L130" s="960"/>
      <c r="M130" s="961"/>
      <c r="N130" s="962"/>
      <c r="O130" s="962"/>
      <c r="P130" s="962"/>
      <c r="Q130" s="962"/>
      <c r="R130" s="220" t="e">
        <f t="shared" si="16"/>
        <v>#DIV/0!</v>
      </c>
      <c r="S130" s="160" t="e">
        <f t="shared" si="10"/>
        <v>#DIV/0!</v>
      </c>
      <c r="T130" s="171" t="e">
        <f t="shared" si="11"/>
        <v>#DIV/0!</v>
      </c>
      <c r="U130" s="161" t="e">
        <f t="shared" si="12"/>
        <v>#DIV/0!</v>
      </c>
      <c r="V130" s="162" t="e">
        <f t="shared" si="13"/>
        <v>#DIV/0!</v>
      </c>
      <c r="W130" s="172" t="e">
        <f t="shared" si="14"/>
        <v>#DIV/0!</v>
      </c>
    </row>
    <row r="131" spans="1:23" ht="15.75" thickBot="1" x14ac:dyDescent="0.3">
      <c r="A131" s="228">
        <v>104</v>
      </c>
      <c r="B131" s="983" t="s">
        <v>495</v>
      </c>
      <c r="C131" s="984"/>
      <c r="D131" s="989"/>
      <c r="E131" s="202"/>
      <c r="F131" s="215"/>
      <c r="G131" s="216"/>
      <c r="H131" s="217"/>
      <c r="I131" s="971">
        <f t="shared" si="15"/>
        <v>0</v>
      </c>
      <c r="J131" s="972"/>
      <c r="K131" s="973"/>
      <c r="L131" s="960"/>
      <c r="M131" s="961"/>
      <c r="N131" s="962"/>
      <c r="O131" s="962"/>
      <c r="P131" s="962"/>
      <c r="Q131" s="962"/>
      <c r="R131" s="220" t="e">
        <f t="shared" si="16"/>
        <v>#DIV/0!</v>
      </c>
      <c r="S131" s="160" t="e">
        <f t="shared" si="10"/>
        <v>#DIV/0!</v>
      </c>
      <c r="T131" s="171" t="e">
        <f t="shared" si="11"/>
        <v>#DIV/0!</v>
      </c>
      <c r="U131" s="161" t="e">
        <f t="shared" si="12"/>
        <v>#DIV/0!</v>
      </c>
      <c r="V131" s="162" t="e">
        <f t="shared" si="13"/>
        <v>#DIV/0!</v>
      </c>
      <c r="W131" s="172" t="e">
        <f t="shared" si="14"/>
        <v>#DIV/0!</v>
      </c>
    </row>
    <row r="132" spans="1:23" ht="15.75" thickBot="1" x14ac:dyDescent="0.3">
      <c r="A132" s="228">
        <v>105</v>
      </c>
      <c r="B132" s="974" t="s">
        <v>496</v>
      </c>
      <c r="C132" s="975"/>
      <c r="D132" s="976"/>
      <c r="E132" s="202"/>
      <c r="F132" s="215"/>
      <c r="G132" s="216"/>
      <c r="H132" s="217"/>
      <c r="I132" s="971">
        <f t="shared" si="15"/>
        <v>0</v>
      </c>
      <c r="J132" s="972"/>
      <c r="K132" s="973"/>
      <c r="L132" s="960"/>
      <c r="M132" s="961"/>
      <c r="N132" s="962"/>
      <c r="O132" s="962"/>
      <c r="P132" s="962"/>
      <c r="Q132" s="962"/>
      <c r="R132" s="220" t="e">
        <f t="shared" si="16"/>
        <v>#DIV/0!</v>
      </c>
      <c r="S132" s="160" t="e">
        <f t="shared" si="10"/>
        <v>#DIV/0!</v>
      </c>
      <c r="T132" s="171" t="e">
        <f t="shared" si="11"/>
        <v>#DIV/0!</v>
      </c>
      <c r="U132" s="161" t="e">
        <f t="shared" si="12"/>
        <v>#DIV/0!</v>
      </c>
      <c r="V132" s="162" t="e">
        <f t="shared" si="13"/>
        <v>#DIV/0!</v>
      </c>
      <c r="W132" s="172" t="e">
        <f t="shared" si="14"/>
        <v>#DIV/0!</v>
      </c>
    </row>
    <row r="133" spans="1:23" ht="15.75" thickBot="1" x14ac:dyDescent="0.3">
      <c r="A133" s="228">
        <v>106</v>
      </c>
      <c r="B133" s="983" t="s">
        <v>497</v>
      </c>
      <c r="C133" s="984"/>
      <c r="D133" s="989"/>
      <c r="E133" s="202"/>
      <c r="F133" s="215"/>
      <c r="G133" s="216"/>
      <c r="H133" s="217"/>
      <c r="I133" s="971">
        <f t="shared" si="15"/>
        <v>0</v>
      </c>
      <c r="J133" s="972"/>
      <c r="K133" s="973"/>
      <c r="L133" s="960"/>
      <c r="M133" s="961"/>
      <c r="N133" s="962"/>
      <c r="O133" s="962"/>
      <c r="P133" s="962"/>
      <c r="Q133" s="962"/>
      <c r="R133" s="220" t="e">
        <f t="shared" si="16"/>
        <v>#DIV/0!</v>
      </c>
      <c r="S133" s="160" t="e">
        <f t="shared" si="10"/>
        <v>#DIV/0!</v>
      </c>
      <c r="T133" s="171" t="e">
        <f t="shared" si="11"/>
        <v>#DIV/0!</v>
      </c>
      <c r="U133" s="161" t="e">
        <f t="shared" si="12"/>
        <v>#DIV/0!</v>
      </c>
      <c r="V133" s="162" t="e">
        <f t="shared" si="13"/>
        <v>#DIV/0!</v>
      </c>
      <c r="W133" s="172" t="e">
        <f t="shared" si="14"/>
        <v>#DIV/0!</v>
      </c>
    </row>
    <row r="134" spans="1:23" ht="15.75" thickBot="1" x14ac:dyDescent="0.3">
      <c r="A134" s="228">
        <v>107</v>
      </c>
      <c r="B134" s="974" t="s">
        <v>498</v>
      </c>
      <c r="C134" s="975"/>
      <c r="D134" s="976"/>
      <c r="E134" s="202"/>
      <c r="F134" s="215"/>
      <c r="G134" s="216"/>
      <c r="H134" s="217"/>
      <c r="I134" s="971">
        <f t="shared" si="15"/>
        <v>0</v>
      </c>
      <c r="J134" s="972"/>
      <c r="K134" s="973"/>
      <c r="L134" s="960"/>
      <c r="M134" s="961"/>
      <c r="N134" s="962"/>
      <c r="O134" s="962"/>
      <c r="P134" s="962"/>
      <c r="Q134" s="962"/>
      <c r="R134" s="220" t="e">
        <f t="shared" si="16"/>
        <v>#DIV/0!</v>
      </c>
      <c r="S134" s="160" t="e">
        <f t="shared" si="10"/>
        <v>#DIV/0!</v>
      </c>
      <c r="T134" s="171" t="e">
        <f t="shared" si="11"/>
        <v>#DIV/0!</v>
      </c>
      <c r="U134" s="161" t="e">
        <f t="shared" si="12"/>
        <v>#DIV/0!</v>
      </c>
      <c r="V134" s="162" t="e">
        <f t="shared" si="13"/>
        <v>#DIV/0!</v>
      </c>
      <c r="W134" s="172" t="e">
        <f t="shared" si="14"/>
        <v>#DIV/0!</v>
      </c>
    </row>
    <row r="135" spans="1:23" ht="15.75" thickBot="1" x14ac:dyDescent="0.3">
      <c r="A135" s="228">
        <v>108</v>
      </c>
      <c r="B135" s="974" t="s">
        <v>499</v>
      </c>
      <c r="C135" s="975"/>
      <c r="D135" s="976"/>
      <c r="E135" s="202"/>
      <c r="F135" s="215"/>
      <c r="G135" s="216"/>
      <c r="H135" s="217"/>
      <c r="I135" s="971">
        <f t="shared" si="15"/>
        <v>0</v>
      </c>
      <c r="J135" s="972"/>
      <c r="K135" s="973"/>
      <c r="L135" s="960"/>
      <c r="M135" s="961"/>
      <c r="N135" s="962"/>
      <c r="O135" s="962"/>
      <c r="P135" s="962"/>
      <c r="Q135" s="962"/>
      <c r="R135" s="220" t="e">
        <f t="shared" si="16"/>
        <v>#DIV/0!</v>
      </c>
      <c r="S135" s="160" t="e">
        <f t="shared" si="10"/>
        <v>#DIV/0!</v>
      </c>
      <c r="T135" s="171" t="e">
        <f t="shared" si="11"/>
        <v>#DIV/0!</v>
      </c>
      <c r="U135" s="161" t="e">
        <f t="shared" si="12"/>
        <v>#DIV/0!</v>
      </c>
      <c r="V135" s="162" t="e">
        <f t="shared" si="13"/>
        <v>#DIV/0!</v>
      </c>
      <c r="W135" s="172" t="e">
        <f t="shared" si="14"/>
        <v>#DIV/0!</v>
      </c>
    </row>
    <row r="136" spans="1:23" ht="15.75" thickBot="1" x14ac:dyDescent="0.3">
      <c r="A136" s="228">
        <v>109</v>
      </c>
      <c r="B136" s="983" t="s">
        <v>500</v>
      </c>
      <c r="C136" s="984"/>
      <c r="D136" s="989"/>
      <c r="E136" s="202"/>
      <c r="F136" s="215"/>
      <c r="G136" s="216"/>
      <c r="H136" s="217"/>
      <c r="I136" s="971">
        <f t="shared" si="15"/>
        <v>0</v>
      </c>
      <c r="J136" s="972"/>
      <c r="K136" s="973"/>
      <c r="L136" s="960"/>
      <c r="M136" s="961"/>
      <c r="N136" s="962"/>
      <c r="O136" s="962"/>
      <c r="P136" s="962"/>
      <c r="Q136" s="962"/>
      <c r="R136" s="220" t="e">
        <f t="shared" si="16"/>
        <v>#DIV/0!</v>
      </c>
      <c r="S136" s="160" t="e">
        <f t="shared" si="10"/>
        <v>#DIV/0!</v>
      </c>
      <c r="T136" s="171" t="e">
        <f t="shared" si="11"/>
        <v>#DIV/0!</v>
      </c>
      <c r="U136" s="161" t="e">
        <f t="shared" si="12"/>
        <v>#DIV/0!</v>
      </c>
      <c r="V136" s="162" t="e">
        <f t="shared" si="13"/>
        <v>#DIV/0!</v>
      </c>
      <c r="W136" s="172" t="e">
        <f t="shared" si="14"/>
        <v>#DIV/0!</v>
      </c>
    </row>
    <row r="137" spans="1:23" ht="15.75" thickBot="1" x14ac:dyDescent="0.3">
      <c r="A137" s="228">
        <v>110</v>
      </c>
      <c r="B137" s="983" t="s">
        <v>501</v>
      </c>
      <c r="C137" s="984"/>
      <c r="D137" s="989"/>
      <c r="E137" s="202"/>
      <c r="F137" s="215"/>
      <c r="G137" s="216"/>
      <c r="H137" s="217"/>
      <c r="I137" s="971">
        <f t="shared" si="15"/>
        <v>0</v>
      </c>
      <c r="J137" s="972"/>
      <c r="K137" s="973"/>
      <c r="L137" s="960"/>
      <c r="M137" s="961"/>
      <c r="N137" s="962"/>
      <c r="O137" s="962"/>
      <c r="P137" s="962"/>
      <c r="Q137" s="962"/>
      <c r="R137" s="220" t="e">
        <f t="shared" si="16"/>
        <v>#DIV/0!</v>
      </c>
      <c r="S137" s="160" t="e">
        <f>R137*0.125</f>
        <v>#DIV/0!</v>
      </c>
      <c r="T137" s="171" t="e">
        <f>R137*0.05</f>
        <v>#DIV/0!</v>
      </c>
      <c r="U137" s="161" t="e">
        <f>R137*0.125</f>
        <v>#DIV/0!</v>
      </c>
      <c r="V137" s="162" t="e">
        <f>S137+T137+U137</f>
        <v>#DIV/0!</v>
      </c>
      <c r="W137" s="172" t="e">
        <f>R137+V137</f>
        <v>#DIV/0!</v>
      </c>
    </row>
    <row r="138" spans="1:23" ht="15.75" thickBot="1" x14ac:dyDescent="0.3">
      <c r="A138" s="228">
        <v>111</v>
      </c>
      <c r="B138" s="974" t="s">
        <v>502</v>
      </c>
      <c r="C138" s="975"/>
      <c r="D138" s="976"/>
      <c r="E138" s="203"/>
      <c r="F138" s="215"/>
      <c r="G138" s="216"/>
      <c r="H138" s="217"/>
      <c r="I138" s="971">
        <f t="shared" si="15"/>
        <v>0</v>
      </c>
      <c r="J138" s="972"/>
      <c r="K138" s="973"/>
      <c r="L138" s="960"/>
      <c r="M138" s="961"/>
      <c r="N138" s="962"/>
      <c r="O138" s="962"/>
      <c r="P138" s="962"/>
      <c r="Q138" s="962"/>
      <c r="R138" s="220" t="e">
        <f t="shared" si="16"/>
        <v>#DIV/0!</v>
      </c>
      <c r="S138" s="160" t="e">
        <f t="shared" ref="S138:S185" si="17">R138*0.125</f>
        <v>#DIV/0!</v>
      </c>
      <c r="T138" s="171" t="e">
        <f t="shared" ref="T138:T185" si="18">R138*0.05</f>
        <v>#DIV/0!</v>
      </c>
      <c r="U138" s="161" t="e">
        <f t="shared" ref="U138:U185" si="19">R138*0.125</f>
        <v>#DIV/0!</v>
      </c>
      <c r="V138" s="162" t="e">
        <f t="shared" ref="V138:V185" si="20">S138+T138+U138</f>
        <v>#DIV/0!</v>
      </c>
      <c r="W138" s="172" t="e">
        <f t="shared" ref="W138:W185" si="21">R138+V138</f>
        <v>#DIV/0!</v>
      </c>
    </row>
    <row r="139" spans="1:23" ht="15.75" thickBot="1" x14ac:dyDescent="0.3">
      <c r="A139" s="228">
        <v>112</v>
      </c>
      <c r="B139" s="974" t="s">
        <v>503</v>
      </c>
      <c r="C139" s="975"/>
      <c r="D139" s="976"/>
      <c r="E139" s="203"/>
      <c r="F139" s="215"/>
      <c r="G139" s="216"/>
      <c r="H139" s="217"/>
      <c r="I139" s="971">
        <f t="shared" si="15"/>
        <v>0</v>
      </c>
      <c r="J139" s="972"/>
      <c r="K139" s="973"/>
      <c r="L139" s="960"/>
      <c r="M139" s="961"/>
      <c r="N139" s="962"/>
      <c r="O139" s="962"/>
      <c r="P139" s="962"/>
      <c r="Q139" s="962"/>
      <c r="R139" s="220" t="e">
        <f t="shared" si="16"/>
        <v>#DIV/0!</v>
      </c>
      <c r="S139" s="160" t="e">
        <f t="shared" si="17"/>
        <v>#DIV/0!</v>
      </c>
      <c r="T139" s="171" t="e">
        <f t="shared" si="18"/>
        <v>#DIV/0!</v>
      </c>
      <c r="U139" s="161" t="e">
        <f t="shared" si="19"/>
        <v>#DIV/0!</v>
      </c>
      <c r="V139" s="162" t="e">
        <f t="shared" si="20"/>
        <v>#DIV/0!</v>
      </c>
      <c r="W139" s="172" t="e">
        <f t="shared" si="21"/>
        <v>#DIV/0!</v>
      </c>
    </row>
    <row r="140" spans="1:23" ht="15.75" thickBot="1" x14ac:dyDescent="0.3">
      <c r="A140" s="228">
        <v>113</v>
      </c>
      <c r="B140" s="983" t="s">
        <v>504</v>
      </c>
      <c r="C140" s="984"/>
      <c r="D140" s="989"/>
      <c r="E140" s="203"/>
      <c r="F140" s="215"/>
      <c r="G140" s="216"/>
      <c r="H140" s="217"/>
      <c r="I140" s="971">
        <f t="shared" si="15"/>
        <v>0</v>
      </c>
      <c r="J140" s="972"/>
      <c r="K140" s="973"/>
      <c r="L140" s="960"/>
      <c r="M140" s="961"/>
      <c r="N140" s="962"/>
      <c r="O140" s="962"/>
      <c r="P140" s="962"/>
      <c r="Q140" s="962"/>
      <c r="R140" s="220" t="e">
        <f t="shared" si="16"/>
        <v>#DIV/0!</v>
      </c>
      <c r="S140" s="160" t="e">
        <f t="shared" si="17"/>
        <v>#DIV/0!</v>
      </c>
      <c r="T140" s="171" t="e">
        <f t="shared" si="18"/>
        <v>#DIV/0!</v>
      </c>
      <c r="U140" s="161" t="e">
        <f t="shared" si="19"/>
        <v>#DIV/0!</v>
      </c>
      <c r="V140" s="162" t="e">
        <f t="shared" si="20"/>
        <v>#DIV/0!</v>
      </c>
      <c r="W140" s="172" t="e">
        <f t="shared" si="21"/>
        <v>#DIV/0!</v>
      </c>
    </row>
    <row r="141" spans="1:23" ht="15.75" thickBot="1" x14ac:dyDescent="0.3">
      <c r="A141" s="228">
        <v>114</v>
      </c>
      <c r="B141" s="974" t="s">
        <v>505</v>
      </c>
      <c r="C141" s="975"/>
      <c r="D141" s="976"/>
      <c r="E141" s="203"/>
      <c r="F141" s="215"/>
      <c r="G141" s="216"/>
      <c r="H141" s="217"/>
      <c r="I141" s="971">
        <f t="shared" si="15"/>
        <v>0</v>
      </c>
      <c r="J141" s="972"/>
      <c r="K141" s="973"/>
      <c r="L141" s="960"/>
      <c r="M141" s="961"/>
      <c r="N141" s="962"/>
      <c r="O141" s="962"/>
      <c r="P141" s="962"/>
      <c r="Q141" s="962"/>
      <c r="R141" s="220" t="e">
        <f t="shared" si="16"/>
        <v>#DIV/0!</v>
      </c>
      <c r="S141" s="160" t="e">
        <f t="shared" si="17"/>
        <v>#DIV/0!</v>
      </c>
      <c r="T141" s="171" t="e">
        <f t="shared" si="18"/>
        <v>#DIV/0!</v>
      </c>
      <c r="U141" s="161" t="e">
        <f t="shared" si="19"/>
        <v>#DIV/0!</v>
      </c>
      <c r="V141" s="162" t="e">
        <f t="shared" si="20"/>
        <v>#DIV/0!</v>
      </c>
      <c r="W141" s="172" t="e">
        <f t="shared" si="21"/>
        <v>#DIV/0!</v>
      </c>
    </row>
    <row r="142" spans="1:23" ht="15.75" thickBot="1" x14ac:dyDescent="0.3">
      <c r="A142" s="228">
        <v>115</v>
      </c>
      <c r="B142" s="983" t="s">
        <v>506</v>
      </c>
      <c r="C142" s="984"/>
      <c r="D142" s="989"/>
      <c r="E142" s="203"/>
      <c r="F142" s="215"/>
      <c r="G142" s="216"/>
      <c r="H142" s="217"/>
      <c r="I142" s="971">
        <f t="shared" si="15"/>
        <v>0</v>
      </c>
      <c r="J142" s="972"/>
      <c r="K142" s="973"/>
      <c r="L142" s="960"/>
      <c r="M142" s="961"/>
      <c r="N142" s="962"/>
      <c r="O142" s="962"/>
      <c r="P142" s="962"/>
      <c r="Q142" s="962"/>
      <c r="R142" s="220" t="e">
        <f t="shared" si="16"/>
        <v>#DIV/0!</v>
      </c>
      <c r="S142" s="160" t="e">
        <f t="shared" si="17"/>
        <v>#DIV/0!</v>
      </c>
      <c r="T142" s="171" t="e">
        <f t="shared" si="18"/>
        <v>#DIV/0!</v>
      </c>
      <c r="U142" s="161" t="e">
        <f t="shared" si="19"/>
        <v>#DIV/0!</v>
      </c>
      <c r="V142" s="162" t="e">
        <f t="shared" si="20"/>
        <v>#DIV/0!</v>
      </c>
      <c r="W142" s="172" t="e">
        <f t="shared" si="21"/>
        <v>#DIV/0!</v>
      </c>
    </row>
    <row r="143" spans="1:23" ht="15.75" thickBot="1" x14ac:dyDescent="0.3">
      <c r="A143" s="228">
        <v>116</v>
      </c>
      <c r="B143" s="983" t="s">
        <v>507</v>
      </c>
      <c r="C143" s="984"/>
      <c r="D143" s="989"/>
      <c r="E143" s="203"/>
      <c r="F143" s="215"/>
      <c r="G143" s="216"/>
      <c r="H143" s="217"/>
      <c r="I143" s="971">
        <f t="shared" si="15"/>
        <v>0</v>
      </c>
      <c r="J143" s="972"/>
      <c r="K143" s="973"/>
      <c r="L143" s="960"/>
      <c r="M143" s="961"/>
      <c r="N143" s="962"/>
      <c r="O143" s="962"/>
      <c r="P143" s="962"/>
      <c r="Q143" s="962"/>
      <c r="R143" s="220" t="e">
        <f t="shared" si="16"/>
        <v>#DIV/0!</v>
      </c>
      <c r="S143" s="160" t="e">
        <f t="shared" si="17"/>
        <v>#DIV/0!</v>
      </c>
      <c r="T143" s="171" t="e">
        <f t="shared" si="18"/>
        <v>#DIV/0!</v>
      </c>
      <c r="U143" s="161" t="e">
        <f t="shared" si="19"/>
        <v>#DIV/0!</v>
      </c>
      <c r="V143" s="162" t="e">
        <f t="shared" si="20"/>
        <v>#DIV/0!</v>
      </c>
      <c r="W143" s="172" t="e">
        <f t="shared" si="21"/>
        <v>#DIV/0!</v>
      </c>
    </row>
    <row r="144" spans="1:23" ht="15.75" thickBot="1" x14ac:dyDescent="0.3">
      <c r="A144" s="228">
        <v>117</v>
      </c>
      <c r="B144" s="983" t="s">
        <v>540</v>
      </c>
      <c r="C144" s="984"/>
      <c r="D144" s="989"/>
      <c r="E144" s="204"/>
      <c r="F144" s="215"/>
      <c r="G144" s="216"/>
      <c r="H144" s="217"/>
      <c r="I144" s="971">
        <f t="shared" si="15"/>
        <v>0</v>
      </c>
      <c r="J144" s="972"/>
      <c r="K144" s="973"/>
      <c r="L144" s="960"/>
      <c r="M144" s="961"/>
      <c r="N144" s="962"/>
      <c r="O144" s="962"/>
      <c r="P144" s="962"/>
      <c r="Q144" s="962"/>
      <c r="R144" s="220" t="e">
        <f t="shared" si="16"/>
        <v>#DIV/0!</v>
      </c>
      <c r="S144" s="160" t="e">
        <f t="shared" si="17"/>
        <v>#DIV/0!</v>
      </c>
      <c r="T144" s="171" t="e">
        <f t="shared" si="18"/>
        <v>#DIV/0!</v>
      </c>
      <c r="U144" s="161" t="e">
        <f t="shared" si="19"/>
        <v>#DIV/0!</v>
      </c>
      <c r="V144" s="162" t="e">
        <f t="shared" si="20"/>
        <v>#DIV/0!</v>
      </c>
      <c r="W144" s="172" t="e">
        <f t="shared" si="21"/>
        <v>#DIV/0!</v>
      </c>
    </row>
    <row r="145" spans="1:23" ht="15.75" thickBot="1" x14ac:dyDescent="0.3">
      <c r="A145" s="228">
        <v>118</v>
      </c>
      <c r="B145" s="985" t="s">
        <v>508</v>
      </c>
      <c r="C145" s="986"/>
      <c r="D145" s="987"/>
      <c r="E145" s="204"/>
      <c r="F145" s="215"/>
      <c r="G145" s="216"/>
      <c r="H145" s="217"/>
      <c r="I145" s="971">
        <f t="shared" si="15"/>
        <v>0</v>
      </c>
      <c r="J145" s="972"/>
      <c r="K145" s="973"/>
      <c r="L145" s="960"/>
      <c r="M145" s="961"/>
      <c r="N145" s="962"/>
      <c r="O145" s="962"/>
      <c r="P145" s="962"/>
      <c r="Q145" s="962"/>
      <c r="R145" s="220" t="e">
        <f t="shared" si="16"/>
        <v>#DIV/0!</v>
      </c>
      <c r="S145" s="160" t="e">
        <f t="shared" si="17"/>
        <v>#DIV/0!</v>
      </c>
      <c r="T145" s="171" t="e">
        <f t="shared" si="18"/>
        <v>#DIV/0!</v>
      </c>
      <c r="U145" s="161" t="e">
        <f t="shared" si="19"/>
        <v>#DIV/0!</v>
      </c>
      <c r="V145" s="162" t="e">
        <f t="shared" si="20"/>
        <v>#DIV/0!</v>
      </c>
      <c r="W145" s="172" t="e">
        <f t="shared" si="21"/>
        <v>#DIV/0!</v>
      </c>
    </row>
    <row r="146" spans="1:23" ht="15.75" thickBot="1" x14ac:dyDescent="0.3">
      <c r="A146" s="228">
        <v>119</v>
      </c>
      <c r="B146" s="974" t="s">
        <v>509</v>
      </c>
      <c r="C146" s="975"/>
      <c r="D146" s="976"/>
      <c r="E146" s="204"/>
      <c r="F146" s="215"/>
      <c r="G146" s="216"/>
      <c r="H146" s="217"/>
      <c r="I146" s="971">
        <f t="shared" si="15"/>
        <v>0</v>
      </c>
      <c r="J146" s="972"/>
      <c r="K146" s="973"/>
      <c r="L146" s="960"/>
      <c r="M146" s="961"/>
      <c r="N146" s="962"/>
      <c r="O146" s="962"/>
      <c r="P146" s="962"/>
      <c r="Q146" s="962"/>
      <c r="R146" s="220" t="e">
        <f t="shared" si="16"/>
        <v>#DIV/0!</v>
      </c>
      <c r="S146" s="160" t="e">
        <f t="shared" si="17"/>
        <v>#DIV/0!</v>
      </c>
      <c r="T146" s="171" t="e">
        <f t="shared" si="18"/>
        <v>#DIV/0!</v>
      </c>
      <c r="U146" s="161" t="e">
        <f t="shared" si="19"/>
        <v>#DIV/0!</v>
      </c>
      <c r="V146" s="162" t="e">
        <f t="shared" si="20"/>
        <v>#DIV/0!</v>
      </c>
      <c r="W146" s="172" t="e">
        <f t="shared" si="21"/>
        <v>#DIV/0!</v>
      </c>
    </row>
    <row r="147" spans="1:23" ht="15.75" thickBot="1" x14ac:dyDescent="0.3">
      <c r="A147" s="228">
        <v>120</v>
      </c>
      <c r="B147" s="980" t="s">
        <v>510</v>
      </c>
      <c r="C147" s="981"/>
      <c r="D147" s="982"/>
      <c r="E147" s="204"/>
      <c r="F147" s="215"/>
      <c r="G147" s="216"/>
      <c r="H147" s="217"/>
      <c r="I147" s="971">
        <f t="shared" si="15"/>
        <v>0</v>
      </c>
      <c r="J147" s="972"/>
      <c r="K147" s="973"/>
      <c r="L147" s="960"/>
      <c r="M147" s="961"/>
      <c r="N147" s="962"/>
      <c r="O147" s="962"/>
      <c r="P147" s="962"/>
      <c r="Q147" s="962"/>
      <c r="R147" s="220" t="e">
        <f t="shared" si="16"/>
        <v>#DIV/0!</v>
      </c>
      <c r="S147" s="160" t="e">
        <f t="shared" si="17"/>
        <v>#DIV/0!</v>
      </c>
      <c r="T147" s="171" t="e">
        <f t="shared" si="18"/>
        <v>#DIV/0!</v>
      </c>
      <c r="U147" s="161" t="e">
        <f t="shared" si="19"/>
        <v>#DIV/0!</v>
      </c>
      <c r="V147" s="162" t="e">
        <f t="shared" si="20"/>
        <v>#DIV/0!</v>
      </c>
      <c r="W147" s="172" t="e">
        <f t="shared" si="21"/>
        <v>#DIV/0!</v>
      </c>
    </row>
    <row r="148" spans="1:23" ht="15.75" thickBot="1" x14ac:dyDescent="0.3">
      <c r="A148" s="228">
        <v>121</v>
      </c>
      <c r="B148" s="985" t="s">
        <v>538</v>
      </c>
      <c r="C148" s="986"/>
      <c r="D148" s="987"/>
      <c r="E148" s="205"/>
      <c r="F148" s="215"/>
      <c r="G148" s="216"/>
      <c r="H148" s="217"/>
      <c r="I148" s="971">
        <f t="shared" si="15"/>
        <v>0</v>
      </c>
      <c r="J148" s="972"/>
      <c r="K148" s="973"/>
      <c r="L148" s="960"/>
      <c r="M148" s="961"/>
      <c r="N148" s="962"/>
      <c r="O148" s="962"/>
      <c r="P148" s="962"/>
      <c r="Q148" s="962"/>
      <c r="R148" s="220" t="e">
        <f t="shared" si="16"/>
        <v>#DIV/0!</v>
      </c>
      <c r="S148" s="160" t="e">
        <f t="shared" si="17"/>
        <v>#DIV/0!</v>
      </c>
      <c r="T148" s="171" t="e">
        <f t="shared" si="18"/>
        <v>#DIV/0!</v>
      </c>
      <c r="U148" s="161" t="e">
        <f t="shared" si="19"/>
        <v>#DIV/0!</v>
      </c>
      <c r="V148" s="162" t="e">
        <f t="shared" si="20"/>
        <v>#DIV/0!</v>
      </c>
      <c r="W148" s="172" t="e">
        <f t="shared" si="21"/>
        <v>#DIV/0!</v>
      </c>
    </row>
    <row r="149" spans="1:23" ht="15.75" thickBot="1" x14ac:dyDescent="0.3">
      <c r="A149" s="228">
        <v>122</v>
      </c>
      <c r="B149" s="983" t="s">
        <v>511</v>
      </c>
      <c r="C149" s="984"/>
      <c r="D149" s="988"/>
      <c r="E149" s="206"/>
      <c r="F149" s="215"/>
      <c r="G149" s="216"/>
      <c r="H149" s="217"/>
      <c r="I149" s="971">
        <f t="shared" si="15"/>
        <v>0</v>
      </c>
      <c r="J149" s="972"/>
      <c r="K149" s="973"/>
      <c r="L149" s="960"/>
      <c r="M149" s="961"/>
      <c r="N149" s="962"/>
      <c r="O149" s="962"/>
      <c r="P149" s="962"/>
      <c r="Q149" s="962"/>
      <c r="R149" s="220" t="e">
        <f t="shared" si="16"/>
        <v>#DIV/0!</v>
      </c>
      <c r="S149" s="160" t="e">
        <f t="shared" si="17"/>
        <v>#DIV/0!</v>
      </c>
      <c r="T149" s="171" t="e">
        <f t="shared" si="18"/>
        <v>#DIV/0!</v>
      </c>
      <c r="U149" s="161" t="e">
        <f t="shared" si="19"/>
        <v>#DIV/0!</v>
      </c>
      <c r="V149" s="162" t="e">
        <f t="shared" si="20"/>
        <v>#DIV/0!</v>
      </c>
      <c r="W149" s="172" t="e">
        <f t="shared" si="21"/>
        <v>#DIV/0!</v>
      </c>
    </row>
    <row r="150" spans="1:23" ht="15.75" thickBot="1" x14ac:dyDescent="0.3">
      <c r="A150" s="228">
        <v>123</v>
      </c>
      <c r="B150" s="974" t="s">
        <v>512</v>
      </c>
      <c r="C150" s="975"/>
      <c r="D150" s="975"/>
      <c r="E150" s="206"/>
      <c r="F150" s="215"/>
      <c r="G150" s="216"/>
      <c r="H150" s="217"/>
      <c r="I150" s="971">
        <f t="shared" si="15"/>
        <v>0</v>
      </c>
      <c r="J150" s="972"/>
      <c r="K150" s="973"/>
      <c r="L150" s="960"/>
      <c r="M150" s="961"/>
      <c r="N150" s="962"/>
      <c r="O150" s="962"/>
      <c r="P150" s="962"/>
      <c r="Q150" s="962"/>
      <c r="R150" s="220" t="e">
        <f t="shared" si="16"/>
        <v>#DIV/0!</v>
      </c>
      <c r="S150" s="160" t="e">
        <f t="shared" si="17"/>
        <v>#DIV/0!</v>
      </c>
      <c r="T150" s="171" t="e">
        <f t="shared" si="18"/>
        <v>#DIV/0!</v>
      </c>
      <c r="U150" s="161" t="e">
        <f t="shared" si="19"/>
        <v>#DIV/0!</v>
      </c>
      <c r="V150" s="162" t="e">
        <f t="shared" si="20"/>
        <v>#DIV/0!</v>
      </c>
      <c r="W150" s="172" t="e">
        <f t="shared" si="21"/>
        <v>#DIV/0!</v>
      </c>
    </row>
    <row r="151" spans="1:23" ht="15.75" thickBot="1" x14ac:dyDescent="0.3">
      <c r="A151" s="228">
        <v>124</v>
      </c>
      <c r="B151" s="983" t="s">
        <v>513</v>
      </c>
      <c r="C151" s="984"/>
      <c r="D151" s="984"/>
      <c r="E151" s="207"/>
      <c r="F151" s="215"/>
      <c r="G151" s="216"/>
      <c r="H151" s="217"/>
      <c r="I151" s="971">
        <f t="shared" si="15"/>
        <v>0</v>
      </c>
      <c r="J151" s="972"/>
      <c r="K151" s="973"/>
      <c r="L151" s="960"/>
      <c r="M151" s="961"/>
      <c r="N151" s="962"/>
      <c r="O151" s="962"/>
      <c r="P151" s="962"/>
      <c r="Q151" s="962"/>
      <c r="R151" s="220" t="e">
        <f t="shared" si="16"/>
        <v>#DIV/0!</v>
      </c>
      <c r="S151" s="160" t="e">
        <f t="shared" si="17"/>
        <v>#DIV/0!</v>
      </c>
      <c r="T151" s="171" t="e">
        <f t="shared" si="18"/>
        <v>#DIV/0!</v>
      </c>
      <c r="U151" s="161" t="e">
        <f t="shared" si="19"/>
        <v>#DIV/0!</v>
      </c>
      <c r="V151" s="162" t="e">
        <f t="shared" si="20"/>
        <v>#DIV/0!</v>
      </c>
      <c r="W151" s="172" t="e">
        <f t="shared" si="21"/>
        <v>#DIV/0!</v>
      </c>
    </row>
    <row r="152" spans="1:23" ht="15.75" thickBot="1" x14ac:dyDescent="0.3">
      <c r="A152" s="228">
        <v>125</v>
      </c>
      <c r="B152" s="974" t="s">
        <v>514</v>
      </c>
      <c r="C152" s="975"/>
      <c r="D152" s="975"/>
      <c r="E152" s="207"/>
      <c r="F152" s="215"/>
      <c r="G152" s="207"/>
      <c r="H152" s="217"/>
      <c r="I152" s="971">
        <f t="shared" si="15"/>
        <v>0</v>
      </c>
      <c r="J152" s="972"/>
      <c r="K152" s="973"/>
      <c r="L152" s="960"/>
      <c r="M152" s="961"/>
      <c r="N152" s="962"/>
      <c r="O152" s="962"/>
      <c r="P152" s="962"/>
      <c r="Q152" s="962"/>
      <c r="R152" s="220" t="e">
        <f t="shared" si="16"/>
        <v>#DIV/0!</v>
      </c>
      <c r="S152" s="160" t="e">
        <f t="shared" si="17"/>
        <v>#DIV/0!</v>
      </c>
      <c r="T152" s="171" t="e">
        <f t="shared" si="18"/>
        <v>#DIV/0!</v>
      </c>
      <c r="U152" s="161" t="e">
        <f t="shared" si="19"/>
        <v>#DIV/0!</v>
      </c>
      <c r="V152" s="162" t="e">
        <f t="shared" si="20"/>
        <v>#DIV/0!</v>
      </c>
      <c r="W152" s="172" t="e">
        <f t="shared" si="21"/>
        <v>#DIV/0!</v>
      </c>
    </row>
    <row r="153" spans="1:23" ht="15.75" thickBot="1" x14ac:dyDescent="0.3">
      <c r="A153" s="228">
        <v>126</v>
      </c>
      <c r="B153" s="983" t="s">
        <v>515</v>
      </c>
      <c r="C153" s="984"/>
      <c r="D153" s="984"/>
      <c r="E153" s="207"/>
      <c r="F153" s="215"/>
      <c r="G153" s="207"/>
      <c r="H153" s="217"/>
      <c r="I153" s="971">
        <f t="shared" si="15"/>
        <v>0</v>
      </c>
      <c r="J153" s="972"/>
      <c r="K153" s="973"/>
      <c r="L153" s="960"/>
      <c r="M153" s="961"/>
      <c r="N153" s="962"/>
      <c r="O153" s="962"/>
      <c r="P153" s="962"/>
      <c r="Q153" s="962"/>
      <c r="R153" s="220" t="e">
        <f t="shared" si="16"/>
        <v>#DIV/0!</v>
      </c>
      <c r="S153" s="160" t="e">
        <f t="shared" si="17"/>
        <v>#DIV/0!</v>
      </c>
      <c r="T153" s="171" t="e">
        <f t="shared" si="18"/>
        <v>#DIV/0!</v>
      </c>
      <c r="U153" s="161" t="e">
        <f t="shared" si="19"/>
        <v>#DIV/0!</v>
      </c>
      <c r="V153" s="162" t="e">
        <f t="shared" si="20"/>
        <v>#DIV/0!</v>
      </c>
      <c r="W153" s="172" t="e">
        <f t="shared" si="21"/>
        <v>#DIV/0!</v>
      </c>
    </row>
    <row r="154" spans="1:23" ht="15.75" thickBot="1" x14ac:dyDescent="0.3">
      <c r="A154" s="228">
        <v>127</v>
      </c>
      <c r="B154" s="974" t="s">
        <v>516</v>
      </c>
      <c r="C154" s="975"/>
      <c r="D154" s="975"/>
      <c r="E154" s="208"/>
      <c r="F154" s="215"/>
      <c r="G154" s="208"/>
      <c r="H154" s="217"/>
      <c r="I154" s="971">
        <f t="shared" si="15"/>
        <v>0</v>
      </c>
      <c r="J154" s="972"/>
      <c r="K154" s="973"/>
      <c r="L154" s="960"/>
      <c r="M154" s="961"/>
      <c r="N154" s="962"/>
      <c r="O154" s="962"/>
      <c r="P154" s="962"/>
      <c r="Q154" s="962"/>
      <c r="R154" s="220" t="e">
        <f t="shared" si="16"/>
        <v>#DIV/0!</v>
      </c>
      <c r="S154" s="160" t="e">
        <f t="shared" si="17"/>
        <v>#DIV/0!</v>
      </c>
      <c r="T154" s="171" t="e">
        <f t="shared" si="18"/>
        <v>#DIV/0!</v>
      </c>
      <c r="U154" s="161" t="e">
        <f t="shared" si="19"/>
        <v>#DIV/0!</v>
      </c>
      <c r="V154" s="162" t="e">
        <f t="shared" si="20"/>
        <v>#DIV/0!</v>
      </c>
      <c r="W154" s="172" t="e">
        <f t="shared" si="21"/>
        <v>#DIV/0!</v>
      </c>
    </row>
    <row r="155" spans="1:23" ht="15.75" thickBot="1" x14ac:dyDescent="0.3">
      <c r="A155" s="228">
        <v>128</v>
      </c>
      <c r="B155" s="974" t="s">
        <v>517</v>
      </c>
      <c r="C155" s="975"/>
      <c r="D155" s="975"/>
      <c r="E155" s="208"/>
      <c r="F155" s="215"/>
      <c r="G155" s="208"/>
      <c r="H155" s="217"/>
      <c r="I155" s="971">
        <f t="shared" si="15"/>
        <v>0</v>
      </c>
      <c r="J155" s="972"/>
      <c r="K155" s="973"/>
      <c r="L155" s="960"/>
      <c r="M155" s="961"/>
      <c r="N155" s="962"/>
      <c r="O155" s="962"/>
      <c r="P155" s="962"/>
      <c r="Q155" s="962"/>
      <c r="R155" s="220" t="e">
        <f t="shared" si="16"/>
        <v>#DIV/0!</v>
      </c>
      <c r="S155" s="160" t="e">
        <f t="shared" si="17"/>
        <v>#DIV/0!</v>
      </c>
      <c r="T155" s="171" t="e">
        <f t="shared" si="18"/>
        <v>#DIV/0!</v>
      </c>
      <c r="U155" s="161" t="e">
        <f t="shared" si="19"/>
        <v>#DIV/0!</v>
      </c>
      <c r="V155" s="162" t="e">
        <f t="shared" si="20"/>
        <v>#DIV/0!</v>
      </c>
      <c r="W155" s="172" t="e">
        <f t="shared" si="21"/>
        <v>#DIV/0!</v>
      </c>
    </row>
    <row r="156" spans="1:23" ht="15.75" thickBot="1" x14ac:dyDescent="0.3">
      <c r="A156" s="228">
        <v>129</v>
      </c>
      <c r="B156" s="974" t="s">
        <v>537</v>
      </c>
      <c r="C156" s="975"/>
      <c r="D156" s="975"/>
      <c r="E156" s="208"/>
      <c r="F156" s="215"/>
      <c r="G156" s="208"/>
      <c r="H156" s="217"/>
      <c r="I156" s="971">
        <f t="shared" si="15"/>
        <v>0</v>
      </c>
      <c r="J156" s="972"/>
      <c r="K156" s="973"/>
      <c r="L156" s="960"/>
      <c r="M156" s="961"/>
      <c r="N156" s="962"/>
      <c r="O156" s="962"/>
      <c r="P156" s="962"/>
      <c r="Q156" s="962"/>
      <c r="R156" s="220" t="e">
        <f t="shared" si="16"/>
        <v>#DIV/0!</v>
      </c>
      <c r="S156" s="160" t="e">
        <f t="shared" si="17"/>
        <v>#DIV/0!</v>
      </c>
      <c r="T156" s="171" t="e">
        <f t="shared" si="18"/>
        <v>#DIV/0!</v>
      </c>
      <c r="U156" s="161" t="e">
        <f t="shared" si="19"/>
        <v>#DIV/0!</v>
      </c>
      <c r="V156" s="162" t="e">
        <f t="shared" si="20"/>
        <v>#DIV/0!</v>
      </c>
      <c r="W156" s="172" t="e">
        <f t="shared" si="21"/>
        <v>#DIV/0!</v>
      </c>
    </row>
    <row r="157" spans="1:23" ht="15.75" thickBot="1" x14ac:dyDescent="0.3">
      <c r="A157" s="228">
        <v>130</v>
      </c>
      <c r="B157" s="974" t="s">
        <v>519</v>
      </c>
      <c r="C157" s="975"/>
      <c r="D157" s="975"/>
      <c r="E157" s="208"/>
      <c r="F157" s="215"/>
      <c r="G157" s="208"/>
      <c r="H157" s="217"/>
      <c r="I157" s="971">
        <f t="shared" si="15"/>
        <v>0</v>
      </c>
      <c r="J157" s="972"/>
      <c r="K157" s="973"/>
      <c r="L157" s="960"/>
      <c r="M157" s="961"/>
      <c r="N157" s="962"/>
      <c r="O157" s="962"/>
      <c r="P157" s="962"/>
      <c r="Q157" s="962"/>
      <c r="R157" s="220" t="e">
        <f t="shared" si="16"/>
        <v>#DIV/0!</v>
      </c>
      <c r="S157" s="160" t="e">
        <f t="shared" si="17"/>
        <v>#DIV/0!</v>
      </c>
      <c r="T157" s="171" t="e">
        <f t="shared" si="18"/>
        <v>#DIV/0!</v>
      </c>
      <c r="U157" s="161" t="e">
        <f t="shared" si="19"/>
        <v>#DIV/0!</v>
      </c>
      <c r="V157" s="162" t="e">
        <f t="shared" si="20"/>
        <v>#DIV/0!</v>
      </c>
      <c r="W157" s="172" t="e">
        <f t="shared" si="21"/>
        <v>#DIV/0!</v>
      </c>
    </row>
    <row r="158" spans="1:23" ht="15.75" thickBot="1" x14ac:dyDescent="0.3">
      <c r="A158" s="228">
        <v>131</v>
      </c>
      <c r="B158" s="974" t="s">
        <v>520</v>
      </c>
      <c r="C158" s="975"/>
      <c r="D158" s="975"/>
      <c r="E158" s="208"/>
      <c r="F158" s="215"/>
      <c r="G158" s="208"/>
      <c r="H158" s="217"/>
      <c r="I158" s="971">
        <f t="shared" si="15"/>
        <v>0</v>
      </c>
      <c r="J158" s="972"/>
      <c r="K158" s="973"/>
      <c r="L158" s="960"/>
      <c r="M158" s="961"/>
      <c r="N158" s="962"/>
      <c r="O158" s="962"/>
      <c r="P158" s="962"/>
      <c r="Q158" s="962"/>
      <c r="R158" s="220" t="e">
        <f t="shared" si="16"/>
        <v>#DIV/0!</v>
      </c>
      <c r="S158" s="160" t="e">
        <f t="shared" si="17"/>
        <v>#DIV/0!</v>
      </c>
      <c r="T158" s="171" t="e">
        <f t="shared" si="18"/>
        <v>#DIV/0!</v>
      </c>
      <c r="U158" s="161" t="e">
        <f t="shared" si="19"/>
        <v>#DIV/0!</v>
      </c>
      <c r="V158" s="162" t="e">
        <f t="shared" si="20"/>
        <v>#DIV/0!</v>
      </c>
      <c r="W158" s="172" t="e">
        <f t="shared" si="21"/>
        <v>#DIV/0!</v>
      </c>
    </row>
    <row r="159" spans="1:23" ht="15.75" thickBot="1" x14ac:dyDescent="0.3">
      <c r="A159" s="228">
        <v>132</v>
      </c>
      <c r="B159" s="974" t="s">
        <v>521</v>
      </c>
      <c r="C159" s="975"/>
      <c r="D159" s="975"/>
      <c r="E159" s="208"/>
      <c r="F159" s="215"/>
      <c r="G159" s="208"/>
      <c r="H159" s="217"/>
      <c r="I159" s="971">
        <f t="shared" si="15"/>
        <v>0</v>
      </c>
      <c r="J159" s="972"/>
      <c r="K159" s="973"/>
      <c r="L159" s="960"/>
      <c r="M159" s="961"/>
      <c r="N159" s="962"/>
      <c r="O159" s="962"/>
      <c r="P159" s="962"/>
      <c r="Q159" s="962"/>
      <c r="R159" s="220" t="e">
        <f t="shared" si="16"/>
        <v>#DIV/0!</v>
      </c>
      <c r="S159" s="160" t="e">
        <f t="shared" si="17"/>
        <v>#DIV/0!</v>
      </c>
      <c r="T159" s="171" t="e">
        <f t="shared" si="18"/>
        <v>#DIV/0!</v>
      </c>
      <c r="U159" s="161" t="e">
        <f t="shared" si="19"/>
        <v>#DIV/0!</v>
      </c>
      <c r="V159" s="162" t="e">
        <f t="shared" si="20"/>
        <v>#DIV/0!</v>
      </c>
      <c r="W159" s="172" t="e">
        <f t="shared" si="21"/>
        <v>#DIV/0!</v>
      </c>
    </row>
    <row r="160" spans="1:23" ht="15.75" thickBot="1" x14ac:dyDescent="0.3">
      <c r="A160" s="228">
        <v>133</v>
      </c>
      <c r="B160" s="974" t="s">
        <v>539</v>
      </c>
      <c r="C160" s="975"/>
      <c r="D160" s="975"/>
      <c r="E160" s="208"/>
      <c r="F160" s="215"/>
      <c r="G160" s="208"/>
      <c r="H160" s="217"/>
      <c r="I160" s="971">
        <f t="shared" si="15"/>
        <v>0</v>
      </c>
      <c r="J160" s="972"/>
      <c r="K160" s="973"/>
      <c r="L160" s="960"/>
      <c r="M160" s="961"/>
      <c r="N160" s="962"/>
      <c r="O160" s="962"/>
      <c r="P160" s="962"/>
      <c r="Q160" s="962"/>
      <c r="R160" s="220" t="e">
        <f t="shared" si="16"/>
        <v>#DIV/0!</v>
      </c>
      <c r="S160" s="160" t="e">
        <f t="shared" si="17"/>
        <v>#DIV/0!</v>
      </c>
      <c r="T160" s="171" t="e">
        <f t="shared" si="18"/>
        <v>#DIV/0!</v>
      </c>
      <c r="U160" s="161" t="e">
        <f t="shared" si="19"/>
        <v>#DIV/0!</v>
      </c>
      <c r="V160" s="162" t="e">
        <f t="shared" si="20"/>
        <v>#DIV/0!</v>
      </c>
      <c r="W160" s="172" t="e">
        <f t="shared" si="21"/>
        <v>#DIV/0!</v>
      </c>
    </row>
    <row r="161" spans="1:23" ht="15.75" thickBot="1" x14ac:dyDescent="0.3">
      <c r="A161" s="228">
        <v>134</v>
      </c>
      <c r="B161" s="983" t="s">
        <v>522</v>
      </c>
      <c r="C161" s="984"/>
      <c r="D161" s="984"/>
      <c r="E161" s="208"/>
      <c r="F161" s="215"/>
      <c r="G161" s="208"/>
      <c r="H161" s="217"/>
      <c r="I161" s="971">
        <f t="shared" si="15"/>
        <v>0</v>
      </c>
      <c r="J161" s="972"/>
      <c r="K161" s="973"/>
      <c r="L161" s="960"/>
      <c r="M161" s="961"/>
      <c r="N161" s="962"/>
      <c r="O161" s="962"/>
      <c r="P161" s="962"/>
      <c r="Q161" s="962"/>
      <c r="R161" s="220" t="e">
        <f t="shared" ref="R161:R185" si="22">$W$8/$F$280*F161*N161</f>
        <v>#DIV/0!</v>
      </c>
      <c r="S161" s="160" t="e">
        <f t="shared" si="17"/>
        <v>#DIV/0!</v>
      </c>
      <c r="T161" s="171" t="e">
        <f t="shared" si="18"/>
        <v>#DIV/0!</v>
      </c>
      <c r="U161" s="161" t="e">
        <f t="shared" si="19"/>
        <v>#DIV/0!</v>
      </c>
      <c r="V161" s="162" t="e">
        <f t="shared" si="20"/>
        <v>#DIV/0!</v>
      </c>
      <c r="W161" s="172" t="e">
        <f t="shared" si="21"/>
        <v>#DIV/0!</v>
      </c>
    </row>
    <row r="162" spans="1:23" ht="15.75" thickBot="1" x14ac:dyDescent="0.3">
      <c r="A162" s="228">
        <v>135</v>
      </c>
      <c r="B162" s="983" t="s">
        <v>523</v>
      </c>
      <c r="C162" s="984"/>
      <c r="D162" s="984"/>
      <c r="E162" s="208"/>
      <c r="F162" s="215"/>
      <c r="G162" s="208"/>
      <c r="H162" s="217"/>
      <c r="I162" s="971">
        <f t="shared" si="15"/>
        <v>0</v>
      </c>
      <c r="J162" s="972"/>
      <c r="K162" s="973"/>
      <c r="L162" s="960"/>
      <c r="M162" s="961"/>
      <c r="N162" s="962"/>
      <c r="O162" s="962"/>
      <c r="P162" s="962"/>
      <c r="Q162" s="962"/>
      <c r="R162" s="220" t="e">
        <f t="shared" si="22"/>
        <v>#DIV/0!</v>
      </c>
      <c r="S162" s="160" t="e">
        <f t="shared" si="17"/>
        <v>#DIV/0!</v>
      </c>
      <c r="T162" s="171" t="e">
        <f t="shared" si="18"/>
        <v>#DIV/0!</v>
      </c>
      <c r="U162" s="161" t="e">
        <f t="shared" si="19"/>
        <v>#DIV/0!</v>
      </c>
      <c r="V162" s="162" t="e">
        <f t="shared" si="20"/>
        <v>#DIV/0!</v>
      </c>
      <c r="W162" s="172" t="e">
        <f t="shared" si="21"/>
        <v>#DIV/0!</v>
      </c>
    </row>
    <row r="163" spans="1:23" ht="15.75" thickBot="1" x14ac:dyDescent="0.3">
      <c r="A163" s="228">
        <v>136</v>
      </c>
      <c r="B163" s="974" t="s">
        <v>524</v>
      </c>
      <c r="C163" s="975"/>
      <c r="D163" s="975"/>
      <c r="E163" s="208"/>
      <c r="F163" s="215"/>
      <c r="G163" s="208"/>
      <c r="H163" s="217"/>
      <c r="I163" s="971">
        <f t="shared" si="15"/>
        <v>0</v>
      </c>
      <c r="J163" s="972"/>
      <c r="K163" s="973"/>
      <c r="L163" s="960"/>
      <c r="M163" s="961"/>
      <c r="N163" s="962"/>
      <c r="O163" s="962"/>
      <c r="P163" s="962"/>
      <c r="Q163" s="962"/>
      <c r="R163" s="220" t="e">
        <f t="shared" si="22"/>
        <v>#DIV/0!</v>
      </c>
      <c r="S163" s="160" t="e">
        <f t="shared" si="17"/>
        <v>#DIV/0!</v>
      </c>
      <c r="T163" s="171" t="e">
        <f t="shared" si="18"/>
        <v>#DIV/0!</v>
      </c>
      <c r="U163" s="161" t="e">
        <f t="shared" si="19"/>
        <v>#DIV/0!</v>
      </c>
      <c r="V163" s="162" t="e">
        <f t="shared" si="20"/>
        <v>#DIV/0!</v>
      </c>
      <c r="W163" s="172" t="e">
        <f t="shared" si="21"/>
        <v>#DIV/0!</v>
      </c>
    </row>
    <row r="164" spans="1:23" ht="15.75" thickBot="1" x14ac:dyDescent="0.3">
      <c r="A164" s="228">
        <v>137</v>
      </c>
      <c r="B164" s="974" t="s">
        <v>518</v>
      </c>
      <c r="C164" s="975"/>
      <c r="D164" s="975"/>
      <c r="E164" s="208"/>
      <c r="F164" s="215"/>
      <c r="G164" s="208"/>
      <c r="H164" s="217"/>
      <c r="I164" s="971">
        <f t="shared" si="15"/>
        <v>0</v>
      </c>
      <c r="J164" s="972"/>
      <c r="K164" s="973"/>
      <c r="L164" s="960"/>
      <c r="M164" s="961"/>
      <c r="N164" s="962"/>
      <c r="O164" s="962"/>
      <c r="P164" s="962"/>
      <c r="Q164" s="962"/>
      <c r="R164" s="220" t="e">
        <f t="shared" si="22"/>
        <v>#DIV/0!</v>
      </c>
      <c r="S164" s="160" t="e">
        <f t="shared" si="17"/>
        <v>#DIV/0!</v>
      </c>
      <c r="T164" s="171" t="e">
        <f t="shared" si="18"/>
        <v>#DIV/0!</v>
      </c>
      <c r="U164" s="161" t="e">
        <f t="shared" si="19"/>
        <v>#DIV/0!</v>
      </c>
      <c r="V164" s="162" t="e">
        <f t="shared" si="20"/>
        <v>#DIV/0!</v>
      </c>
      <c r="W164" s="172" t="e">
        <f t="shared" si="21"/>
        <v>#DIV/0!</v>
      </c>
    </row>
    <row r="165" spans="1:23" ht="15.75" thickBot="1" x14ac:dyDescent="0.3">
      <c r="A165" s="228">
        <v>138</v>
      </c>
      <c r="B165" s="974" t="s">
        <v>525</v>
      </c>
      <c r="C165" s="975"/>
      <c r="D165" s="975"/>
      <c r="E165" s="208"/>
      <c r="F165" s="215"/>
      <c r="G165" s="208"/>
      <c r="H165" s="217"/>
      <c r="I165" s="971">
        <f t="shared" si="15"/>
        <v>0</v>
      </c>
      <c r="J165" s="972"/>
      <c r="K165" s="973"/>
      <c r="L165" s="960"/>
      <c r="M165" s="961"/>
      <c r="N165" s="962"/>
      <c r="O165" s="962"/>
      <c r="P165" s="962"/>
      <c r="Q165" s="962"/>
      <c r="R165" s="220" t="e">
        <f t="shared" si="22"/>
        <v>#DIV/0!</v>
      </c>
      <c r="S165" s="160" t="e">
        <f t="shared" si="17"/>
        <v>#DIV/0!</v>
      </c>
      <c r="T165" s="171" t="e">
        <f t="shared" si="18"/>
        <v>#DIV/0!</v>
      </c>
      <c r="U165" s="161" t="e">
        <f t="shared" si="19"/>
        <v>#DIV/0!</v>
      </c>
      <c r="V165" s="162" t="e">
        <f t="shared" si="20"/>
        <v>#DIV/0!</v>
      </c>
      <c r="W165" s="172" t="e">
        <f t="shared" si="21"/>
        <v>#DIV/0!</v>
      </c>
    </row>
    <row r="166" spans="1:23" ht="15.75" thickBot="1" x14ac:dyDescent="0.3">
      <c r="A166" s="228">
        <v>139</v>
      </c>
      <c r="B166" s="983" t="s">
        <v>526</v>
      </c>
      <c r="C166" s="984"/>
      <c r="D166" s="984"/>
      <c r="E166" s="208"/>
      <c r="F166" s="215"/>
      <c r="G166" s="208"/>
      <c r="H166" s="217"/>
      <c r="I166" s="971">
        <f t="shared" si="15"/>
        <v>0</v>
      </c>
      <c r="J166" s="972"/>
      <c r="K166" s="973"/>
      <c r="L166" s="960"/>
      <c r="M166" s="961"/>
      <c r="N166" s="962"/>
      <c r="O166" s="962"/>
      <c r="P166" s="962"/>
      <c r="Q166" s="962"/>
      <c r="R166" s="220" t="e">
        <f t="shared" si="22"/>
        <v>#DIV/0!</v>
      </c>
      <c r="S166" s="160" t="e">
        <f t="shared" si="17"/>
        <v>#DIV/0!</v>
      </c>
      <c r="T166" s="171" t="e">
        <f t="shared" si="18"/>
        <v>#DIV/0!</v>
      </c>
      <c r="U166" s="161" t="e">
        <f t="shared" si="19"/>
        <v>#DIV/0!</v>
      </c>
      <c r="V166" s="162" t="e">
        <f t="shared" si="20"/>
        <v>#DIV/0!</v>
      </c>
      <c r="W166" s="172" t="e">
        <f t="shared" si="21"/>
        <v>#DIV/0!</v>
      </c>
    </row>
    <row r="167" spans="1:23" ht="15.75" thickBot="1" x14ac:dyDescent="0.3">
      <c r="A167" s="228">
        <v>140</v>
      </c>
      <c r="B167" s="974" t="s">
        <v>527</v>
      </c>
      <c r="C167" s="975"/>
      <c r="D167" s="975"/>
      <c r="E167" s="208"/>
      <c r="F167" s="215"/>
      <c r="G167" s="208"/>
      <c r="H167" s="217"/>
      <c r="I167" s="971">
        <f t="shared" si="15"/>
        <v>0</v>
      </c>
      <c r="J167" s="972"/>
      <c r="K167" s="973"/>
      <c r="L167" s="960"/>
      <c r="M167" s="961"/>
      <c r="N167" s="962"/>
      <c r="O167" s="962"/>
      <c r="P167" s="962"/>
      <c r="Q167" s="962"/>
      <c r="R167" s="220" t="e">
        <f t="shared" si="22"/>
        <v>#DIV/0!</v>
      </c>
      <c r="S167" s="160" t="e">
        <f t="shared" si="17"/>
        <v>#DIV/0!</v>
      </c>
      <c r="T167" s="171" t="e">
        <f t="shared" si="18"/>
        <v>#DIV/0!</v>
      </c>
      <c r="U167" s="161" t="e">
        <f t="shared" si="19"/>
        <v>#DIV/0!</v>
      </c>
      <c r="V167" s="162" t="e">
        <f t="shared" si="20"/>
        <v>#DIV/0!</v>
      </c>
      <c r="W167" s="172" t="e">
        <f t="shared" si="21"/>
        <v>#DIV/0!</v>
      </c>
    </row>
    <row r="168" spans="1:23" ht="15.75" thickBot="1" x14ac:dyDescent="0.3">
      <c r="A168" s="228">
        <v>141</v>
      </c>
      <c r="B168" s="974" t="s">
        <v>528</v>
      </c>
      <c r="C168" s="975"/>
      <c r="D168" s="975"/>
      <c r="E168" s="209"/>
      <c r="F168" s="215"/>
      <c r="G168" s="208"/>
      <c r="H168" s="217"/>
      <c r="I168" s="971">
        <f t="shared" si="15"/>
        <v>0</v>
      </c>
      <c r="J168" s="972"/>
      <c r="K168" s="973"/>
      <c r="L168" s="960"/>
      <c r="M168" s="961"/>
      <c r="N168" s="962"/>
      <c r="O168" s="962"/>
      <c r="P168" s="962"/>
      <c r="Q168" s="962"/>
      <c r="R168" s="220" t="e">
        <f t="shared" si="22"/>
        <v>#DIV/0!</v>
      </c>
      <c r="S168" s="160" t="e">
        <f t="shared" si="17"/>
        <v>#DIV/0!</v>
      </c>
      <c r="T168" s="171" t="e">
        <f t="shared" si="18"/>
        <v>#DIV/0!</v>
      </c>
      <c r="U168" s="161" t="e">
        <f t="shared" si="19"/>
        <v>#DIV/0!</v>
      </c>
      <c r="V168" s="162" t="e">
        <f t="shared" si="20"/>
        <v>#DIV/0!</v>
      </c>
      <c r="W168" s="172" t="e">
        <f t="shared" si="21"/>
        <v>#DIV/0!</v>
      </c>
    </row>
    <row r="169" spans="1:23" ht="15.75" thickBot="1" x14ac:dyDescent="0.3">
      <c r="A169" s="228">
        <v>142</v>
      </c>
      <c r="B169" s="974" t="s">
        <v>529</v>
      </c>
      <c r="C169" s="975"/>
      <c r="D169" s="975"/>
      <c r="E169" s="209"/>
      <c r="F169" s="215"/>
      <c r="G169" s="208"/>
      <c r="H169" s="217"/>
      <c r="I169" s="971">
        <f t="shared" si="15"/>
        <v>0</v>
      </c>
      <c r="J169" s="972"/>
      <c r="K169" s="973"/>
      <c r="L169" s="960"/>
      <c r="M169" s="961"/>
      <c r="N169" s="962"/>
      <c r="O169" s="962"/>
      <c r="P169" s="962"/>
      <c r="Q169" s="962"/>
      <c r="R169" s="220" t="e">
        <f t="shared" si="22"/>
        <v>#DIV/0!</v>
      </c>
      <c r="S169" s="160" t="e">
        <f t="shared" si="17"/>
        <v>#DIV/0!</v>
      </c>
      <c r="T169" s="171" t="e">
        <f t="shared" si="18"/>
        <v>#DIV/0!</v>
      </c>
      <c r="U169" s="161" t="e">
        <f t="shared" si="19"/>
        <v>#DIV/0!</v>
      </c>
      <c r="V169" s="162" t="e">
        <f t="shared" si="20"/>
        <v>#DIV/0!</v>
      </c>
      <c r="W169" s="172" t="e">
        <f t="shared" si="21"/>
        <v>#DIV/0!</v>
      </c>
    </row>
    <row r="170" spans="1:23" ht="15.75" thickBot="1" x14ac:dyDescent="0.3">
      <c r="A170" s="228">
        <v>143</v>
      </c>
      <c r="B170" s="983" t="s">
        <v>530</v>
      </c>
      <c r="C170" s="984"/>
      <c r="D170" s="984"/>
      <c r="E170" s="209"/>
      <c r="F170" s="215"/>
      <c r="G170" s="208"/>
      <c r="H170" s="217"/>
      <c r="I170" s="971">
        <f t="shared" si="15"/>
        <v>0</v>
      </c>
      <c r="J170" s="972"/>
      <c r="K170" s="973"/>
      <c r="L170" s="960"/>
      <c r="M170" s="961"/>
      <c r="N170" s="962"/>
      <c r="O170" s="962"/>
      <c r="P170" s="962"/>
      <c r="Q170" s="962"/>
      <c r="R170" s="220" t="e">
        <f t="shared" si="22"/>
        <v>#DIV/0!</v>
      </c>
      <c r="S170" s="160" t="e">
        <f t="shared" si="17"/>
        <v>#DIV/0!</v>
      </c>
      <c r="T170" s="171" t="e">
        <f t="shared" si="18"/>
        <v>#DIV/0!</v>
      </c>
      <c r="U170" s="161" t="e">
        <f t="shared" si="19"/>
        <v>#DIV/0!</v>
      </c>
      <c r="V170" s="162" t="e">
        <f t="shared" si="20"/>
        <v>#DIV/0!</v>
      </c>
      <c r="W170" s="172" t="e">
        <f t="shared" si="21"/>
        <v>#DIV/0!</v>
      </c>
    </row>
    <row r="171" spans="1:23" ht="15.75" thickBot="1" x14ac:dyDescent="0.3">
      <c r="A171" s="228">
        <v>144</v>
      </c>
      <c r="B171" s="983" t="s">
        <v>531</v>
      </c>
      <c r="C171" s="984"/>
      <c r="D171" s="984"/>
      <c r="E171" s="209"/>
      <c r="F171" s="215"/>
      <c r="G171" s="208"/>
      <c r="H171" s="217"/>
      <c r="I171" s="971">
        <f t="shared" si="15"/>
        <v>0</v>
      </c>
      <c r="J171" s="972"/>
      <c r="K171" s="973"/>
      <c r="L171" s="960"/>
      <c r="M171" s="961"/>
      <c r="N171" s="962"/>
      <c r="O171" s="962"/>
      <c r="P171" s="962"/>
      <c r="Q171" s="962"/>
      <c r="R171" s="220" t="e">
        <f t="shared" si="22"/>
        <v>#DIV/0!</v>
      </c>
      <c r="S171" s="160" t="e">
        <f t="shared" si="17"/>
        <v>#DIV/0!</v>
      </c>
      <c r="T171" s="171" t="e">
        <f t="shared" si="18"/>
        <v>#DIV/0!</v>
      </c>
      <c r="U171" s="161" t="e">
        <f t="shared" si="19"/>
        <v>#DIV/0!</v>
      </c>
      <c r="V171" s="162" t="e">
        <f t="shared" si="20"/>
        <v>#DIV/0!</v>
      </c>
      <c r="W171" s="172" t="e">
        <f t="shared" si="21"/>
        <v>#DIV/0!</v>
      </c>
    </row>
    <row r="172" spans="1:23" ht="15.75" thickBot="1" x14ac:dyDescent="0.3">
      <c r="A172" s="228">
        <v>145</v>
      </c>
      <c r="B172" s="983" t="s">
        <v>532</v>
      </c>
      <c r="C172" s="984"/>
      <c r="D172" s="984"/>
      <c r="E172" s="209"/>
      <c r="F172" s="215"/>
      <c r="G172" s="208"/>
      <c r="H172" s="217"/>
      <c r="I172" s="971">
        <f t="shared" si="15"/>
        <v>0</v>
      </c>
      <c r="J172" s="972"/>
      <c r="K172" s="973"/>
      <c r="L172" s="960"/>
      <c r="M172" s="961"/>
      <c r="N172" s="962"/>
      <c r="O172" s="962"/>
      <c r="P172" s="962"/>
      <c r="Q172" s="962"/>
      <c r="R172" s="220" t="e">
        <f t="shared" si="22"/>
        <v>#DIV/0!</v>
      </c>
      <c r="S172" s="160" t="e">
        <f t="shared" si="17"/>
        <v>#DIV/0!</v>
      </c>
      <c r="T172" s="171" t="e">
        <f t="shared" si="18"/>
        <v>#DIV/0!</v>
      </c>
      <c r="U172" s="161" t="e">
        <f t="shared" si="19"/>
        <v>#DIV/0!</v>
      </c>
      <c r="V172" s="162" t="e">
        <f t="shared" si="20"/>
        <v>#DIV/0!</v>
      </c>
      <c r="W172" s="172" t="e">
        <f t="shared" si="21"/>
        <v>#DIV/0!</v>
      </c>
    </row>
    <row r="173" spans="1:23" ht="15.75" thickBot="1" x14ac:dyDescent="0.3">
      <c r="A173" s="228">
        <v>146</v>
      </c>
      <c r="B173" s="974" t="s">
        <v>533</v>
      </c>
      <c r="C173" s="975"/>
      <c r="D173" s="975"/>
      <c r="E173" s="209"/>
      <c r="F173" s="215"/>
      <c r="G173" s="208"/>
      <c r="H173" s="217"/>
      <c r="I173" s="971">
        <f t="shared" si="15"/>
        <v>0</v>
      </c>
      <c r="J173" s="972"/>
      <c r="K173" s="973"/>
      <c r="L173" s="960"/>
      <c r="M173" s="961"/>
      <c r="N173" s="962"/>
      <c r="O173" s="962"/>
      <c r="P173" s="962"/>
      <c r="Q173" s="962"/>
      <c r="R173" s="220" t="e">
        <f t="shared" si="22"/>
        <v>#DIV/0!</v>
      </c>
      <c r="S173" s="160" t="e">
        <f t="shared" si="17"/>
        <v>#DIV/0!</v>
      </c>
      <c r="T173" s="171" t="e">
        <f t="shared" si="18"/>
        <v>#DIV/0!</v>
      </c>
      <c r="U173" s="161" t="e">
        <f t="shared" si="19"/>
        <v>#DIV/0!</v>
      </c>
      <c r="V173" s="162" t="e">
        <f t="shared" si="20"/>
        <v>#DIV/0!</v>
      </c>
      <c r="W173" s="172" t="e">
        <f t="shared" si="21"/>
        <v>#DIV/0!</v>
      </c>
    </row>
    <row r="174" spans="1:23" ht="15.75" thickBot="1" x14ac:dyDescent="0.3">
      <c r="A174" s="228">
        <v>147</v>
      </c>
      <c r="B174" s="980" t="s">
        <v>534</v>
      </c>
      <c r="C174" s="981"/>
      <c r="D174" s="982"/>
      <c r="E174" s="209"/>
      <c r="F174" s="215"/>
      <c r="G174" s="208"/>
      <c r="H174" s="217"/>
      <c r="I174" s="971">
        <f t="shared" si="15"/>
        <v>0</v>
      </c>
      <c r="J174" s="972"/>
      <c r="K174" s="973"/>
      <c r="L174" s="960"/>
      <c r="M174" s="961"/>
      <c r="N174" s="962"/>
      <c r="O174" s="962"/>
      <c r="P174" s="962"/>
      <c r="Q174" s="962"/>
      <c r="R174" s="220" t="e">
        <f t="shared" si="22"/>
        <v>#DIV/0!</v>
      </c>
      <c r="S174" s="160" t="e">
        <f t="shared" si="17"/>
        <v>#DIV/0!</v>
      </c>
      <c r="T174" s="171" t="e">
        <f t="shared" si="18"/>
        <v>#DIV/0!</v>
      </c>
      <c r="U174" s="161" t="e">
        <f t="shared" si="19"/>
        <v>#DIV/0!</v>
      </c>
      <c r="V174" s="162" t="e">
        <f t="shared" si="20"/>
        <v>#DIV/0!</v>
      </c>
      <c r="W174" s="172" t="e">
        <f t="shared" si="21"/>
        <v>#DIV/0!</v>
      </c>
    </row>
    <row r="175" spans="1:23" ht="15.75" thickBot="1" x14ac:dyDescent="0.3">
      <c r="A175" s="228">
        <v>148</v>
      </c>
      <c r="B175" s="974" t="s">
        <v>535</v>
      </c>
      <c r="C175" s="975"/>
      <c r="D175" s="975"/>
      <c r="E175" s="209"/>
      <c r="F175" s="215"/>
      <c r="G175" s="208"/>
      <c r="H175" s="217"/>
      <c r="I175" s="971">
        <f t="shared" si="15"/>
        <v>0</v>
      </c>
      <c r="J175" s="972"/>
      <c r="K175" s="973"/>
      <c r="L175" s="960"/>
      <c r="M175" s="961"/>
      <c r="N175" s="962"/>
      <c r="O175" s="962"/>
      <c r="P175" s="962"/>
      <c r="Q175" s="962"/>
      <c r="R175" s="220" t="e">
        <f t="shared" si="22"/>
        <v>#DIV/0!</v>
      </c>
      <c r="S175" s="160" t="e">
        <f t="shared" si="17"/>
        <v>#DIV/0!</v>
      </c>
      <c r="T175" s="171" t="e">
        <f t="shared" si="18"/>
        <v>#DIV/0!</v>
      </c>
      <c r="U175" s="161" t="e">
        <f t="shared" si="19"/>
        <v>#DIV/0!</v>
      </c>
      <c r="V175" s="162" t="e">
        <f t="shared" si="20"/>
        <v>#DIV/0!</v>
      </c>
      <c r="W175" s="172" t="e">
        <f t="shared" si="21"/>
        <v>#DIV/0!</v>
      </c>
    </row>
    <row r="176" spans="1:23" ht="15.75" thickBot="1" x14ac:dyDescent="0.3">
      <c r="A176" s="228">
        <v>149</v>
      </c>
      <c r="B176" s="974" t="s">
        <v>536</v>
      </c>
      <c r="C176" s="975"/>
      <c r="D176" s="976"/>
      <c r="E176" s="209"/>
      <c r="F176" s="215"/>
      <c r="G176" s="208"/>
      <c r="H176" s="217"/>
      <c r="I176" s="971">
        <f t="shared" si="15"/>
        <v>0</v>
      </c>
      <c r="J176" s="972"/>
      <c r="K176" s="973"/>
      <c r="L176" s="960"/>
      <c r="M176" s="961"/>
      <c r="N176" s="962"/>
      <c r="O176" s="962"/>
      <c r="P176" s="962"/>
      <c r="Q176" s="962"/>
      <c r="R176" s="220" t="e">
        <f t="shared" si="22"/>
        <v>#DIV/0!</v>
      </c>
      <c r="S176" s="160" t="e">
        <f t="shared" si="17"/>
        <v>#DIV/0!</v>
      </c>
      <c r="T176" s="171" t="e">
        <f t="shared" si="18"/>
        <v>#DIV/0!</v>
      </c>
      <c r="U176" s="161" t="e">
        <f t="shared" si="19"/>
        <v>#DIV/0!</v>
      </c>
      <c r="V176" s="162" t="e">
        <f t="shared" si="20"/>
        <v>#DIV/0!</v>
      </c>
      <c r="W176" s="172" t="e">
        <f t="shared" si="21"/>
        <v>#DIV/0!</v>
      </c>
    </row>
    <row r="177" spans="1:23" ht="15.75" thickBot="1" x14ac:dyDescent="0.3">
      <c r="A177" s="228">
        <v>150</v>
      </c>
      <c r="B177" s="974" t="s">
        <v>546</v>
      </c>
      <c r="C177" s="975"/>
      <c r="D177" s="976"/>
      <c r="E177" s="209"/>
      <c r="F177" s="215"/>
      <c r="G177" s="208"/>
      <c r="H177" s="217"/>
      <c r="I177" s="971">
        <f t="shared" si="15"/>
        <v>0</v>
      </c>
      <c r="J177" s="972"/>
      <c r="K177" s="973"/>
      <c r="L177" s="960"/>
      <c r="M177" s="961"/>
      <c r="N177" s="962"/>
      <c r="O177" s="962"/>
      <c r="P177" s="962"/>
      <c r="Q177" s="962"/>
      <c r="R177" s="220" t="e">
        <f t="shared" si="22"/>
        <v>#DIV/0!</v>
      </c>
      <c r="S177" s="160" t="e">
        <f t="shared" si="17"/>
        <v>#DIV/0!</v>
      </c>
      <c r="T177" s="171" t="e">
        <f t="shared" si="18"/>
        <v>#DIV/0!</v>
      </c>
      <c r="U177" s="161" t="e">
        <f t="shared" si="19"/>
        <v>#DIV/0!</v>
      </c>
      <c r="V177" s="162" t="e">
        <f t="shared" si="20"/>
        <v>#DIV/0!</v>
      </c>
      <c r="W177" s="172" t="e">
        <f t="shared" si="21"/>
        <v>#DIV/0!</v>
      </c>
    </row>
    <row r="178" spans="1:23" ht="15.75" thickBot="1" x14ac:dyDescent="0.3">
      <c r="A178" s="228">
        <v>151</v>
      </c>
      <c r="B178" s="977" t="s">
        <v>547</v>
      </c>
      <c r="C178" s="978"/>
      <c r="D178" s="979"/>
      <c r="E178" s="209"/>
      <c r="F178" s="215"/>
      <c r="G178" s="208"/>
      <c r="H178" s="217"/>
      <c r="I178" s="971">
        <f t="shared" si="15"/>
        <v>0</v>
      </c>
      <c r="J178" s="972"/>
      <c r="K178" s="973"/>
      <c r="L178" s="960"/>
      <c r="M178" s="961"/>
      <c r="N178" s="962"/>
      <c r="O178" s="962"/>
      <c r="P178" s="962"/>
      <c r="Q178" s="962"/>
      <c r="R178" s="220" t="e">
        <f t="shared" si="22"/>
        <v>#DIV/0!</v>
      </c>
      <c r="S178" s="160" t="e">
        <f t="shared" si="17"/>
        <v>#DIV/0!</v>
      </c>
      <c r="T178" s="171" t="e">
        <f t="shared" si="18"/>
        <v>#DIV/0!</v>
      </c>
      <c r="U178" s="161" t="e">
        <f t="shared" si="19"/>
        <v>#DIV/0!</v>
      </c>
      <c r="V178" s="162" t="e">
        <f t="shared" si="20"/>
        <v>#DIV/0!</v>
      </c>
      <c r="W178" s="172" t="e">
        <f t="shared" si="21"/>
        <v>#DIV/0!</v>
      </c>
    </row>
    <row r="179" spans="1:23" ht="15.75" thickBot="1" x14ac:dyDescent="0.3">
      <c r="A179" s="228">
        <v>152</v>
      </c>
      <c r="B179" s="977" t="s">
        <v>550</v>
      </c>
      <c r="C179" s="978"/>
      <c r="D179" s="979"/>
      <c r="E179" s="209"/>
      <c r="F179" s="215"/>
      <c r="G179" s="208"/>
      <c r="H179" s="217"/>
      <c r="I179" s="971">
        <f t="shared" si="15"/>
        <v>0</v>
      </c>
      <c r="J179" s="972"/>
      <c r="K179" s="973"/>
      <c r="L179" s="960"/>
      <c r="M179" s="961"/>
      <c r="N179" s="962"/>
      <c r="O179" s="962"/>
      <c r="P179" s="962"/>
      <c r="Q179" s="962"/>
      <c r="R179" s="220" t="e">
        <f t="shared" si="22"/>
        <v>#DIV/0!</v>
      </c>
      <c r="S179" s="160" t="e">
        <f t="shared" si="17"/>
        <v>#DIV/0!</v>
      </c>
      <c r="T179" s="171" t="e">
        <f t="shared" si="18"/>
        <v>#DIV/0!</v>
      </c>
      <c r="U179" s="161" t="e">
        <f t="shared" si="19"/>
        <v>#DIV/0!</v>
      </c>
      <c r="V179" s="162" t="e">
        <f t="shared" si="20"/>
        <v>#DIV/0!</v>
      </c>
      <c r="W179" s="172" t="e">
        <f t="shared" si="21"/>
        <v>#DIV/0!</v>
      </c>
    </row>
    <row r="180" spans="1:23" ht="15.75" thickBot="1" x14ac:dyDescent="0.3">
      <c r="A180" s="228">
        <v>153</v>
      </c>
      <c r="B180" s="974" t="s">
        <v>552</v>
      </c>
      <c r="C180" s="975"/>
      <c r="D180" s="976"/>
      <c r="E180" s="209"/>
      <c r="F180" s="215"/>
      <c r="G180" s="208"/>
      <c r="H180" s="217"/>
      <c r="I180" s="971">
        <f>SUM(F180:H180)</f>
        <v>0</v>
      </c>
      <c r="J180" s="972"/>
      <c r="K180" s="973"/>
      <c r="L180" s="960"/>
      <c r="M180" s="961"/>
      <c r="N180" s="962"/>
      <c r="O180" s="962"/>
      <c r="P180" s="962"/>
      <c r="Q180" s="962"/>
      <c r="R180" s="220" t="e">
        <f t="shared" si="22"/>
        <v>#DIV/0!</v>
      </c>
      <c r="S180" s="160" t="e">
        <f>R180*0.125</f>
        <v>#DIV/0!</v>
      </c>
      <c r="T180" s="171" t="e">
        <f>R180*0.05</f>
        <v>#DIV/0!</v>
      </c>
      <c r="U180" s="161" t="e">
        <f>R180*0.125</f>
        <v>#DIV/0!</v>
      </c>
      <c r="V180" s="162" t="e">
        <f>S180+T180+U180</f>
        <v>#DIV/0!</v>
      </c>
      <c r="W180" s="172" t="e">
        <f>R180+V180</f>
        <v>#DIV/0!</v>
      </c>
    </row>
    <row r="181" spans="1:23" ht="15.75" thickBot="1" x14ac:dyDescent="0.3">
      <c r="A181" s="228">
        <v>154</v>
      </c>
      <c r="B181" s="974" t="s">
        <v>553</v>
      </c>
      <c r="C181" s="975"/>
      <c r="D181" s="976"/>
      <c r="E181" s="209"/>
      <c r="F181" s="215"/>
      <c r="G181" s="208"/>
      <c r="H181" s="217"/>
      <c r="I181" s="971">
        <f>SUM(F181:H181)</f>
        <v>0</v>
      </c>
      <c r="J181" s="972"/>
      <c r="K181" s="973"/>
      <c r="L181" s="960"/>
      <c r="M181" s="961"/>
      <c r="N181" s="962"/>
      <c r="O181" s="962"/>
      <c r="P181" s="962"/>
      <c r="Q181" s="962"/>
      <c r="R181" s="220" t="e">
        <f t="shared" si="22"/>
        <v>#DIV/0!</v>
      </c>
      <c r="S181" s="160" t="e">
        <f>R181*0.125</f>
        <v>#DIV/0!</v>
      </c>
      <c r="T181" s="171" t="e">
        <f>R181*0.05</f>
        <v>#DIV/0!</v>
      </c>
      <c r="U181" s="161" t="e">
        <f>R181*0.125</f>
        <v>#DIV/0!</v>
      </c>
      <c r="V181" s="162" t="e">
        <f>S181+T181+U181</f>
        <v>#DIV/0!</v>
      </c>
      <c r="W181" s="172" t="e">
        <f>R181+V181</f>
        <v>#DIV/0!</v>
      </c>
    </row>
    <row r="182" spans="1:23" ht="15.75" thickBot="1" x14ac:dyDescent="0.3">
      <c r="A182" s="228">
        <v>155</v>
      </c>
      <c r="B182" s="955"/>
      <c r="C182" s="956"/>
      <c r="D182" s="956"/>
      <c r="E182" s="209"/>
      <c r="F182" s="215"/>
      <c r="G182" s="208"/>
      <c r="H182" s="217"/>
      <c r="I182" s="971">
        <f>SUM(F182:H182)</f>
        <v>0</v>
      </c>
      <c r="J182" s="972"/>
      <c r="K182" s="973"/>
      <c r="L182" s="960"/>
      <c r="M182" s="961"/>
      <c r="N182" s="962"/>
      <c r="O182" s="962"/>
      <c r="P182" s="962"/>
      <c r="Q182" s="962"/>
      <c r="R182" s="220" t="e">
        <f t="shared" si="22"/>
        <v>#DIV/0!</v>
      </c>
      <c r="S182" s="160" t="e">
        <f>R182*0.125</f>
        <v>#DIV/0!</v>
      </c>
      <c r="T182" s="171" t="e">
        <f>R182*0.05</f>
        <v>#DIV/0!</v>
      </c>
      <c r="U182" s="161" t="e">
        <f>R182*0.125</f>
        <v>#DIV/0!</v>
      </c>
      <c r="V182" s="162" t="e">
        <f>S182+T182+U182</f>
        <v>#DIV/0!</v>
      </c>
      <c r="W182" s="172" t="e">
        <f>R182+V182</f>
        <v>#DIV/0!</v>
      </c>
    </row>
    <row r="183" spans="1:23" ht="15.75" thickBot="1" x14ac:dyDescent="0.3">
      <c r="A183" s="228">
        <v>156</v>
      </c>
      <c r="B183" s="955"/>
      <c r="C183" s="956"/>
      <c r="D183" s="956"/>
      <c r="E183" s="209"/>
      <c r="F183" s="215"/>
      <c r="G183" s="208"/>
      <c r="H183" s="217"/>
      <c r="I183" s="971">
        <f>SUM(F183:H183)</f>
        <v>0</v>
      </c>
      <c r="J183" s="972"/>
      <c r="K183" s="973"/>
      <c r="L183" s="960"/>
      <c r="M183" s="961"/>
      <c r="N183" s="962"/>
      <c r="O183" s="962"/>
      <c r="P183" s="962"/>
      <c r="Q183" s="962"/>
      <c r="R183" s="220" t="e">
        <f t="shared" si="22"/>
        <v>#DIV/0!</v>
      </c>
      <c r="S183" s="160" t="e">
        <f>R183*0.125</f>
        <v>#DIV/0!</v>
      </c>
      <c r="T183" s="171" t="e">
        <f>R183*0.05</f>
        <v>#DIV/0!</v>
      </c>
      <c r="U183" s="161" t="e">
        <f>R183*0.125</f>
        <v>#DIV/0!</v>
      </c>
      <c r="V183" s="162" t="e">
        <f>S183+T183+U183</f>
        <v>#DIV/0!</v>
      </c>
      <c r="W183" s="172" t="e">
        <f>R183+V183</f>
        <v>#DIV/0!</v>
      </c>
    </row>
    <row r="184" spans="1:23" ht="15.75" thickBot="1" x14ac:dyDescent="0.3">
      <c r="A184" s="228">
        <v>157</v>
      </c>
      <c r="B184" s="955"/>
      <c r="C184" s="956"/>
      <c r="D184" s="956"/>
      <c r="E184" s="209"/>
      <c r="F184" s="215"/>
      <c r="G184" s="208"/>
      <c r="H184" s="217"/>
      <c r="I184" s="971">
        <f>SUM(F184:H184)</f>
        <v>0</v>
      </c>
      <c r="J184" s="972"/>
      <c r="K184" s="973"/>
      <c r="L184" s="960"/>
      <c r="M184" s="961"/>
      <c r="N184" s="962"/>
      <c r="O184" s="962"/>
      <c r="P184" s="962"/>
      <c r="Q184" s="962"/>
      <c r="R184" s="220" t="e">
        <f t="shared" si="22"/>
        <v>#DIV/0!</v>
      </c>
      <c r="S184" s="160" t="e">
        <f>R184*0.125</f>
        <v>#DIV/0!</v>
      </c>
      <c r="T184" s="171" t="e">
        <f>R184*0.05</f>
        <v>#DIV/0!</v>
      </c>
      <c r="U184" s="161" t="e">
        <f>R184*0.125</f>
        <v>#DIV/0!</v>
      </c>
      <c r="V184" s="162" t="e">
        <f>S184+T184+U184</f>
        <v>#DIV/0!</v>
      </c>
      <c r="W184" s="172" t="e">
        <f>R184+V184</f>
        <v>#DIV/0!</v>
      </c>
    </row>
    <row r="185" spans="1:23" ht="15.75" thickBot="1" x14ac:dyDescent="0.3">
      <c r="A185" s="228">
        <v>158</v>
      </c>
      <c r="B185" s="955"/>
      <c r="C185" s="956"/>
      <c r="D185" s="956"/>
      <c r="E185" s="210"/>
      <c r="F185" s="215"/>
      <c r="G185" s="218"/>
      <c r="H185" s="217"/>
      <c r="I185" s="957">
        <f t="shared" si="15"/>
        <v>0</v>
      </c>
      <c r="J185" s="958"/>
      <c r="K185" s="959"/>
      <c r="L185" s="960"/>
      <c r="M185" s="961"/>
      <c r="N185" s="962"/>
      <c r="O185" s="962"/>
      <c r="P185" s="962"/>
      <c r="Q185" s="962"/>
      <c r="R185" s="220" t="e">
        <f t="shared" si="22"/>
        <v>#DIV/0!</v>
      </c>
      <c r="S185" s="160" t="e">
        <f t="shared" si="17"/>
        <v>#DIV/0!</v>
      </c>
      <c r="T185" s="171" t="e">
        <f t="shared" si="18"/>
        <v>#DIV/0!</v>
      </c>
      <c r="U185" s="161" t="e">
        <f t="shared" si="19"/>
        <v>#DIV/0!</v>
      </c>
      <c r="V185" s="162" t="e">
        <f t="shared" si="20"/>
        <v>#DIV/0!</v>
      </c>
      <c r="W185" s="172" t="e">
        <f t="shared" si="21"/>
        <v>#DIV/0!</v>
      </c>
    </row>
    <row r="186" spans="1:23" ht="15.75" thickBot="1" x14ac:dyDescent="0.3">
      <c r="A186" s="125"/>
      <c r="B186" s="125"/>
      <c r="C186" s="125"/>
      <c r="D186" s="125"/>
      <c r="E186" s="125"/>
      <c r="F186" s="211">
        <f>SUM(F28:F185)</f>
        <v>0</v>
      </c>
      <c r="G186" s="211">
        <f>SUM(G28:G185)</f>
        <v>0</v>
      </c>
      <c r="H186" s="212">
        <f>SUM(H28:H185)</f>
        <v>0</v>
      </c>
      <c r="I186" s="963">
        <f>SUM(I28:K185)</f>
        <v>0</v>
      </c>
      <c r="J186" s="964"/>
      <c r="K186" s="965"/>
      <c r="L186" s="966">
        <f>SUM(L28:M185)</f>
        <v>0</v>
      </c>
      <c r="M186" s="967"/>
      <c r="N186" s="968">
        <f>SUM(N28:N185)</f>
        <v>0</v>
      </c>
      <c r="O186" s="969"/>
      <c r="P186" s="969"/>
      <c r="Q186" s="970"/>
      <c r="R186" s="221" t="e">
        <f>SUM(R28:R185)</f>
        <v>#DIV/0!</v>
      </c>
      <c r="S186" s="164"/>
      <c r="T186" s="165"/>
      <c r="U186" s="166"/>
      <c r="V186" s="222" t="e">
        <f>SUM(V28:V185)</f>
        <v>#DIV/0!</v>
      </c>
      <c r="W186" s="222" t="e">
        <f>SUM(W28:W185)</f>
        <v>#DIV/0!</v>
      </c>
    </row>
    <row r="187" spans="1:23" ht="15.75" thickBot="1" x14ac:dyDescent="0.3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70"/>
      <c r="L187" s="170"/>
      <c r="M187" s="170"/>
      <c r="N187" s="170"/>
      <c r="O187" s="170"/>
      <c r="P187" s="170"/>
      <c r="Q187" s="173"/>
      <c r="R187" s="163" t="e">
        <f>#REF!-R186</f>
        <v>#REF!</v>
      </c>
      <c r="S187" s="173"/>
      <c r="T187" s="170"/>
      <c r="U187" s="170"/>
      <c r="V187" s="170"/>
      <c r="W187" s="173"/>
    </row>
    <row r="188" spans="1:23" x14ac:dyDescent="0.2">
      <c r="A188" s="954" t="s">
        <v>276</v>
      </c>
      <c r="B188" s="954"/>
      <c r="C188" s="954"/>
      <c r="D188" s="954"/>
      <c r="E188" s="125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8"/>
      <c r="R188" s="8"/>
      <c r="S188" s="8"/>
      <c r="T188" s="8"/>
      <c r="U188" s="8"/>
      <c r="V188" s="8"/>
      <c r="W188" s="8"/>
    </row>
    <row r="189" spans="1:23" x14ac:dyDescent="0.2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x14ac:dyDescent="0.2">
      <c r="A190" s="954" t="s">
        <v>277</v>
      </c>
      <c r="B190" s="954"/>
      <c r="C190" s="954"/>
      <c r="D190" s="95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</sheetData>
  <autoFilter ref="A7:W24">
    <filterColumn colId="1" showButton="0"/>
    <filterColumn colId="2" showButton="0"/>
    <filterColumn colId="3" showButton="0"/>
  </autoFilter>
  <mergeCells count="678">
    <mergeCell ref="X6:X7"/>
    <mergeCell ref="W8:W22"/>
    <mergeCell ref="A5:W5"/>
    <mergeCell ref="A6:A7"/>
    <mergeCell ref="B6:E7"/>
    <mergeCell ref="F6:H6"/>
    <mergeCell ref="I6:M6"/>
    <mergeCell ref="N6:P6"/>
    <mergeCell ref="Q6:S6"/>
    <mergeCell ref="T6:T7"/>
    <mergeCell ref="B8:E8"/>
    <mergeCell ref="B9:E9"/>
    <mergeCell ref="B10:E10"/>
    <mergeCell ref="B11:E11"/>
    <mergeCell ref="B12:E12"/>
    <mergeCell ref="W6:W7"/>
    <mergeCell ref="U6:U7"/>
    <mergeCell ref="V6:V7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A26:A27"/>
    <mergeCell ref="B26:D27"/>
    <mergeCell ref="E26:E27"/>
    <mergeCell ref="F26:K26"/>
    <mergeCell ref="L26:Q26"/>
    <mergeCell ref="R26:R27"/>
    <mergeCell ref="S26:U26"/>
    <mergeCell ref="V26:V27"/>
    <mergeCell ref="W26:W27"/>
    <mergeCell ref="I27:K27"/>
    <mergeCell ref="L27:M27"/>
    <mergeCell ref="N27:Q27"/>
    <mergeCell ref="B28:D28"/>
    <mergeCell ref="I28:K28"/>
    <mergeCell ref="L28:M28"/>
    <mergeCell ref="N28:Q28"/>
    <mergeCell ref="B29:D29"/>
    <mergeCell ref="I29:K29"/>
    <mergeCell ref="L29:M29"/>
    <mergeCell ref="N29:Q29"/>
    <mergeCell ref="B30:D30"/>
    <mergeCell ref="I30:K30"/>
    <mergeCell ref="L30:M30"/>
    <mergeCell ref="N30:Q30"/>
    <mergeCell ref="B31:D31"/>
    <mergeCell ref="I31:K31"/>
    <mergeCell ref="L31:M31"/>
    <mergeCell ref="N31:Q31"/>
    <mergeCell ref="B32:D32"/>
    <mergeCell ref="I32:K32"/>
    <mergeCell ref="L32:M32"/>
    <mergeCell ref="N32:Q32"/>
    <mergeCell ref="B33:D33"/>
    <mergeCell ref="I33:K33"/>
    <mergeCell ref="L33:M33"/>
    <mergeCell ref="N33:Q33"/>
    <mergeCell ref="B34:D34"/>
    <mergeCell ref="I34:K34"/>
    <mergeCell ref="L34:M34"/>
    <mergeCell ref="N34:Q34"/>
    <mergeCell ref="B35:D35"/>
    <mergeCell ref="I35:K35"/>
    <mergeCell ref="L35:M35"/>
    <mergeCell ref="N35:Q35"/>
    <mergeCell ref="B36:D36"/>
    <mergeCell ref="I36:K36"/>
    <mergeCell ref="L36:M36"/>
    <mergeCell ref="N36:Q36"/>
    <mergeCell ref="B37:D37"/>
    <mergeCell ref="I37:K37"/>
    <mergeCell ref="L37:M37"/>
    <mergeCell ref="N37:Q37"/>
    <mergeCell ref="B38:D38"/>
    <mergeCell ref="I38:K38"/>
    <mergeCell ref="L38:M38"/>
    <mergeCell ref="N38:Q38"/>
    <mergeCell ref="B39:D39"/>
    <mergeCell ref="I39:K39"/>
    <mergeCell ref="L39:M39"/>
    <mergeCell ref="N39:Q39"/>
    <mergeCell ref="B40:D40"/>
    <mergeCell ref="I40:K40"/>
    <mergeCell ref="L40:M40"/>
    <mergeCell ref="N40:Q40"/>
    <mergeCell ref="B41:D41"/>
    <mergeCell ref="I41:K41"/>
    <mergeCell ref="L41:M41"/>
    <mergeCell ref="N41:Q41"/>
    <mergeCell ref="B42:D42"/>
    <mergeCell ref="I42:K42"/>
    <mergeCell ref="L42:M42"/>
    <mergeCell ref="N42:Q42"/>
    <mergeCell ref="B43:D43"/>
    <mergeCell ref="I43:K43"/>
    <mergeCell ref="L43:M43"/>
    <mergeCell ref="N43:Q43"/>
    <mergeCell ref="B44:D44"/>
    <mergeCell ref="I44:K44"/>
    <mergeCell ref="L44:M44"/>
    <mergeCell ref="N44:Q44"/>
    <mergeCell ref="B45:D45"/>
    <mergeCell ref="I45:K45"/>
    <mergeCell ref="L45:M45"/>
    <mergeCell ref="N45:Q45"/>
    <mergeCell ref="B46:D46"/>
    <mergeCell ref="I46:K46"/>
    <mergeCell ref="L46:M46"/>
    <mergeCell ref="N46:Q46"/>
    <mergeCell ref="B47:D47"/>
    <mergeCell ref="I47:K47"/>
    <mergeCell ref="L47:M47"/>
    <mergeCell ref="N47:Q47"/>
    <mergeCell ref="B48:D48"/>
    <mergeCell ref="I48:K48"/>
    <mergeCell ref="L48:M48"/>
    <mergeCell ref="N48:Q48"/>
    <mergeCell ref="B49:D49"/>
    <mergeCell ref="I49:K49"/>
    <mergeCell ref="L49:M49"/>
    <mergeCell ref="N49:Q49"/>
    <mergeCell ref="B50:D50"/>
    <mergeCell ref="I50:K50"/>
    <mergeCell ref="L50:M50"/>
    <mergeCell ref="N50:Q50"/>
    <mergeCell ref="B51:D51"/>
    <mergeCell ref="I51:K51"/>
    <mergeCell ref="L51:M51"/>
    <mergeCell ref="N51:Q51"/>
    <mergeCell ref="B52:D52"/>
    <mergeCell ref="I52:K52"/>
    <mergeCell ref="L52:M52"/>
    <mergeCell ref="N52:Q52"/>
    <mergeCell ref="B53:D53"/>
    <mergeCell ref="I53:K53"/>
    <mergeCell ref="L53:M53"/>
    <mergeCell ref="N53:Q53"/>
    <mergeCell ref="B54:D54"/>
    <mergeCell ref="I54:K54"/>
    <mergeCell ref="L54:M54"/>
    <mergeCell ref="N54:Q54"/>
    <mergeCell ref="B55:D55"/>
    <mergeCell ref="I55:K55"/>
    <mergeCell ref="L55:M55"/>
    <mergeCell ref="N55:Q55"/>
    <mergeCell ref="B56:D56"/>
    <mergeCell ref="I56:K56"/>
    <mergeCell ref="L56:M56"/>
    <mergeCell ref="N56:Q56"/>
    <mergeCell ref="B57:D57"/>
    <mergeCell ref="I57:K57"/>
    <mergeCell ref="L57:M57"/>
    <mergeCell ref="N57:Q57"/>
    <mergeCell ref="B58:D58"/>
    <mergeCell ref="I58:K58"/>
    <mergeCell ref="L58:M58"/>
    <mergeCell ref="N58:Q58"/>
    <mergeCell ref="B59:D59"/>
    <mergeCell ref="I59:K59"/>
    <mergeCell ref="L59:M59"/>
    <mergeCell ref="N59:Q59"/>
    <mergeCell ref="B60:D60"/>
    <mergeCell ref="I60:K60"/>
    <mergeCell ref="L60:M60"/>
    <mergeCell ref="N60:Q60"/>
    <mergeCell ref="B61:D61"/>
    <mergeCell ref="I61:K61"/>
    <mergeCell ref="L61:M61"/>
    <mergeCell ref="N61:Q61"/>
    <mergeCell ref="B62:D62"/>
    <mergeCell ref="I62:K62"/>
    <mergeCell ref="L62:M62"/>
    <mergeCell ref="N62:Q62"/>
    <mergeCell ref="B63:D63"/>
    <mergeCell ref="I63:K63"/>
    <mergeCell ref="L63:M63"/>
    <mergeCell ref="N63:Q63"/>
    <mergeCell ref="B64:D64"/>
    <mergeCell ref="I64:K64"/>
    <mergeCell ref="L64:M64"/>
    <mergeCell ref="N64:Q64"/>
    <mergeCell ref="B65:D65"/>
    <mergeCell ref="I65:K65"/>
    <mergeCell ref="L65:M65"/>
    <mergeCell ref="N65:Q65"/>
    <mergeCell ref="B66:D66"/>
    <mergeCell ref="I66:K66"/>
    <mergeCell ref="L66:M66"/>
    <mergeCell ref="N66:Q66"/>
    <mergeCell ref="B67:D67"/>
    <mergeCell ref="I67:K67"/>
    <mergeCell ref="L67:M67"/>
    <mergeCell ref="N67:Q67"/>
    <mergeCell ref="B68:D68"/>
    <mergeCell ref="I68:K68"/>
    <mergeCell ref="L68:M68"/>
    <mergeCell ref="N68:Q68"/>
    <mergeCell ref="B69:D69"/>
    <mergeCell ref="I69:K69"/>
    <mergeCell ref="L69:M69"/>
    <mergeCell ref="N69:Q69"/>
    <mergeCell ref="B70:D70"/>
    <mergeCell ref="I70:K70"/>
    <mergeCell ref="L70:M70"/>
    <mergeCell ref="N70:Q70"/>
    <mergeCell ref="B71:D71"/>
    <mergeCell ref="I71:K71"/>
    <mergeCell ref="L71:M71"/>
    <mergeCell ref="N71:Q71"/>
    <mergeCell ref="B72:D72"/>
    <mergeCell ref="I72:K72"/>
    <mergeCell ref="L72:M72"/>
    <mergeCell ref="N72:Q72"/>
    <mergeCell ref="B73:D73"/>
    <mergeCell ref="I73:K73"/>
    <mergeCell ref="L73:M73"/>
    <mergeCell ref="N73:Q73"/>
    <mergeCell ref="B74:D74"/>
    <mergeCell ref="I74:K74"/>
    <mergeCell ref="L74:M74"/>
    <mergeCell ref="N74:Q74"/>
    <mergeCell ref="B75:D75"/>
    <mergeCell ref="I75:K75"/>
    <mergeCell ref="L75:M75"/>
    <mergeCell ref="N75:Q75"/>
    <mergeCell ref="B76:D76"/>
    <mergeCell ref="I76:K76"/>
    <mergeCell ref="L76:M76"/>
    <mergeCell ref="N76:Q76"/>
    <mergeCell ref="B77:D77"/>
    <mergeCell ref="I77:K77"/>
    <mergeCell ref="L77:M77"/>
    <mergeCell ref="N77:Q77"/>
    <mergeCell ref="B78:D78"/>
    <mergeCell ref="I78:K78"/>
    <mergeCell ref="L78:M78"/>
    <mergeCell ref="N78:Q78"/>
    <mergeCell ref="B79:D79"/>
    <mergeCell ref="I79:K79"/>
    <mergeCell ref="L79:M79"/>
    <mergeCell ref="N79:Q79"/>
    <mergeCell ref="B80:D80"/>
    <mergeCell ref="I80:K80"/>
    <mergeCell ref="L80:M80"/>
    <mergeCell ref="N80:Q80"/>
    <mergeCell ref="B81:D81"/>
    <mergeCell ref="I81:K81"/>
    <mergeCell ref="L81:M81"/>
    <mergeCell ref="N81:Q81"/>
    <mergeCell ref="B82:D82"/>
    <mergeCell ref="I82:K82"/>
    <mergeCell ref="L82:M82"/>
    <mergeCell ref="N82:Q82"/>
    <mergeCell ref="B83:D83"/>
    <mergeCell ref="I83:K83"/>
    <mergeCell ref="L83:M83"/>
    <mergeCell ref="N83:Q83"/>
    <mergeCell ref="B84:D84"/>
    <mergeCell ref="I84:K84"/>
    <mergeCell ref="L84:M84"/>
    <mergeCell ref="N84:Q84"/>
    <mergeCell ref="B85:D85"/>
    <mergeCell ref="I85:K85"/>
    <mergeCell ref="L85:M85"/>
    <mergeCell ref="N85:Q85"/>
    <mergeCell ref="B86:D86"/>
    <mergeCell ref="I86:K86"/>
    <mergeCell ref="L86:M86"/>
    <mergeCell ref="N86:Q86"/>
    <mergeCell ref="B87:D87"/>
    <mergeCell ref="I87:K87"/>
    <mergeCell ref="L87:M87"/>
    <mergeCell ref="N87:Q87"/>
    <mergeCell ref="B88:D88"/>
    <mergeCell ref="I88:K88"/>
    <mergeCell ref="L88:M88"/>
    <mergeCell ref="N88:Q88"/>
    <mergeCell ref="B89:D89"/>
    <mergeCell ref="I89:K89"/>
    <mergeCell ref="L89:M89"/>
    <mergeCell ref="N89:Q89"/>
    <mergeCell ref="B90:D90"/>
    <mergeCell ref="I90:K90"/>
    <mergeCell ref="L90:M90"/>
    <mergeCell ref="N90:Q90"/>
    <mergeCell ref="B91:D91"/>
    <mergeCell ref="I91:K91"/>
    <mergeCell ref="L91:M91"/>
    <mergeCell ref="N91:Q91"/>
    <mergeCell ref="B92:D92"/>
    <mergeCell ref="I92:K92"/>
    <mergeCell ref="L92:M92"/>
    <mergeCell ref="N92:Q92"/>
    <mergeCell ref="B93:D93"/>
    <mergeCell ref="I93:K93"/>
    <mergeCell ref="L93:M93"/>
    <mergeCell ref="N93:Q93"/>
    <mergeCell ref="B94:D94"/>
    <mergeCell ref="I94:K94"/>
    <mergeCell ref="L94:M94"/>
    <mergeCell ref="N94:Q94"/>
    <mergeCell ref="B95:D95"/>
    <mergeCell ref="I95:K95"/>
    <mergeCell ref="L95:M95"/>
    <mergeCell ref="N95:Q95"/>
    <mergeCell ref="B96:D96"/>
    <mergeCell ref="I96:K96"/>
    <mergeCell ref="L96:M96"/>
    <mergeCell ref="N96:Q96"/>
    <mergeCell ref="B97:D97"/>
    <mergeCell ref="I97:K97"/>
    <mergeCell ref="L97:M97"/>
    <mergeCell ref="N97:Q97"/>
    <mergeCell ref="B98:D98"/>
    <mergeCell ref="I98:K98"/>
    <mergeCell ref="L98:M98"/>
    <mergeCell ref="N98:Q98"/>
    <mergeCell ref="B99:D99"/>
    <mergeCell ref="I99:K99"/>
    <mergeCell ref="L99:M99"/>
    <mergeCell ref="N99:Q99"/>
    <mergeCell ref="B100:D100"/>
    <mergeCell ref="I100:K100"/>
    <mergeCell ref="L100:M100"/>
    <mergeCell ref="N100:Q100"/>
    <mergeCell ref="B101:D101"/>
    <mergeCell ref="I101:K101"/>
    <mergeCell ref="L101:M101"/>
    <mergeCell ref="N101:Q101"/>
    <mergeCell ref="B102:D102"/>
    <mergeCell ref="I102:K102"/>
    <mergeCell ref="L102:M102"/>
    <mergeCell ref="N102:Q102"/>
    <mergeCell ref="B103:D103"/>
    <mergeCell ref="I103:K103"/>
    <mergeCell ref="L103:M103"/>
    <mergeCell ref="N103:Q103"/>
    <mergeCell ref="B104:D104"/>
    <mergeCell ref="I104:K104"/>
    <mergeCell ref="L104:M104"/>
    <mergeCell ref="N104:Q104"/>
    <mergeCell ref="B105:D105"/>
    <mergeCell ref="I105:K105"/>
    <mergeCell ref="L105:M105"/>
    <mergeCell ref="N105:Q105"/>
    <mergeCell ref="B106:D106"/>
    <mergeCell ref="I106:K106"/>
    <mergeCell ref="L106:M106"/>
    <mergeCell ref="N106:Q106"/>
    <mergeCell ref="B107:D107"/>
    <mergeCell ref="I107:K107"/>
    <mergeCell ref="L107:M107"/>
    <mergeCell ref="N107:Q107"/>
    <mergeCell ref="B108:D108"/>
    <mergeCell ref="I108:K108"/>
    <mergeCell ref="L108:M108"/>
    <mergeCell ref="N108:Q108"/>
    <mergeCell ref="B109:D109"/>
    <mergeCell ref="I109:K109"/>
    <mergeCell ref="L109:M109"/>
    <mergeCell ref="N109:Q109"/>
    <mergeCell ref="B110:D110"/>
    <mergeCell ref="I110:K110"/>
    <mergeCell ref="L110:M110"/>
    <mergeCell ref="N110:Q110"/>
    <mergeCell ref="B111:D111"/>
    <mergeCell ref="I111:K111"/>
    <mergeCell ref="L111:M111"/>
    <mergeCell ref="N111:Q111"/>
    <mergeCell ref="B112:D112"/>
    <mergeCell ref="I112:K112"/>
    <mergeCell ref="L112:M112"/>
    <mergeCell ref="N112:Q112"/>
    <mergeCell ref="B113:D113"/>
    <mergeCell ref="I113:K113"/>
    <mergeCell ref="L113:M113"/>
    <mergeCell ref="N113:Q113"/>
    <mergeCell ref="B114:D114"/>
    <mergeCell ref="I114:K114"/>
    <mergeCell ref="L114:M114"/>
    <mergeCell ref="N114:Q114"/>
    <mergeCell ref="B115:D115"/>
    <mergeCell ref="I115:K115"/>
    <mergeCell ref="L115:M115"/>
    <mergeCell ref="N115:Q115"/>
    <mergeCell ref="B116:D116"/>
    <mergeCell ref="I116:K116"/>
    <mergeCell ref="L116:M116"/>
    <mergeCell ref="N116:Q116"/>
    <mergeCell ref="B117:D117"/>
    <mergeCell ref="I117:K117"/>
    <mergeCell ref="L117:M117"/>
    <mergeCell ref="N117:Q117"/>
    <mergeCell ref="B118:D118"/>
    <mergeCell ref="I118:K118"/>
    <mergeCell ref="L118:M118"/>
    <mergeCell ref="N118:Q118"/>
    <mergeCell ref="B119:D119"/>
    <mergeCell ref="I119:K119"/>
    <mergeCell ref="L119:M119"/>
    <mergeCell ref="N119:Q119"/>
    <mergeCell ref="B120:D120"/>
    <mergeCell ref="I120:K120"/>
    <mergeCell ref="L120:M120"/>
    <mergeCell ref="N120:Q120"/>
    <mergeCell ref="B121:D121"/>
    <mergeCell ref="I121:K121"/>
    <mergeCell ref="L121:M121"/>
    <mergeCell ref="N121:Q121"/>
    <mergeCell ref="B122:D122"/>
    <mergeCell ref="I122:K122"/>
    <mergeCell ref="L122:M122"/>
    <mergeCell ref="N122:Q122"/>
    <mergeCell ref="B123:D123"/>
    <mergeCell ref="I123:K123"/>
    <mergeCell ref="L123:M123"/>
    <mergeCell ref="N123:Q123"/>
    <mergeCell ref="B124:D124"/>
    <mergeCell ref="I124:K124"/>
    <mergeCell ref="L124:M124"/>
    <mergeCell ref="N124:Q124"/>
    <mergeCell ref="B125:D125"/>
    <mergeCell ref="I125:K125"/>
    <mergeCell ref="L125:M125"/>
    <mergeCell ref="N125:Q125"/>
    <mergeCell ref="B126:D126"/>
    <mergeCell ref="I126:K126"/>
    <mergeCell ref="L126:M126"/>
    <mergeCell ref="N126:Q126"/>
    <mergeCell ref="B127:D127"/>
    <mergeCell ref="I127:K127"/>
    <mergeCell ref="L127:M127"/>
    <mergeCell ref="N127:Q127"/>
    <mergeCell ref="B128:D128"/>
    <mergeCell ref="I128:K128"/>
    <mergeCell ref="L128:M128"/>
    <mergeCell ref="N128:Q128"/>
    <mergeCell ref="B129:D129"/>
    <mergeCell ref="I129:K129"/>
    <mergeCell ref="L129:M129"/>
    <mergeCell ref="N129:Q129"/>
    <mergeCell ref="B130:D130"/>
    <mergeCell ref="I130:K130"/>
    <mergeCell ref="L130:M130"/>
    <mergeCell ref="N130:Q130"/>
    <mergeCell ref="B131:D131"/>
    <mergeCell ref="I131:K131"/>
    <mergeCell ref="L131:M131"/>
    <mergeCell ref="N131:Q131"/>
    <mergeCell ref="B132:D132"/>
    <mergeCell ref="I132:K132"/>
    <mergeCell ref="L132:M132"/>
    <mergeCell ref="N132:Q132"/>
    <mergeCell ref="B133:D133"/>
    <mergeCell ref="I133:K133"/>
    <mergeCell ref="L133:M133"/>
    <mergeCell ref="N133:Q133"/>
    <mergeCell ref="B134:D134"/>
    <mergeCell ref="I134:K134"/>
    <mergeCell ref="L134:M134"/>
    <mergeCell ref="N134:Q134"/>
    <mergeCell ref="B135:D135"/>
    <mergeCell ref="I135:K135"/>
    <mergeCell ref="L135:M135"/>
    <mergeCell ref="N135:Q135"/>
    <mergeCell ref="B136:D136"/>
    <mergeCell ref="I136:K136"/>
    <mergeCell ref="L136:M136"/>
    <mergeCell ref="N136:Q136"/>
    <mergeCell ref="B137:D137"/>
    <mergeCell ref="I137:K137"/>
    <mergeCell ref="L137:M137"/>
    <mergeCell ref="N137:Q137"/>
    <mergeCell ref="B138:D138"/>
    <mergeCell ref="I138:K138"/>
    <mergeCell ref="L138:M138"/>
    <mergeCell ref="N138:Q138"/>
    <mergeCell ref="B139:D139"/>
    <mergeCell ref="I139:K139"/>
    <mergeCell ref="L139:M139"/>
    <mergeCell ref="N139:Q139"/>
    <mergeCell ref="B140:D140"/>
    <mergeCell ref="I140:K140"/>
    <mergeCell ref="L140:M140"/>
    <mergeCell ref="N140:Q140"/>
    <mergeCell ref="B141:D141"/>
    <mergeCell ref="I141:K141"/>
    <mergeCell ref="L141:M141"/>
    <mergeCell ref="N141:Q141"/>
    <mergeCell ref="B142:D142"/>
    <mergeCell ref="I142:K142"/>
    <mergeCell ref="L142:M142"/>
    <mergeCell ref="N142:Q142"/>
    <mergeCell ref="B143:D143"/>
    <mergeCell ref="I143:K143"/>
    <mergeCell ref="L143:M143"/>
    <mergeCell ref="N143:Q143"/>
    <mergeCell ref="B144:D144"/>
    <mergeCell ref="I144:K144"/>
    <mergeCell ref="L144:M144"/>
    <mergeCell ref="N144:Q144"/>
    <mergeCell ref="B145:D145"/>
    <mergeCell ref="I145:K145"/>
    <mergeCell ref="L145:M145"/>
    <mergeCell ref="N145:Q145"/>
    <mergeCell ref="B146:D146"/>
    <mergeCell ref="I146:K146"/>
    <mergeCell ref="L146:M146"/>
    <mergeCell ref="N146:Q146"/>
    <mergeCell ref="B147:D147"/>
    <mergeCell ref="I147:K147"/>
    <mergeCell ref="L147:M147"/>
    <mergeCell ref="N147:Q147"/>
    <mergeCell ref="B148:D148"/>
    <mergeCell ref="I148:K148"/>
    <mergeCell ref="L148:M148"/>
    <mergeCell ref="N148:Q148"/>
    <mergeCell ref="B149:D149"/>
    <mergeCell ref="I149:K149"/>
    <mergeCell ref="L149:M149"/>
    <mergeCell ref="N149:Q149"/>
    <mergeCell ref="B150:D150"/>
    <mergeCell ref="I150:K150"/>
    <mergeCell ref="L150:M150"/>
    <mergeCell ref="N150:Q150"/>
    <mergeCell ref="B151:D151"/>
    <mergeCell ref="I151:K151"/>
    <mergeCell ref="L151:M151"/>
    <mergeCell ref="N151:Q151"/>
    <mergeCell ref="B152:D152"/>
    <mergeCell ref="I152:K152"/>
    <mergeCell ref="L152:M152"/>
    <mergeCell ref="N152:Q152"/>
    <mergeCell ref="B153:D153"/>
    <mergeCell ref="I153:K153"/>
    <mergeCell ref="L153:M153"/>
    <mergeCell ref="N153:Q153"/>
    <mergeCell ref="B154:D154"/>
    <mergeCell ref="I154:K154"/>
    <mergeCell ref="L154:M154"/>
    <mergeCell ref="N154:Q154"/>
    <mergeCell ref="B155:D155"/>
    <mergeCell ref="I155:K155"/>
    <mergeCell ref="L155:M155"/>
    <mergeCell ref="N155:Q155"/>
    <mergeCell ref="B156:D156"/>
    <mergeCell ref="I156:K156"/>
    <mergeCell ref="L156:M156"/>
    <mergeCell ref="N156:Q156"/>
    <mergeCell ref="B157:D157"/>
    <mergeCell ref="I157:K157"/>
    <mergeCell ref="L157:M157"/>
    <mergeCell ref="N157:Q157"/>
    <mergeCell ref="B158:D158"/>
    <mergeCell ref="I158:K158"/>
    <mergeCell ref="L158:M158"/>
    <mergeCell ref="N158:Q158"/>
    <mergeCell ref="B159:D159"/>
    <mergeCell ref="I159:K159"/>
    <mergeCell ref="L159:M159"/>
    <mergeCell ref="N159:Q159"/>
    <mergeCell ref="B160:D160"/>
    <mergeCell ref="I160:K160"/>
    <mergeCell ref="L160:M160"/>
    <mergeCell ref="N160:Q160"/>
    <mergeCell ref="B161:D161"/>
    <mergeCell ref="I161:K161"/>
    <mergeCell ref="L161:M161"/>
    <mergeCell ref="N161:Q161"/>
    <mergeCell ref="B162:D162"/>
    <mergeCell ref="I162:K162"/>
    <mergeCell ref="L162:M162"/>
    <mergeCell ref="N162:Q162"/>
    <mergeCell ref="B163:D163"/>
    <mergeCell ref="I163:K163"/>
    <mergeCell ref="L163:M163"/>
    <mergeCell ref="N163:Q163"/>
    <mergeCell ref="B164:D164"/>
    <mergeCell ref="I164:K164"/>
    <mergeCell ref="L164:M164"/>
    <mergeCell ref="N164:Q164"/>
    <mergeCell ref="B165:D165"/>
    <mergeCell ref="I165:K165"/>
    <mergeCell ref="L165:M165"/>
    <mergeCell ref="N165:Q165"/>
    <mergeCell ref="B166:D166"/>
    <mergeCell ref="I166:K166"/>
    <mergeCell ref="L166:M166"/>
    <mergeCell ref="N166:Q166"/>
    <mergeCell ref="B167:D167"/>
    <mergeCell ref="I167:K167"/>
    <mergeCell ref="L167:M167"/>
    <mergeCell ref="N167:Q167"/>
    <mergeCell ref="B168:D168"/>
    <mergeCell ref="I168:K168"/>
    <mergeCell ref="L168:M168"/>
    <mergeCell ref="N168:Q168"/>
    <mergeCell ref="B169:D169"/>
    <mergeCell ref="I169:K169"/>
    <mergeCell ref="L169:M169"/>
    <mergeCell ref="N169:Q169"/>
    <mergeCell ref="B170:D170"/>
    <mergeCell ref="I170:K170"/>
    <mergeCell ref="L170:M170"/>
    <mergeCell ref="N170:Q170"/>
    <mergeCell ref="B171:D171"/>
    <mergeCell ref="I171:K171"/>
    <mergeCell ref="L171:M171"/>
    <mergeCell ref="N171:Q171"/>
    <mergeCell ref="B172:D172"/>
    <mergeCell ref="I172:K172"/>
    <mergeCell ref="L172:M172"/>
    <mergeCell ref="N172:Q172"/>
    <mergeCell ref="B173:D173"/>
    <mergeCell ref="I173:K173"/>
    <mergeCell ref="L173:M173"/>
    <mergeCell ref="N173:Q173"/>
    <mergeCell ref="B174:D174"/>
    <mergeCell ref="I174:K174"/>
    <mergeCell ref="L174:M174"/>
    <mergeCell ref="N174:Q174"/>
    <mergeCell ref="B175:D175"/>
    <mergeCell ref="I175:K175"/>
    <mergeCell ref="L175:M175"/>
    <mergeCell ref="N175:Q175"/>
    <mergeCell ref="B176:D176"/>
    <mergeCell ref="I176:K176"/>
    <mergeCell ref="L176:M176"/>
    <mergeCell ref="N176:Q176"/>
    <mergeCell ref="B177:D177"/>
    <mergeCell ref="I177:K177"/>
    <mergeCell ref="L177:M177"/>
    <mergeCell ref="N177:Q177"/>
    <mergeCell ref="L180:M180"/>
    <mergeCell ref="N180:Q180"/>
    <mergeCell ref="B178:D178"/>
    <mergeCell ref="I178:K178"/>
    <mergeCell ref="L178:M178"/>
    <mergeCell ref="N178:Q178"/>
    <mergeCell ref="B179:D179"/>
    <mergeCell ref="I179:K179"/>
    <mergeCell ref="L179:M179"/>
    <mergeCell ref="N179:Q179"/>
    <mergeCell ref="B180:D180"/>
    <mergeCell ref="B181:D181"/>
    <mergeCell ref="I181:K181"/>
    <mergeCell ref="L181:M181"/>
    <mergeCell ref="N181:Q181"/>
    <mergeCell ref="B182:D182"/>
    <mergeCell ref="I182:K182"/>
    <mergeCell ref="L182:M182"/>
    <mergeCell ref="N182:Q182"/>
    <mergeCell ref="I180:K180"/>
    <mergeCell ref="B183:D183"/>
    <mergeCell ref="I183:K183"/>
    <mergeCell ref="L183:M183"/>
    <mergeCell ref="N183:Q183"/>
    <mergeCell ref="B184:D184"/>
    <mergeCell ref="I184:K184"/>
    <mergeCell ref="L184:M184"/>
    <mergeCell ref="N184:Q184"/>
    <mergeCell ref="A188:D188"/>
    <mergeCell ref="A190:D190"/>
    <mergeCell ref="B185:D185"/>
    <mergeCell ref="I185:K185"/>
    <mergeCell ref="L185:M185"/>
    <mergeCell ref="N185:Q185"/>
    <mergeCell ref="I186:K186"/>
    <mergeCell ref="L186:M186"/>
    <mergeCell ref="N186:Q186"/>
  </mergeCells>
  <pageMargins left="0.75" right="0.75" top="1" bottom="1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opLeftCell="A164" zoomScale="80" zoomScaleNormal="80" workbookViewId="0">
      <selection activeCell="K188" sqref="K188"/>
    </sheetView>
  </sheetViews>
  <sheetFormatPr defaultColWidth="8.85546875" defaultRowHeight="12.75" x14ac:dyDescent="0.2"/>
  <cols>
    <col min="5" max="5" width="11.42578125" customWidth="1"/>
    <col min="21" max="21" width="27.42578125" customWidth="1"/>
  </cols>
  <sheetData>
    <row r="1" spans="1:21" x14ac:dyDescent="0.2">
      <c r="A1" s="8"/>
      <c r="B1" s="121" t="s">
        <v>251</v>
      </c>
      <c r="C1" s="121"/>
      <c r="D1" s="121"/>
      <c r="E1" s="8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22" t="s">
        <v>0</v>
      </c>
    </row>
    <row r="2" spans="1:21" x14ac:dyDescent="0.2">
      <c r="A2" s="8"/>
      <c r="B2" s="123" t="s">
        <v>252</v>
      </c>
      <c r="C2" s="123"/>
      <c r="D2" s="8" t="s">
        <v>253</v>
      </c>
      <c r="E2" s="8"/>
      <c r="F2" s="8"/>
      <c r="G2" s="8"/>
      <c r="H2" s="167" t="s">
        <v>3</v>
      </c>
      <c r="I2" s="167"/>
      <c r="J2" s="8"/>
      <c r="K2" s="8"/>
      <c r="L2" s="8"/>
      <c r="M2" s="8"/>
      <c r="N2" s="8"/>
      <c r="O2" s="8"/>
      <c r="P2" s="8"/>
      <c r="Q2" s="8"/>
      <c r="R2" s="8"/>
      <c r="S2" s="8"/>
      <c r="T2" s="122" t="s">
        <v>254</v>
      </c>
    </row>
    <row r="3" spans="1:2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68" t="s">
        <v>383</v>
      </c>
    </row>
    <row r="4" spans="1:2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1" ht="15.75" thickBot="1" x14ac:dyDescent="0.3">
      <c r="A5" s="1041" t="s">
        <v>544</v>
      </c>
      <c r="B5" s="1041"/>
      <c r="C5" s="1041"/>
      <c r="D5" s="1041"/>
      <c r="E5" s="1041"/>
      <c r="F5" s="1041"/>
      <c r="G5" s="1041"/>
      <c r="H5" s="1041"/>
      <c r="I5" s="1041"/>
      <c r="J5" s="1041"/>
      <c r="K5" s="1041"/>
      <c r="L5" s="1041"/>
      <c r="M5" s="1041"/>
      <c r="N5" s="1041"/>
      <c r="O5" s="1041"/>
      <c r="P5" s="1041"/>
      <c r="Q5" s="1041"/>
      <c r="R5" s="1041"/>
      <c r="S5" s="1041"/>
      <c r="T5" s="1041"/>
    </row>
    <row r="6" spans="1:21" ht="27.75" customHeight="1" thickTop="1" thickBot="1" x14ac:dyDescent="0.25">
      <c r="A6" s="1042" t="s">
        <v>3</v>
      </c>
      <c r="B6" s="1044" t="s">
        <v>255</v>
      </c>
      <c r="C6" s="1045"/>
      <c r="D6" s="1045"/>
      <c r="E6" s="1045"/>
      <c r="F6" s="1048" t="s">
        <v>256</v>
      </c>
      <c r="G6" s="1049"/>
      <c r="H6" s="1049"/>
      <c r="I6" s="1000" t="s">
        <v>257</v>
      </c>
      <c r="J6" s="1002"/>
      <c r="K6" s="1050" t="s">
        <v>399</v>
      </c>
      <c r="L6" s="1051"/>
      <c r="M6" s="1052"/>
      <c r="N6" s="1053" t="s">
        <v>258</v>
      </c>
      <c r="O6" s="1054"/>
      <c r="P6" s="1054"/>
      <c r="Q6" s="1033" t="s">
        <v>259</v>
      </c>
      <c r="R6" s="1033" t="s">
        <v>260</v>
      </c>
      <c r="S6" s="1035" t="s">
        <v>261</v>
      </c>
      <c r="T6" s="1031" t="s">
        <v>134</v>
      </c>
      <c r="U6" s="1037" t="s">
        <v>541</v>
      </c>
    </row>
    <row r="7" spans="1:21" ht="54" customHeight="1" thickTop="1" thickBot="1" x14ac:dyDescent="0.25">
      <c r="A7" s="1043"/>
      <c r="B7" s="1046"/>
      <c r="C7" s="1047"/>
      <c r="D7" s="1047"/>
      <c r="E7" s="1047"/>
      <c r="F7" s="124" t="s">
        <v>262</v>
      </c>
      <c r="G7" s="124" t="s">
        <v>12</v>
      </c>
      <c r="H7" s="124" t="s">
        <v>13</v>
      </c>
      <c r="I7" s="1062" t="s">
        <v>542</v>
      </c>
      <c r="J7" s="1063"/>
      <c r="K7" s="200" t="s">
        <v>262</v>
      </c>
      <c r="L7" s="200" t="s">
        <v>11</v>
      </c>
      <c r="M7" s="200" t="s">
        <v>13</v>
      </c>
      <c r="N7" s="124" t="s">
        <v>262</v>
      </c>
      <c r="O7" s="124" t="s">
        <v>11</v>
      </c>
      <c r="P7" s="124" t="s">
        <v>13</v>
      </c>
      <c r="Q7" s="1034"/>
      <c r="R7" s="1034"/>
      <c r="S7" s="1036"/>
      <c r="T7" s="1032"/>
      <c r="U7" s="1038"/>
    </row>
    <row r="8" spans="1:21" ht="27.75" customHeight="1" thickTop="1" thickBot="1" x14ac:dyDescent="0.3">
      <c r="A8" s="175">
        <v>1</v>
      </c>
      <c r="B8" s="1018" t="str">
        <f>'Задание '!B37</f>
        <v>"Сокол-пай" пастила глазир. с ароматом апельсина 40гр 28шт</v>
      </c>
      <c r="C8" s="1019"/>
      <c r="D8" s="1019"/>
      <c r="E8" s="1019"/>
      <c r="F8" s="178">
        <f>'Задание '!C79</f>
        <v>0</v>
      </c>
      <c r="G8" s="179">
        <f>'Задание '!D79</f>
        <v>0</v>
      </c>
      <c r="H8" s="180">
        <f>'Задание '!E79</f>
        <v>0</v>
      </c>
      <c r="I8" s="1059">
        <f>'Задание '!V79</f>
        <v>0</v>
      </c>
      <c r="J8" s="1061"/>
      <c r="K8" s="201">
        <f t="shared" ref="K8:K22" si="0">N8-F8</f>
        <v>0</v>
      </c>
      <c r="L8" s="201">
        <f t="shared" ref="L8:L22" si="1">O8-G8</f>
        <v>0</v>
      </c>
      <c r="M8" s="201">
        <f t="shared" ref="M8:M22" si="2">P8-H8</f>
        <v>0</v>
      </c>
      <c r="N8" s="193"/>
      <c r="O8" s="194"/>
      <c r="P8" s="194"/>
      <c r="Q8" s="126" t="s">
        <v>13</v>
      </c>
      <c r="R8" s="197"/>
      <c r="S8" s="169">
        <f>R8*P8+R8*O8</f>
        <v>0</v>
      </c>
      <c r="T8" s="1064">
        <f>SUM(S8:S22)</f>
        <v>0</v>
      </c>
      <c r="U8" s="223"/>
    </row>
    <row r="9" spans="1:21" ht="27.75" customHeight="1" thickTop="1" thickBot="1" x14ac:dyDescent="0.3">
      <c r="A9" s="175">
        <v>2</v>
      </c>
      <c r="B9" s="1018" t="str">
        <f>'Задание '!B38</f>
        <v>"Сокол-пай" пастила глазир. с ароматом банана 40гр 28шт</v>
      </c>
      <c r="C9" s="1019"/>
      <c r="D9" s="1019"/>
      <c r="E9" s="1019"/>
      <c r="F9" s="178">
        <f>'Задание '!C80</f>
        <v>0</v>
      </c>
      <c r="G9" s="179">
        <f>'Задание '!D80</f>
        <v>0</v>
      </c>
      <c r="H9" s="180">
        <f>'Задание '!E80</f>
        <v>0</v>
      </c>
      <c r="I9" s="1059">
        <f>'Задание '!V80</f>
        <v>0</v>
      </c>
      <c r="J9" s="1061"/>
      <c r="K9" s="201">
        <f t="shared" si="0"/>
        <v>0</v>
      </c>
      <c r="L9" s="201">
        <f t="shared" si="1"/>
        <v>0</v>
      </c>
      <c r="M9" s="201">
        <f t="shared" si="2"/>
        <v>0</v>
      </c>
      <c r="N9" s="193"/>
      <c r="O9" s="194"/>
      <c r="P9" s="194"/>
      <c r="Q9" s="126" t="s">
        <v>13</v>
      </c>
      <c r="R9" s="197"/>
      <c r="S9" s="169">
        <f>R9*P9+R9*O9</f>
        <v>0</v>
      </c>
      <c r="T9" s="1064"/>
      <c r="U9" s="223"/>
    </row>
    <row r="10" spans="1:21" ht="30.75" customHeight="1" thickTop="1" thickBot="1" x14ac:dyDescent="0.3">
      <c r="A10" s="175">
        <v>3</v>
      </c>
      <c r="B10" s="1018" t="str">
        <f>'Задание '!B39</f>
        <v>"Сокол-пай" пастила глазир. с ароматом кокоса 40гр 28шт</v>
      </c>
      <c r="C10" s="1019"/>
      <c r="D10" s="1019"/>
      <c r="E10" s="1019"/>
      <c r="F10" s="178">
        <f>'Задание '!C81</f>
        <v>0</v>
      </c>
      <c r="G10" s="179">
        <f>'Задание '!D81</f>
        <v>0</v>
      </c>
      <c r="H10" s="180">
        <f>'Задание '!E81</f>
        <v>0</v>
      </c>
      <c r="I10" s="1059">
        <f>'Задание '!V81</f>
        <v>0</v>
      </c>
      <c r="J10" s="1061"/>
      <c r="K10" s="201">
        <f t="shared" si="0"/>
        <v>0</v>
      </c>
      <c r="L10" s="201">
        <f t="shared" si="1"/>
        <v>0</v>
      </c>
      <c r="M10" s="201">
        <f t="shared" si="2"/>
        <v>0</v>
      </c>
      <c r="N10" s="193"/>
      <c r="O10" s="194"/>
      <c r="P10" s="194"/>
      <c r="Q10" s="126" t="s">
        <v>13</v>
      </c>
      <c r="R10" s="197"/>
      <c r="S10" s="169">
        <f>R10*P10+R10*O10</f>
        <v>0</v>
      </c>
      <c r="T10" s="1064"/>
      <c r="U10" s="223"/>
    </row>
    <row r="11" spans="1:21" ht="27.75" customHeight="1" thickTop="1" thickBot="1" x14ac:dyDescent="0.3">
      <c r="A11" s="175">
        <v>4</v>
      </c>
      <c r="B11" s="1018" t="str">
        <f>'Задание '!B40</f>
        <v>Конфета со сбивным корпусом "Сокол" с арахисом с ароматом ванили 100 г</v>
      </c>
      <c r="C11" s="1019"/>
      <c r="D11" s="1019"/>
      <c r="E11" s="1019"/>
      <c r="F11" s="178">
        <f>'Задание '!C82</f>
        <v>0</v>
      </c>
      <c r="G11" s="179">
        <f>'Задание '!D82</f>
        <v>0</v>
      </c>
      <c r="H11" s="180">
        <f>'Задание '!E82</f>
        <v>0</v>
      </c>
      <c r="I11" s="1059">
        <f>'Задание '!V82</f>
        <v>0</v>
      </c>
      <c r="J11" s="1061"/>
      <c r="K11" s="201">
        <f t="shared" si="0"/>
        <v>0</v>
      </c>
      <c r="L11" s="201">
        <f t="shared" si="1"/>
        <v>0</v>
      </c>
      <c r="M11" s="201">
        <f t="shared" si="2"/>
        <v>0</v>
      </c>
      <c r="N11" s="193"/>
      <c r="O11" s="194"/>
      <c r="P11" s="194"/>
      <c r="Q11" s="126" t="s">
        <v>13</v>
      </c>
      <c r="R11" s="197"/>
      <c r="S11" s="169">
        <f>R11*P11+R11*O11</f>
        <v>0</v>
      </c>
      <c r="T11" s="1064"/>
      <c r="U11" s="223"/>
    </row>
    <row r="12" spans="1:21" ht="47.25" customHeight="1" thickTop="1" thickBot="1" x14ac:dyDescent="0.3">
      <c r="A12" s="175">
        <v>5</v>
      </c>
      <c r="B12" s="1018" t="str">
        <f>'Задание '!B41</f>
        <v>Конфета со сбивным корпусом "Сокол" в шокладной глазури  с арахисом с ароматом ванили 120 г</v>
      </c>
      <c r="C12" s="1019"/>
      <c r="D12" s="1019"/>
      <c r="E12" s="1019"/>
      <c r="F12" s="178">
        <f>'Задание '!C83</f>
        <v>0</v>
      </c>
      <c r="G12" s="179">
        <f>'Задание '!D83</f>
        <v>0</v>
      </c>
      <c r="H12" s="180">
        <f>'Задание '!E83</f>
        <v>0</v>
      </c>
      <c r="I12" s="1059">
        <f>'Задание '!V83</f>
        <v>0</v>
      </c>
      <c r="J12" s="1061"/>
      <c r="K12" s="201">
        <f t="shared" si="0"/>
        <v>0</v>
      </c>
      <c r="L12" s="201">
        <f t="shared" si="1"/>
        <v>0</v>
      </c>
      <c r="M12" s="201">
        <f t="shared" si="2"/>
        <v>0</v>
      </c>
      <c r="N12" s="193"/>
      <c r="O12" s="194"/>
      <c r="P12" s="194"/>
      <c r="Q12" s="126" t="s">
        <v>13</v>
      </c>
      <c r="R12" s="197"/>
      <c r="S12" s="169">
        <f>R12*P12+R12*O12</f>
        <v>0</v>
      </c>
      <c r="T12" s="1064"/>
      <c r="U12" s="223"/>
    </row>
    <row r="13" spans="1:21" ht="25.5" customHeight="1" thickTop="1" thickBot="1" x14ac:dyDescent="0.3">
      <c r="A13" s="175">
        <v>6</v>
      </c>
      <c r="B13" s="1018" t="str">
        <f>'Задание '!B42</f>
        <v>Пастила "Сокол" с арахисом с ароматом ванили 4,8 кг (6 шт)</v>
      </c>
      <c r="C13" s="1019"/>
      <c r="D13" s="1019"/>
      <c r="E13" s="1019"/>
      <c r="F13" s="178">
        <f>'Задание '!C84</f>
        <v>0</v>
      </c>
      <c r="G13" s="179">
        <f>'Задание '!D84</f>
        <v>0</v>
      </c>
      <c r="H13" s="180">
        <f>'Задание '!E84</f>
        <v>0</v>
      </c>
      <c r="I13" s="1059">
        <f>'Задание '!V84</f>
        <v>0</v>
      </c>
      <c r="J13" s="1061"/>
      <c r="K13" s="201">
        <f t="shared" si="0"/>
        <v>0</v>
      </c>
      <c r="L13" s="201">
        <f t="shared" si="1"/>
        <v>0</v>
      </c>
      <c r="M13" s="201">
        <f t="shared" si="2"/>
        <v>0</v>
      </c>
      <c r="N13" s="193"/>
      <c r="O13" s="194"/>
      <c r="P13" s="194"/>
      <c r="Q13" s="126" t="s">
        <v>13</v>
      </c>
      <c r="R13" s="197"/>
      <c r="S13" s="169">
        <f t="shared" ref="S13:S22" si="3">R13*P13+R13*O13</f>
        <v>0</v>
      </c>
      <c r="T13" s="1064"/>
      <c r="U13" s="223"/>
    </row>
    <row r="14" spans="1:21" ht="26.25" customHeight="1" thickTop="1" thickBot="1" x14ac:dyDescent="0.3">
      <c r="A14" s="175">
        <v>7</v>
      </c>
      <c r="B14" s="1018" t="str">
        <f>'Задание '!B43</f>
        <v>Пастила "Сокол" с ароматом апельсина 4,0 кг</v>
      </c>
      <c r="C14" s="1019"/>
      <c r="D14" s="1019"/>
      <c r="E14" s="1019"/>
      <c r="F14" s="178">
        <f>'Задание '!C85</f>
        <v>0</v>
      </c>
      <c r="G14" s="179">
        <f>'Задание '!D85</f>
        <v>0</v>
      </c>
      <c r="H14" s="180">
        <f>'Задание '!E85</f>
        <v>0</v>
      </c>
      <c r="I14" s="1059">
        <f>'Задание '!V85</f>
        <v>0</v>
      </c>
      <c r="J14" s="1061"/>
      <c r="K14" s="201">
        <f t="shared" si="0"/>
        <v>0</v>
      </c>
      <c r="L14" s="201">
        <f t="shared" si="1"/>
        <v>0</v>
      </c>
      <c r="M14" s="201">
        <f t="shared" si="2"/>
        <v>0</v>
      </c>
      <c r="N14" s="193"/>
      <c r="O14" s="194"/>
      <c r="P14" s="194"/>
      <c r="Q14" s="126" t="s">
        <v>13</v>
      </c>
      <c r="R14" s="197"/>
      <c r="S14" s="169">
        <f t="shared" si="3"/>
        <v>0</v>
      </c>
      <c r="T14" s="1064"/>
      <c r="U14" s="223"/>
    </row>
    <row r="15" spans="1:21" ht="24" customHeight="1" thickTop="1" thickBot="1" x14ac:dyDescent="0.3">
      <c r="A15" s="175">
        <v>8</v>
      </c>
      <c r="B15" s="1018" t="str">
        <f>'Задание '!B44</f>
        <v>Пастила "Сокол" с ароматом банана 4,0 кг</v>
      </c>
      <c r="C15" s="1019"/>
      <c r="D15" s="1019"/>
      <c r="E15" s="1019"/>
      <c r="F15" s="178">
        <f>'Задание '!C86</f>
        <v>0</v>
      </c>
      <c r="G15" s="179">
        <f>'Задание '!D86</f>
        <v>0</v>
      </c>
      <c r="H15" s="180">
        <f>'Задание '!E86</f>
        <v>0</v>
      </c>
      <c r="I15" s="1059">
        <f>'Задание '!V86</f>
        <v>0</v>
      </c>
      <c r="J15" s="1061"/>
      <c r="K15" s="201">
        <f t="shared" si="0"/>
        <v>0</v>
      </c>
      <c r="L15" s="201">
        <f t="shared" si="1"/>
        <v>0</v>
      </c>
      <c r="M15" s="201">
        <f t="shared" si="2"/>
        <v>0</v>
      </c>
      <c r="N15" s="193"/>
      <c r="O15" s="194"/>
      <c r="P15" s="194"/>
      <c r="Q15" s="126" t="s">
        <v>13</v>
      </c>
      <c r="R15" s="197"/>
      <c r="S15" s="169">
        <f t="shared" si="3"/>
        <v>0</v>
      </c>
      <c r="T15" s="1064"/>
      <c r="U15" s="223"/>
    </row>
    <row r="16" spans="1:21" ht="26.25" customHeight="1" thickTop="1" thickBot="1" x14ac:dyDescent="0.3">
      <c r="A16" s="175">
        <v>9</v>
      </c>
      <c r="B16" s="1018" t="str">
        <f>'Задание '!B45</f>
        <v>Пастила "Сокол" с ароматом кокоса 4,0 кг</v>
      </c>
      <c r="C16" s="1019"/>
      <c r="D16" s="1019"/>
      <c r="E16" s="1019"/>
      <c r="F16" s="178">
        <f>'Задание '!C87</f>
        <v>0</v>
      </c>
      <c r="G16" s="179">
        <f>'Задание '!D87</f>
        <v>0</v>
      </c>
      <c r="H16" s="180">
        <f>'Задание '!E87</f>
        <v>0</v>
      </c>
      <c r="I16" s="1059">
        <f>'Задание '!V87</f>
        <v>0</v>
      </c>
      <c r="J16" s="1061"/>
      <c r="K16" s="201">
        <f t="shared" si="0"/>
        <v>0</v>
      </c>
      <c r="L16" s="201">
        <f t="shared" si="1"/>
        <v>0</v>
      </c>
      <c r="M16" s="201">
        <f t="shared" si="2"/>
        <v>0</v>
      </c>
      <c r="N16" s="193"/>
      <c r="O16" s="194"/>
      <c r="P16" s="194"/>
      <c r="Q16" s="126" t="s">
        <v>13</v>
      </c>
      <c r="R16" s="197"/>
      <c r="S16" s="169">
        <f t="shared" si="3"/>
        <v>0</v>
      </c>
      <c r="T16" s="1064"/>
      <c r="U16" s="223"/>
    </row>
    <row r="17" spans="1:21" ht="24.75" customHeight="1" thickTop="1" thickBot="1" x14ac:dyDescent="0.3">
      <c r="A17" s="175">
        <v>10</v>
      </c>
      <c r="B17" s="1018" t="str">
        <f>'Задание '!B46</f>
        <v>Пастила с арахисом 5 кг</v>
      </c>
      <c r="C17" s="1019"/>
      <c r="D17" s="1019"/>
      <c r="E17" s="1019"/>
      <c r="F17" s="178">
        <f>'Задание '!C88</f>
        <v>0</v>
      </c>
      <c r="G17" s="179">
        <f>'Задание '!D88</f>
        <v>0</v>
      </c>
      <c r="H17" s="180">
        <f>'Задание '!E88</f>
        <v>0</v>
      </c>
      <c r="I17" s="1059">
        <f>'Задание '!V88</f>
        <v>0</v>
      </c>
      <c r="J17" s="1061"/>
      <c r="K17" s="201">
        <f t="shared" si="0"/>
        <v>0</v>
      </c>
      <c r="L17" s="201">
        <f t="shared" si="1"/>
        <v>0</v>
      </c>
      <c r="M17" s="201">
        <f t="shared" si="2"/>
        <v>0</v>
      </c>
      <c r="N17" s="193"/>
      <c r="O17" s="194"/>
      <c r="P17" s="194"/>
      <c r="Q17" s="126" t="s">
        <v>13</v>
      </c>
      <c r="R17" s="197"/>
      <c r="S17" s="169">
        <f t="shared" si="3"/>
        <v>0</v>
      </c>
      <c r="T17" s="1064"/>
      <c r="U17" s="223"/>
    </row>
    <row r="18" spans="1:21" ht="16.5" thickBot="1" x14ac:dyDescent="0.3">
      <c r="A18" s="175">
        <v>11</v>
      </c>
      <c r="B18" s="1018" t="s">
        <v>396</v>
      </c>
      <c r="C18" s="1019"/>
      <c r="D18" s="1019"/>
      <c r="E18" s="1020"/>
      <c r="F18" s="187"/>
      <c r="G18" s="188"/>
      <c r="H18" s="189"/>
      <c r="I18" s="1059"/>
      <c r="J18" s="1060"/>
      <c r="K18" s="201">
        <f t="shared" si="0"/>
        <v>0</v>
      </c>
      <c r="L18" s="201">
        <f t="shared" si="1"/>
        <v>0</v>
      </c>
      <c r="M18" s="201">
        <f t="shared" si="2"/>
        <v>0</v>
      </c>
      <c r="N18" s="195"/>
      <c r="O18" s="196"/>
      <c r="P18" s="196"/>
      <c r="Q18" s="126" t="s">
        <v>395</v>
      </c>
      <c r="R18" s="197"/>
      <c r="S18" s="169">
        <f t="shared" si="3"/>
        <v>0</v>
      </c>
      <c r="T18" s="1064"/>
      <c r="U18" s="223"/>
    </row>
    <row r="19" spans="1:21" ht="16.5" thickBot="1" x14ac:dyDescent="0.3">
      <c r="A19" s="175">
        <v>12</v>
      </c>
      <c r="B19" s="1018" t="s">
        <v>397</v>
      </c>
      <c r="C19" s="1019"/>
      <c r="D19" s="1019"/>
      <c r="E19" s="1020"/>
      <c r="F19" s="187"/>
      <c r="G19" s="188"/>
      <c r="H19" s="189"/>
      <c r="I19" s="1059"/>
      <c r="J19" s="1060"/>
      <c r="K19" s="201">
        <f t="shared" si="0"/>
        <v>0</v>
      </c>
      <c r="L19" s="201">
        <f t="shared" si="1"/>
        <v>0</v>
      </c>
      <c r="M19" s="201">
        <f t="shared" si="2"/>
        <v>0</v>
      </c>
      <c r="N19" s="195"/>
      <c r="O19" s="196"/>
      <c r="P19" s="196"/>
      <c r="Q19" s="126" t="s">
        <v>395</v>
      </c>
      <c r="R19" s="197"/>
      <c r="S19" s="169">
        <f t="shared" si="3"/>
        <v>0</v>
      </c>
      <c r="T19" s="1064"/>
      <c r="U19" s="223"/>
    </row>
    <row r="20" spans="1:21" ht="16.5" thickBot="1" x14ac:dyDescent="0.3">
      <c r="A20" s="175"/>
      <c r="B20" s="1018"/>
      <c r="C20" s="1019"/>
      <c r="D20" s="1019"/>
      <c r="E20" s="1020"/>
      <c r="F20" s="187"/>
      <c r="G20" s="188"/>
      <c r="H20" s="189"/>
      <c r="I20" s="1059"/>
      <c r="J20" s="1060"/>
      <c r="K20" s="201">
        <f t="shared" si="0"/>
        <v>0</v>
      </c>
      <c r="L20" s="201">
        <f t="shared" si="1"/>
        <v>0</v>
      </c>
      <c r="M20" s="201">
        <f t="shared" si="2"/>
        <v>0</v>
      </c>
      <c r="N20" s="195"/>
      <c r="O20" s="196"/>
      <c r="P20" s="196"/>
      <c r="Q20" s="126"/>
      <c r="R20" s="197"/>
      <c r="S20" s="169">
        <f t="shared" si="3"/>
        <v>0</v>
      </c>
      <c r="T20" s="1064"/>
      <c r="U20" s="223"/>
    </row>
    <row r="21" spans="1:21" ht="16.5" thickBot="1" x14ac:dyDescent="0.3">
      <c r="A21" s="175"/>
      <c r="B21" s="1018"/>
      <c r="C21" s="1019"/>
      <c r="D21" s="1019"/>
      <c r="E21" s="1020"/>
      <c r="F21" s="187"/>
      <c r="G21" s="188"/>
      <c r="H21" s="189"/>
      <c r="I21" s="1059"/>
      <c r="J21" s="1060"/>
      <c r="K21" s="201">
        <f t="shared" si="0"/>
        <v>0</v>
      </c>
      <c r="L21" s="201">
        <f t="shared" si="1"/>
        <v>0</v>
      </c>
      <c r="M21" s="201">
        <f t="shared" si="2"/>
        <v>0</v>
      </c>
      <c r="N21" s="195"/>
      <c r="O21" s="196"/>
      <c r="P21" s="196"/>
      <c r="Q21" s="126"/>
      <c r="R21" s="197"/>
      <c r="S21" s="169">
        <f t="shared" si="3"/>
        <v>0</v>
      </c>
      <c r="T21" s="1064"/>
      <c r="U21" s="223"/>
    </row>
    <row r="22" spans="1:21" ht="16.5" thickBot="1" x14ac:dyDescent="0.3">
      <c r="A22" s="175"/>
      <c r="B22" s="1018"/>
      <c r="C22" s="1019"/>
      <c r="D22" s="1019"/>
      <c r="E22" s="1020"/>
      <c r="F22" s="190"/>
      <c r="G22" s="191"/>
      <c r="H22" s="192"/>
      <c r="I22" s="1059"/>
      <c r="J22" s="1060"/>
      <c r="K22" s="201">
        <f t="shared" si="0"/>
        <v>0</v>
      </c>
      <c r="L22" s="201">
        <f t="shared" si="1"/>
        <v>0</v>
      </c>
      <c r="M22" s="201">
        <f t="shared" si="2"/>
        <v>0</v>
      </c>
      <c r="N22" s="198"/>
      <c r="O22" s="199"/>
      <c r="P22" s="199"/>
      <c r="Q22" s="126"/>
      <c r="R22" s="197"/>
      <c r="S22" s="169">
        <f t="shared" si="3"/>
        <v>0</v>
      </c>
      <c r="T22" s="1064"/>
      <c r="U22" s="223"/>
    </row>
    <row r="23" spans="1:21" ht="15" x14ac:dyDescent="0.25">
      <c r="A23" s="121"/>
      <c r="B23" s="1021" t="s">
        <v>263</v>
      </c>
      <c r="C23" s="1021"/>
      <c r="D23" s="1021"/>
      <c r="E23" s="1021"/>
      <c r="F23" s="85"/>
      <c r="G23" s="85"/>
      <c r="H23" s="85"/>
      <c r="I23" s="85"/>
      <c r="J23" s="121"/>
      <c r="K23" s="121"/>
      <c r="L23" s="121"/>
      <c r="M23" s="121"/>
      <c r="N23" s="121"/>
      <c r="O23" s="170"/>
      <c r="P23" s="170"/>
      <c r="Q23" s="170"/>
      <c r="R23" s="170"/>
      <c r="S23" s="170"/>
      <c r="T23" s="170"/>
    </row>
    <row r="24" spans="1:21" x14ac:dyDescent="0.2">
      <c r="A24" s="8"/>
      <c r="B24" s="8" t="s">
        <v>264</v>
      </c>
      <c r="C24" s="8"/>
      <c r="D24" s="8"/>
      <c r="E24" s="8"/>
      <c r="F24" s="8"/>
      <c r="G24" s="8"/>
      <c r="H24" s="8"/>
      <c r="I24" s="8"/>
      <c r="J24" s="123"/>
      <c r="K24" s="123"/>
      <c r="L24" s="123"/>
      <c r="M24" s="123"/>
      <c r="N24" s="123"/>
      <c r="O24" s="8"/>
      <c r="P24" s="8"/>
      <c r="Q24" s="8"/>
      <c r="R24" s="8"/>
      <c r="S24" s="8"/>
      <c r="T24" s="8"/>
    </row>
    <row r="25" spans="1:21" ht="13.5" thickBot="1" x14ac:dyDescent="0.25">
      <c r="A25" s="8"/>
      <c r="B25" s="8"/>
      <c r="C25" s="8"/>
      <c r="D25" s="8"/>
      <c r="E25" s="8"/>
      <c r="F25" s="8"/>
      <c r="G25" s="8"/>
      <c r="H25" s="8"/>
      <c r="I25" s="8"/>
      <c r="J25" s="123"/>
      <c r="K25" s="123"/>
      <c r="L25" s="123"/>
      <c r="M25" s="123"/>
      <c r="N25" s="123"/>
      <c r="O25" s="8"/>
      <c r="P25" s="8"/>
      <c r="Q25" s="8"/>
      <c r="R25" s="8"/>
      <c r="S25" s="8"/>
      <c r="T25" s="8"/>
    </row>
    <row r="26" spans="1:21" ht="13.5" thickBot="1" x14ac:dyDescent="0.25">
      <c r="A26" s="1022" t="s">
        <v>3</v>
      </c>
      <c r="B26" s="1023" t="s">
        <v>398</v>
      </c>
      <c r="C26" s="1024"/>
      <c r="D26" s="1025"/>
      <c r="E26" s="1029" t="s">
        <v>265</v>
      </c>
      <c r="F26" s="997" t="s">
        <v>266</v>
      </c>
      <c r="G26" s="998"/>
      <c r="H26" s="998"/>
      <c r="I26" s="999"/>
      <c r="J26" s="1058" t="s">
        <v>267</v>
      </c>
      <c r="K26" s="1058"/>
      <c r="L26" s="1058"/>
      <c r="M26" s="1058"/>
      <c r="N26" s="1058"/>
      <c r="O26" s="1003" t="s">
        <v>268</v>
      </c>
      <c r="P26" s="1004" t="s">
        <v>269</v>
      </c>
      <c r="Q26" s="1005"/>
      <c r="R26" s="1006"/>
      <c r="S26" s="1007" t="s">
        <v>134</v>
      </c>
      <c r="T26" s="1008" t="s">
        <v>270</v>
      </c>
    </row>
    <row r="27" spans="1:21" ht="60.75" thickBot="1" x14ac:dyDescent="0.25">
      <c r="A27" s="1022"/>
      <c r="B27" s="1026"/>
      <c r="C27" s="1027"/>
      <c r="D27" s="1028"/>
      <c r="E27" s="1030"/>
      <c r="F27" s="213" t="s">
        <v>271</v>
      </c>
      <c r="G27" s="214" t="s">
        <v>272</v>
      </c>
      <c r="H27" s="219" t="s">
        <v>273</v>
      </c>
      <c r="I27" s="225" t="s">
        <v>134</v>
      </c>
      <c r="J27" s="229" t="s">
        <v>274</v>
      </c>
      <c r="K27" s="1056" t="s">
        <v>275</v>
      </c>
      <c r="L27" s="1056"/>
      <c r="M27" s="1056"/>
      <c r="N27" s="1057"/>
      <c r="O27" s="1003"/>
      <c r="P27" s="127" t="s">
        <v>278</v>
      </c>
      <c r="Q27" s="127" t="s">
        <v>279</v>
      </c>
      <c r="R27" s="127" t="s">
        <v>384</v>
      </c>
      <c r="S27" s="1007"/>
      <c r="T27" s="1009"/>
    </row>
    <row r="28" spans="1:21" ht="15.75" thickBot="1" x14ac:dyDescent="0.3">
      <c r="A28" s="228">
        <v>1</v>
      </c>
      <c r="B28" s="992" t="s">
        <v>402</v>
      </c>
      <c r="C28" s="992"/>
      <c r="D28" s="993"/>
      <c r="E28" s="202"/>
      <c r="F28" s="215"/>
      <c r="G28" s="216"/>
      <c r="H28" s="224"/>
      <c r="I28" s="226">
        <f>SUM(F28:H28)</f>
        <v>0</v>
      </c>
      <c r="J28" s="226"/>
      <c r="K28" s="1055"/>
      <c r="L28" s="962"/>
      <c r="M28" s="962"/>
      <c r="N28" s="962"/>
      <c r="O28" s="159" t="e">
        <f>$T$8/$F$236*F28*K28</f>
        <v>#DIV/0!</v>
      </c>
      <c r="P28" s="160" t="e">
        <f t="shared" ref="P28:P91" si="4">O28*0.125</f>
        <v>#DIV/0!</v>
      </c>
      <c r="Q28" s="171" t="e">
        <f t="shared" ref="Q28:Q91" si="5">O28*0.05</f>
        <v>#DIV/0!</v>
      </c>
      <c r="R28" s="161" t="e">
        <f t="shared" ref="R28:R91" si="6">O28*0.125</f>
        <v>#DIV/0!</v>
      </c>
      <c r="S28" s="162" t="e">
        <f t="shared" ref="S28:S91" si="7">P28+Q28+R28</f>
        <v>#DIV/0!</v>
      </c>
      <c r="T28" s="172" t="e">
        <f t="shared" ref="T28:T91" si="8">O28+S28</f>
        <v>#DIV/0!</v>
      </c>
    </row>
    <row r="29" spans="1:21" ht="15.75" thickBot="1" x14ac:dyDescent="0.3">
      <c r="A29" s="228">
        <v>2</v>
      </c>
      <c r="B29" s="992" t="s">
        <v>403</v>
      </c>
      <c r="C29" s="992"/>
      <c r="D29" s="993"/>
      <c r="E29" s="202"/>
      <c r="F29" s="215"/>
      <c r="G29" s="216"/>
      <c r="H29" s="224"/>
      <c r="I29" s="226">
        <f t="shared" ref="I29:I92" si="9">SUM(F29:H29)</f>
        <v>0</v>
      </c>
      <c r="J29" s="226"/>
      <c r="K29" s="1055"/>
      <c r="L29" s="962"/>
      <c r="M29" s="962"/>
      <c r="N29" s="962"/>
      <c r="O29" s="159" t="e">
        <f t="shared" ref="O29:O92" si="10">$T$8/$F$236*F29*K29</f>
        <v>#DIV/0!</v>
      </c>
      <c r="P29" s="160" t="e">
        <f t="shared" si="4"/>
        <v>#DIV/0!</v>
      </c>
      <c r="Q29" s="171" t="e">
        <f t="shared" si="5"/>
        <v>#DIV/0!</v>
      </c>
      <c r="R29" s="161" t="e">
        <f t="shared" si="6"/>
        <v>#DIV/0!</v>
      </c>
      <c r="S29" s="162" t="e">
        <f t="shared" si="7"/>
        <v>#DIV/0!</v>
      </c>
      <c r="T29" s="172" t="e">
        <f t="shared" si="8"/>
        <v>#DIV/0!</v>
      </c>
    </row>
    <row r="30" spans="1:21" ht="15.75" thickBot="1" x14ac:dyDescent="0.3">
      <c r="A30" s="228">
        <v>3</v>
      </c>
      <c r="B30" s="992" t="s">
        <v>404</v>
      </c>
      <c r="C30" s="992"/>
      <c r="D30" s="993"/>
      <c r="E30" s="202"/>
      <c r="F30" s="215"/>
      <c r="G30" s="216"/>
      <c r="H30" s="224"/>
      <c r="I30" s="226">
        <f t="shared" si="9"/>
        <v>0</v>
      </c>
      <c r="J30" s="226"/>
      <c r="K30" s="1055"/>
      <c r="L30" s="962"/>
      <c r="M30" s="962"/>
      <c r="N30" s="962"/>
      <c r="O30" s="159" t="e">
        <f t="shared" si="10"/>
        <v>#DIV/0!</v>
      </c>
      <c r="P30" s="160" t="e">
        <f t="shared" si="4"/>
        <v>#DIV/0!</v>
      </c>
      <c r="Q30" s="171" t="e">
        <f t="shared" si="5"/>
        <v>#DIV/0!</v>
      </c>
      <c r="R30" s="161" t="e">
        <f t="shared" si="6"/>
        <v>#DIV/0!</v>
      </c>
      <c r="S30" s="162" t="e">
        <f t="shared" si="7"/>
        <v>#DIV/0!</v>
      </c>
      <c r="T30" s="172" t="e">
        <f t="shared" si="8"/>
        <v>#DIV/0!</v>
      </c>
    </row>
    <row r="31" spans="1:21" ht="15.75" thickBot="1" x14ac:dyDescent="0.3">
      <c r="A31" s="228">
        <v>4</v>
      </c>
      <c r="B31" s="992" t="s">
        <v>405</v>
      </c>
      <c r="C31" s="992"/>
      <c r="D31" s="993"/>
      <c r="E31" s="202"/>
      <c r="F31" s="215"/>
      <c r="G31" s="216"/>
      <c r="H31" s="224"/>
      <c r="I31" s="226">
        <f t="shared" si="9"/>
        <v>0</v>
      </c>
      <c r="J31" s="226"/>
      <c r="K31" s="1055"/>
      <c r="L31" s="962"/>
      <c r="M31" s="962"/>
      <c r="N31" s="962"/>
      <c r="O31" s="159" t="e">
        <f t="shared" si="10"/>
        <v>#DIV/0!</v>
      </c>
      <c r="P31" s="160" t="e">
        <f t="shared" si="4"/>
        <v>#DIV/0!</v>
      </c>
      <c r="Q31" s="171" t="e">
        <f t="shared" si="5"/>
        <v>#DIV/0!</v>
      </c>
      <c r="R31" s="161" t="e">
        <f t="shared" si="6"/>
        <v>#DIV/0!</v>
      </c>
      <c r="S31" s="162" t="e">
        <f t="shared" si="7"/>
        <v>#DIV/0!</v>
      </c>
      <c r="T31" s="172" t="e">
        <f t="shared" si="8"/>
        <v>#DIV/0!</v>
      </c>
    </row>
    <row r="32" spans="1:21" ht="15.75" thickBot="1" x14ac:dyDescent="0.3">
      <c r="A32" s="228">
        <v>5</v>
      </c>
      <c r="B32" s="992" t="s">
        <v>406</v>
      </c>
      <c r="C32" s="992"/>
      <c r="D32" s="993"/>
      <c r="E32" s="202"/>
      <c r="F32" s="215"/>
      <c r="G32" s="216"/>
      <c r="H32" s="224"/>
      <c r="I32" s="226">
        <f t="shared" si="9"/>
        <v>0</v>
      </c>
      <c r="J32" s="226"/>
      <c r="K32" s="1055"/>
      <c r="L32" s="962"/>
      <c r="M32" s="962"/>
      <c r="N32" s="962"/>
      <c r="O32" s="159" t="e">
        <f t="shared" si="10"/>
        <v>#DIV/0!</v>
      </c>
      <c r="P32" s="160" t="e">
        <f t="shared" si="4"/>
        <v>#DIV/0!</v>
      </c>
      <c r="Q32" s="171" t="e">
        <f t="shared" si="5"/>
        <v>#DIV/0!</v>
      </c>
      <c r="R32" s="161" t="e">
        <f t="shared" si="6"/>
        <v>#DIV/0!</v>
      </c>
      <c r="S32" s="162" t="e">
        <f t="shared" si="7"/>
        <v>#DIV/0!</v>
      </c>
      <c r="T32" s="172" t="e">
        <f t="shared" si="8"/>
        <v>#DIV/0!</v>
      </c>
    </row>
    <row r="33" spans="1:20" ht="15.75" thickBot="1" x14ac:dyDescent="0.3">
      <c r="A33" s="228">
        <v>6</v>
      </c>
      <c r="B33" s="992" t="s">
        <v>407</v>
      </c>
      <c r="C33" s="992"/>
      <c r="D33" s="993"/>
      <c r="E33" s="202"/>
      <c r="F33" s="215"/>
      <c r="G33" s="216"/>
      <c r="H33" s="224"/>
      <c r="I33" s="226">
        <f t="shared" si="9"/>
        <v>0</v>
      </c>
      <c r="J33" s="226"/>
      <c r="K33" s="1055"/>
      <c r="L33" s="962"/>
      <c r="M33" s="962"/>
      <c r="N33" s="962"/>
      <c r="O33" s="159" t="e">
        <f t="shared" si="10"/>
        <v>#DIV/0!</v>
      </c>
      <c r="P33" s="160" t="e">
        <f t="shared" si="4"/>
        <v>#DIV/0!</v>
      </c>
      <c r="Q33" s="171" t="e">
        <f t="shared" si="5"/>
        <v>#DIV/0!</v>
      </c>
      <c r="R33" s="161" t="e">
        <f t="shared" si="6"/>
        <v>#DIV/0!</v>
      </c>
      <c r="S33" s="162" t="e">
        <f t="shared" si="7"/>
        <v>#DIV/0!</v>
      </c>
      <c r="T33" s="172" t="e">
        <f t="shared" si="8"/>
        <v>#DIV/0!</v>
      </c>
    </row>
    <row r="34" spans="1:20" ht="15.75" thickBot="1" x14ac:dyDescent="0.3">
      <c r="A34" s="228">
        <v>7</v>
      </c>
      <c r="B34" s="992" t="s">
        <v>408</v>
      </c>
      <c r="C34" s="992"/>
      <c r="D34" s="993"/>
      <c r="E34" s="202"/>
      <c r="F34" s="215"/>
      <c r="G34" s="216"/>
      <c r="H34" s="224"/>
      <c r="I34" s="226">
        <f t="shared" si="9"/>
        <v>0</v>
      </c>
      <c r="J34" s="226"/>
      <c r="K34" s="1055"/>
      <c r="L34" s="962"/>
      <c r="M34" s="962"/>
      <c r="N34" s="962"/>
      <c r="O34" s="159" t="e">
        <f t="shared" si="10"/>
        <v>#DIV/0!</v>
      </c>
      <c r="P34" s="160" t="e">
        <f t="shared" si="4"/>
        <v>#DIV/0!</v>
      </c>
      <c r="Q34" s="171" t="e">
        <f t="shared" si="5"/>
        <v>#DIV/0!</v>
      </c>
      <c r="R34" s="161" t="e">
        <f t="shared" si="6"/>
        <v>#DIV/0!</v>
      </c>
      <c r="S34" s="162" t="e">
        <f t="shared" si="7"/>
        <v>#DIV/0!</v>
      </c>
      <c r="T34" s="172" t="e">
        <f t="shared" si="8"/>
        <v>#DIV/0!</v>
      </c>
    </row>
    <row r="35" spans="1:20" ht="15.75" thickBot="1" x14ac:dyDescent="0.3">
      <c r="A35" s="228">
        <v>8</v>
      </c>
      <c r="B35" s="992" t="s">
        <v>409</v>
      </c>
      <c r="C35" s="992"/>
      <c r="D35" s="993"/>
      <c r="E35" s="202"/>
      <c r="F35" s="215"/>
      <c r="G35" s="216"/>
      <c r="H35" s="224"/>
      <c r="I35" s="226">
        <f t="shared" si="9"/>
        <v>0</v>
      </c>
      <c r="J35" s="226"/>
      <c r="K35" s="1055"/>
      <c r="L35" s="962"/>
      <c r="M35" s="962"/>
      <c r="N35" s="962"/>
      <c r="O35" s="159" t="e">
        <f t="shared" si="10"/>
        <v>#DIV/0!</v>
      </c>
      <c r="P35" s="160" t="e">
        <f t="shared" si="4"/>
        <v>#DIV/0!</v>
      </c>
      <c r="Q35" s="171" t="e">
        <f t="shared" si="5"/>
        <v>#DIV/0!</v>
      </c>
      <c r="R35" s="161" t="e">
        <f t="shared" si="6"/>
        <v>#DIV/0!</v>
      </c>
      <c r="S35" s="162" t="e">
        <f t="shared" si="7"/>
        <v>#DIV/0!</v>
      </c>
      <c r="T35" s="172" t="e">
        <f t="shared" si="8"/>
        <v>#DIV/0!</v>
      </c>
    </row>
    <row r="36" spans="1:20" ht="15.75" thickBot="1" x14ac:dyDescent="0.3">
      <c r="A36" s="228">
        <v>9</v>
      </c>
      <c r="B36" s="992" t="s">
        <v>385</v>
      </c>
      <c r="C36" s="992"/>
      <c r="D36" s="993"/>
      <c r="E36" s="202"/>
      <c r="F36" s="215"/>
      <c r="G36" s="216"/>
      <c r="H36" s="224"/>
      <c r="I36" s="226">
        <f t="shared" si="9"/>
        <v>0</v>
      </c>
      <c r="J36" s="226"/>
      <c r="K36" s="1055"/>
      <c r="L36" s="962"/>
      <c r="M36" s="962"/>
      <c r="N36" s="962"/>
      <c r="O36" s="159" t="e">
        <f t="shared" si="10"/>
        <v>#DIV/0!</v>
      </c>
      <c r="P36" s="160" t="e">
        <f t="shared" si="4"/>
        <v>#DIV/0!</v>
      </c>
      <c r="Q36" s="171" t="e">
        <f t="shared" si="5"/>
        <v>#DIV/0!</v>
      </c>
      <c r="R36" s="161" t="e">
        <f t="shared" si="6"/>
        <v>#DIV/0!</v>
      </c>
      <c r="S36" s="162" t="e">
        <f t="shared" si="7"/>
        <v>#DIV/0!</v>
      </c>
      <c r="T36" s="172" t="e">
        <f t="shared" si="8"/>
        <v>#DIV/0!</v>
      </c>
    </row>
    <row r="37" spans="1:20" ht="15.75" thickBot="1" x14ac:dyDescent="0.3">
      <c r="A37" s="228">
        <v>10</v>
      </c>
      <c r="B37" s="992" t="s">
        <v>410</v>
      </c>
      <c r="C37" s="992"/>
      <c r="D37" s="993"/>
      <c r="E37" s="202"/>
      <c r="F37" s="215"/>
      <c r="G37" s="216"/>
      <c r="H37" s="224"/>
      <c r="I37" s="226">
        <f t="shared" si="9"/>
        <v>0</v>
      </c>
      <c r="J37" s="226"/>
      <c r="K37" s="1055"/>
      <c r="L37" s="962"/>
      <c r="M37" s="962"/>
      <c r="N37" s="962"/>
      <c r="O37" s="159" t="e">
        <f t="shared" si="10"/>
        <v>#DIV/0!</v>
      </c>
      <c r="P37" s="160" t="e">
        <f t="shared" si="4"/>
        <v>#DIV/0!</v>
      </c>
      <c r="Q37" s="171" t="e">
        <f t="shared" si="5"/>
        <v>#DIV/0!</v>
      </c>
      <c r="R37" s="161" t="e">
        <f t="shared" si="6"/>
        <v>#DIV/0!</v>
      </c>
      <c r="S37" s="162" t="e">
        <f t="shared" si="7"/>
        <v>#DIV/0!</v>
      </c>
      <c r="T37" s="172" t="e">
        <f t="shared" si="8"/>
        <v>#DIV/0!</v>
      </c>
    </row>
    <row r="38" spans="1:20" ht="15.75" thickBot="1" x14ac:dyDescent="0.3">
      <c r="A38" s="228">
        <v>11</v>
      </c>
      <c r="B38" s="992" t="s">
        <v>411</v>
      </c>
      <c r="C38" s="992"/>
      <c r="D38" s="993"/>
      <c r="E38" s="202"/>
      <c r="F38" s="215"/>
      <c r="G38" s="216"/>
      <c r="H38" s="224"/>
      <c r="I38" s="226">
        <f t="shared" si="9"/>
        <v>0</v>
      </c>
      <c r="J38" s="226"/>
      <c r="K38" s="1055"/>
      <c r="L38" s="962"/>
      <c r="M38" s="962"/>
      <c r="N38" s="962"/>
      <c r="O38" s="159" t="e">
        <f t="shared" si="10"/>
        <v>#DIV/0!</v>
      </c>
      <c r="P38" s="160" t="e">
        <f t="shared" si="4"/>
        <v>#DIV/0!</v>
      </c>
      <c r="Q38" s="171" t="e">
        <f t="shared" si="5"/>
        <v>#DIV/0!</v>
      </c>
      <c r="R38" s="161" t="e">
        <f t="shared" si="6"/>
        <v>#DIV/0!</v>
      </c>
      <c r="S38" s="162" t="e">
        <f t="shared" si="7"/>
        <v>#DIV/0!</v>
      </c>
      <c r="T38" s="172" t="e">
        <f t="shared" si="8"/>
        <v>#DIV/0!</v>
      </c>
    </row>
    <row r="39" spans="1:20" ht="15.75" thickBot="1" x14ac:dyDescent="0.3">
      <c r="A39" s="228">
        <v>12</v>
      </c>
      <c r="B39" s="992" t="s">
        <v>412</v>
      </c>
      <c r="C39" s="992"/>
      <c r="D39" s="993"/>
      <c r="E39" s="202"/>
      <c r="F39" s="215"/>
      <c r="G39" s="216"/>
      <c r="H39" s="224"/>
      <c r="I39" s="226">
        <f t="shared" si="9"/>
        <v>0</v>
      </c>
      <c r="J39" s="226"/>
      <c r="K39" s="1055"/>
      <c r="L39" s="962"/>
      <c r="M39" s="962"/>
      <c r="N39" s="962"/>
      <c r="O39" s="159" t="e">
        <f t="shared" si="10"/>
        <v>#DIV/0!</v>
      </c>
      <c r="P39" s="160" t="e">
        <f t="shared" si="4"/>
        <v>#DIV/0!</v>
      </c>
      <c r="Q39" s="171" t="e">
        <f t="shared" si="5"/>
        <v>#DIV/0!</v>
      </c>
      <c r="R39" s="161" t="e">
        <f t="shared" si="6"/>
        <v>#DIV/0!</v>
      </c>
      <c r="S39" s="162" t="e">
        <f t="shared" si="7"/>
        <v>#DIV/0!</v>
      </c>
      <c r="T39" s="172" t="e">
        <f t="shared" si="8"/>
        <v>#DIV/0!</v>
      </c>
    </row>
    <row r="40" spans="1:20" ht="15.75" thickBot="1" x14ac:dyDescent="0.3">
      <c r="A40" s="228">
        <v>13</v>
      </c>
      <c r="B40" s="992" t="s">
        <v>413</v>
      </c>
      <c r="C40" s="992"/>
      <c r="D40" s="993"/>
      <c r="E40" s="202"/>
      <c r="F40" s="215"/>
      <c r="G40" s="216"/>
      <c r="H40" s="224"/>
      <c r="I40" s="226">
        <f t="shared" si="9"/>
        <v>0</v>
      </c>
      <c r="J40" s="226"/>
      <c r="K40" s="1055"/>
      <c r="L40" s="962"/>
      <c r="M40" s="962"/>
      <c r="N40" s="962"/>
      <c r="O40" s="159" t="e">
        <f t="shared" si="10"/>
        <v>#DIV/0!</v>
      </c>
      <c r="P40" s="160" t="e">
        <f t="shared" si="4"/>
        <v>#DIV/0!</v>
      </c>
      <c r="Q40" s="171" t="e">
        <f t="shared" si="5"/>
        <v>#DIV/0!</v>
      </c>
      <c r="R40" s="161" t="e">
        <f t="shared" si="6"/>
        <v>#DIV/0!</v>
      </c>
      <c r="S40" s="162" t="e">
        <f t="shared" si="7"/>
        <v>#DIV/0!</v>
      </c>
      <c r="T40" s="172" t="e">
        <f t="shared" si="8"/>
        <v>#DIV/0!</v>
      </c>
    </row>
    <row r="41" spans="1:20" ht="15.75" thickBot="1" x14ac:dyDescent="0.3">
      <c r="A41" s="228">
        <v>14</v>
      </c>
      <c r="B41" s="992" t="s">
        <v>414</v>
      </c>
      <c r="C41" s="992"/>
      <c r="D41" s="993"/>
      <c r="E41" s="202"/>
      <c r="F41" s="215"/>
      <c r="G41" s="216"/>
      <c r="H41" s="224"/>
      <c r="I41" s="226">
        <f t="shared" si="9"/>
        <v>0</v>
      </c>
      <c r="J41" s="226"/>
      <c r="K41" s="1055"/>
      <c r="L41" s="962"/>
      <c r="M41" s="962"/>
      <c r="N41" s="962"/>
      <c r="O41" s="159" t="e">
        <f t="shared" si="10"/>
        <v>#DIV/0!</v>
      </c>
      <c r="P41" s="160" t="e">
        <f t="shared" si="4"/>
        <v>#DIV/0!</v>
      </c>
      <c r="Q41" s="171" t="e">
        <f t="shared" si="5"/>
        <v>#DIV/0!</v>
      </c>
      <c r="R41" s="161" t="e">
        <f t="shared" si="6"/>
        <v>#DIV/0!</v>
      </c>
      <c r="S41" s="162" t="e">
        <f t="shared" si="7"/>
        <v>#DIV/0!</v>
      </c>
      <c r="T41" s="172" t="e">
        <f t="shared" si="8"/>
        <v>#DIV/0!</v>
      </c>
    </row>
    <row r="42" spans="1:20" ht="15.75" thickBot="1" x14ac:dyDescent="0.3">
      <c r="A42" s="228">
        <v>15</v>
      </c>
      <c r="B42" s="992" t="s">
        <v>415</v>
      </c>
      <c r="C42" s="992"/>
      <c r="D42" s="993"/>
      <c r="E42" s="202"/>
      <c r="F42" s="215"/>
      <c r="G42" s="216"/>
      <c r="H42" s="224"/>
      <c r="I42" s="226">
        <f t="shared" si="9"/>
        <v>0</v>
      </c>
      <c r="J42" s="226"/>
      <c r="K42" s="1055"/>
      <c r="L42" s="962"/>
      <c r="M42" s="962"/>
      <c r="N42" s="962"/>
      <c r="O42" s="159" t="e">
        <f t="shared" si="10"/>
        <v>#DIV/0!</v>
      </c>
      <c r="P42" s="160" t="e">
        <f t="shared" si="4"/>
        <v>#DIV/0!</v>
      </c>
      <c r="Q42" s="171" t="e">
        <f t="shared" si="5"/>
        <v>#DIV/0!</v>
      </c>
      <c r="R42" s="161" t="e">
        <f t="shared" si="6"/>
        <v>#DIV/0!</v>
      </c>
      <c r="S42" s="162" t="e">
        <f t="shared" si="7"/>
        <v>#DIV/0!</v>
      </c>
      <c r="T42" s="172" t="e">
        <f t="shared" si="8"/>
        <v>#DIV/0!</v>
      </c>
    </row>
    <row r="43" spans="1:20" ht="15.75" thickBot="1" x14ac:dyDescent="0.3">
      <c r="A43" s="228">
        <v>16</v>
      </c>
      <c r="B43" s="992" t="s">
        <v>416</v>
      </c>
      <c r="C43" s="992"/>
      <c r="D43" s="993"/>
      <c r="E43" s="202"/>
      <c r="F43" s="215"/>
      <c r="G43" s="216"/>
      <c r="H43" s="224"/>
      <c r="I43" s="226">
        <f t="shared" si="9"/>
        <v>0</v>
      </c>
      <c r="J43" s="226"/>
      <c r="K43" s="1055"/>
      <c r="L43" s="962"/>
      <c r="M43" s="962"/>
      <c r="N43" s="962"/>
      <c r="O43" s="159" t="e">
        <f t="shared" si="10"/>
        <v>#DIV/0!</v>
      </c>
      <c r="P43" s="160" t="e">
        <f t="shared" si="4"/>
        <v>#DIV/0!</v>
      </c>
      <c r="Q43" s="171" t="e">
        <f t="shared" si="5"/>
        <v>#DIV/0!</v>
      </c>
      <c r="R43" s="161" t="e">
        <f t="shared" si="6"/>
        <v>#DIV/0!</v>
      </c>
      <c r="S43" s="162" t="e">
        <f t="shared" si="7"/>
        <v>#DIV/0!</v>
      </c>
      <c r="T43" s="172" t="e">
        <f t="shared" si="8"/>
        <v>#DIV/0!</v>
      </c>
    </row>
    <row r="44" spans="1:20" ht="15.75" thickBot="1" x14ac:dyDescent="0.3">
      <c r="A44" s="228">
        <v>17</v>
      </c>
      <c r="B44" s="992" t="s">
        <v>417</v>
      </c>
      <c r="C44" s="992"/>
      <c r="D44" s="993"/>
      <c r="E44" s="202"/>
      <c r="F44" s="215"/>
      <c r="G44" s="216"/>
      <c r="H44" s="224"/>
      <c r="I44" s="226">
        <f t="shared" si="9"/>
        <v>0</v>
      </c>
      <c r="J44" s="226"/>
      <c r="K44" s="1055"/>
      <c r="L44" s="962"/>
      <c r="M44" s="962"/>
      <c r="N44" s="962"/>
      <c r="O44" s="159" t="e">
        <f t="shared" si="10"/>
        <v>#DIV/0!</v>
      </c>
      <c r="P44" s="160" t="e">
        <f t="shared" si="4"/>
        <v>#DIV/0!</v>
      </c>
      <c r="Q44" s="171" t="e">
        <f t="shared" si="5"/>
        <v>#DIV/0!</v>
      </c>
      <c r="R44" s="161" t="e">
        <f t="shared" si="6"/>
        <v>#DIV/0!</v>
      </c>
      <c r="S44" s="162" t="e">
        <f t="shared" si="7"/>
        <v>#DIV/0!</v>
      </c>
      <c r="T44" s="172" t="e">
        <f t="shared" si="8"/>
        <v>#DIV/0!</v>
      </c>
    </row>
    <row r="45" spans="1:20" ht="15.75" thickBot="1" x14ac:dyDescent="0.3">
      <c r="A45" s="228">
        <v>18</v>
      </c>
      <c r="B45" s="992" t="s">
        <v>418</v>
      </c>
      <c r="C45" s="992"/>
      <c r="D45" s="993"/>
      <c r="E45" s="202"/>
      <c r="F45" s="215"/>
      <c r="G45" s="216"/>
      <c r="H45" s="224"/>
      <c r="I45" s="226">
        <f t="shared" si="9"/>
        <v>0</v>
      </c>
      <c r="J45" s="226"/>
      <c r="K45" s="1055"/>
      <c r="L45" s="962"/>
      <c r="M45" s="962"/>
      <c r="N45" s="962"/>
      <c r="O45" s="159" t="e">
        <f t="shared" si="10"/>
        <v>#DIV/0!</v>
      </c>
      <c r="P45" s="160" t="e">
        <f t="shared" si="4"/>
        <v>#DIV/0!</v>
      </c>
      <c r="Q45" s="171" t="e">
        <f t="shared" si="5"/>
        <v>#DIV/0!</v>
      </c>
      <c r="R45" s="161" t="e">
        <f t="shared" si="6"/>
        <v>#DIV/0!</v>
      </c>
      <c r="S45" s="162" t="e">
        <f t="shared" si="7"/>
        <v>#DIV/0!</v>
      </c>
      <c r="T45" s="172" t="e">
        <f t="shared" si="8"/>
        <v>#DIV/0!</v>
      </c>
    </row>
    <row r="46" spans="1:20" ht="15.75" thickBot="1" x14ac:dyDescent="0.3">
      <c r="A46" s="228">
        <v>19</v>
      </c>
      <c r="B46" s="992" t="s">
        <v>419</v>
      </c>
      <c r="C46" s="992"/>
      <c r="D46" s="993"/>
      <c r="E46" s="202"/>
      <c r="F46" s="215"/>
      <c r="G46" s="216"/>
      <c r="H46" s="224"/>
      <c r="I46" s="226">
        <f t="shared" si="9"/>
        <v>0</v>
      </c>
      <c r="J46" s="226"/>
      <c r="K46" s="1055"/>
      <c r="L46" s="962"/>
      <c r="M46" s="962"/>
      <c r="N46" s="962"/>
      <c r="O46" s="159" t="e">
        <f t="shared" si="10"/>
        <v>#DIV/0!</v>
      </c>
      <c r="P46" s="160" t="e">
        <f t="shared" si="4"/>
        <v>#DIV/0!</v>
      </c>
      <c r="Q46" s="171" t="e">
        <f t="shared" si="5"/>
        <v>#DIV/0!</v>
      </c>
      <c r="R46" s="161" t="e">
        <f t="shared" si="6"/>
        <v>#DIV/0!</v>
      </c>
      <c r="S46" s="162" t="e">
        <f t="shared" si="7"/>
        <v>#DIV/0!</v>
      </c>
      <c r="T46" s="172" t="e">
        <f t="shared" si="8"/>
        <v>#DIV/0!</v>
      </c>
    </row>
    <row r="47" spans="1:20" ht="15.75" thickBot="1" x14ac:dyDescent="0.3">
      <c r="A47" s="228">
        <v>20</v>
      </c>
      <c r="B47" s="992" t="s">
        <v>420</v>
      </c>
      <c r="C47" s="992"/>
      <c r="D47" s="993"/>
      <c r="E47" s="202"/>
      <c r="F47" s="215"/>
      <c r="G47" s="216"/>
      <c r="H47" s="224"/>
      <c r="I47" s="226">
        <f t="shared" si="9"/>
        <v>0</v>
      </c>
      <c r="J47" s="226"/>
      <c r="K47" s="1055"/>
      <c r="L47" s="962"/>
      <c r="M47" s="962"/>
      <c r="N47" s="962"/>
      <c r="O47" s="159" t="e">
        <f t="shared" si="10"/>
        <v>#DIV/0!</v>
      </c>
      <c r="P47" s="160" t="e">
        <f t="shared" si="4"/>
        <v>#DIV/0!</v>
      </c>
      <c r="Q47" s="171" t="e">
        <f t="shared" si="5"/>
        <v>#DIV/0!</v>
      </c>
      <c r="R47" s="161" t="e">
        <f t="shared" si="6"/>
        <v>#DIV/0!</v>
      </c>
      <c r="S47" s="162" t="e">
        <f t="shared" si="7"/>
        <v>#DIV/0!</v>
      </c>
      <c r="T47" s="172" t="e">
        <f t="shared" si="8"/>
        <v>#DIV/0!</v>
      </c>
    </row>
    <row r="48" spans="1:20" ht="15.75" thickBot="1" x14ac:dyDescent="0.3">
      <c r="A48" s="228">
        <v>21</v>
      </c>
      <c r="B48" s="992" t="s">
        <v>421</v>
      </c>
      <c r="C48" s="992"/>
      <c r="D48" s="993"/>
      <c r="E48" s="202"/>
      <c r="F48" s="215"/>
      <c r="G48" s="216"/>
      <c r="H48" s="224"/>
      <c r="I48" s="226">
        <f t="shared" si="9"/>
        <v>0</v>
      </c>
      <c r="J48" s="226"/>
      <c r="K48" s="1055"/>
      <c r="L48" s="962"/>
      <c r="M48" s="962"/>
      <c r="N48" s="962"/>
      <c r="O48" s="159" t="e">
        <f t="shared" si="10"/>
        <v>#DIV/0!</v>
      </c>
      <c r="P48" s="160" t="e">
        <f t="shared" si="4"/>
        <v>#DIV/0!</v>
      </c>
      <c r="Q48" s="171" t="e">
        <f t="shared" si="5"/>
        <v>#DIV/0!</v>
      </c>
      <c r="R48" s="161" t="e">
        <f t="shared" si="6"/>
        <v>#DIV/0!</v>
      </c>
      <c r="S48" s="162" t="e">
        <f t="shared" si="7"/>
        <v>#DIV/0!</v>
      </c>
      <c r="T48" s="172" t="e">
        <f t="shared" si="8"/>
        <v>#DIV/0!</v>
      </c>
    </row>
    <row r="49" spans="1:20" ht="15.75" thickBot="1" x14ac:dyDescent="0.3">
      <c r="A49" s="228">
        <v>22</v>
      </c>
      <c r="B49" s="992" t="s">
        <v>422</v>
      </c>
      <c r="C49" s="992"/>
      <c r="D49" s="993"/>
      <c r="E49" s="202"/>
      <c r="F49" s="215"/>
      <c r="G49" s="216"/>
      <c r="H49" s="224"/>
      <c r="I49" s="226">
        <f t="shared" si="9"/>
        <v>0</v>
      </c>
      <c r="J49" s="226"/>
      <c r="K49" s="1055"/>
      <c r="L49" s="962"/>
      <c r="M49" s="962"/>
      <c r="N49" s="962"/>
      <c r="O49" s="159" t="e">
        <f t="shared" si="10"/>
        <v>#DIV/0!</v>
      </c>
      <c r="P49" s="160" t="e">
        <f t="shared" si="4"/>
        <v>#DIV/0!</v>
      </c>
      <c r="Q49" s="171" t="e">
        <f t="shared" si="5"/>
        <v>#DIV/0!</v>
      </c>
      <c r="R49" s="161" t="e">
        <f t="shared" si="6"/>
        <v>#DIV/0!</v>
      </c>
      <c r="S49" s="162" t="e">
        <f t="shared" si="7"/>
        <v>#DIV/0!</v>
      </c>
      <c r="T49" s="172" t="e">
        <f t="shared" si="8"/>
        <v>#DIV/0!</v>
      </c>
    </row>
    <row r="50" spans="1:20" ht="15.75" thickBot="1" x14ac:dyDescent="0.3">
      <c r="A50" s="228">
        <v>23</v>
      </c>
      <c r="B50" s="992" t="s">
        <v>423</v>
      </c>
      <c r="C50" s="992"/>
      <c r="D50" s="993"/>
      <c r="E50" s="202"/>
      <c r="F50" s="215"/>
      <c r="G50" s="216"/>
      <c r="H50" s="224"/>
      <c r="I50" s="226">
        <f t="shared" si="9"/>
        <v>0</v>
      </c>
      <c r="J50" s="226"/>
      <c r="K50" s="1055"/>
      <c r="L50" s="962"/>
      <c r="M50" s="962"/>
      <c r="N50" s="962"/>
      <c r="O50" s="159" t="e">
        <f t="shared" si="10"/>
        <v>#DIV/0!</v>
      </c>
      <c r="P50" s="160" t="e">
        <f t="shared" si="4"/>
        <v>#DIV/0!</v>
      </c>
      <c r="Q50" s="171" t="e">
        <f t="shared" si="5"/>
        <v>#DIV/0!</v>
      </c>
      <c r="R50" s="161" t="e">
        <f t="shared" si="6"/>
        <v>#DIV/0!</v>
      </c>
      <c r="S50" s="162" t="e">
        <f t="shared" si="7"/>
        <v>#DIV/0!</v>
      </c>
      <c r="T50" s="172" t="e">
        <f t="shared" si="8"/>
        <v>#DIV/0!</v>
      </c>
    </row>
    <row r="51" spans="1:20" ht="15.75" thickBot="1" x14ac:dyDescent="0.3">
      <c r="A51" s="228">
        <v>24</v>
      </c>
      <c r="B51" s="992" t="s">
        <v>424</v>
      </c>
      <c r="C51" s="992"/>
      <c r="D51" s="993"/>
      <c r="E51" s="202"/>
      <c r="F51" s="215"/>
      <c r="G51" s="216"/>
      <c r="H51" s="224"/>
      <c r="I51" s="226">
        <f t="shared" si="9"/>
        <v>0</v>
      </c>
      <c r="J51" s="226"/>
      <c r="K51" s="1055"/>
      <c r="L51" s="962"/>
      <c r="M51" s="962"/>
      <c r="N51" s="962"/>
      <c r="O51" s="159" t="e">
        <f t="shared" si="10"/>
        <v>#DIV/0!</v>
      </c>
      <c r="P51" s="160" t="e">
        <f t="shared" si="4"/>
        <v>#DIV/0!</v>
      </c>
      <c r="Q51" s="171" t="e">
        <f t="shared" si="5"/>
        <v>#DIV/0!</v>
      </c>
      <c r="R51" s="161" t="e">
        <f t="shared" si="6"/>
        <v>#DIV/0!</v>
      </c>
      <c r="S51" s="162" t="e">
        <f t="shared" si="7"/>
        <v>#DIV/0!</v>
      </c>
      <c r="T51" s="172" t="e">
        <f t="shared" si="8"/>
        <v>#DIV/0!</v>
      </c>
    </row>
    <row r="52" spans="1:20" ht="15.75" thickBot="1" x14ac:dyDescent="0.3">
      <c r="A52" s="228">
        <v>25</v>
      </c>
      <c r="B52" s="992" t="s">
        <v>425</v>
      </c>
      <c r="C52" s="992"/>
      <c r="D52" s="993"/>
      <c r="E52" s="202"/>
      <c r="F52" s="215"/>
      <c r="G52" s="216"/>
      <c r="H52" s="224"/>
      <c r="I52" s="226">
        <f t="shared" si="9"/>
        <v>0</v>
      </c>
      <c r="J52" s="226"/>
      <c r="K52" s="1055"/>
      <c r="L52" s="962"/>
      <c r="M52" s="962"/>
      <c r="N52" s="962"/>
      <c r="O52" s="159" t="e">
        <f t="shared" si="10"/>
        <v>#DIV/0!</v>
      </c>
      <c r="P52" s="160" t="e">
        <f t="shared" si="4"/>
        <v>#DIV/0!</v>
      </c>
      <c r="Q52" s="171" t="e">
        <f t="shared" si="5"/>
        <v>#DIV/0!</v>
      </c>
      <c r="R52" s="161" t="e">
        <f t="shared" si="6"/>
        <v>#DIV/0!</v>
      </c>
      <c r="S52" s="162" t="e">
        <f t="shared" si="7"/>
        <v>#DIV/0!</v>
      </c>
      <c r="T52" s="172" t="e">
        <f t="shared" si="8"/>
        <v>#DIV/0!</v>
      </c>
    </row>
    <row r="53" spans="1:20" ht="15.75" thickBot="1" x14ac:dyDescent="0.3">
      <c r="A53" s="228">
        <v>26</v>
      </c>
      <c r="B53" s="992" t="s">
        <v>426</v>
      </c>
      <c r="C53" s="992"/>
      <c r="D53" s="993"/>
      <c r="E53" s="202"/>
      <c r="F53" s="215"/>
      <c r="G53" s="216"/>
      <c r="H53" s="224"/>
      <c r="I53" s="226">
        <f t="shared" si="9"/>
        <v>0</v>
      </c>
      <c r="J53" s="226"/>
      <c r="K53" s="1055"/>
      <c r="L53" s="962"/>
      <c r="M53" s="962"/>
      <c r="N53" s="962"/>
      <c r="O53" s="159" t="e">
        <f t="shared" si="10"/>
        <v>#DIV/0!</v>
      </c>
      <c r="P53" s="160" t="e">
        <f t="shared" si="4"/>
        <v>#DIV/0!</v>
      </c>
      <c r="Q53" s="171" t="e">
        <f t="shared" si="5"/>
        <v>#DIV/0!</v>
      </c>
      <c r="R53" s="161" t="e">
        <f t="shared" si="6"/>
        <v>#DIV/0!</v>
      </c>
      <c r="S53" s="162" t="e">
        <f t="shared" si="7"/>
        <v>#DIV/0!</v>
      </c>
      <c r="T53" s="172" t="e">
        <f t="shared" si="8"/>
        <v>#DIV/0!</v>
      </c>
    </row>
    <row r="54" spans="1:20" ht="15.75" thickBot="1" x14ac:dyDescent="0.3">
      <c r="A54" s="228">
        <v>27</v>
      </c>
      <c r="B54" s="992" t="s">
        <v>427</v>
      </c>
      <c r="C54" s="992"/>
      <c r="D54" s="993"/>
      <c r="E54" s="202"/>
      <c r="F54" s="215"/>
      <c r="G54" s="216"/>
      <c r="H54" s="224"/>
      <c r="I54" s="226">
        <f t="shared" si="9"/>
        <v>0</v>
      </c>
      <c r="J54" s="226"/>
      <c r="K54" s="1055"/>
      <c r="L54" s="962"/>
      <c r="M54" s="962"/>
      <c r="N54" s="962"/>
      <c r="O54" s="159" t="e">
        <f t="shared" si="10"/>
        <v>#DIV/0!</v>
      </c>
      <c r="P54" s="160" t="e">
        <f t="shared" si="4"/>
        <v>#DIV/0!</v>
      </c>
      <c r="Q54" s="171" t="e">
        <f t="shared" si="5"/>
        <v>#DIV/0!</v>
      </c>
      <c r="R54" s="161" t="e">
        <f t="shared" si="6"/>
        <v>#DIV/0!</v>
      </c>
      <c r="S54" s="162" t="e">
        <f t="shared" si="7"/>
        <v>#DIV/0!</v>
      </c>
      <c r="T54" s="172" t="e">
        <f t="shared" si="8"/>
        <v>#DIV/0!</v>
      </c>
    </row>
    <row r="55" spans="1:20" ht="15.75" thickBot="1" x14ac:dyDescent="0.3">
      <c r="A55" s="228">
        <v>28</v>
      </c>
      <c r="B55" s="992" t="s">
        <v>428</v>
      </c>
      <c r="C55" s="992"/>
      <c r="D55" s="993"/>
      <c r="E55" s="202"/>
      <c r="F55" s="215"/>
      <c r="G55" s="216"/>
      <c r="H55" s="224"/>
      <c r="I55" s="226">
        <f t="shared" si="9"/>
        <v>0</v>
      </c>
      <c r="J55" s="226"/>
      <c r="K55" s="1055"/>
      <c r="L55" s="962"/>
      <c r="M55" s="962"/>
      <c r="N55" s="962"/>
      <c r="O55" s="159" t="e">
        <f t="shared" si="10"/>
        <v>#DIV/0!</v>
      </c>
      <c r="P55" s="160" t="e">
        <f t="shared" si="4"/>
        <v>#DIV/0!</v>
      </c>
      <c r="Q55" s="171" t="e">
        <f t="shared" si="5"/>
        <v>#DIV/0!</v>
      </c>
      <c r="R55" s="161" t="e">
        <f t="shared" si="6"/>
        <v>#DIV/0!</v>
      </c>
      <c r="S55" s="162" t="e">
        <f t="shared" si="7"/>
        <v>#DIV/0!</v>
      </c>
      <c r="T55" s="172" t="e">
        <f t="shared" si="8"/>
        <v>#DIV/0!</v>
      </c>
    </row>
    <row r="56" spans="1:20" ht="15.75" thickBot="1" x14ac:dyDescent="0.3">
      <c r="A56" s="228">
        <v>29</v>
      </c>
      <c r="B56" s="992" t="s">
        <v>429</v>
      </c>
      <c r="C56" s="992"/>
      <c r="D56" s="993"/>
      <c r="E56" s="202"/>
      <c r="F56" s="215"/>
      <c r="G56" s="216"/>
      <c r="H56" s="224"/>
      <c r="I56" s="226">
        <f t="shared" si="9"/>
        <v>0</v>
      </c>
      <c r="J56" s="226"/>
      <c r="K56" s="1055"/>
      <c r="L56" s="962"/>
      <c r="M56" s="962"/>
      <c r="N56" s="962"/>
      <c r="O56" s="159" t="e">
        <f t="shared" si="10"/>
        <v>#DIV/0!</v>
      </c>
      <c r="P56" s="160" t="e">
        <f t="shared" si="4"/>
        <v>#DIV/0!</v>
      </c>
      <c r="Q56" s="171" t="e">
        <f t="shared" si="5"/>
        <v>#DIV/0!</v>
      </c>
      <c r="R56" s="161" t="e">
        <f t="shared" si="6"/>
        <v>#DIV/0!</v>
      </c>
      <c r="S56" s="162" t="e">
        <f t="shared" si="7"/>
        <v>#DIV/0!</v>
      </c>
      <c r="T56" s="172" t="e">
        <f t="shared" si="8"/>
        <v>#DIV/0!</v>
      </c>
    </row>
    <row r="57" spans="1:20" ht="15.75" thickBot="1" x14ac:dyDescent="0.3">
      <c r="A57" s="228">
        <v>30</v>
      </c>
      <c r="B57" s="992" t="s">
        <v>430</v>
      </c>
      <c r="C57" s="992"/>
      <c r="D57" s="993"/>
      <c r="E57" s="202"/>
      <c r="F57" s="215"/>
      <c r="G57" s="216"/>
      <c r="H57" s="224"/>
      <c r="I57" s="226">
        <f t="shared" si="9"/>
        <v>0</v>
      </c>
      <c r="J57" s="226"/>
      <c r="K57" s="1055"/>
      <c r="L57" s="962"/>
      <c r="M57" s="962"/>
      <c r="N57" s="962"/>
      <c r="O57" s="159" t="e">
        <f t="shared" si="10"/>
        <v>#DIV/0!</v>
      </c>
      <c r="P57" s="160" t="e">
        <f t="shared" si="4"/>
        <v>#DIV/0!</v>
      </c>
      <c r="Q57" s="171" t="e">
        <f t="shared" si="5"/>
        <v>#DIV/0!</v>
      </c>
      <c r="R57" s="161" t="e">
        <f t="shared" si="6"/>
        <v>#DIV/0!</v>
      </c>
      <c r="S57" s="162" t="e">
        <f t="shared" si="7"/>
        <v>#DIV/0!</v>
      </c>
      <c r="T57" s="172" t="e">
        <f t="shared" si="8"/>
        <v>#DIV/0!</v>
      </c>
    </row>
    <row r="58" spans="1:20" ht="15.75" thickBot="1" x14ac:dyDescent="0.3">
      <c r="A58" s="228">
        <v>31</v>
      </c>
      <c r="B58" s="992" t="s">
        <v>386</v>
      </c>
      <c r="C58" s="992"/>
      <c r="D58" s="993"/>
      <c r="E58" s="202"/>
      <c r="F58" s="215"/>
      <c r="G58" s="216"/>
      <c r="H58" s="224"/>
      <c r="I58" s="226">
        <f t="shared" si="9"/>
        <v>0</v>
      </c>
      <c r="J58" s="226"/>
      <c r="K58" s="1055"/>
      <c r="L58" s="962"/>
      <c r="M58" s="962"/>
      <c r="N58" s="962"/>
      <c r="O58" s="159" t="e">
        <f t="shared" si="10"/>
        <v>#DIV/0!</v>
      </c>
      <c r="P58" s="160" t="e">
        <f t="shared" si="4"/>
        <v>#DIV/0!</v>
      </c>
      <c r="Q58" s="171" t="e">
        <f t="shared" si="5"/>
        <v>#DIV/0!</v>
      </c>
      <c r="R58" s="161" t="e">
        <f t="shared" si="6"/>
        <v>#DIV/0!</v>
      </c>
      <c r="S58" s="162" t="e">
        <f t="shared" si="7"/>
        <v>#DIV/0!</v>
      </c>
      <c r="T58" s="172" t="e">
        <f t="shared" si="8"/>
        <v>#DIV/0!</v>
      </c>
    </row>
    <row r="59" spans="1:20" ht="15.75" thickBot="1" x14ac:dyDescent="0.3">
      <c r="A59" s="228">
        <v>32</v>
      </c>
      <c r="B59" s="992" t="s">
        <v>431</v>
      </c>
      <c r="C59" s="992"/>
      <c r="D59" s="993"/>
      <c r="E59" s="202"/>
      <c r="F59" s="215"/>
      <c r="G59" s="216"/>
      <c r="H59" s="224"/>
      <c r="I59" s="226">
        <f t="shared" si="9"/>
        <v>0</v>
      </c>
      <c r="J59" s="226"/>
      <c r="K59" s="1055"/>
      <c r="L59" s="962"/>
      <c r="M59" s="962"/>
      <c r="N59" s="962"/>
      <c r="O59" s="159" t="e">
        <f t="shared" si="10"/>
        <v>#DIV/0!</v>
      </c>
      <c r="P59" s="160" t="e">
        <f t="shared" si="4"/>
        <v>#DIV/0!</v>
      </c>
      <c r="Q59" s="171" t="e">
        <f t="shared" si="5"/>
        <v>#DIV/0!</v>
      </c>
      <c r="R59" s="161" t="e">
        <f t="shared" si="6"/>
        <v>#DIV/0!</v>
      </c>
      <c r="S59" s="162" t="e">
        <f t="shared" si="7"/>
        <v>#DIV/0!</v>
      </c>
      <c r="T59" s="172" t="e">
        <f t="shared" si="8"/>
        <v>#DIV/0!</v>
      </c>
    </row>
    <row r="60" spans="1:20" ht="15.75" thickBot="1" x14ac:dyDescent="0.3">
      <c r="A60" s="228">
        <v>33</v>
      </c>
      <c r="B60" s="992" t="s">
        <v>400</v>
      </c>
      <c r="C60" s="992"/>
      <c r="D60" s="993"/>
      <c r="E60" s="202"/>
      <c r="F60" s="215"/>
      <c r="G60" s="216"/>
      <c r="H60" s="224"/>
      <c r="I60" s="226">
        <f t="shared" si="9"/>
        <v>0</v>
      </c>
      <c r="J60" s="226"/>
      <c r="K60" s="1055"/>
      <c r="L60" s="962"/>
      <c r="M60" s="962"/>
      <c r="N60" s="962"/>
      <c r="O60" s="159" t="e">
        <f t="shared" si="10"/>
        <v>#DIV/0!</v>
      </c>
      <c r="P60" s="160" t="e">
        <f t="shared" si="4"/>
        <v>#DIV/0!</v>
      </c>
      <c r="Q60" s="171" t="e">
        <f t="shared" si="5"/>
        <v>#DIV/0!</v>
      </c>
      <c r="R60" s="161" t="e">
        <f t="shared" si="6"/>
        <v>#DIV/0!</v>
      </c>
      <c r="S60" s="162" t="e">
        <f t="shared" si="7"/>
        <v>#DIV/0!</v>
      </c>
      <c r="T60" s="172" t="e">
        <f t="shared" si="8"/>
        <v>#DIV/0!</v>
      </c>
    </row>
    <row r="61" spans="1:20" ht="15.75" thickBot="1" x14ac:dyDescent="0.3">
      <c r="A61" s="228">
        <v>34</v>
      </c>
      <c r="B61" s="992" t="s">
        <v>401</v>
      </c>
      <c r="C61" s="992"/>
      <c r="D61" s="993"/>
      <c r="E61" s="202"/>
      <c r="F61" s="215"/>
      <c r="G61" s="216"/>
      <c r="H61" s="224"/>
      <c r="I61" s="226">
        <f t="shared" si="9"/>
        <v>0</v>
      </c>
      <c r="J61" s="226"/>
      <c r="K61" s="1055"/>
      <c r="L61" s="962"/>
      <c r="M61" s="962"/>
      <c r="N61" s="962"/>
      <c r="O61" s="159" t="e">
        <f t="shared" si="10"/>
        <v>#DIV/0!</v>
      </c>
      <c r="P61" s="160" t="e">
        <f t="shared" si="4"/>
        <v>#DIV/0!</v>
      </c>
      <c r="Q61" s="171" t="e">
        <f t="shared" si="5"/>
        <v>#DIV/0!</v>
      </c>
      <c r="R61" s="161" t="e">
        <f t="shared" si="6"/>
        <v>#DIV/0!</v>
      </c>
      <c r="S61" s="162" t="e">
        <f t="shared" si="7"/>
        <v>#DIV/0!</v>
      </c>
      <c r="T61" s="172" t="e">
        <f t="shared" si="8"/>
        <v>#DIV/0!</v>
      </c>
    </row>
    <row r="62" spans="1:20" ht="15.75" thickBot="1" x14ac:dyDescent="0.3">
      <c r="A62" s="228">
        <v>35</v>
      </c>
      <c r="B62" s="992" t="s">
        <v>432</v>
      </c>
      <c r="C62" s="992"/>
      <c r="D62" s="993"/>
      <c r="E62" s="202"/>
      <c r="F62" s="215"/>
      <c r="G62" s="216"/>
      <c r="H62" s="224"/>
      <c r="I62" s="226">
        <f t="shared" si="9"/>
        <v>0</v>
      </c>
      <c r="J62" s="226"/>
      <c r="K62" s="1055"/>
      <c r="L62" s="962"/>
      <c r="M62" s="962"/>
      <c r="N62" s="962"/>
      <c r="O62" s="159" t="e">
        <f t="shared" si="10"/>
        <v>#DIV/0!</v>
      </c>
      <c r="P62" s="160" t="e">
        <f t="shared" si="4"/>
        <v>#DIV/0!</v>
      </c>
      <c r="Q62" s="171" t="e">
        <f t="shared" si="5"/>
        <v>#DIV/0!</v>
      </c>
      <c r="R62" s="161" t="e">
        <f t="shared" si="6"/>
        <v>#DIV/0!</v>
      </c>
      <c r="S62" s="162" t="e">
        <f t="shared" si="7"/>
        <v>#DIV/0!</v>
      </c>
      <c r="T62" s="172" t="e">
        <f t="shared" si="8"/>
        <v>#DIV/0!</v>
      </c>
    </row>
    <row r="63" spans="1:20" ht="15.75" thickBot="1" x14ac:dyDescent="0.3">
      <c r="A63" s="228">
        <v>36</v>
      </c>
      <c r="B63" s="992" t="s">
        <v>433</v>
      </c>
      <c r="C63" s="992"/>
      <c r="D63" s="993"/>
      <c r="E63" s="202"/>
      <c r="F63" s="215"/>
      <c r="G63" s="216"/>
      <c r="H63" s="224"/>
      <c r="I63" s="226">
        <f t="shared" si="9"/>
        <v>0</v>
      </c>
      <c r="J63" s="226"/>
      <c r="K63" s="1055"/>
      <c r="L63" s="962"/>
      <c r="M63" s="962"/>
      <c r="N63" s="962"/>
      <c r="O63" s="159" t="e">
        <f t="shared" si="10"/>
        <v>#DIV/0!</v>
      </c>
      <c r="P63" s="160" t="e">
        <f t="shared" si="4"/>
        <v>#DIV/0!</v>
      </c>
      <c r="Q63" s="171" t="e">
        <f t="shared" si="5"/>
        <v>#DIV/0!</v>
      </c>
      <c r="R63" s="161" t="e">
        <f t="shared" si="6"/>
        <v>#DIV/0!</v>
      </c>
      <c r="S63" s="162" t="e">
        <f t="shared" si="7"/>
        <v>#DIV/0!</v>
      </c>
      <c r="T63" s="172" t="e">
        <f t="shared" si="8"/>
        <v>#DIV/0!</v>
      </c>
    </row>
    <row r="64" spans="1:20" ht="15.75" thickBot="1" x14ac:dyDescent="0.3">
      <c r="A64" s="228">
        <v>37</v>
      </c>
      <c r="B64" s="992" t="s">
        <v>434</v>
      </c>
      <c r="C64" s="992"/>
      <c r="D64" s="993"/>
      <c r="E64" s="202"/>
      <c r="F64" s="215"/>
      <c r="G64" s="216"/>
      <c r="H64" s="224"/>
      <c r="I64" s="226">
        <f t="shared" si="9"/>
        <v>0</v>
      </c>
      <c r="J64" s="226"/>
      <c r="K64" s="1055"/>
      <c r="L64" s="962"/>
      <c r="M64" s="962"/>
      <c r="N64" s="962"/>
      <c r="O64" s="159" t="e">
        <f t="shared" si="10"/>
        <v>#DIV/0!</v>
      </c>
      <c r="P64" s="160" t="e">
        <f t="shared" si="4"/>
        <v>#DIV/0!</v>
      </c>
      <c r="Q64" s="171" t="e">
        <f t="shared" si="5"/>
        <v>#DIV/0!</v>
      </c>
      <c r="R64" s="161" t="e">
        <f t="shared" si="6"/>
        <v>#DIV/0!</v>
      </c>
      <c r="S64" s="162" t="e">
        <f t="shared" si="7"/>
        <v>#DIV/0!</v>
      </c>
      <c r="T64" s="172" t="e">
        <f t="shared" si="8"/>
        <v>#DIV/0!</v>
      </c>
    </row>
    <row r="65" spans="1:20" ht="15.75" thickBot="1" x14ac:dyDescent="0.3">
      <c r="A65" s="228">
        <v>38</v>
      </c>
      <c r="B65" s="992" t="s">
        <v>435</v>
      </c>
      <c r="C65" s="992"/>
      <c r="D65" s="993"/>
      <c r="E65" s="202"/>
      <c r="F65" s="215"/>
      <c r="G65" s="216"/>
      <c r="H65" s="224"/>
      <c r="I65" s="226">
        <f t="shared" si="9"/>
        <v>0</v>
      </c>
      <c r="J65" s="226"/>
      <c r="K65" s="1055"/>
      <c r="L65" s="962"/>
      <c r="M65" s="962"/>
      <c r="N65" s="962"/>
      <c r="O65" s="159" t="e">
        <f t="shared" si="10"/>
        <v>#DIV/0!</v>
      </c>
      <c r="P65" s="160" t="e">
        <f t="shared" si="4"/>
        <v>#DIV/0!</v>
      </c>
      <c r="Q65" s="171" t="e">
        <f t="shared" si="5"/>
        <v>#DIV/0!</v>
      </c>
      <c r="R65" s="161" t="e">
        <f t="shared" si="6"/>
        <v>#DIV/0!</v>
      </c>
      <c r="S65" s="162" t="e">
        <f t="shared" si="7"/>
        <v>#DIV/0!</v>
      </c>
      <c r="T65" s="172" t="e">
        <f t="shared" si="8"/>
        <v>#DIV/0!</v>
      </c>
    </row>
    <row r="66" spans="1:20" ht="15.75" thickBot="1" x14ac:dyDescent="0.3">
      <c r="A66" s="228">
        <v>39</v>
      </c>
      <c r="B66" s="992" t="s">
        <v>436</v>
      </c>
      <c r="C66" s="992"/>
      <c r="D66" s="993"/>
      <c r="E66" s="202"/>
      <c r="F66" s="215"/>
      <c r="G66" s="216"/>
      <c r="H66" s="224"/>
      <c r="I66" s="226">
        <f t="shared" si="9"/>
        <v>0</v>
      </c>
      <c r="J66" s="226"/>
      <c r="K66" s="1055"/>
      <c r="L66" s="962"/>
      <c r="M66" s="962"/>
      <c r="N66" s="962"/>
      <c r="O66" s="159" t="e">
        <f t="shared" si="10"/>
        <v>#DIV/0!</v>
      </c>
      <c r="P66" s="160" t="e">
        <f t="shared" si="4"/>
        <v>#DIV/0!</v>
      </c>
      <c r="Q66" s="171" t="e">
        <f t="shared" si="5"/>
        <v>#DIV/0!</v>
      </c>
      <c r="R66" s="161" t="e">
        <f t="shared" si="6"/>
        <v>#DIV/0!</v>
      </c>
      <c r="S66" s="162" t="e">
        <f t="shared" si="7"/>
        <v>#DIV/0!</v>
      </c>
      <c r="T66" s="172" t="e">
        <f t="shared" si="8"/>
        <v>#DIV/0!</v>
      </c>
    </row>
    <row r="67" spans="1:20" ht="15.75" thickBot="1" x14ac:dyDescent="0.3">
      <c r="A67" s="228">
        <v>40</v>
      </c>
      <c r="B67" s="992" t="s">
        <v>437</v>
      </c>
      <c r="C67" s="992"/>
      <c r="D67" s="993"/>
      <c r="E67" s="202"/>
      <c r="F67" s="215"/>
      <c r="G67" s="216"/>
      <c r="H67" s="224"/>
      <c r="I67" s="226">
        <f t="shared" si="9"/>
        <v>0</v>
      </c>
      <c r="J67" s="226"/>
      <c r="K67" s="1055"/>
      <c r="L67" s="962"/>
      <c r="M67" s="962"/>
      <c r="N67" s="962"/>
      <c r="O67" s="159" t="e">
        <f t="shared" si="10"/>
        <v>#DIV/0!</v>
      </c>
      <c r="P67" s="160" t="e">
        <f t="shared" si="4"/>
        <v>#DIV/0!</v>
      </c>
      <c r="Q67" s="171" t="e">
        <f t="shared" si="5"/>
        <v>#DIV/0!</v>
      </c>
      <c r="R67" s="161" t="e">
        <f t="shared" si="6"/>
        <v>#DIV/0!</v>
      </c>
      <c r="S67" s="162" t="e">
        <f t="shared" si="7"/>
        <v>#DIV/0!</v>
      </c>
      <c r="T67" s="172" t="e">
        <f t="shared" si="8"/>
        <v>#DIV/0!</v>
      </c>
    </row>
    <row r="68" spans="1:20" ht="15.75" thickBot="1" x14ac:dyDescent="0.3">
      <c r="A68" s="228">
        <v>41</v>
      </c>
      <c r="B68" s="992" t="s">
        <v>438</v>
      </c>
      <c r="C68" s="992"/>
      <c r="D68" s="993"/>
      <c r="E68" s="202"/>
      <c r="F68" s="215"/>
      <c r="G68" s="216"/>
      <c r="H68" s="224"/>
      <c r="I68" s="226">
        <f t="shared" si="9"/>
        <v>0</v>
      </c>
      <c r="J68" s="226"/>
      <c r="K68" s="1055"/>
      <c r="L68" s="962"/>
      <c r="M68" s="962"/>
      <c r="N68" s="962"/>
      <c r="O68" s="159" t="e">
        <f t="shared" si="10"/>
        <v>#DIV/0!</v>
      </c>
      <c r="P68" s="160" t="e">
        <f t="shared" si="4"/>
        <v>#DIV/0!</v>
      </c>
      <c r="Q68" s="171" t="e">
        <f t="shared" si="5"/>
        <v>#DIV/0!</v>
      </c>
      <c r="R68" s="161" t="e">
        <f t="shared" si="6"/>
        <v>#DIV/0!</v>
      </c>
      <c r="S68" s="162" t="e">
        <f t="shared" si="7"/>
        <v>#DIV/0!</v>
      </c>
      <c r="T68" s="172" t="e">
        <f t="shared" si="8"/>
        <v>#DIV/0!</v>
      </c>
    </row>
    <row r="69" spans="1:20" ht="15.75" thickBot="1" x14ac:dyDescent="0.3">
      <c r="A69" s="228">
        <v>42</v>
      </c>
      <c r="B69" s="992" t="s">
        <v>439</v>
      </c>
      <c r="C69" s="992"/>
      <c r="D69" s="993"/>
      <c r="E69" s="202"/>
      <c r="F69" s="215"/>
      <c r="G69" s="216"/>
      <c r="H69" s="224"/>
      <c r="I69" s="226">
        <f t="shared" si="9"/>
        <v>0</v>
      </c>
      <c r="J69" s="226"/>
      <c r="K69" s="1055"/>
      <c r="L69" s="962"/>
      <c r="M69" s="962"/>
      <c r="N69" s="962"/>
      <c r="O69" s="159" t="e">
        <f t="shared" si="10"/>
        <v>#DIV/0!</v>
      </c>
      <c r="P69" s="160" t="e">
        <f t="shared" si="4"/>
        <v>#DIV/0!</v>
      </c>
      <c r="Q69" s="171" t="e">
        <f t="shared" si="5"/>
        <v>#DIV/0!</v>
      </c>
      <c r="R69" s="161" t="e">
        <f t="shared" si="6"/>
        <v>#DIV/0!</v>
      </c>
      <c r="S69" s="162" t="e">
        <f t="shared" si="7"/>
        <v>#DIV/0!</v>
      </c>
      <c r="T69" s="172" t="e">
        <f t="shared" si="8"/>
        <v>#DIV/0!</v>
      </c>
    </row>
    <row r="70" spans="1:20" ht="15.75" thickBot="1" x14ac:dyDescent="0.3">
      <c r="A70" s="228">
        <v>43</v>
      </c>
      <c r="B70" s="992" t="s">
        <v>387</v>
      </c>
      <c r="C70" s="992"/>
      <c r="D70" s="993"/>
      <c r="E70" s="202"/>
      <c r="F70" s="215"/>
      <c r="G70" s="216"/>
      <c r="H70" s="224"/>
      <c r="I70" s="226">
        <f t="shared" si="9"/>
        <v>0</v>
      </c>
      <c r="J70" s="226"/>
      <c r="K70" s="1055"/>
      <c r="L70" s="962"/>
      <c r="M70" s="962"/>
      <c r="N70" s="962"/>
      <c r="O70" s="159" t="e">
        <f t="shared" si="10"/>
        <v>#DIV/0!</v>
      </c>
      <c r="P70" s="160" t="e">
        <f t="shared" si="4"/>
        <v>#DIV/0!</v>
      </c>
      <c r="Q70" s="171" t="e">
        <f t="shared" si="5"/>
        <v>#DIV/0!</v>
      </c>
      <c r="R70" s="161" t="e">
        <f t="shared" si="6"/>
        <v>#DIV/0!</v>
      </c>
      <c r="S70" s="162" t="e">
        <f t="shared" si="7"/>
        <v>#DIV/0!</v>
      </c>
      <c r="T70" s="172" t="e">
        <f t="shared" si="8"/>
        <v>#DIV/0!</v>
      </c>
    </row>
    <row r="71" spans="1:20" ht="15.75" thickBot="1" x14ac:dyDescent="0.3">
      <c r="A71" s="228">
        <v>44</v>
      </c>
      <c r="B71" s="992" t="s">
        <v>440</v>
      </c>
      <c r="C71" s="992"/>
      <c r="D71" s="993"/>
      <c r="E71" s="202"/>
      <c r="F71" s="215"/>
      <c r="G71" s="216"/>
      <c r="H71" s="224"/>
      <c r="I71" s="226">
        <f t="shared" si="9"/>
        <v>0</v>
      </c>
      <c r="J71" s="226"/>
      <c r="K71" s="1055"/>
      <c r="L71" s="962"/>
      <c r="M71" s="962"/>
      <c r="N71" s="962"/>
      <c r="O71" s="159" t="e">
        <f t="shared" si="10"/>
        <v>#DIV/0!</v>
      </c>
      <c r="P71" s="160" t="e">
        <f t="shared" si="4"/>
        <v>#DIV/0!</v>
      </c>
      <c r="Q71" s="171" t="e">
        <f t="shared" si="5"/>
        <v>#DIV/0!</v>
      </c>
      <c r="R71" s="161" t="e">
        <f t="shared" si="6"/>
        <v>#DIV/0!</v>
      </c>
      <c r="S71" s="162" t="e">
        <f t="shared" si="7"/>
        <v>#DIV/0!</v>
      </c>
      <c r="T71" s="172" t="e">
        <f t="shared" si="8"/>
        <v>#DIV/0!</v>
      </c>
    </row>
    <row r="72" spans="1:20" ht="15.75" thickBot="1" x14ac:dyDescent="0.3">
      <c r="A72" s="228">
        <v>45</v>
      </c>
      <c r="B72" s="992" t="s">
        <v>441</v>
      </c>
      <c r="C72" s="992"/>
      <c r="D72" s="993"/>
      <c r="E72" s="202"/>
      <c r="F72" s="215"/>
      <c r="G72" s="216"/>
      <c r="H72" s="224"/>
      <c r="I72" s="226">
        <f t="shared" si="9"/>
        <v>0</v>
      </c>
      <c r="J72" s="226"/>
      <c r="K72" s="1055"/>
      <c r="L72" s="962"/>
      <c r="M72" s="962"/>
      <c r="N72" s="962"/>
      <c r="O72" s="159" t="e">
        <f t="shared" si="10"/>
        <v>#DIV/0!</v>
      </c>
      <c r="P72" s="160" t="e">
        <f t="shared" si="4"/>
        <v>#DIV/0!</v>
      </c>
      <c r="Q72" s="171" t="e">
        <f t="shared" si="5"/>
        <v>#DIV/0!</v>
      </c>
      <c r="R72" s="161" t="e">
        <f t="shared" si="6"/>
        <v>#DIV/0!</v>
      </c>
      <c r="S72" s="162" t="e">
        <f t="shared" si="7"/>
        <v>#DIV/0!</v>
      </c>
      <c r="T72" s="172" t="e">
        <f t="shared" si="8"/>
        <v>#DIV/0!</v>
      </c>
    </row>
    <row r="73" spans="1:20" ht="15.75" thickBot="1" x14ac:dyDescent="0.3">
      <c r="A73" s="228">
        <v>46</v>
      </c>
      <c r="B73" s="992" t="s">
        <v>442</v>
      </c>
      <c r="C73" s="992"/>
      <c r="D73" s="993"/>
      <c r="E73" s="202"/>
      <c r="F73" s="215"/>
      <c r="G73" s="216"/>
      <c r="H73" s="224"/>
      <c r="I73" s="226">
        <f t="shared" si="9"/>
        <v>0</v>
      </c>
      <c r="J73" s="226"/>
      <c r="K73" s="1055"/>
      <c r="L73" s="962"/>
      <c r="M73" s="962"/>
      <c r="N73" s="962"/>
      <c r="O73" s="159" t="e">
        <f t="shared" si="10"/>
        <v>#DIV/0!</v>
      </c>
      <c r="P73" s="160" t="e">
        <f t="shared" si="4"/>
        <v>#DIV/0!</v>
      </c>
      <c r="Q73" s="171" t="e">
        <f t="shared" si="5"/>
        <v>#DIV/0!</v>
      </c>
      <c r="R73" s="161" t="e">
        <f t="shared" si="6"/>
        <v>#DIV/0!</v>
      </c>
      <c r="S73" s="162" t="e">
        <f t="shared" si="7"/>
        <v>#DIV/0!</v>
      </c>
      <c r="T73" s="172" t="e">
        <f t="shared" si="8"/>
        <v>#DIV/0!</v>
      </c>
    </row>
    <row r="74" spans="1:20" ht="15.75" thickBot="1" x14ac:dyDescent="0.3">
      <c r="A74" s="228">
        <v>47</v>
      </c>
      <c r="B74" s="992" t="s">
        <v>388</v>
      </c>
      <c r="C74" s="992"/>
      <c r="D74" s="993"/>
      <c r="E74" s="202"/>
      <c r="F74" s="215"/>
      <c r="G74" s="216"/>
      <c r="H74" s="224"/>
      <c r="I74" s="226">
        <f t="shared" si="9"/>
        <v>0</v>
      </c>
      <c r="J74" s="226"/>
      <c r="K74" s="1055"/>
      <c r="L74" s="962"/>
      <c r="M74" s="962"/>
      <c r="N74" s="962"/>
      <c r="O74" s="159" t="e">
        <f t="shared" si="10"/>
        <v>#DIV/0!</v>
      </c>
      <c r="P74" s="160" t="e">
        <f t="shared" si="4"/>
        <v>#DIV/0!</v>
      </c>
      <c r="Q74" s="171" t="e">
        <f t="shared" si="5"/>
        <v>#DIV/0!</v>
      </c>
      <c r="R74" s="161" t="e">
        <f t="shared" si="6"/>
        <v>#DIV/0!</v>
      </c>
      <c r="S74" s="162" t="e">
        <f t="shared" si="7"/>
        <v>#DIV/0!</v>
      </c>
      <c r="T74" s="172" t="e">
        <f t="shared" si="8"/>
        <v>#DIV/0!</v>
      </c>
    </row>
    <row r="75" spans="1:20" ht="15.75" thickBot="1" x14ac:dyDescent="0.3">
      <c r="A75" s="228">
        <v>48</v>
      </c>
      <c r="B75" s="992" t="s">
        <v>443</v>
      </c>
      <c r="C75" s="992"/>
      <c r="D75" s="993"/>
      <c r="E75" s="202"/>
      <c r="F75" s="215"/>
      <c r="G75" s="216"/>
      <c r="H75" s="224"/>
      <c r="I75" s="226">
        <f t="shared" si="9"/>
        <v>0</v>
      </c>
      <c r="J75" s="226"/>
      <c r="K75" s="1055"/>
      <c r="L75" s="962"/>
      <c r="M75" s="962"/>
      <c r="N75" s="962"/>
      <c r="O75" s="159" t="e">
        <f t="shared" si="10"/>
        <v>#DIV/0!</v>
      </c>
      <c r="P75" s="160" t="e">
        <f t="shared" si="4"/>
        <v>#DIV/0!</v>
      </c>
      <c r="Q75" s="171" t="e">
        <f t="shared" si="5"/>
        <v>#DIV/0!</v>
      </c>
      <c r="R75" s="161" t="e">
        <f t="shared" si="6"/>
        <v>#DIV/0!</v>
      </c>
      <c r="S75" s="162" t="e">
        <f t="shared" si="7"/>
        <v>#DIV/0!</v>
      </c>
      <c r="T75" s="172" t="e">
        <f t="shared" si="8"/>
        <v>#DIV/0!</v>
      </c>
    </row>
    <row r="76" spans="1:20" ht="15.75" thickBot="1" x14ac:dyDescent="0.3">
      <c r="A76" s="228">
        <v>49</v>
      </c>
      <c r="B76" s="992" t="s">
        <v>444</v>
      </c>
      <c r="C76" s="992"/>
      <c r="D76" s="993"/>
      <c r="E76" s="202"/>
      <c r="F76" s="215"/>
      <c r="G76" s="216"/>
      <c r="H76" s="224"/>
      <c r="I76" s="226">
        <f t="shared" si="9"/>
        <v>0</v>
      </c>
      <c r="J76" s="226"/>
      <c r="K76" s="1055"/>
      <c r="L76" s="962"/>
      <c r="M76" s="962"/>
      <c r="N76" s="962"/>
      <c r="O76" s="159" t="e">
        <f t="shared" si="10"/>
        <v>#DIV/0!</v>
      </c>
      <c r="P76" s="160" t="e">
        <f t="shared" si="4"/>
        <v>#DIV/0!</v>
      </c>
      <c r="Q76" s="171" t="e">
        <f t="shared" si="5"/>
        <v>#DIV/0!</v>
      </c>
      <c r="R76" s="161" t="e">
        <f t="shared" si="6"/>
        <v>#DIV/0!</v>
      </c>
      <c r="S76" s="162" t="e">
        <f t="shared" si="7"/>
        <v>#DIV/0!</v>
      </c>
      <c r="T76" s="172" t="e">
        <f t="shared" si="8"/>
        <v>#DIV/0!</v>
      </c>
    </row>
    <row r="77" spans="1:20" ht="15.75" thickBot="1" x14ac:dyDescent="0.3">
      <c r="A77" s="228">
        <v>50</v>
      </c>
      <c r="B77" s="992" t="s">
        <v>445</v>
      </c>
      <c r="C77" s="992"/>
      <c r="D77" s="993"/>
      <c r="E77" s="202"/>
      <c r="F77" s="215"/>
      <c r="G77" s="216"/>
      <c r="H77" s="224"/>
      <c r="I77" s="226">
        <f t="shared" si="9"/>
        <v>0</v>
      </c>
      <c r="J77" s="226"/>
      <c r="K77" s="1055"/>
      <c r="L77" s="962"/>
      <c r="M77" s="962"/>
      <c r="N77" s="962"/>
      <c r="O77" s="159" t="e">
        <f t="shared" si="10"/>
        <v>#DIV/0!</v>
      </c>
      <c r="P77" s="160" t="e">
        <f t="shared" si="4"/>
        <v>#DIV/0!</v>
      </c>
      <c r="Q77" s="171" t="e">
        <f t="shared" si="5"/>
        <v>#DIV/0!</v>
      </c>
      <c r="R77" s="161" t="e">
        <f t="shared" si="6"/>
        <v>#DIV/0!</v>
      </c>
      <c r="S77" s="162" t="e">
        <f t="shared" si="7"/>
        <v>#DIV/0!</v>
      </c>
      <c r="T77" s="172" t="e">
        <f t="shared" si="8"/>
        <v>#DIV/0!</v>
      </c>
    </row>
    <row r="78" spans="1:20" ht="15.75" thickBot="1" x14ac:dyDescent="0.3">
      <c r="A78" s="228">
        <v>51</v>
      </c>
      <c r="B78" s="992" t="s">
        <v>446</v>
      </c>
      <c r="C78" s="992"/>
      <c r="D78" s="993"/>
      <c r="E78" s="202"/>
      <c r="F78" s="215"/>
      <c r="G78" s="216"/>
      <c r="H78" s="224"/>
      <c r="I78" s="226">
        <f t="shared" si="9"/>
        <v>0</v>
      </c>
      <c r="J78" s="226"/>
      <c r="K78" s="1055"/>
      <c r="L78" s="962"/>
      <c r="M78" s="962"/>
      <c r="N78" s="962"/>
      <c r="O78" s="159" t="e">
        <f t="shared" si="10"/>
        <v>#DIV/0!</v>
      </c>
      <c r="P78" s="160" t="e">
        <f t="shared" si="4"/>
        <v>#DIV/0!</v>
      </c>
      <c r="Q78" s="171" t="e">
        <f t="shared" si="5"/>
        <v>#DIV/0!</v>
      </c>
      <c r="R78" s="161" t="e">
        <f t="shared" si="6"/>
        <v>#DIV/0!</v>
      </c>
      <c r="S78" s="162" t="e">
        <f t="shared" si="7"/>
        <v>#DIV/0!</v>
      </c>
      <c r="T78" s="172" t="e">
        <f t="shared" si="8"/>
        <v>#DIV/0!</v>
      </c>
    </row>
    <row r="79" spans="1:20" ht="15.75" thickBot="1" x14ac:dyDescent="0.3">
      <c r="A79" s="228">
        <v>52</v>
      </c>
      <c r="B79" s="992" t="s">
        <v>447</v>
      </c>
      <c r="C79" s="992"/>
      <c r="D79" s="993"/>
      <c r="E79" s="202"/>
      <c r="F79" s="215"/>
      <c r="G79" s="216"/>
      <c r="H79" s="224"/>
      <c r="I79" s="226">
        <f t="shared" si="9"/>
        <v>0</v>
      </c>
      <c r="J79" s="226"/>
      <c r="K79" s="1055"/>
      <c r="L79" s="962"/>
      <c r="M79" s="962"/>
      <c r="N79" s="962"/>
      <c r="O79" s="159" t="e">
        <f t="shared" si="10"/>
        <v>#DIV/0!</v>
      </c>
      <c r="P79" s="160" t="e">
        <f t="shared" si="4"/>
        <v>#DIV/0!</v>
      </c>
      <c r="Q79" s="171" t="e">
        <f t="shared" si="5"/>
        <v>#DIV/0!</v>
      </c>
      <c r="R79" s="161" t="e">
        <f t="shared" si="6"/>
        <v>#DIV/0!</v>
      </c>
      <c r="S79" s="162" t="e">
        <f t="shared" si="7"/>
        <v>#DIV/0!</v>
      </c>
      <c r="T79" s="172" t="e">
        <f t="shared" si="8"/>
        <v>#DIV/0!</v>
      </c>
    </row>
    <row r="80" spans="1:20" ht="15.75" thickBot="1" x14ac:dyDescent="0.3">
      <c r="A80" s="228">
        <v>53</v>
      </c>
      <c r="B80" s="992" t="s">
        <v>448</v>
      </c>
      <c r="C80" s="992"/>
      <c r="D80" s="993"/>
      <c r="E80" s="202"/>
      <c r="F80" s="215"/>
      <c r="G80" s="216"/>
      <c r="H80" s="224"/>
      <c r="I80" s="226">
        <f t="shared" si="9"/>
        <v>0</v>
      </c>
      <c r="J80" s="226"/>
      <c r="K80" s="1055"/>
      <c r="L80" s="962"/>
      <c r="M80" s="962"/>
      <c r="N80" s="962"/>
      <c r="O80" s="159" t="e">
        <f t="shared" si="10"/>
        <v>#DIV/0!</v>
      </c>
      <c r="P80" s="160" t="e">
        <f t="shared" si="4"/>
        <v>#DIV/0!</v>
      </c>
      <c r="Q80" s="171" t="e">
        <f t="shared" si="5"/>
        <v>#DIV/0!</v>
      </c>
      <c r="R80" s="161" t="e">
        <f t="shared" si="6"/>
        <v>#DIV/0!</v>
      </c>
      <c r="S80" s="162" t="e">
        <f t="shared" si="7"/>
        <v>#DIV/0!</v>
      </c>
      <c r="T80" s="172" t="e">
        <f t="shared" si="8"/>
        <v>#DIV/0!</v>
      </c>
    </row>
    <row r="81" spans="1:20" ht="15.75" thickBot="1" x14ac:dyDescent="0.3">
      <c r="A81" s="228">
        <v>54</v>
      </c>
      <c r="B81" s="992" t="s">
        <v>449</v>
      </c>
      <c r="C81" s="992"/>
      <c r="D81" s="993"/>
      <c r="E81" s="202"/>
      <c r="F81" s="215"/>
      <c r="G81" s="216"/>
      <c r="H81" s="224"/>
      <c r="I81" s="226">
        <f t="shared" si="9"/>
        <v>0</v>
      </c>
      <c r="J81" s="226"/>
      <c r="K81" s="1055"/>
      <c r="L81" s="962"/>
      <c r="M81" s="962"/>
      <c r="N81" s="962"/>
      <c r="O81" s="159" t="e">
        <f t="shared" si="10"/>
        <v>#DIV/0!</v>
      </c>
      <c r="P81" s="160" t="e">
        <f t="shared" si="4"/>
        <v>#DIV/0!</v>
      </c>
      <c r="Q81" s="171" t="e">
        <f t="shared" si="5"/>
        <v>#DIV/0!</v>
      </c>
      <c r="R81" s="161" t="e">
        <f t="shared" si="6"/>
        <v>#DIV/0!</v>
      </c>
      <c r="S81" s="162" t="e">
        <f t="shared" si="7"/>
        <v>#DIV/0!</v>
      </c>
      <c r="T81" s="172" t="e">
        <f t="shared" si="8"/>
        <v>#DIV/0!</v>
      </c>
    </row>
    <row r="82" spans="1:20" ht="15.75" thickBot="1" x14ac:dyDescent="0.3">
      <c r="A82" s="228">
        <v>55</v>
      </c>
      <c r="B82" s="992" t="s">
        <v>450</v>
      </c>
      <c r="C82" s="992"/>
      <c r="D82" s="993"/>
      <c r="E82" s="202"/>
      <c r="F82" s="215"/>
      <c r="G82" s="216"/>
      <c r="H82" s="224"/>
      <c r="I82" s="226">
        <f t="shared" si="9"/>
        <v>0</v>
      </c>
      <c r="J82" s="226"/>
      <c r="K82" s="1055"/>
      <c r="L82" s="962"/>
      <c r="M82" s="962"/>
      <c r="N82" s="962"/>
      <c r="O82" s="159" t="e">
        <f t="shared" si="10"/>
        <v>#DIV/0!</v>
      </c>
      <c r="P82" s="160" t="e">
        <f t="shared" si="4"/>
        <v>#DIV/0!</v>
      </c>
      <c r="Q82" s="171" t="e">
        <f t="shared" si="5"/>
        <v>#DIV/0!</v>
      </c>
      <c r="R82" s="161" t="e">
        <f t="shared" si="6"/>
        <v>#DIV/0!</v>
      </c>
      <c r="S82" s="162" t="e">
        <f t="shared" si="7"/>
        <v>#DIV/0!</v>
      </c>
      <c r="T82" s="172" t="e">
        <f t="shared" si="8"/>
        <v>#DIV/0!</v>
      </c>
    </row>
    <row r="83" spans="1:20" ht="15.75" thickBot="1" x14ac:dyDescent="0.3">
      <c r="A83" s="228">
        <v>56</v>
      </c>
      <c r="B83" s="992" t="s">
        <v>451</v>
      </c>
      <c r="C83" s="992"/>
      <c r="D83" s="993"/>
      <c r="E83" s="202"/>
      <c r="F83" s="215"/>
      <c r="G83" s="216"/>
      <c r="H83" s="224"/>
      <c r="I83" s="226">
        <f t="shared" si="9"/>
        <v>0</v>
      </c>
      <c r="J83" s="226"/>
      <c r="K83" s="1055"/>
      <c r="L83" s="962"/>
      <c r="M83" s="962"/>
      <c r="N83" s="962"/>
      <c r="O83" s="159" t="e">
        <f t="shared" si="10"/>
        <v>#DIV/0!</v>
      </c>
      <c r="P83" s="160" t="e">
        <f t="shared" si="4"/>
        <v>#DIV/0!</v>
      </c>
      <c r="Q83" s="171" t="e">
        <f t="shared" si="5"/>
        <v>#DIV/0!</v>
      </c>
      <c r="R83" s="161" t="e">
        <f t="shared" si="6"/>
        <v>#DIV/0!</v>
      </c>
      <c r="S83" s="162" t="e">
        <f t="shared" si="7"/>
        <v>#DIV/0!</v>
      </c>
      <c r="T83" s="172" t="e">
        <f t="shared" si="8"/>
        <v>#DIV/0!</v>
      </c>
    </row>
    <row r="84" spans="1:20" ht="15.75" thickBot="1" x14ac:dyDescent="0.3">
      <c r="A84" s="228">
        <v>57</v>
      </c>
      <c r="B84" s="994" t="s">
        <v>452</v>
      </c>
      <c r="C84" s="994"/>
      <c r="D84" s="995"/>
      <c r="E84" s="202"/>
      <c r="F84" s="215"/>
      <c r="G84" s="216"/>
      <c r="H84" s="224"/>
      <c r="I84" s="226">
        <f t="shared" si="9"/>
        <v>0</v>
      </c>
      <c r="J84" s="226"/>
      <c r="K84" s="1055"/>
      <c r="L84" s="962"/>
      <c r="M84" s="962"/>
      <c r="N84" s="962"/>
      <c r="O84" s="159" t="e">
        <f t="shared" si="10"/>
        <v>#DIV/0!</v>
      </c>
      <c r="P84" s="160" t="e">
        <f t="shared" si="4"/>
        <v>#DIV/0!</v>
      </c>
      <c r="Q84" s="171" t="e">
        <f t="shared" si="5"/>
        <v>#DIV/0!</v>
      </c>
      <c r="R84" s="161" t="e">
        <f t="shared" si="6"/>
        <v>#DIV/0!</v>
      </c>
      <c r="S84" s="162" t="e">
        <f t="shared" si="7"/>
        <v>#DIV/0!</v>
      </c>
      <c r="T84" s="172" t="e">
        <f t="shared" si="8"/>
        <v>#DIV/0!</v>
      </c>
    </row>
    <row r="85" spans="1:20" ht="15.75" thickBot="1" x14ac:dyDescent="0.3">
      <c r="A85" s="228">
        <v>58</v>
      </c>
      <c r="B85" s="992" t="s">
        <v>453</v>
      </c>
      <c r="C85" s="992"/>
      <c r="D85" s="993"/>
      <c r="E85" s="202"/>
      <c r="F85" s="215"/>
      <c r="G85" s="216"/>
      <c r="H85" s="224"/>
      <c r="I85" s="226">
        <f t="shared" si="9"/>
        <v>0</v>
      </c>
      <c r="J85" s="226"/>
      <c r="K85" s="1055"/>
      <c r="L85" s="962"/>
      <c r="M85" s="962"/>
      <c r="N85" s="962"/>
      <c r="O85" s="159" t="e">
        <f t="shared" si="10"/>
        <v>#DIV/0!</v>
      </c>
      <c r="P85" s="160" t="e">
        <f t="shared" si="4"/>
        <v>#DIV/0!</v>
      </c>
      <c r="Q85" s="171" t="e">
        <f t="shared" si="5"/>
        <v>#DIV/0!</v>
      </c>
      <c r="R85" s="161" t="e">
        <f t="shared" si="6"/>
        <v>#DIV/0!</v>
      </c>
      <c r="S85" s="162" t="e">
        <f t="shared" si="7"/>
        <v>#DIV/0!</v>
      </c>
      <c r="T85" s="172" t="e">
        <f t="shared" si="8"/>
        <v>#DIV/0!</v>
      </c>
    </row>
    <row r="86" spans="1:20" ht="15.75" thickBot="1" x14ac:dyDescent="0.3">
      <c r="A86" s="228">
        <v>59</v>
      </c>
      <c r="B86" s="992" t="s">
        <v>454</v>
      </c>
      <c r="C86" s="992"/>
      <c r="D86" s="993"/>
      <c r="E86" s="202"/>
      <c r="F86" s="215"/>
      <c r="G86" s="216"/>
      <c r="H86" s="224"/>
      <c r="I86" s="226">
        <f t="shared" si="9"/>
        <v>0</v>
      </c>
      <c r="J86" s="226"/>
      <c r="K86" s="1055"/>
      <c r="L86" s="962"/>
      <c r="M86" s="962"/>
      <c r="N86" s="962"/>
      <c r="O86" s="159" t="e">
        <f t="shared" si="10"/>
        <v>#DIV/0!</v>
      </c>
      <c r="P86" s="160" t="e">
        <f t="shared" si="4"/>
        <v>#DIV/0!</v>
      </c>
      <c r="Q86" s="171" t="e">
        <f t="shared" si="5"/>
        <v>#DIV/0!</v>
      </c>
      <c r="R86" s="161" t="e">
        <f t="shared" si="6"/>
        <v>#DIV/0!</v>
      </c>
      <c r="S86" s="162" t="e">
        <f t="shared" si="7"/>
        <v>#DIV/0!</v>
      </c>
      <c r="T86" s="172" t="e">
        <f t="shared" si="8"/>
        <v>#DIV/0!</v>
      </c>
    </row>
    <row r="87" spans="1:20" ht="15.75" thickBot="1" x14ac:dyDescent="0.3">
      <c r="A87" s="228">
        <v>60</v>
      </c>
      <c r="B87" s="992" t="s">
        <v>455</v>
      </c>
      <c r="C87" s="992"/>
      <c r="D87" s="993"/>
      <c r="E87" s="202"/>
      <c r="F87" s="215"/>
      <c r="G87" s="216"/>
      <c r="H87" s="224"/>
      <c r="I87" s="226">
        <f t="shared" si="9"/>
        <v>0</v>
      </c>
      <c r="J87" s="226"/>
      <c r="K87" s="1055"/>
      <c r="L87" s="962"/>
      <c r="M87" s="962"/>
      <c r="N87" s="962"/>
      <c r="O87" s="159" t="e">
        <f t="shared" si="10"/>
        <v>#DIV/0!</v>
      </c>
      <c r="P87" s="160" t="e">
        <f t="shared" si="4"/>
        <v>#DIV/0!</v>
      </c>
      <c r="Q87" s="171" t="e">
        <f t="shared" si="5"/>
        <v>#DIV/0!</v>
      </c>
      <c r="R87" s="161" t="e">
        <f t="shared" si="6"/>
        <v>#DIV/0!</v>
      </c>
      <c r="S87" s="162" t="e">
        <f t="shared" si="7"/>
        <v>#DIV/0!</v>
      </c>
      <c r="T87" s="172" t="e">
        <f t="shared" si="8"/>
        <v>#DIV/0!</v>
      </c>
    </row>
    <row r="88" spans="1:20" ht="15.75" thickBot="1" x14ac:dyDescent="0.3">
      <c r="A88" s="228">
        <v>61</v>
      </c>
      <c r="B88" s="992" t="s">
        <v>456</v>
      </c>
      <c r="C88" s="992"/>
      <c r="D88" s="993"/>
      <c r="E88" s="202"/>
      <c r="F88" s="215"/>
      <c r="G88" s="216"/>
      <c r="H88" s="224"/>
      <c r="I88" s="226">
        <f t="shared" si="9"/>
        <v>0</v>
      </c>
      <c r="J88" s="226"/>
      <c r="K88" s="1055"/>
      <c r="L88" s="962"/>
      <c r="M88" s="962"/>
      <c r="N88" s="962"/>
      <c r="O88" s="159" t="e">
        <f t="shared" si="10"/>
        <v>#DIV/0!</v>
      </c>
      <c r="P88" s="160" t="e">
        <f t="shared" si="4"/>
        <v>#DIV/0!</v>
      </c>
      <c r="Q88" s="171" t="e">
        <f t="shared" si="5"/>
        <v>#DIV/0!</v>
      </c>
      <c r="R88" s="161" t="e">
        <f t="shared" si="6"/>
        <v>#DIV/0!</v>
      </c>
      <c r="S88" s="162" t="e">
        <f t="shared" si="7"/>
        <v>#DIV/0!</v>
      </c>
      <c r="T88" s="172" t="e">
        <f t="shared" si="8"/>
        <v>#DIV/0!</v>
      </c>
    </row>
    <row r="89" spans="1:20" ht="15.75" thickBot="1" x14ac:dyDescent="0.3">
      <c r="A89" s="228">
        <v>62</v>
      </c>
      <c r="B89" s="992" t="s">
        <v>457</v>
      </c>
      <c r="C89" s="992"/>
      <c r="D89" s="993"/>
      <c r="E89" s="202"/>
      <c r="F89" s="215"/>
      <c r="G89" s="216"/>
      <c r="H89" s="224"/>
      <c r="I89" s="226">
        <f t="shared" si="9"/>
        <v>0</v>
      </c>
      <c r="J89" s="226"/>
      <c r="K89" s="1055"/>
      <c r="L89" s="962"/>
      <c r="M89" s="962"/>
      <c r="N89" s="962"/>
      <c r="O89" s="159" t="e">
        <f t="shared" si="10"/>
        <v>#DIV/0!</v>
      </c>
      <c r="P89" s="160" t="e">
        <f t="shared" si="4"/>
        <v>#DIV/0!</v>
      </c>
      <c r="Q89" s="171" t="e">
        <f t="shared" si="5"/>
        <v>#DIV/0!</v>
      </c>
      <c r="R89" s="161" t="e">
        <f t="shared" si="6"/>
        <v>#DIV/0!</v>
      </c>
      <c r="S89" s="162" t="e">
        <f t="shared" si="7"/>
        <v>#DIV/0!</v>
      </c>
      <c r="T89" s="172" t="e">
        <f t="shared" si="8"/>
        <v>#DIV/0!</v>
      </c>
    </row>
    <row r="90" spans="1:20" ht="15.75" thickBot="1" x14ac:dyDescent="0.3">
      <c r="A90" s="228">
        <v>63</v>
      </c>
      <c r="B90" s="990" t="s">
        <v>458</v>
      </c>
      <c r="C90" s="990"/>
      <c r="D90" s="991"/>
      <c r="E90" s="202"/>
      <c r="F90" s="215"/>
      <c r="G90" s="216"/>
      <c r="H90" s="224"/>
      <c r="I90" s="226">
        <f t="shared" si="9"/>
        <v>0</v>
      </c>
      <c r="J90" s="226"/>
      <c r="K90" s="1055"/>
      <c r="L90" s="962"/>
      <c r="M90" s="962"/>
      <c r="N90" s="962"/>
      <c r="O90" s="159" t="e">
        <f t="shared" si="10"/>
        <v>#DIV/0!</v>
      </c>
      <c r="P90" s="160" t="e">
        <f t="shared" si="4"/>
        <v>#DIV/0!</v>
      </c>
      <c r="Q90" s="171" t="e">
        <f t="shared" si="5"/>
        <v>#DIV/0!</v>
      </c>
      <c r="R90" s="161" t="e">
        <f t="shared" si="6"/>
        <v>#DIV/0!</v>
      </c>
      <c r="S90" s="162" t="e">
        <f t="shared" si="7"/>
        <v>#DIV/0!</v>
      </c>
      <c r="T90" s="172" t="e">
        <f t="shared" si="8"/>
        <v>#DIV/0!</v>
      </c>
    </row>
    <row r="91" spans="1:20" ht="15.75" thickBot="1" x14ac:dyDescent="0.3">
      <c r="A91" s="228">
        <v>64</v>
      </c>
      <c r="B91" s="990" t="s">
        <v>459</v>
      </c>
      <c r="C91" s="990"/>
      <c r="D91" s="991"/>
      <c r="E91" s="202"/>
      <c r="F91" s="215"/>
      <c r="G91" s="216"/>
      <c r="H91" s="224"/>
      <c r="I91" s="226">
        <f t="shared" si="9"/>
        <v>0</v>
      </c>
      <c r="J91" s="226"/>
      <c r="K91" s="1055"/>
      <c r="L91" s="962"/>
      <c r="M91" s="962"/>
      <c r="N91" s="962"/>
      <c r="O91" s="159" t="e">
        <f t="shared" si="10"/>
        <v>#DIV/0!</v>
      </c>
      <c r="P91" s="160" t="e">
        <f t="shared" si="4"/>
        <v>#DIV/0!</v>
      </c>
      <c r="Q91" s="171" t="e">
        <f t="shared" si="5"/>
        <v>#DIV/0!</v>
      </c>
      <c r="R91" s="161" t="e">
        <f t="shared" si="6"/>
        <v>#DIV/0!</v>
      </c>
      <c r="S91" s="162" t="e">
        <f t="shared" si="7"/>
        <v>#DIV/0!</v>
      </c>
      <c r="T91" s="172" t="e">
        <f t="shared" si="8"/>
        <v>#DIV/0!</v>
      </c>
    </row>
    <row r="92" spans="1:20" ht="15.75" thickBot="1" x14ac:dyDescent="0.3">
      <c r="A92" s="228">
        <v>65</v>
      </c>
      <c r="B92" s="990" t="s">
        <v>545</v>
      </c>
      <c r="C92" s="990"/>
      <c r="D92" s="991"/>
      <c r="E92" s="202"/>
      <c r="F92" s="215"/>
      <c r="G92" s="216"/>
      <c r="H92" s="224"/>
      <c r="I92" s="226">
        <f t="shared" si="9"/>
        <v>0</v>
      </c>
      <c r="J92" s="226"/>
      <c r="K92" s="1055"/>
      <c r="L92" s="962"/>
      <c r="M92" s="962"/>
      <c r="N92" s="962"/>
      <c r="O92" s="159" t="e">
        <f t="shared" si="10"/>
        <v>#DIV/0!</v>
      </c>
      <c r="P92" s="160" t="e">
        <f t="shared" ref="P92:P132" si="11">O92*0.125</f>
        <v>#DIV/0!</v>
      </c>
      <c r="Q92" s="171" t="e">
        <f t="shared" ref="Q92:Q132" si="12">O92*0.05</f>
        <v>#DIV/0!</v>
      </c>
      <c r="R92" s="161" t="e">
        <f t="shared" ref="R92:R132" si="13">O92*0.125</f>
        <v>#DIV/0!</v>
      </c>
      <c r="S92" s="162" t="e">
        <f t="shared" ref="S92:S132" si="14">P92+Q92+R92</f>
        <v>#DIV/0!</v>
      </c>
      <c r="T92" s="172" t="e">
        <f t="shared" ref="T92:T132" si="15">O92+S92</f>
        <v>#DIV/0!</v>
      </c>
    </row>
    <row r="93" spans="1:20" ht="15.75" thickBot="1" x14ac:dyDescent="0.3">
      <c r="A93" s="228">
        <v>66</v>
      </c>
      <c r="B93" s="990" t="s">
        <v>549</v>
      </c>
      <c r="C93" s="990"/>
      <c r="D93" s="991"/>
      <c r="E93" s="202"/>
      <c r="F93" s="215"/>
      <c r="G93" s="216"/>
      <c r="H93" s="224"/>
      <c r="I93" s="226">
        <f t="shared" ref="I93:I156" si="16">SUM(F93:H93)</f>
        <v>0</v>
      </c>
      <c r="J93" s="226"/>
      <c r="K93" s="1055"/>
      <c r="L93" s="962"/>
      <c r="M93" s="962"/>
      <c r="N93" s="962"/>
      <c r="O93" s="159" t="e">
        <f t="shared" ref="O93:O156" si="17">$T$8/$F$236*F93*K93</f>
        <v>#DIV/0!</v>
      </c>
      <c r="P93" s="160" t="e">
        <f t="shared" si="11"/>
        <v>#DIV/0!</v>
      </c>
      <c r="Q93" s="171" t="e">
        <f t="shared" si="12"/>
        <v>#DIV/0!</v>
      </c>
      <c r="R93" s="161" t="e">
        <f t="shared" si="13"/>
        <v>#DIV/0!</v>
      </c>
      <c r="S93" s="162" t="e">
        <f t="shared" si="14"/>
        <v>#DIV/0!</v>
      </c>
      <c r="T93" s="172" t="e">
        <f t="shared" si="15"/>
        <v>#DIV/0!</v>
      </c>
    </row>
    <row r="94" spans="1:20" ht="15.75" thickBot="1" x14ac:dyDescent="0.3">
      <c r="A94" s="228">
        <v>67</v>
      </c>
      <c r="B94" s="990" t="s">
        <v>548</v>
      </c>
      <c r="C94" s="990"/>
      <c r="D94" s="991"/>
      <c r="E94" s="202"/>
      <c r="F94" s="215"/>
      <c r="G94" s="216"/>
      <c r="H94" s="224"/>
      <c r="I94" s="226">
        <f t="shared" si="16"/>
        <v>0</v>
      </c>
      <c r="J94" s="226"/>
      <c r="K94" s="1055"/>
      <c r="L94" s="962"/>
      <c r="M94" s="962"/>
      <c r="N94" s="962"/>
      <c r="O94" s="159" t="e">
        <f t="shared" si="17"/>
        <v>#DIV/0!</v>
      </c>
      <c r="P94" s="160" t="e">
        <f t="shared" si="11"/>
        <v>#DIV/0!</v>
      </c>
      <c r="Q94" s="171" t="e">
        <f t="shared" si="12"/>
        <v>#DIV/0!</v>
      </c>
      <c r="R94" s="161" t="e">
        <f t="shared" si="13"/>
        <v>#DIV/0!</v>
      </c>
      <c r="S94" s="162" t="e">
        <f t="shared" si="14"/>
        <v>#DIV/0!</v>
      </c>
      <c r="T94" s="172" t="e">
        <f t="shared" si="15"/>
        <v>#DIV/0!</v>
      </c>
    </row>
    <row r="95" spans="1:20" ht="15.75" thickBot="1" x14ac:dyDescent="0.3">
      <c r="A95" s="228">
        <v>68</v>
      </c>
      <c r="B95" s="992" t="s">
        <v>551</v>
      </c>
      <c r="C95" s="992"/>
      <c r="D95" s="993"/>
      <c r="E95" s="202"/>
      <c r="F95" s="215"/>
      <c r="G95" s="216"/>
      <c r="H95" s="224"/>
      <c r="I95" s="226">
        <f t="shared" si="16"/>
        <v>0</v>
      </c>
      <c r="J95" s="226"/>
      <c r="K95" s="1055"/>
      <c r="L95" s="962"/>
      <c r="M95" s="962"/>
      <c r="N95" s="962"/>
      <c r="O95" s="159" t="e">
        <f t="shared" si="17"/>
        <v>#DIV/0!</v>
      </c>
      <c r="P95" s="160" t="e">
        <f t="shared" si="11"/>
        <v>#DIV/0!</v>
      </c>
      <c r="Q95" s="171" t="e">
        <f t="shared" si="12"/>
        <v>#DIV/0!</v>
      </c>
      <c r="R95" s="161" t="e">
        <f t="shared" si="13"/>
        <v>#DIV/0!</v>
      </c>
      <c r="S95" s="162" t="e">
        <f t="shared" si="14"/>
        <v>#DIV/0!</v>
      </c>
      <c r="T95" s="172" t="e">
        <f t="shared" si="15"/>
        <v>#DIV/0!</v>
      </c>
    </row>
    <row r="96" spans="1:20" ht="15.75" thickBot="1" x14ac:dyDescent="0.3">
      <c r="A96" s="228">
        <v>69</v>
      </c>
      <c r="B96" s="983" t="s">
        <v>460</v>
      </c>
      <c r="C96" s="984"/>
      <c r="D96" s="989"/>
      <c r="E96" s="202"/>
      <c r="F96" s="215"/>
      <c r="G96" s="216"/>
      <c r="H96" s="224"/>
      <c r="I96" s="226">
        <f t="shared" si="16"/>
        <v>0</v>
      </c>
      <c r="J96" s="226"/>
      <c r="K96" s="1055"/>
      <c r="L96" s="962"/>
      <c r="M96" s="962"/>
      <c r="N96" s="962"/>
      <c r="O96" s="159" t="e">
        <f t="shared" si="17"/>
        <v>#DIV/0!</v>
      </c>
      <c r="P96" s="160" t="e">
        <f t="shared" si="11"/>
        <v>#DIV/0!</v>
      </c>
      <c r="Q96" s="171" t="e">
        <f t="shared" si="12"/>
        <v>#DIV/0!</v>
      </c>
      <c r="R96" s="161" t="e">
        <f t="shared" si="13"/>
        <v>#DIV/0!</v>
      </c>
      <c r="S96" s="162" t="e">
        <f t="shared" si="14"/>
        <v>#DIV/0!</v>
      </c>
      <c r="T96" s="172" t="e">
        <f t="shared" si="15"/>
        <v>#DIV/0!</v>
      </c>
    </row>
    <row r="97" spans="1:20" ht="15.75" thickBot="1" x14ac:dyDescent="0.3">
      <c r="A97" s="228">
        <v>70</v>
      </c>
      <c r="B97" s="983" t="s">
        <v>461</v>
      </c>
      <c r="C97" s="984"/>
      <c r="D97" s="989"/>
      <c r="E97" s="202"/>
      <c r="F97" s="215"/>
      <c r="G97" s="216"/>
      <c r="H97" s="224"/>
      <c r="I97" s="226">
        <f t="shared" si="16"/>
        <v>0</v>
      </c>
      <c r="J97" s="226"/>
      <c r="K97" s="1055"/>
      <c r="L97" s="962"/>
      <c r="M97" s="962"/>
      <c r="N97" s="962"/>
      <c r="O97" s="159" t="e">
        <f t="shared" si="17"/>
        <v>#DIV/0!</v>
      </c>
      <c r="P97" s="160" t="e">
        <f t="shared" si="11"/>
        <v>#DIV/0!</v>
      </c>
      <c r="Q97" s="171" t="e">
        <f t="shared" si="12"/>
        <v>#DIV/0!</v>
      </c>
      <c r="R97" s="161" t="e">
        <f t="shared" si="13"/>
        <v>#DIV/0!</v>
      </c>
      <c r="S97" s="162" t="e">
        <f t="shared" si="14"/>
        <v>#DIV/0!</v>
      </c>
      <c r="T97" s="172" t="e">
        <f t="shared" si="15"/>
        <v>#DIV/0!</v>
      </c>
    </row>
    <row r="98" spans="1:20" ht="15.75" thickBot="1" x14ac:dyDescent="0.3">
      <c r="A98" s="228">
        <v>71</v>
      </c>
      <c r="B98" s="983" t="s">
        <v>462</v>
      </c>
      <c r="C98" s="984"/>
      <c r="D98" s="989"/>
      <c r="E98" s="202"/>
      <c r="F98" s="215"/>
      <c r="G98" s="216"/>
      <c r="H98" s="224"/>
      <c r="I98" s="226">
        <f t="shared" si="16"/>
        <v>0</v>
      </c>
      <c r="J98" s="226"/>
      <c r="K98" s="1055"/>
      <c r="L98" s="962"/>
      <c r="M98" s="962"/>
      <c r="N98" s="962"/>
      <c r="O98" s="159" t="e">
        <f t="shared" si="17"/>
        <v>#DIV/0!</v>
      </c>
      <c r="P98" s="160" t="e">
        <f t="shared" si="11"/>
        <v>#DIV/0!</v>
      </c>
      <c r="Q98" s="171" t="e">
        <f t="shared" si="12"/>
        <v>#DIV/0!</v>
      </c>
      <c r="R98" s="161" t="e">
        <f t="shared" si="13"/>
        <v>#DIV/0!</v>
      </c>
      <c r="S98" s="162" t="e">
        <f t="shared" si="14"/>
        <v>#DIV/0!</v>
      </c>
      <c r="T98" s="172" t="e">
        <f t="shared" si="15"/>
        <v>#DIV/0!</v>
      </c>
    </row>
    <row r="99" spans="1:20" ht="15.75" thickBot="1" x14ac:dyDescent="0.3">
      <c r="A99" s="228">
        <v>72</v>
      </c>
      <c r="B99" s="983" t="s">
        <v>463</v>
      </c>
      <c r="C99" s="984"/>
      <c r="D99" s="989"/>
      <c r="E99" s="202"/>
      <c r="F99" s="215"/>
      <c r="G99" s="216"/>
      <c r="H99" s="224"/>
      <c r="I99" s="226">
        <f t="shared" si="16"/>
        <v>0</v>
      </c>
      <c r="J99" s="226"/>
      <c r="K99" s="1055"/>
      <c r="L99" s="962"/>
      <c r="M99" s="962"/>
      <c r="N99" s="962"/>
      <c r="O99" s="159" t="e">
        <f t="shared" si="17"/>
        <v>#DIV/0!</v>
      </c>
      <c r="P99" s="160" t="e">
        <f t="shared" si="11"/>
        <v>#DIV/0!</v>
      </c>
      <c r="Q99" s="171" t="e">
        <f t="shared" si="12"/>
        <v>#DIV/0!</v>
      </c>
      <c r="R99" s="161" t="e">
        <f t="shared" si="13"/>
        <v>#DIV/0!</v>
      </c>
      <c r="S99" s="162" t="e">
        <f t="shared" si="14"/>
        <v>#DIV/0!</v>
      </c>
      <c r="T99" s="172" t="e">
        <f t="shared" si="15"/>
        <v>#DIV/0!</v>
      </c>
    </row>
    <row r="100" spans="1:20" ht="15.75" thickBot="1" x14ac:dyDescent="0.3">
      <c r="A100" s="228">
        <v>73</v>
      </c>
      <c r="B100" s="983" t="s">
        <v>464</v>
      </c>
      <c r="C100" s="984"/>
      <c r="D100" s="989"/>
      <c r="E100" s="202"/>
      <c r="F100" s="215"/>
      <c r="G100" s="216"/>
      <c r="H100" s="224"/>
      <c r="I100" s="226">
        <f t="shared" si="16"/>
        <v>0</v>
      </c>
      <c r="J100" s="226"/>
      <c r="K100" s="1055"/>
      <c r="L100" s="962"/>
      <c r="M100" s="962"/>
      <c r="N100" s="962"/>
      <c r="O100" s="159" t="e">
        <f t="shared" si="17"/>
        <v>#DIV/0!</v>
      </c>
      <c r="P100" s="160" t="e">
        <f t="shared" si="11"/>
        <v>#DIV/0!</v>
      </c>
      <c r="Q100" s="171" t="e">
        <f t="shared" si="12"/>
        <v>#DIV/0!</v>
      </c>
      <c r="R100" s="161" t="e">
        <f t="shared" si="13"/>
        <v>#DIV/0!</v>
      </c>
      <c r="S100" s="162" t="e">
        <f t="shared" si="14"/>
        <v>#DIV/0!</v>
      </c>
      <c r="T100" s="172" t="e">
        <f t="shared" si="15"/>
        <v>#DIV/0!</v>
      </c>
    </row>
    <row r="101" spans="1:20" ht="15.75" thickBot="1" x14ac:dyDescent="0.3">
      <c r="A101" s="228">
        <v>74</v>
      </c>
      <c r="B101" s="983" t="s">
        <v>465</v>
      </c>
      <c r="C101" s="984"/>
      <c r="D101" s="989"/>
      <c r="E101" s="202"/>
      <c r="F101" s="215"/>
      <c r="G101" s="216"/>
      <c r="H101" s="224"/>
      <c r="I101" s="226">
        <f t="shared" si="16"/>
        <v>0</v>
      </c>
      <c r="J101" s="226"/>
      <c r="K101" s="1055"/>
      <c r="L101" s="962"/>
      <c r="M101" s="962"/>
      <c r="N101" s="962"/>
      <c r="O101" s="159" t="e">
        <f t="shared" si="17"/>
        <v>#DIV/0!</v>
      </c>
      <c r="P101" s="160" t="e">
        <f t="shared" si="11"/>
        <v>#DIV/0!</v>
      </c>
      <c r="Q101" s="171" t="e">
        <f t="shared" si="12"/>
        <v>#DIV/0!</v>
      </c>
      <c r="R101" s="161" t="e">
        <f t="shared" si="13"/>
        <v>#DIV/0!</v>
      </c>
      <c r="S101" s="162" t="e">
        <f t="shared" si="14"/>
        <v>#DIV/0!</v>
      </c>
      <c r="T101" s="172" t="e">
        <f t="shared" si="15"/>
        <v>#DIV/0!</v>
      </c>
    </row>
    <row r="102" spans="1:20" ht="15.75" thickBot="1" x14ac:dyDescent="0.3">
      <c r="A102" s="228">
        <v>75</v>
      </c>
      <c r="B102" s="983" t="s">
        <v>466</v>
      </c>
      <c r="C102" s="984"/>
      <c r="D102" s="989"/>
      <c r="E102" s="202"/>
      <c r="F102" s="215"/>
      <c r="G102" s="216"/>
      <c r="H102" s="224"/>
      <c r="I102" s="226">
        <f t="shared" si="16"/>
        <v>0</v>
      </c>
      <c r="J102" s="226"/>
      <c r="K102" s="1055"/>
      <c r="L102" s="962"/>
      <c r="M102" s="962"/>
      <c r="N102" s="962"/>
      <c r="O102" s="159" t="e">
        <f t="shared" si="17"/>
        <v>#DIV/0!</v>
      </c>
      <c r="P102" s="160" t="e">
        <f t="shared" si="11"/>
        <v>#DIV/0!</v>
      </c>
      <c r="Q102" s="171" t="e">
        <f t="shared" si="12"/>
        <v>#DIV/0!</v>
      </c>
      <c r="R102" s="161" t="e">
        <f t="shared" si="13"/>
        <v>#DIV/0!</v>
      </c>
      <c r="S102" s="162" t="e">
        <f t="shared" si="14"/>
        <v>#DIV/0!</v>
      </c>
      <c r="T102" s="172" t="e">
        <f t="shared" si="15"/>
        <v>#DIV/0!</v>
      </c>
    </row>
    <row r="103" spans="1:20" ht="15.75" thickBot="1" x14ac:dyDescent="0.3">
      <c r="A103" s="228">
        <v>76</v>
      </c>
      <c r="B103" s="983" t="s">
        <v>467</v>
      </c>
      <c r="C103" s="984"/>
      <c r="D103" s="989"/>
      <c r="E103" s="202"/>
      <c r="F103" s="215"/>
      <c r="G103" s="216"/>
      <c r="H103" s="224"/>
      <c r="I103" s="226">
        <f t="shared" si="16"/>
        <v>0</v>
      </c>
      <c r="J103" s="226"/>
      <c r="K103" s="1055"/>
      <c r="L103" s="962"/>
      <c r="M103" s="962"/>
      <c r="N103" s="962"/>
      <c r="O103" s="159" t="e">
        <f t="shared" si="17"/>
        <v>#DIV/0!</v>
      </c>
      <c r="P103" s="160" t="e">
        <f t="shared" si="11"/>
        <v>#DIV/0!</v>
      </c>
      <c r="Q103" s="171" t="e">
        <f t="shared" si="12"/>
        <v>#DIV/0!</v>
      </c>
      <c r="R103" s="161" t="e">
        <f t="shared" si="13"/>
        <v>#DIV/0!</v>
      </c>
      <c r="S103" s="162" t="e">
        <f t="shared" si="14"/>
        <v>#DIV/0!</v>
      </c>
      <c r="T103" s="172" t="e">
        <f t="shared" si="15"/>
        <v>#DIV/0!</v>
      </c>
    </row>
    <row r="104" spans="1:20" ht="15.75" thickBot="1" x14ac:dyDescent="0.3">
      <c r="A104" s="228">
        <v>77</v>
      </c>
      <c r="B104" s="983" t="s">
        <v>468</v>
      </c>
      <c r="C104" s="984"/>
      <c r="D104" s="989"/>
      <c r="E104" s="202"/>
      <c r="F104" s="215"/>
      <c r="G104" s="216"/>
      <c r="H104" s="224"/>
      <c r="I104" s="226">
        <f t="shared" si="16"/>
        <v>0</v>
      </c>
      <c r="J104" s="226"/>
      <c r="K104" s="1055"/>
      <c r="L104" s="962"/>
      <c r="M104" s="962"/>
      <c r="N104" s="962"/>
      <c r="O104" s="159" t="e">
        <f t="shared" si="17"/>
        <v>#DIV/0!</v>
      </c>
      <c r="P104" s="160" t="e">
        <f t="shared" si="11"/>
        <v>#DIV/0!</v>
      </c>
      <c r="Q104" s="171" t="e">
        <f t="shared" si="12"/>
        <v>#DIV/0!</v>
      </c>
      <c r="R104" s="161" t="e">
        <f t="shared" si="13"/>
        <v>#DIV/0!</v>
      </c>
      <c r="S104" s="162" t="e">
        <f t="shared" si="14"/>
        <v>#DIV/0!</v>
      </c>
      <c r="T104" s="172" t="e">
        <f t="shared" si="15"/>
        <v>#DIV/0!</v>
      </c>
    </row>
    <row r="105" spans="1:20" ht="15.75" thickBot="1" x14ac:dyDescent="0.3">
      <c r="A105" s="228">
        <v>78</v>
      </c>
      <c r="B105" s="983" t="s">
        <v>469</v>
      </c>
      <c r="C105" s="984"/>
      <c r="D105" s="989"/>
      <c r="E105" s="202"/>
      <c r="F105" s="215"/>
      <c r="G105" s="216"/>
      <c r="H105" s="224"/>
      <c r="I105" s="226">
        <f t="shared" si="16"/>
        <v>0</v>
      </c>
      <c r="J105" s="226"/>
      <c r="K105" s="1055"/>
      <c r="L105" s="962"/>
      <c r="M105" s="962"/>
      <c r="N105" s="962"/>
      <c r="O105" s="159" t="e">
        <f t="shared" si="17"/>
        <v>#DIV/0!</v>
      </c>
      <c r="P105" s="160" t="e">
        <f t="shared" si="11"/>
        <v>#DIV/0!</v>
      </c>
      <c r="Q105" s="171" t="e">
        <f t="shared" si="12"/>
        <v>#DIV/0!</v>
      </c>
      <c r="R105" s="161" t="e">
        <f t="shared" si="13"/>
        <v>#DIV/0!</v>
      </c>
      <c r="S105" s="162" t="e">
        <f t="shared" si="14"/>
        <v>#DIV/0!</v>
      </c>
      <c r="T105" s="172" t="e">
        <f t="shared" si="15"/>
        <v>#DIV/0!</v>
      </c>
    </row>
    <row r="106" spans="1:20" ht="15.75" thickBot="1" x14ac:dyDescent="0.3">
      <c r="A106" s="228">
        <v>79</v>
      </c>
      <c r="B106" s="983" t="s">
        <v>470</v>
      </c>
      <c r="C106" s="984"/>
      <c r="D106" s="989"/>
      <c r="E106" s="202"/>
      <c r="F106" s="215"/>
      <c r="G106" s="216"/>
      <c r="H106" s="224"/>
      <c r="I106" s="226">
        <f t="shared" si="16"/>
        <v>0</v>
      </c>
      <c r="J106" s="226"/>
      <c r="K106" s="1055"/>
      <c r="L106" s="962"/>
      <c r="M106" s="962"/>
      <c r="N106" s="962"/>
      <c r="O106" s="159" t="e">
        <f t="shared" si="17"/>
        <v>#DIV/0!</v>
      </c>
      <c r="P106" s="160" t="e">
        <f t="shared" si="11"/>
        <v>#DIV/0!</v>
      </c>
      <c r="Q106" s="171" t="e">
        <f t="shared" si="12"/>
        <v>#DIV/0!</v>
      </c>
      <c r="R106" s="161" t="e">
        <f t="shared" si="13"/>
        <v>#DIV/0!</v>
      </c>
      <c r="S106" s="162" t="e">
        <f t="shared" si="14"/>
        <v>#DIV/0!</v>
      </c>
      <c r="T106" s="172" t="e">
        <f t="shared" si="15"/>
        <v>#DIV/0!</v>
      </c>
    </row>
    <row r="107" spans="1:20" ht="15.75" thickBot="1" x14ac:dyDescent="0.3">
      <c r="A107" s="228">
        <v>80</v>
      </c>
      <c r="B107" s="983" t="s">
        <v>471</v>
      </c>
      <c r="C107" s="984"/>
      <c r="D107" s="989"/>
      <c r="E107" s="202"/>
      <c r="F107" s="215"/>
      <c r="G107" s="216"/>
      <c r="H107" s="224"/>
      <c r="I107" s="226">
        <f t="shared" si="16"/>
        <v>0</v>
      </c>
      <c r="J107" s="226"/>
      <c r="K107" s="1055"/>
      <c r="L107" s="962"/>
      <c r="M107" s="962"/>
      <c r="N107" s="962"/>
      <c r="O107" s="159" t="e">
        <f t="shared" si="17"/>
        <v>#DIV/0!</v>
      </c>
      <c r="P107" s="160" t="e">
        <f t="shared" si="11"/>
        <v>#DIV/0!</v>
      </c>
      <c r="Q107" s="171" t="e">
        <f t="shared" si="12"/>
        <v>#DIV/0!</v>
      </c>
      <c r="R107" s="161" t="e">
        <f t="shared" si="13"/>
        <v>#DIV/0!</v>
      </c>
      <c r="S107" s="162" t="e">
        <f t="shared" si="14"/>
        <v>#DIV/0!</v>
      </c>
      <c r="T107" s="172" t="e">
        <f t="shared" si="15"/>
        <v>#DIV/0!</v>
      </c>
    </row>
    <row r="108" spans="1:20" ht="15.75" thickBot="1" x14ac:dyDescent="0.3">
      <c r="A108" s="228">
        <v>81</v>
      </c>
      <c r="B108" s="983" t="s">
        <v>472</v>
      </c>
      <c r="C108" s="984"/>
      <c r="D108" s="989"/>
      <c r="E108" s="202"/>
      <c r="F108" s="215"/>
      <c r="G108" s="216"/>
      <c r="H108" s="224"/>
      <c r="I108" s="226">
        <f t="shared" si="16"/>
        <v>0</v>
      </c>
      <c r="J108" s="226"/>
      <c r="K108" s="1055"/>
      <c r="L108" s="962"/>
      <c r="M108" s="962"/>
      <c r="N108" s="962"/>
      <c r="O108" s="159" t="e">
        <f t="shared" si="17"/>
        <v>#DIV/0!</v>
      </c>
      <c r="P108" s="160" t="e">
        <f t="shared" si="11"/>
        <v>#DIV/0!</v>
      </c>
      <c r="Q108" s="171" t="e">
        <f t="shared" si="12"/>
        <v>#DIV/0!</v>
      </c>
      <c r="R108" s="161" t="e">
        <f t="shared" si="13"/>
        <v>#DIV/0!</v>
      </c>
      <c r="S108" s="162" t="e">
        <f t="shared" si="14"/>
        <v>#DIV/0!</v>
      </c>
      <c r="T108" s="172" t="e">
        <f t="shared" si="15"/>
        <v>#DIV/0!</v>
      </c>
    </row>
    <row r="109" spans="1:20" ht="15.75" thickBot="1" x14ac:dyDescent="0.3">
      <c r="A109" s="228">
        <v>82</v>
      </c>
      <c r="B109" s="983" t="s">
        <v>473</v>
      </c>
      <c r="C109" s="984"/>
      <c r="D109" s="989"/>
      <c r="E109" s="202"/>
      <c r="F109" s="215"/>
      <c r="G109" s="216"/>
      <c r="H109" s="224"/>
      <c r="I109" s="226">
        <f t="shared" si="16"/>
        <v>0</v>
      </c>
      <c r="J109" s="226"/>
      <c r="K109" s="1055"/>
      <c r="L109" s="962"/>
      <c r="M109" s="962"/>
      <c r="N109" s="962"/>
      <c r="O109" s="159" t="e">
        <f t="shared" si="17"/>
        <v>#DIV/0!</v>
      </c>
      <c r="P109" s="160" t="e">
        <f t="shared" si="11"/>
        <v>#DIV/0!</v>
      </c>
      <c r="Q109" s="171" t="e">
        <f t="shared" si="12"/>
        <v>#DIV/0!</v>
      </c>
      <c r="R109" s="161" t="e">
        <f t="shared" si="13"/>
        <v>#DIV/0!</v>
      </c>
      <c r="S109" s="162" t="e">
        <f t="shared" si="14"/>
        <v>#DIV/0!</v>
      </c>
      <c r="T109" s="172" t="e">
        <f t="shared" si="15"/>
        <v>#DIV/0!</v>
      </c>
    </row>
    <row r="110" spans="1:20" ht="15.75" thickBot="1" x14ac:dyDescent="0.3">
      <c r="A110" s="228">
        <v>83</v>
      </c>
      <c r="B110" s="983" t="s">
        <v>474</v>
      </c>
      <c r="C110" s="984"/>
      <c r="D110" s="989"/>
      <c r="E110" s="202"/>
      <c r="F110" s="215"/>
      <c r="G110" s="216"/>
      <c r="H110" s="224"/>
      <c r="I110" s="226">
        <f t="shared" si="16"/>
        <v>0</v>
      </c>
      <c r="J110" s="226"/>
      <c r="K110" s="1055"/>
      <c r="L110" s="962"/>
      <c r="M110" s="962"/>
      <c r="N110" s="962"/>
      <c r="O110" s="159" t="e">
        <f t="shared" si="17"/>
        <v>#DIV/0!</v>
      </c>
      <c r="P110" s="160" t="e">
        <f t="shared" si="11"/>
        <v>#DIV/0!</v>
      </c>
      <c r="Q110" s="171" t="e">
        <f t="shared" si="12"/>
        <v>#DIV/0!</v>
      </c>
      <c r="R110" s="161" t="e">
        <f t="shared" si="13"/>
        <v>#DIV/0!</v>
      </c>
      <c r="S110" s="162" t="e">
        <f t="shared" si="14"/>
        <v>#DIV/0!</v>
      </c>
      <c r="T110" s="172" t="e">
        <f t="shared" si="15"/>
        <v>#DIV/0!</v>
      </c>
    </row>
    <row r="111" spans="1:20" ht="15.75" thickBot="1" x14ac:dyDescent="0.3">
      <c r="A111" s="228">
        <v>84</v>
      </c>
      <c r="B111" s="983" t="s">
        <v>475</v>
      </c>
      <c r="C111" s="984"/>
      <c r="D111" s="989"/>
      <c r="E111" s="202"/>
      <c r="F111" s="215"/>
      <c r="G111" s="216"/>
      <c r="H111" s="224"/>
      <c r="I111" s="226">
        <f t="shared" si="16"/>
        <v>0</v>
      </c>
      <c r="J111" s="226"/>
      <c r="K111" s="1055"/>
      <c r="L111" s="962"/>
      <c r="M111" s="962"/>
      <c r="N111" s="962"/>
      <c r="O111" s="159" t="e">
        <f t="shared" si="17"/>
        <v>#DIV/0!</v>
      </c>
      <c r="P111" s="160" t="e">
        <f t="shared" si="11"/>
        <v>#DIV/0!</v>
      </c>
      <c r="Q111" s="171" t="e">
        <f t="shared" si="12"/>
        <v>#DIV/0!</v>
      </c>
      <c r="R111" s="161" t="e">
        <f t="shared" si="13"/>
        <v>#DIV/0!</v>
      </c>
      <c r="S111" s="162" t="e">
        <f t="shared" si="14"/>
        <v>#DIV/0!</v>
      </c>
      <c r="T111" s="172" t="e">
        <f t="shared" si="15"/>
        <v>#DIV/0!</v>
      </c>
    </row>
    <row r="112" spans="1:20" ht="15.75" thickBot="1" x14ac:dyDescent="0.3">
      <c r="A112" s="228">
        <v>85</v>
      </c>
      <c r="B112" s="983" t="s">
        <v>476</v>
      </c>
      <c r="C112" s="984"/>
      <c r="D112" s="989"/>
      <c r="E112" s="202"/>
      <c r="F112" s="215"/>
      <c r="G112" s="216"/>
      <c r="H112" s="224"/>
      <c r="I112" s="226">
        <f t="shared" si="16"/>
        <v>0</v>
      </c>
      <c r="J112" s="226"/>
      <c r="K112" s="1055"/>
      <c r="L112" s="962"/>
      <c r="M112" s="962"/>
      <c r="N112" s="962"/>
      <c r="O112" s="159" t="e">
        <f t="shared" si="17"/>
        <v>#DIV/0!</v>
      </c>
      <c r="P112" s="160" t="e">
        <f t="shared" si="11"/>
        <v>#DIV/0!</v>
      </c>
      <c r="Q112" s="171" t="e">
        <f t="shared" si="12"/>
        <v>#DIV/0!</v>
      </c>
      <c r="R112" s="161" t="e">
        <f t="shared" si="13"/>
        <v>#DIV/0!</v>
      </c>
      <c r="S112" s="162" t="e">
        <f t="shared" si="14"/>
        <v>#DIV/0!</v>
      </c>
      <c r="T112" s="172" t="e">
        <f t="shared" si="15"/>
        <v>#DIV/0!</v>
      </c>
    </row>
    <row r="113" spans="1:20" ht="15.75" thickBot="1" x14ac:dyDescent="0.3">
      <c r="A113" s="228">
        <v>86</v>
      </c>
      <c r="B113" s="983" t="s">
        <v>477</v>
      </c>
      <c r="C113" s="984"/>
      <c r="D113" s="989"/>
      <c r="E113" s="202"/>
      <c r="F113" s="215"/>
      <c r="G113" s="216"/>
      <c r="H113" s="224"/>
      <c r="I113" s="226">
        <f t="shared" si="16"/>
        <v>0</v>
      </c>
      <c r="J113" s="226"/>
      <c r="K113" s="1055"/>
      <c r="L113" s="962"/>
      <c r="M113" s="962"/>
      <c r="N113" s="962"/>
      <c r="O113" s="159" t="e">
        <f t="shared" si="17"/>
        <v>#DIV/0!</v>
      </c>
      <c r="P113" s="160" t="e">
        <f t="shared" si="11"/>
        <v>#DIV/0!</v>
      </c>
      <c r="Q113" s="171" t="e">
        <f t="shared" si="12"/>
        <v>#DIV/0!</v>
      </c>
      <c r="R113" s="161" t="e">
        <f t="shared" si="13"/>
        <v>#DIV/0!</v>
      </c>
      <c r="S113" s="162" t="e">
        <f t="shared" si="14"/>
        <v>#DIV/0!</v>
      </c>
      <c r="T113" s="172" t="e">
        <f t="shared" si="15"/>
        <v>#DIV/0!</v>
      </c>
    </row>
    <row r="114" spans="1:20" ht="15.75" thickBot="1" x14ac:dyDescent="0.3">
      <c r="A114" s="228">
        <v>87</v>
      </c>
      <c r="B114" s="983" t="s">
        <v>478</v>
      </c>
      <c r="C114" s="984"/>
      <c r="D114" s="989"/>
      <c r="E114" s="202"/>
      <c r="F114" s="215"/>
      <c r="G114" s="216"/>
      <c r="H114" s="224"/>
      <c r="I114" s="226">
        <f t="shared" si="16"/>
        <v>0</v>
      </c>
      <c r="J114" s="226"/>
      <c r="K114" s="1055"/>
      <c r="L114" s="962"/>
      <c r="M114" s="962"/>
      <c r="N114" s="962"/>
      <c r="O114" s="159" t="e">
        <f t="shared" si="17"/>
        <v>#DIV/0!</v>
      </c>
      <c r="P114" s="160" t="e">
        <f t="shared" si="11"/>
        <v>#DIV/0!</v>
      </c>
      <c r="Q114" s="171" t="e">
        <f t="shared" si="12"/>
        <v>#DIV/0!</v>
      </c>
      <c r="R114" s="161" t="e">
        <f t="shared" si="13"/>
        <v>#DIV/0!</v>
      </c>
      <c r="S114" s="162" t="e">
        <f t="shared" si="14"/>
        <v>#DIV/0!</v>
      </c>
      <c r="T114" s="172" t="e">
        <f t="shared" si="15"/>
        <v>#DIV/0!</v>
      </c>
    </row>
    <row r="115" spans="1:20" ht="15.75" thickBot="1" x14ac:dyDescent="0.3">
      <c r="A115" s="228">
        <v>88</v>
      </c>
      <c r="B115" s="983" t="s">
        <v>479</v>
      </c>
      <c r="C115" s="984"/>
      <c r="D115" s="989"/>
      <c r="E115" s="202"/>
      <c r="F115" s="215"/>
      <c r="G115" s="216"/>
      <c r="H115" s="224"/>
      <c r="I115" s="226">
        <f t="shared" si="16"/>
        <v>0</v>
      </c>
      <c r="J115" s="226"/>
      <c r="K115" s="1055"/>
      <c r="L115" s="962"/>
      <c r="M115" s="962"/>
      <c r="N115" s="962"/>
      <c r="O115" s="159" t="e">
        <f t="shared" si="17"/>
        <v>#DIV/0!</v>
      </c>
      <c r="P115" s="160" t="e">
        <f t="shared" si="11"/>
        <v>#DIV/0!</v>
      </c>
      <c r="Q115" s="171" t="e">
        <f t="shared" si="12"/>
        <v>#DIV/0!</v>
      </c>
      <c r="R115" s="161" t="e">
        <f t="shared" si="13"/>
        <v>#DIV/0!</v>
      </c>
      <c r="S115" s="162" t="e">
        <f t="shared" si="14"/>
        <v>#DIV/0!</v>
      </c>
      <c r="T115" s="172" t="e">
        <f t="shared" si="15"/>
        <v>#DIV/0!</v>
      </c>
    </row>
    <row r="116" spans="1:20" ht="15.75" thickBot="1" x14ac:dyDescent="0.3">
      <c r="A116" s="228">
        <v>89</v>
      </c>
      <c r="B116" s="983" t="s">
        <v>480</v>
      </c>
      <c r="C116" s="984"/>
      <c r="D116" s="989"/>
      <c r="E116" s="202"/>
      <c r="F116" s="215"/>
      <c r="G116" s="216"/>
      <c r="H116" s="224"/>
      <c r="I116" s="226">
        <f t="shared" si="16"/>
        <v>0</v>
      </c>
      <c r="J116" s="226"/>
      <c r="K116" s="1055"/>
      <c r="L116" s="962"/>
      <c r="M116" s="962"/>
      <c r="N116" s="962"/>
      <c r="O116" s="159" t="e">
        <f t="shared" si="17"/>
        <v>#DIV/0!</v>
      </c>
      <c r="P116" s="160" t="e">
        <f t="shared" si="11"/>
        <v>#DIV/0!</v>
      </c>
      <c r="Q116" s="171" t="e">
        <f t="shared" si="12"/>
        <v>#DIV/0!</v>
      </c>
      <c r="R116" s="161" t="e">
        <f t="shared" si="13"/>
        <v>#DIV/0!</v>
      </c>
      <c r="S116" s="162" t="e">
        <f t="shared" si="14"/>
        <v>#DIV/0!</v>
      </c>
      <c r="T116" s="172" t="e">
        <f t="shared" si="15"/>
        <v>#DIV/0!</v>
      </c>
    </row>
    <row r="117" spans="1:20" ht="15.75" thickBot="1" x14ac:dyDescent="0.3">
      <c r="A117" s="228">
        <v>90</v>
      </c>
      <c r="B117" s="983" t="s">
        <v>481</v>
      </c>
      <c r="C117" s="984"/>
      <c r="D117" s="989"/>
      <c r="E117" s="202"/>
      <c r="F117" s="215"/>
      <c r="G117" s="216"/>
      <c r="H117" s="224"/>
      <c r="I117" s="226">
        <f t="shared" si="16"/>
        <v>0</v>
      </c>
      <c r="J117" s="226"/>
      <c r="K117" s="1055"/>
      <c r="L117" s="962"/>
      <c r="M117" s="962"/>
      <c r="N117" s="962"/>
      <c r="O117" s="159" t="e">
        <f t="shared" si="17"/>
        <v>#DIV/0!</v>
      </c>
      <c r="P117" s="160" t="e">
        <f t="shared" si="11"/>
        <v>#DIV/0!</v>
      </c>
      <c r="Q117" s="171" t="e">
        <f t="shared" si="12"/>
        <v>#DIV/0!</v>
      </c>
      <c r="R117" s="161" t="e">
        <f t="shared" si="13"/>
        <v>#DIV/0!</v>
      </c>
      <c r="S117" s="162" t="e">
        <f t="shared" si="14"/>
        <v>#DIV/0!</v>
      </c>
      <c r="T117" s="172" t="e">
        <f t="shared" si="15"/>
        <v>#DIV/0!</v>
      </c>
    </row>
    <row r="118" spans="1:20" ht="15.75" thickBot="1" x14ac:dyDescent="0.3">
      <c r="A118" s="228">
        <v>91</v>
      </c>
      <c r="B118" s="983" t="s">
        <v>482</v>
      </c>
      <c r="C118" s="984"/>
      <c r="D118" s="989"/>
      <c r="E118" s="202"/>
      <c r="F118" s="215"/>
      <c r="G118" s="216"/>
      <c r="H118" s="224"/>
      <c r="I118" s="226">
        <f t="shared" si="16"/>
        <v>0</v>
      </c>
      <c r="J118" s="226"/>
      <c r="K118" s="1055"/>
      <c r="L118" s="962"/>
      <c r="M118" s="962"/>
      <c r="N118" s="962"/>
      <c r="O118" s="159" t="e">
        <f t="shared" si="17"/>
        <v>#DIV/0!</v>
      </c>
      <c r="P118" s="160" t="e">
        <f t="shared" si="11"/>
        <v>#DIV/0!</v>
      </c>
      <c r="Q118" s="171" t="e">
        <f t="shared" si="12"/>
        <v>#DIV/0!</v>
      </c>
      <c r="R118" s="161" t="e">
        <f t="shared" si="13"/>
        <v>#DIV/0!</v>
      </c>
      <c r="S118" s="162" t="e">
        <f t="shared" si="14"/>
        <v>#DIV/0!</v>
      </c>
      <c r="T118" s="172" t="e">
        <f t="shared" si="15"/>
        <v>#DIV/0!</v>
      </c>
    </row>
    <row r="119" spans="1:20" ht="15.75" thickBot="1" x14ac:dyDescent="0.3">
      <c r="A119" s="228">
        <v>92</v>
      </c>
      <c r="B119" s="983" t="s">
        <v>483</v>
      </c>
      <c r="C119" s="984"/>
      <c r="D119" s="989"/>
      <c r="E119" s="202"/>
      <c r="F119" s="215"/>
      <c r="G119" s="216"/>
      <c r="H119" s="224"/>
      <c r="I119" s="226">
        <f t="shared" si="16"/>
        <v>0</v>
      </c>
      <c r="J119" s="226"/>
      <c r="K119" s="1055"/>
      <c r="L119" s="962"/>
      <c r="M119" s="962"/>
      <c r="N119" s="962"/>
      <c r="O119" s="159" t="e">
        <f t="shared" si="17"/>
        <v>#DIV/0!</v>
      </c>
      <c r="P119" s="160" t="e">
        <f t="shared" si="11"/>
        <v>#DIV/0!</v>
      </c>
      <c r="Q119" s="171" t="e">
        <f t="shared" si="12"/>
        <v>#DIV/0!</v>
      </c>
      <c r="R119" s="161" t="e">
        <f t="shared" si="13"/>
        <v>#DIV/0!</v>
      </c>
      <c r="S119" s="162" t="e">
        <f t="shared" si="14"/>
        <v>#DIV/0!</v>
      </c>
      <c r="T119" s="172" t="e">
        <f t="shared" si="15"/>
        <v>#DIV/0!</v>
      </c>
    </row>
    <row r="120" spans="1:20" ht="15.75" thickBot="1" x14ac:dyDescent="0.3">
      <c r="A120" s="228">
        <v>93</v>
      </c>
      <c r="B120" s="983" t="s">
        <v>484</v>
      </c>
      <c r="C120" s="984"/>
      <c r="D120" s="989"/>
      <c r="E120" s="202"/>
      <c r="F120" s="215"/>
      <c r="G120" s="216"/>
      <c r="H120" s="224"/>
      <c r="I120" s="226">
        <f t="shared" si="16"/>
        <v>0</v>
      </c>
      <c r="J120" s="226"/>
      <c r="K120" s="1055"/>
      <c r="L120" s="962"/>
      <c r="M120" s="962"/>
      <c r="N120" s="962"/>
      <c r="O120" s="159" t="e">
        <f t="shared" si="17"/>
        <v>#DIV/0!</v>
      </c>
      <c r="P120" s="160" t="e">
        <f t="shared" si="11"/>
        <v>#DIV/0!</v>
      </c>
      <c r="Q120" s="171" t="e">
        <f t="shared" si="12"/>
        <v>#DIV/0!</v>
      </c>
      <c r="R120" s="161" t="e">
        <f t="shared" si="13"/>
        <v>#DIV/0!</v>
      </c>
      <c r="S120" s="162" t="e">
        <f t="shared" si="14"/>
        <v>#DIV/0!</v>
      </c>
      <c r="T120" s="172" t="e">
        <f t="shared" si="15"/>
        <v>#DIV/0!</v>
      </c>
    </row>
    <row r="121" spans="1:20" ht="15.75" thickBot="1" x14ac:dyDescent="0.3">
      <c r="A121" s="228">
        <v>94</v>
      </c>
      <c r="B121" s="983" t="s">
        <v>485</v>
      </c>
      <c r="C121" s="984"/>
      <c r="D121" s="989"/>
      <c r="E121" s="202"/>
      <c r="F121" s="215"/>
      <c r="G121" s="216"/>
      <c r="H121" s="224"/>
      <c r="I121" s="226">
        <f t="shared" si="16"/>
        <v>0</v>
      </c>
      <c r="J121" s="226"/>
      <c r="K121" s="1055"/>
      <c r="L121" s="962"/>
      <c r="M121" s="962"/>
      <c r="N121" s="962"/>
      <c r="O121" s="159" t="e">
        <f t="shared" si="17"/>
        <v>#DIV/0!</v>
      </c>
      <c r="P121" s="160" t="e">
        <f t="shared" si="11"/>
        <v>#DIV/0!</v>
      </c>
      <c r="Q121" s="171" t="e">
        <f t="shared" si="12"/>
        <v>#DIV/0!</v>
      </c>
      <c r="R121" s="161" t="e">
        <f t="shared" si="13"/>
        <v>#DIV/0!</v>
      </c>
      <c r="S121" s="162" t="e">
        <f t="shared" si="14"/>
        <v>#DIV/0!</v>
      </c>
      <c r="T121" s="172" t="e">
        <f t="shared" si="15"/>
        <v>#DIV/0!</v>
      </c>
    </row>
    <row r="122" spans="1:20" ht="15.75" thickBot="1" x14ac:dyDescent="0.3">
      <c r="A122" s="228">
        <v>95</v>
      </c>
      <c r="B122" s="983" t="s">
        <v>486</v>
      </c>
      <c r="C122" s="984"/>
      <c r="D122" s="989"/>
      <c r="E122" s="202"/>
      <c r="F122" s="215"/>
      <c r="G122" s="216"/>
      <c r="H122" s="224"/>
      <c r="I122" s="226">
        <f t="shared" si="16"/>
        <v>0</v>
      </c>
      <c r="J122" s="226"/>
      <c r="K122" s="1055"/>
      <c r="L122" s="962"/>
      <c r="M122" s="962"/>
      <c r="N122" s="962"/>
      <c r="O122" s="159" t="e">
        <f t="shared" si="17"/>
        <v>#DIV/0!</v>
      </c>
      <c r="P122" s="160" t="e">
        <f t="shared" si="11"/>
        <v>#DIV/0!</v>
      </c>
      <c r="Q122" s="171" t="e">
        <f t="shared" si="12"/>
        <v>#DIV/0!</v>
      </c>
      <c r="R122" s="161" t="e">
        <f t="shared" si="13"/>
        <v>#DIV/0!</v>
      </c>
      <c r="S122" s="162" t="e">
        <f t="shared" si="14"/>
        <v>#DIV/0!</v>
      </c>
      <c r="T122" s="172" t="e">
        <f t="shared" si="15"/>
        <v>#DIV/0!</v>
      </c>
    </row>
    <row r="123" spans="1:20" ht="15.75" thickBot="1" x14ac:dyDescent="0.3">
      <c r="A123" s="228">
        <v>96</v>
      </c>
      <c r="B123" s="983" t="s">
        <v>487</v>
      </c>
      <c r="C123" s="984"/>
      <c r="D123" s="989"/>
      <c r="E123" s="202"/>
      <c r="F123" s="215"/>
      <c r="G123" s="216"/>
      <c r="H123" s="224"/>
      <c r="I123" s="226">
        <f t="shared" si="16"/>
        <v>0</v>
      </c>
      <c r="J123" s="226"/>
      <c r="K123" s="1055"/>
      <c r="L123" s="962"/>
      <c r="M123" s="962"/>
      <c r="N123" s="962"/>
      <c r="O123" s="159" t="e">
        <f t="shared" si="17"/>
        <v>#DIV/0!</v>
      </c>
      <c r="P123" s="160" t="e">
        <f t="shared" si="11"/>
        <v>#DIV/0!</v>
      </c>
      <c r="Q123" s="171" t="e">
        <f t="shared" si="12"/>
        <v>#DIV/0!</v>
      </c>
      <c r="R123" s="161" t="e">
        <f t="shared" si="13"/>
        <v>#DIV/0!</v>
      </c>
      <c r="S123" s="162" t="e">
        <f t="shared" si="14"/>
        <v>#DIV/0!</v>
      </c>
      <c r="T123" s="172" t="e">
        <f t="shared" si="15"/>
        <v>#DIV/0!</v>
      </c>
    </row>
    <row r="124" spans="1:20" ht="15.75" thickBot="1" x14ac:dyDescent="0.3">
      <c r="A124" s="228">
        <v>97</v>
      </c>
      <c r="B124" s="983" t="s">
        <v>488</v>
      </c>
      <c r="C124" s="984"/>
      <c r="D124" s="989"/>
      <c r="E124" s="202"/>
      <c r="F124" s="215"/>
      <c r="G124" s="216"/>
      <c r="H124" s="224"/>
      <c r="I124" s="226">
        <f t="shared" si="16"/>
        <v>0</v>
      </c>
      <c r="J124" s="226"/>
      <c r="K124" s="1055"/>
      <c r="L124" s="962"/>
      <c r="M124" s="962"/>
      <c r="N124" s="962"/>
      <c r="O124" s="159" t="e">
        <f t="shared" si="17"/>
        <v>#DIV/0!</v>
      </c>
      <c r="P124" s="160" t="e">
        <f t="shared" si="11"/>
        <v>#DIV/0!</v>
      </c>
      <c r="Q124" s="171" t="e">
        <f t="shared" si="12"/>
        <v>#DIV/0!</v>
      </c>
      <c r="R124" s="161" t="e">
        <f t="shared" si="13"/>
        <v>#DIV/0!</v>
      </c>
      <c r="S124" s="162" t="e">
        <f t="shared" si="14"/>
        <v>#DIV/0!</v>
      </c>
      <c r="T124" s="172" t="e">
        <f t="shared" si="15"/>
        <v>#DIV/0!</v>
      </c>
    </row>
    <row r="125" spans="1:20" ht="15.75" thickBot="1" x14ac:dyDescent="0.3">
      <c r="A125" s="228">
        <v>98</v>
      </c>
      <c r="B125" s="983" t="s">
        <v>489</v>
      </c>
      <c r="C125" s="984"/>
      <c r="D125" s="989"/>
      <c r="E125" s="202"/>
      <c r="F125" s="215"/>
      <c r="G125" s="216"/>
      <c r="H125" s="224"/>
      <c r="I125" s="226">
        <f t="shared" si="16"/>
        <v>0</v>
      </c>
      <c r="J125" s="226"/>
      <c r="K125" s="1055"/>
      <c r="L125" s="962"/>
      <c r="M125" s="962"/>
      <c r="N125" s="962"/>
      <c r="O125" s="159" t="e">
        <f t="shared" si="17"/>
        <v>#DIV/0!</v>
      </c>
      <c r="P125" s="160" t="e">
        <f t="shared" si="11"/>
        <v>#DIV/0!</v>
      </c>
      <c r="Q125" s="171" t="e">
        <f t="shared" si="12"/>
        <v>#DIV/0!</v>
      </c>
      <c r="R125" s="161" t="e">
        <f t="shared" si="13"/>
        <v>#DIV/0!</v>
      </c>
      <c r="S125" s="162" t="e">
        <f t="shared" si="14"/>
        <v>#DIV/0!</v>
      </c>
      <c r="T125" s="172" t="e">
        <f t="shared" si="15"/>
        <v>#DIV/0!</v>
      </c>
    </row>
    <row r="126" spans="1:20" ht="15.75" thickBot="1" x14ac:dyDescent="0.3">
      <c r="A126" s="228">
        <v>99</v>
      </c>
      <c r="B126" s="974" t="s">
        <v>490</v>
      </c>
      <c r="C126" s="975"/>
      <c r="D126" s="976"/>
      <c r="E126" s="202"/>
      <c r="F126" s="215"/>
      <c r="G126" s="216"/>
      <c r="H126" s="224"/>
      <c r="I126" s="226">
        <f t="shared" si="16"/>
        <v>0</v>
      </c>
      <c r="J126" s="226"/>
      <c r="K126" s="1055"/>
      <c r="L126" s="962"/>
      <c r="M126" s="962"/>
      <c r="N126" s="962"/>
      <c r="O126" s="159" t="e">
        <f t="shared" si="17"/>
        <v>#DIV/0!</v>
      </c>
      <c r="P126" s="160" t="e">
        <f t="shared" si="11"/>
        <v>#DIV/0!</v>
      </c>
      <c r="Q126" s="171" t="e">
        <f t="shared" si="12"/>
        <v>#DIV/0!</v>
      </c>
      <c r="R126" s="161" t="e">
        <f t="shared" si="13"/>
        <v>#DIV/0!</v>
      </c>
      <c r="S126" s="162" t="e">
        <f t="shared" si="14"/>
        <v>#DIV/0!</v>
      </c>
      <c r="T126" s="172" t="e">
        <f t="shared" si="15"/>
        <v>#DIV/0!</v>
      </c>
    </row>
    <row r="127" spans="1:20" ht="15.75" thickBot="1" x14ac:dyDescent="0.3">
      <c r="A127" s="228">
        <v>100</v>
      </c>
      <c r="B127" s="974" t="s">
        <v>492</v>
      </c>
      <c r="C127" s="975"/>
      <c r="D127" s="976"/>
      <c r="E127" s="202"/>
      <c r="F127" s="215"/>
      <c r="G127" s="216"/>
      <c r="H127" s="224"/>
      <c r="I127" s="226">
        <f t="shared" si="16"/>
        <v>0</v>
      </c>
      <c r="J127" s="226"/>
      <c r="K127" s="1055"/>
      <c r="L127" s="962"/>
      <c r="M127" s="962"/>
      <c r="N127" s="962"/>
      <c r="O127" s="159" t="e">
        <f t="shared" si="17"/>
        <v>#DIV/0!</v>
      </c>
      <c r="P127" s="160" t="e">
        <f t="shared" si="11"/>
        <v>#DIV/0!</v>
      </c>
      <c r="Q127" s="171" t="e">
        <f t="shared" si="12"/>
        <v>#DIV/0!</v>
      </c>
      <c r="R127" s="161" t="e">
        <f t="shared" si="13"/>
        <v>#DIV/0!</v>
      </c>
      <c r="S127" s="162" t="e">
        <f t="shared" si="14"/>
        <v>#DIV/0!</v>
      </c>
      <c r="T127" s="172" t="e">
        <f t="shared" si="15"/>
        <v>#DIV/0!</v>
      </c>
    </row>
    <row r="128" spans="1:20" ht="15.75" thickBot="1" x14ac:dyDescent="0.3">
      <c r="A128" s="228">
        <v>101</v>
      </c>
      <c r="B128" s="974" t="s">
        <v>491</v>
      </c>
      <c r="C128" s="975"/>
      <c r="D128" s="976"/>
      <c r="E128" s="202"/>
      <c r="F128" s="215"/>
      <c r="G128" s="216"/>
      <c r="H128" s="224"/>
      <c r="I128" s="226">
        <f t="shared" si="16"/>
        <v>0</v>
      </c>
      <c r="J128" s="226"/>
      <c r="K128" s="1055"/>
      <c r="L128" s="962"/>
      <c r="M128" s="962"/>
      <c r="N128" s="962"/>
      <c r="O128" s="159" t="e">
        <f t="shared" si="17"/>
        <v>#DIV/0!</v>
      </c>
      <c r="P128" s="160" t="e">
        <f t="shared" si="11"/>
        <v>#DIV/0!</v>
      </c>
      <c r="Q128" s="171" t="e">
        <f t="shared" si="12"/>
        <v>#DIV/0!</v>
      </c>
      <c r="R128" s="161" t="e">
        <f t="shared" si="13"/>
        <v>#DIV/0!</v>
      </c>
      <c r="S128" s="162" t="e">
        <f t="shared" si="14"/>
        <v>#DIV/0!</v>
      </c>
      <c r="T128" s="172" t="e">
        <f t="shared" si="15"/>
        <v>#DIV/0!</v>
      </c>
    </row>
    <row r="129" spans="1:20" ht="15.75" thickBot="1" x14ac:dyDescent="0.3">
      <c r="A129" s="228">
        <v>102</v>
      </c>
      <c r="B129" s="974" t="s">
        <v>493</v>
      </c>
      <c r="C129" s="975"/>
      <c r="D129" s="976"/>
      <c r="E129" s="202"/>
      <c r="F129" s="215"/>
      <c r="G129" s="216"/>
      <c r="H129" s="224"/>
      <c r="I129" s="226">
        <f t="shared" si="16"/>
        <v>0</v>
      </c>
      <c r="J129" s="226"/>
      <c r="K129" s="1055"/>
      <c r="L129" s="962"/>
      <c r="M129" s="962"/>
      <c r="N129" s="962"/>
      <c r="O129" s="159" t="e">
        <f t="shared" si="17"/>
        <v>#DIV/0!</v>
      </c>
      <c r="P129" s="160" t="e">
        <f t="shared" si="11"/>
        <v>#DIV/0!</v>
      </c>
      <c r="Q129" s="171" t="e">
        <f t="shared" si="12"/>
        <v>#DIV/0!</v>
      </c>
      <c r="R129" s="161" t="e">
        <f t="shared" si="13"/>
        <v>#DIV/0!</v>
      </c>
      <c r="S129" s="162" t="e">
        <f t="shared" si="14"/>
        <v>#DIV/0!</v>
      </c>
      <c r="T129" s="172" t="e">
        <f t="shared" si="15"/>
        <v>#DIV/0!</v>
      </c>
    </row>
    <row r="130" spans="1:20" ht="15.75" thickBot="1" x14ac:dyDescent="0.3">
      <c r="A130" s="228">
        <v>103</v>
      </c>
      <c r="B130" s="983" t="s">
        <v>494</v>
      </c>
      <c r="C130" s="984"/>
      <c r="D130" s="989"/>
      <c r="E130" s="202"/>
      <c r="F130" s="215"/>
      <c r="G130" s="216"/>
      <c r="H130" s="224"/>
      <c r="I130" s="226">
        <f t="shared" si="16"/>
        <v>0</v>
      </c>
      <c r="J130" s="226"/>
      <c r="K130" s="1055"/>
      <c r="L130" s="962"/>
      <c r="M130" s="962"/>
      <c r="N130" s="962"/>
      <c r="O130" s="159" t="e">
        <f t="shared" si="17"/>
        <v>#DIV/0!</v>
      </c>
      <c r="P130" s="160" t="e">
        <f t="shared" si="11"/>
        <v>#DIV/0!</v>
      </c>
      <c r="Q130" s="171" t="e">
        <f t="shared" si="12"/>
        <v>#DIV/0!</v>
      </c>
      <c r="R130" s="161" t="e">
        <f t="shared" si="13"/>
        <v>#DIV/0!</v>
      </c>
      <c r="S130" s="162" t="e">
        <f t="shared" si="14"/>
        <v>#DIV/0!</v>
      </c>
      <c r="T130" s="172" t="e">
        <f t="shared" si="15"/>
        <v>#DIV/0!</v>
      </c>
    </row>
    <row r="131" spans="1:20" ht="15.75" thickBot="1" x14ac:dyDescent="0.3">
      <c r="A131" s="228">
        <v>104</v>
      </c>
      <c r="B131" s="983" t="s">
        <v>495</v>
      </c>
      <c r="C131" s="984"/>
      <c r="D131" s="989"/>
      <c r="E131" s="202"/>
      <c r="F131" s="215"/>
      <c r="G131" s="216"/>
      <c r="H131" s="224"/>
      <c r="I131" s="226">
        <f t="shared" si="16"/>
        <v>0</v>
      </c>
      <c r="J131" s="226"/>
      <c r="K131" s="1055"/>
      <c r="L131" s="962"/>
      <c r="M131" s="962"/>
      <c r="N131" s="962"/>
      <c r="O131" s="159" t="e">
        <f t="shared" si="17"/>
        <v>#DIV/0!</v>
      </c>
      <c r="P131" s="160" t="e">
        <f t="shared" si="11"/>
        <v>#DIV/0!</v>
      </c>
      <c r="Q131" s="171" t="e">
        <f t="shared" si="12"/>
        <v>#DIV/0!</v>
      </c>
      <c r="R131" s="161" t="e">
        <f t="shared" si="13"/>
        <v>#DIV/0!</v>
      </c>
      <c r="S131" s="162" t="e">
        <f t="shared" si="14"/>
        <v>#DIV/0!</v>
      </c>
      <c r="T131" s="172" t="e">
        <f t="shared" si="15"/>
        <v>#DIV/0!</v>
      </c>
    </row>
    <row r="132" spans="1:20" ht="15.75" thickBot="1" x14ac:dyDescent="0.3">
      <c r="A132" s="228">
        <v>105</v>
      </c>
      <c r="B132" s="974" t="s">
        <v>496</v>
      </c>
      <c r="C132" s="975"/>
      <c r="D132" s="976"/>
      <c r="E132" s="202"/>
      <c r="F132" s="215"/>
      <c r="G132" s="216"/>
      <c r="H132" s="224"/>
      <c r="I132" s="226">
        <f t="shared" si="16"/>
        <v>0</v>
      </c>
      <c r="J132" s="226"/>
      <c r="K132" s="1055"/>
      <c r="L132" s="962"/>
      <c r="M132" s="962"/>
      <c r="N132" s="962"/>
      <c r="O132" s="159" t="e">
        <f t="shared" si="17"/>
        <v>#DIV/0!</v>
      </c>
      <c r="P132" s="160" t="e">
        <f t="shared" si="11"/>
        <v>#DIV/0!</v>
      </c>
      <c r="Q132" s="171" t="e">
        <f t="shared" si="12"/>
        <v>#DIV/0!</v>
      </c>
      <c r="R132" s="161" t="e">
        <f t="shared" si="13"/>
        <v>#DIV/0!</v>
      </c>
      <c r="S132" s="162" t="e">
        <f t="shared" si="14"/>
        <v>#DIV/0!</v>
      </c>
      <c r="T132" s="172" t="e">
        <f t="shared" si="15"/>
        <v>#DIV/0!</v>
      </c>
    </row>
    <row r="133" spans="1:20" ht="15.75" thickBot="1" x14ac:dyDescent="0.3">
      <c r="A133" s="228">
        <v>106</v>
      </c>
      <c r="B133" s="983" t="s">
        <v>497</v>
      </c>
      <c r="C133" s="984"/>
      <c r="D133" s="989"/>
      <c r="E133" s="202"/>
      <c r="F133" s="215"/>
      <c r="G133" s="216"/>
      <c r="H133" s="224"/>
      <c r="I133" s="226">
        <f t="shared" si="16"/>
        <v>0</v>
      </c>
      <c r="J133" s="226"/>
      <c r="K133" s="1055"/>
      <c r="L133" s="962"/>
      <c r="M133" s="962"/>
      <c r="N133" s="962"/>
      <c r="O133" s="159" t="e">
        <f t="shared" si="17"/>
        <v>#DIV/0!</v>
      </c>
      <c r="P133" s="160" t="e">
        <f>O133*0.125</f>
        <v>#DIV/0!</v>
      </c>
      <c r="Q133" s="171" t="e">
        <f>O133*0.05</f>
        <v>#DIV/0!</v>
      </c>
      <c r="R133" s="161" t="e">
        <f>O133*0.125</f>
        <v>#DIV/0!</v>
      </c>
      <c r="S133" s="162" t="e">
        <f>P133+Q133+R133</f>
        <v>#DIV/0!</v>
      </c>
      <c r="T133" s="172" t="e">
        <f>O133+S133</f>
        <v>#DIV/0!</v>
      </c>
    </row>
    <row r="134" spans="1:20" ht="15.75" thickBot="1" x14ac:dyDescent="0.3">
      <c r="A134" s="228">
        <v>107</v>
      </c>
      <c r="B134" s="974" t="s">
        <v>498</v>
      </c>
      <c r="C134" s="975"/>
      <c r="D134" s="976"/>
      <c r="E134" s="203"/>
      <c r="F134" s="215"/>
      <c r="G134" s="216"/>
      <c r="H134" s="224"/>
      <c r="I134" s="226">
        <f t="shared" si="16"/>
        <v>0</v>
      </c>
      <c r="J134" s="226"/>
      <c r="K134" s="1055"/>
      <c r="L134" s="962"/>
      <c r="M134" s="962"/>
      <c r="N134" s="962"/>
      <c r="O134" s="159" t="e">
        <f t="shared" si="17"/>
        <v>#DIV/0!</v>
      </c>
      <c r="P134" s="160" t="e">
        <f t="shared" ref="P134:P186" si="18">O134*0.125</f>
        <v>#DIV/0!</v>
      </c>
      <c r="Q134" s="171" t="e">
        <f t="shared" ref="Q134:Q186" si="19">O134*0.05</f>
        <v>#DIV/0!</v>
      </c>
      <c r="R134" s="161" t="e">
        <f t="shared" ref="R134:R186" si="20">O134*0.125</f>
        <v>#DIV/0!</v>
      </c>
      <c r="S134" s="162" t="e">
        <f t="shared" ref="S134:S186" si="21">P134+Q134+R134</f>
        <v>#DIV/0!</v>
      </c>
      <c r="T134" s="172" t="e">
        <f t="shared" ref="T134:T186" si="22">O134+S134</f>
        <v>#DIV/0!</v>
      </c>
    </row>
    <row r="135" spans="1:20" ht="15.75" thickBot="1" x14ac:dyDescent="0.3">
      <c r="A135" s="228">
        <v>108</v>
      </c>
      <c r="B135" s="974" t="s">
        <v>499</v>
      </c>
      <c r="C135" s="975"/>
      <c r="D135" s="976"/>
      <c r="E135" s="203"/>
      <c r="F135" s="215"/>
      <c r="G135" s="216"/>
      <c r="H135" s="224"/>
      <c r="I135" s="226">
        <f t="shared" si="16"/>
        <v>0</v>
      </c>
      <c r="J135" s="226"/>
      <c r="K135" s="1055"/>
      <c r="L135" s="962"/>
      <c r="M135" s="962"/>
      <c r="N135" s="962"/>
      <c r="O135" s="159" t="e">
        <f t="shared" si="17"/>
        <v>#DIV/0!</v>
      </c>
      <c r="P135" s="160" t="e">
        <f t="shared" si="18"/>
        <v>#DIV/0!</v>
      </c>
      <c r="Q135" s="171" t="e">
        <f t="shared" si="19"/>
        <v>#DIV/0!</v>
      </c>
      <c r="R135" s="161" t="e">
        <f t="shared" si="20"/>
        <v>#DIV/0!</v>
      </c>
      <c r="S135" s="162" t="e">
        <f t="shared" si="21"/>
        <v>#DIV/0!</v>
      </c>
      <c r="T135" s="172" t="e">
        <f t="shared" si="22"/>
        <v>#DIV/0!</v>
      </c>
    </row>
    <row r="136" spans="1:20" ht="15.75" thickBot="1" x14ac:dyDescent="0.3">
      <c r="A136" s="228">
        <v>109</v>
      </c>
      <c r="B136" s="983" t="s">
        <v>500</v>
      </c>
      <c r="C136" s="984"/>
      <c r="D136" s="989"/>
      <c r="E136" s="203"/>
      <c r="F136" s="215"/>
      <c r="G136" s="216"/>
      <c r="H136" s="224"/>
      <c r="I136" s="226">
        <f t="shared" si="16"/>
        <v>0</v>
      </c>
      <c r="J136" s="226"/>
      <c r="K136" s="1055"/>
      <c r="L136" s="962"/>
      <c r="M136" s="962"/>
      <c r="N136" s="962"/>
      <c r="O136" s="159" t="e">
        <f t="shared" si="17"/>
        <v>#DIV/0!</v>
      </c>
      <c r="P136" s="160" t="e">
        <f t="shared" si="18"/>
        <v>#DIV/0!</v>
      </c>
      <c r="Q136" s="171" t="e">
        <f t="shared" si="19"/>
        <v>#DIV/0!</v>
      </c>
      <c r="R136" s="161" t="e">
        <f t="shared" si="20"/>
        <v>#DIV/0!</v>
      </c>
      <c r="S136" s="162" t="e">
        <f t="shared" si="21"/>
        <v>#DIV/0!</v>
      </c>
      <c r="T136" s="172" t="e">
        <f t="shared" si="22"/>
        <v>#DIV/0!</v>
      </c>
    </row>
    <row r="137" spans="1:20" ht="15.75" thickBot="1" x14ac:dyDescent="0.3">
      <c r="A137" s="228">
        <v>110</v>
      </c>
      <c r="B137" s="983" t="s">
        <v>501</v>
      </c>
      <c r="C137" s="984"/>
      <c r="D137" s="989"/>
      <c r="E137" s="203"/>
      <c r="F137" s="215"/>
      <c r="G137" s="216"/>
      <c r="H137" s="224"/>
      <c r="I137" s="226">
        <f t="shared" si="16"/>
        <v>0</v>
      </c>
      <c r="J137" s="226"/>
      <c r="K137" s="1055"/>
      <c r="L137" s="962"/>
      <c r="M137" s="962"/>
      <c r="N137" s="962"/>
      <c r="O137" s="159" t="e">
        <f t="shared" si="17"/>
        <v>#DIV/0!</v>
      </c>
      <c r="P137" s="160" t="e">
        <f t="shared" si="18"/>
        <v>#DIV/0!</v>
      </c>
      <c r="Q137" s="171" t="e">
        <f t="shared" si="19"/>
        <v>#DIV/0!</v>
      </c>
      <c r="R137" s="161" t="e">
        <f t="shared" si="20"/>
        <v>#DIV/0!</v>
      </c>
      <c r="S137" s="162" t="e">
        <f t="shared" si="21"/>
        <v>#DIV/0!</v>
      </c>
      <c r="T137" s="172" t="e">
        <f t="shared" si="22"/>
        <v>#DIV/0!</v>
      </c>
    </row>
    <row r="138" spans="1:20" ht="15.75" thickBot="1" x14ac:dyDescent="0.3">
      <c r="A138" s="228">
        <v>111</v>
      </c>
      <c r="B138" s="974" t="s">
        <v>502</v>
      </c>
      <c r="C138" s="975"/>
      <c r="D138" s="976"/>
      <c r="E138" s="203"/>
      <c r="F138" s="215"/>
      <c r="G138" s="216"/>
      <c r="H138" s="224"/>
      <c r="I138" s="226">
        <f t="shared" si="16"/>
        <v>0</v>
      </c>
      <c r="J138" s="226"/>
      <c r="K138" s="1055"/>
      <c r="L138" s="962"/>
      <c r="M138" s="962"/>
      <c r="N138" s="962"/>
      <c r="O138" s="159" t="e">
        <f t="shared" si="17"/>
        <v>#DIV/0!</v>
      </c>
      <c r="P138" s="160" t="e">
        <f t="shared" si="18"/>
        <v>#DIV/0!</v>
      </c>
      <c r="Q138" s="171" t="e">
        <f t="shared" si="19"/>
        <v>#DIV/0!</v>
      </c>
      <c r="R138" s="161" t="e">
        <f t="shared" si="20"/>
        <v>#DIV/0!</v>
      </c>
      <c r="S138" s="162" t="e">
        <f t="shared" si="21"/>
        <v>#DIV/0!</v>
      </c>
      <c r="T138" s="172" t="e">
        <f t="shared" si="22"/>
        <v>#DIV/0!</v>
      </c>
    </row>
    <row r="139" spans="1:20" ht="15.75" thickBot="1" x14ac:dyDescent="0.3">
      <c r="A139" s="228">
        <v>112</v>
      </c>
      <c r="B139" s="974" t="s">
        <v>503</v>
      </c>
      <c r="C139" s="975"/>
      <c r="D139" s="976"/>
      <c r="E139" s="203"/>
      <c r="F139" s="215"/>
      <c r="G139" s="216"/>
      <c r="H139" s="224"/>
      <c r="I139" s="226">
        <f t="shared" si="16"/>
        <v>0</v>
      </c>
      <c r="J139" s="226"/>
      <c r="K139" s="1055"/>
      <c r="L139" s="962"/>
      <c r="M139" s="962"/>
      <c r="N139" s="962"/>
      <c r="O139" s="159" t="e">
        <f t="shared" si="17"/>
        <v>#DIV/0!</v>
      </c>
      <c r="P139" s="160" t="e">
        <f t="shared" si="18"/>
        <v>#DIV/0!</v>
      </c>
      <c r="Q139" s="171" t="e">
        <f t="shared" si="19"/>
        <v>#DIV/0!</v>
      </c>
      <c r="R139" s="161" t="e">
        <f t="shared" si="20"/>
        <v>#DIV/0!</v>
      </c>
      <c r="S139" s="162" t="e">
        <f t="shared" si="21"/>
        <v>#DIV/0!</v>
      </c>
      <c r="T139" s="172" t="e">
        <f t="shared" si="22"/>
        <v>#DIV/0!</v>
      </c>
    </row>
    <row r="140" spans="1:20" ht="15.75" thickBot="1" x14ac:dyDescent="0.3">
      <c r="A140" s="228">
        <v>113</v>
      </c>
      <c r="B140" s="983" t="s">
        <v>504</v>
      </c>
      <c r="C140" s="984"/>
      <c r="D140" s="989"/>
      <c r="E140" s="204"/>
      <c r="F140" s="215"/>
      <c r="G140" s="216"/>
      <c r="H140" s="224"/>
      <c r="I140" s="226">
        <f t="shared" si="16"/>
        <v>0</v>
      </c>
      <c r="J140" s="226"/>
      <c r="K140" s="1055"/>
      <c r="L140" s="962"/>
      <c r="M140" s="962"/>
      <c r="N140" s="962"/>
      <c r="O140" s="159" t="e">
        <f t="shared" si="17"/>
        <v>#DIV/0!</v>
      </c>
      <c r="P140" s="160" t="e">
        <f t="shared" si="18"/>
        <v>#DIV/0!</v>
      </c>
      <c r="Q140" s="171" t="e">
        <f t="shared" si="19"/>
        <v>#DIV/0!</v>
      </c>
      <c r="R140" s="161" t="e">
        <f t="shared" si="20"/>
        <v>#DIV/0!</v>
      </c>
      <c r="S140" s="162" t="e">
        <f t="shared" si="21"/>
        <v>#DIV/0!</v>
      </c>
      <c r="T140" s="172" t="e">
        <f t="shared" si="22"/>
        <v>#DIV/0!</v>
      </c>
    </row>
    <row r="141" spans="1:20" ht="15.75" thickBot="1" x14ac:dyDescent="0.3">
      <c r="A141" s="228">
        <v>114</v>
      </c>
      <c r="B141" s="974" t="s">
        <v>505</v>
      </c>
      <c r="C141" s="975"/>
      <c r="D141" s="976"/>
      <c r="E141" s="204"/>
      <c r="F141" s="215"/>
      <c r="G141" s="216"/>
      <c r="H141" s="224"/>
      <c r="I141" s="226">
        <f t="shared" si="16"/>
        <v>0</v>
      </c>
      <c r="J141" s="226"/>
      <c r="K141" s="1055"/>
      <c r="L141" s="962"/>
      <c r="M141" s="962"/>
      <c r="N141" s="962"/>
      <c r="O141" s="159" t="e">
        <f t="shared" si="17"/>
        <v>#DIV/0!</v>
      </c>
      <c r="P141" s="160" t="e">
        <f t="shared" si="18"/>
        <v>#DIV/0!</v>
      </c>
      <c r="Q141" s="171" t="e">
        <f t="shared" si="19"/>
        <v>#DIV/0!</v>
      </c>
      <c r="R141" s="161" t="e">
        <f t="shared" si="20"/>
        <v>#DIV/0!</v>
      </c>
      <c r="S141" s="162" t="e">
        <f t="shared" si="21"/>
        <v>#DIV/0!</v>
      </c>
      <c r="T141" s="172" t="e">
        <f t="shared" si="22"/>
        <v>#DIV/0!</v>
      </c>
    </row>
    <row r="142" spans="1:20" ht="15.75" thickBot="1" x14ac:dyDescent="0.3">
      <c r="A142" s="228">
        <v>115</v>
      </c>
      <c r="B142" s="983" t="s">
        <v>506</v>
      </c>
      <c r="C142" s="984"/>
      <c r="D142" s="989"/>
      <c r="E142" s="204"/>
      <c r="F142" s="215"/>
      <c r="G142" s="216"/>
      <c r="H142" s="224"/>
      <c r="I142" s="226">
        <f t="shared" si="16"/>
        <v>0</v>
      </c>
      <c r="J142" s="226"/>
      <c r="K142" s="1055"/>
      <c r="L142" s="962"/>
      <c r="M142" s="962"/>
      <c r="N142" s="962"/>
      <c r="O142" s="159" t="e">
        <f t="shared" si="17"/>
        <v>#DIV/0!</v>
      </c>
      <c r="P142" s="160" t="e">
        <f t="shared" si="18"/>
        <v>#DIV/0!</v>
      </c>
      <c r="Q142" s="171" t="e">
        <f t="shared" si="19"/>
        <v>#DIV/0!</v>
      </c>
      <c r="R142" s="161" t="e">
        <f t="shared" si="20"/>
        <v>#DIV/0!</v>
      </c>
      <c r="S142" s="162" t="e">
        <f t="shared" si="21"/>
        <v>#DIV/0!</v>
      </c>
      <c r="T142" s="172" t="e">
        <f t="shared" si="22"/>
        <v>#DIV/0!</v>
      </c>
    </row>
    <row r="143" spans="1:20" ht="15.75" thickBot="1" x14ac:dyDescent="0.3">
      <c r="A143" s="228">
        <v>116</v>
      </c>
      <c r="B143" s="983" t="s">
        <v>507</v>
      </c>
      <c r="C143" s="984"/>
      <c r="D143" s="989"/>
      <c r="E143" s="204"/>
      <c r="F143" s="215"/>
      <c r="G143" s="216"/>
      <c r="H143" s="224"/>
      <c r="I143" s="226">
        <f t="shared" si="16"/>
        <v>0</v>
      </c>
      <c r="J143" s="226"/>
      <c r="K143" s="1055"/>
      <c r="L143" s="962"/>
      <c r="M143" s="962"/>
      <c r="N143" s="962"/>
      <c r="O143" s="159" t="e">
        <f t="shared" si="17"/>
        <v>#DIV/0!</v>
      </c>
      <c r="P143" s="160" t="e">
        <f t="shared" si="18"/>
        <v>#DIV/0!</v>
      </c>
      <c r="Q143" s="171" t="e">
        <f t="shared" si="19"/>
        <v>#DIV/0!</v>
      </c>
      <c r="R143" s="161" t="e">
        <f t="shared" si="20"/>
        <v>#DIV/0!</v>
      </c>
      <c r="S143" s="162" t="e">
        <f t="shared" si="21"/>
        <v>#DIV/0!</v>
      </c>
      <c r="T143" s="172" t="e">
        <f t="shared" si="22"/>
        <v>#DIV/0!</v>
      </c>
    </row>
    <row r="144" spans="1:20" ht="15.75" thickBot="1" x14ac:dyDescent="0.3">
      <c r="A144" s="228">
        <v>117</v>
      </c>
      <c r="B144" s="983" t="s">
        <v>540</v>
      </c>
      <c r="C144" s="984"/>
      <c r="D144" s="989"/>
      <c r="E144" s="205"/>
      <c r="F144" s="215"/>
      <c r="G144" s="216"/>
      <c r="H144" s="224"/>
      <c r="I144" s="226">
        <f t="shared" si="16"/>
        <v>0</v>
      </c>
      <c r="J144" s="226"/>
      <c r="K144" s="1055"/>
      <c r="L144" s="962"/>
      <c r="M144" s="962"/>
      <c r="N144" s="962"/>
      <c r="O144" s="159" t="e">
        <f t="shared" si="17"/>
        <v>#DIV/0!</v>
      </c>
      <c r="P144" s="160" t="e">
        <f t="shared" si="18"/>
        <v>#DIV/0!</v>
      </c>
      <c r="Q144" s="171" t="e">
        <f t="shared" si="19"/>
        <v>#DIV/0!</v>
      </c>
      <c r="R144" s="161" t="e">
        <f t="shared" si="20"/>
        <v>#DIV/0!</v>
      </c>
      <c r="S144" s="162" t="e">
        <f t="shared" si="21"/>
        <v>#DIV/0!</v>
      </c>
      <c r="T144" s="172" t="e">
        <f t="shared" si="22"/>
        <v>#DIV/0!</v>
      </c>
    </row>
    <row r="145" spans="1:20" ht="15.75" thickBot="1" x14ac:dyDescent="0.3">
      <c r="A145" s="228">
        <v>118</v>
      </c>
      <c r="B145" s="985" t="s">
        <v>508</v>
      </c>
      <c r="C145" s="986"/>
      <c r="D145" s="987"/>
      <c r="E145" s="206"/>
      <c r="F145" s="215"/>
      <c r="G145" s="216"/>
      <c r="H145" s="224"/>
      <c r="I145" s="226">
        <f t="shared" si="16"/>
        <v>0</v>
      </c>
      <c r="J145" s="226"/>
      <c r="K145" s="1055"/>
      <c r="L145" s="962"/>
      <c r="M145" s="962"/>
      <c r="N145" s="962"/>
      <c r="O145" s="159" t="e">
        <f t="shared" si="17"/>
        <v>#DIV/0!</v>
      </c>
      <c r="P145" s="160" t="e">
        <f t="shared" si="18"/>
        <v>#DIV/0!</v>
      </c>
      <c r="Q145" s="171" t="e">
        <f t="shared" si="19"/>
        <v>#DIV/0!</v>
      </c>
      <c r="R145" s="161" t="e">
        <f t="shared" si="20"/>
        <v>#DIV/0!</v>
      </c>
      <c r="S145" s="162" t="e">
        <f t="shared" si="21"/>
        <v>#DIV/0!</v>
      </c>
      <c r="T145" s="172" t="e">
        <f t="shared" si="22"/>
        <v>#DIV/0!</v>
      </c>
    </row>
    <row r="146" spans="1:20" ht="15.75" thickBot="1" x14ac:dyDescent="0.3">
      <c r="A146" s="228">
        <v>119</v>
      </c>
      <c r="B146" s="974" t="s">
        <v>509</v>
      </c>
      <c r="C146" s="975"/>
      <c r="D146" s="976"/>
      <c r="E146" s="206"/>
      <c r="F146" s="215"/>
      <c r="G146" s="216"/>
      <c r="H146" s="224"/>
      <c r="I146" s="226">
        <f t="shared" si="16"/>
        <v>0</v>
      </c>
      <c r="J146" s="226"/>
      <c r="K146" s="1055"/>
      <c r="L146" s="962"/>
      <c r="M146" s="962"/>
      <c r="N146" s="962"/>
      <c r="O146" s="159" t="e">
        <f t="shared" si="17"/>
        <v>#DIV/0!</v>
      </c>
      <c r="P146" s="160" t="e">
        <f t="shared" si="18"/>
        <v>#DIV/0!</v>
      </c>
      <c r="Q146" s="171" t="e">
        <f t="shared" si="19"/>
        <v>#DIV/0!</v>
      </c>
      <c r="R146" s="161" t="e">
        <f t="shared" si="20"/>
        <v>#DIV/0!</v>
      </c>
      <c r="S146" s="162" t="e">
        <f t="shared" si="21"/>
        <v>#DIV/0!</v>
      </c>
      <c r="T146" s="172" t="e">
        <f t="shared" si="22"/>
        <v>#DIV/0!</v>
      </c>
    </row>
    <row r="147" spans="1:20" ht="15.75" thickBot="1" x14ac:dyDescent="0.3">
      <c r="A147" s="228">
        <v>120</v>
      </c>
      <c r="B147" s="980" t="s">
        <v>510</v>
      </c>
      <c r="C147" s="981"/>
      <c r="D147" s="982"/>
      <c r="E147" s="207"/>
      <c r="F147" s="215"/>
      <c r="G147" s="216"/>
      <c r="H147" s="224"/>
      <c r="I147" s="226">
        <f t="shared" si="16"/>
        <v>0</v>
      </c>
      <c r="J147" s="226"/>
      <c r="K147" s="1055"/>
      <c r="L147" s="962"/>
      <c r="M147" s="962"/>
      <c r="N147" s="962"/>
      <c r="O147" s="159" t="e">
        <f t="shared" si="17"/>
        <v>#DIV/0!</v>
      </c>
      <c r="P147" s="160" t="e">
        <f t="shared" si="18"/>
        <v>#DIV/0!</v>
      </c>
      <c r="Q147" s="171" t="e">
        <f t="shared" si="19"/>
        <v>#DIV/0!</v>
      </c>
      <c r="R147" s="161" t="e">
        <f t="shared" si="20"/>
        <v>#DIV/0!</v>
      </c>
      <c r="S147" s="162" t="e">
        <f t="shared" si="21"/>
        <v>#DIV/0!</v>
      </c>
      <c r="T147" s="172" t="e">
        <f t="shared" si="22"/>
        <v>#DIV/0!</v>
      </c>
    </row>
    <row r="148" spans="1:20" ht="15.75" thickBot="1" x14ac:dyDescent="0.3">
      <c r="A148" s="228">
        <v>121</v>
      </c>
      <c r="B148" s="985" t="s">
        <v>538</v>
      </c>
      <c r="C148" s="986"/>
      <c r="D148" s="987"/>
      <c r="E148" s="207"/>
      <c r="F148" s="215"/>
      <c r="G148" s="207"/>
      <c r="H148" s="224"/>
      <c r="I148" s="226">
        <f t="shared" si="16"/>
        <v>0</v>
      </c>
      <c r="J148" s="226"/>
      <c r="K148" s="1055"/>
      <c r="L148" s="962"/>
      <c r="M148" s="962"/>
      <c r="N148" s="962"/>
      <c r="O148" s="159" t="e">
        <f t="shared" si="17"/>
        <v>#DIV/0!</v>
      </c>
      <c r="P148" s="160" t="e">
        <f t="shared" si="18"/>
        <v>#DIV/0!</v>
      </c>
      <c r="Q148" s="171" t="e">
        <f t="shared" si="19"/>
        <v>#DIV/0!</v>
      </c>
      <c r="R148" s="161" t="e">
        <f t="shared" si="20"/>
        <v>#DIV/0!</v>
      </c>
      <c r="S148" s="162" t="e">
        <f t="shared" si="21"/>
        <v>#DIV/0!</v>
      </c>
      <c r="T148" s="172" t="e">
        <f t="shared" si="22"/>
        <v>#DIV/0!</v>
      </c>
    </row>
    <row r="149" spans="1:20" ht="15.75" thickBot="1" x14ac:dyDescent="0.3">
      <c r="A149" s="228">
        <v>122</v>
      </c>
      <c r="B149" s="983" t="s">
        <v>511</v>
      </c>
      <c r="C149" s="984"/>
      <c r="D149" s="988"/>
      <c r="E149" s="207"/>
      <c r="F149" s="215"/>
      <c r="G149" s="207"/>
      <c r="H149" s="224"/>
      <c r="I149" s="226">
        <f t="shared" si="16"/>
        <v>0</v>
      </c>
      <c r="J149" s="226"/>
      <c r="K149" s="1055"/>
      <c r="L149" s="962"/>
      <c r="M149" s="962"/>
      <c r="N149" s="962"/>
      <c r="O149" s="159" t="e">
        <f t="shared" si="17"/>
        <v>#DIV/0!</v>
      </c>
      <c r="P149" s="160" t="e">
        <f t="shared" si="18"/>
        <v>#DIV/0!</v>
      </c>
      <c r="Q149" s="171" t="e">
        <f t="shared" si="19"/>
        <v>#DIV/0!</v>
      </c>
      <c r="R149" s="161" t="e">
        <f t="shared" si="20"/>
        <v>#DIV/0!</v>
      </c>
      <c r="S149" s="162" t="e">
        <f t="shared" si="21"/>
        <v>#DIV/0!</v>
      </c>
      <c r="T149" s="172" t="e">
        <f t="shared" si="22"/>
        <v>#DIV/0!</v>
      </c>
    </row>
    <row r="150" spans="1:20" ht="15.75" thickBot="1" x14ac:dyDescent="0.3">
      <c r="A150" s="228">
        <v>123</v>
      </c>
      <c r="B150" s="974" t="s">
        <v>512</v>
      </c>
      <c r="C150" s="975"/>
      <c r="D150" s="975"/>
      <c r="E150" s="208"/>
      <c r="F150" s="215"/>
      <c r="G150" s="208"/>
      <c r="H150" s="224"/>
      <c r="I150" s="226">
        <f t="shared" si="16"/>
        <v>0</v>
      </c>
      <c r="J150" s="226"/>
      <c r="K150" s="1055"/>
      <c r="L150" s="962"/>
      <c r="M150" s="962"/>
      <c r="N150" s="962"/>
      <c r="O150" s="159" t="e">
        <f t="shared" si="17"/>
        <v>#DIV/0!</v>
      </c>
      <c r="P150" s="160" t="e">
        <f t="shared" si="18"/>
        <v>#DIV/0!</v>
      </c>
      <c r="Q150" s="171" t="e">
        <f t="shared" si="19"/>
        <v>#DIV/0!</v>
      </c>
      <c r="R150" s="161" t="e">
        <f t="shared" si="20"/>
        <v>#DIV/0!</v>
      </c>
      <c r="S150" s="162" t="e">
        <f t="shared" si="21"/>
        <v>#DIV/0!</v>
      </c>
      <c r="T150" s="172" t="e">
        <f t="shared" si="22"/>
        <v>#DIV/0!</v>
      </c>
    </row>
    <row r="151" spans="1:20" ht="15.75" thickBot="1" x14ac:dyDescent="0.3">
      <c r="A151" s="228">
        <v>124</v>
      </c>
      <c r="B151" s="983" t="s">
        <v>513</v>
      </c>
      <c r="C151" s="984"/>
      <c r="D151" s="984"/>
      <c r="E151" s="208"/>
      <c r="F151" s="215"/>
      <c r="G151" s="208"/>
      <c r="H151" s="224"/>
      <c r="I151" s="226">
        <f t="shared" si="16"/>
        <v>0</v>
      </c>
      <c r="J151" s="226"/>
      <c r="K151" s="1055"/>
      <c r="L151" s="962"/>
      <c r="M151" s="962"/>
      <c r="N151" s="962"/>
      <c r="O151" s="159" t="e">
        <f t="shared" si="17"/>
        <v>#DIV/0!</v>
      </c>
      <c r="P151" s="160" t="e">
        <f t="shared" si="18"/>
        <v>#DIV/0!</v>
      </c>
      <c r="Q151" s="171" t="e">
        <f t="shared" si="19"/>
        <v>#DIV/0!</v>
      </c>
      <c r="R151" s="161" t="e">
        <f t="shared" si="20"/>
        <v>#DIV/0!</v>
      </c>
      <c r="S151" s="162" t="e">
        <f t="shared" si="21"/>
        <v>#DIV/0!</v>
      </c>
      <c r="T151" s="172" t="e">
        <f t="shared" si="22"/>
        <v>#DIV/0!</v>
      </c>
    </row>
    <row r="152" spans="1:20" ht="15.75" thickBot="1" x14ac:dyDescent="0.3">
      <c r="A152" s="228">
        <v>125</v>
      </c>
      <c r="B152" s="974" t="s">
        <v>514</v>
      </c>
      <c r="C152" s="975"/>
      <c r="D152" s="975"/>
      <c r="E152" s="208"/>
      <c r="F152" s="215"/>
      <c r="G152" s="208"/>
      <c r="H152" s="224"/>
      <c r="I152" s="226">
        <f t="shared" si="16"/>
        <v>0</v>
      </c>
      <c r="J152" s="226"/>
      <c r="K152" s="1055"/>
      <c r="L152" s="962"/>
      <c r="M152" s="962"/>
      <c r="N152" s="962"/>
      <c r="O152" s="159" t="e">
        <f t="shared" si="17"/>
        <v>#DIV/0!</v>
      </c>
      <c r="P152" s="160" t="e">
        <f t="shared" si="18"/>
        <v>#DIV/0!</v>
      </c>
      <c r="Q152" s="171" t="e">
        <f t="shared" si="19"/>
        <v>#DIV/0!</v>
      </c>
      <c r="R152" s="161" t="e">
        <f t="shared" si="20"/>
        <v>#DIV/0!</v>
      </c>
      <c r="S152" s="162" t="e">
        <f t="shared" si="21"/>
        <v>#DIV/0!</v>
      </c>
      <c r="T152" s="172" t="e">
        <f t="shared" si="22"/>
        <v>#DIV/0!</v>
      </c>
    </row>
    <row r="153" spans="1:20" ht="15.75" thickBot="1" x14ac:dyDescent="0.3">
      <c r="A153" s="228">
        <v>126</v>
      </c>
      <c r="B153" s="983" t="s">
        <v>515</v>
      </c>
      <c r="C153" s="984"/>
      <c r="D153" s="984"/>
      <c r="E153" s="208"/>
      <c r="F153" s="215"/>
      <c r="G153" s="208"/>
      <c r="H153" s="224"/>
      <c r="I153" s="226">
        <f t="shared" si="16"/>
        <v>0</v>
      </c>
      <c r="J153" s="226"/>
      <c r="K153" s="1055"/>
      <c r="L153" s="962"/>
      <c r="M153" s="962"/>
      <c r="N153" s="962"/>
      <c r="O153" s="159" t="e">
        <f t="shared" si="17"/>
        <v>#DIV/0!</v>
      </c>
      <c r="P153" s="160" t="e">
        <f t="shared" si="18"/>
        <v>#DIV/0!</v>
      </c>
      <c r="Q153" s="171" t="e">
        <f t="shared" si="19"/>
        <v>#DIV/0!</v>
      </c>
      <c r="R153" s="161" t="e">
        <f t="shared" si="20"/>
        <v>#DIV/0!</v>
      </c>
      <c r="S153" s="162" t="e">
        <f t="shared" si="21"/>
        <v>#DIV/0!</v>
      </c>
      <c r="T153" s="172" t="e">
        <f t="shared" si="22"/>
        <v>#DIV/0!</v>
      </c>
    </row>
    <row r="154" spans="1:20" ht="15.75" thickBot="1" x14ac:dyDescent="0.3">
      <c r="A154" s="228">
        <v>127</v>
      </c>
      <c r="B154" s="974" t="s">
        <v>516</v>
      </c>
      <c r="C154" s="975"/>
      <c r="D154" s="975"/>
      <c r="E154" s="208"/>
      <c r="F154" s="215"/>
      <c r="G154" s="208"/>
      <c r="H154" s="224"/>
      <c r="I154" s="226">
        <f t="shared" si="16"/>
        <v>0</v>
      </c>
      <c r="J154" s="226"/>
      <c r="K154" s="1055"/>
      <c r="L154" s="962"/>
      <c r="M154" s="962"/>
      <c r="N154" s="962"/>
      <c r="O154" s="159" t="e">
        <f t="shared" si="17"/>
        <v>#DIV/0!</v>
      </c>
      <c r="P154" s="160" t="e">
        <f t="shared" si="18"/>
        <v>#DIV/0!</v>
      </c>
      <c r="Q154" s="171" t="e">
        <f t="shared" si="19"/>
        <v>#DIV/0!</v>
      </c>
      <c r="R154" s="161" t="e">
        <f t="shared" si="20"/>
        <v>#DIV/0!</v>
      </c>
      <c r="S154" s="162" t="e">
        <f t="shared" si="21"/>
        <v>#DIV/0!</v>
      </c>
      <c r="T154" s="172" t="e">
        <f t="shared" si="22"/>
        <v>#DIV/0!</v>
      </c>
    </row>
    <row r="155" spans="1:20" ht="15.75" thickBot="1" x14ac:dyDescent="0.3">
      <c r="A155" s="228">
        <v>128</v>
      </c>
      <c r="B155" s="974" t="s">
        <v>517</v>
      </c>
      <c r="C155" s="975"/>
      <c r="D155" s="975"/>
      <c r="E155" s="208"/>
      <c r="F155" s="215"/>
      <c r="G155" s="208"/>
      <c r="H155" s="224"/>
      <c r="I155" s="226">
        <f t="shared" si="16"/>
        <v>0</v>
      </c>
      <c r="J155" s="226"/>
      <c r="K155" s="1055"/>
      <c r="L155" s="962"/>
      <c r="M155" s="962"/>
      <c r="N155" s="962"/>
      <c r="O155" s="159" t="e">
        <f t="shared" si="17"/>
        <v>#DIV/0!</v>
      </c>
      <c r="P155" s="160" t="e">
        <f t="shared" si="18"/>
        <v>#DIV/0!</v>
      </c>
      <c r="Q155" s="171" t="e">
        <f t="shared" si="19"/>
        <v>#DIV/0!</v>
      </c>
      <c r="R155" s="161" t="e">
        <f t="shared" si="20"/>
        <v>#DIV/0!</v>
      </c>
      <c r="S155" s="162" t="e">
        <f t="shared" si="21"/>
        <v>#DIV/0!</v>
      </c>
      <c r="T155" s="172" t="e">
        <f t="shared" si="22"/>
        <v>#DIV/0!</v>
      </c>
    </row>
    <row r="156" spans="1:20" ht="15.75" thickBot="1" x14ac:dyDescent="0.3">
      <c r="A156" s="228">
        <v>129</v>
      </c>
      <c r="B156" s="974" t="s">
        <v>537</v>
      </c>
      <c r="C156" s="975"/>
      <c r="D156" s="975"/>
      <c r="E156" s="208"/>
      <c r="F156" s="215"/>
      <c r="G156" s="208"/>
      <c r="H156" s="224"/>
      <c r="I156" s="226">
        <f t="shared" si="16"/>
        <v>0</v>
      </c>
      <c r="J156" s="226"/>
      <c r="K156" s="1055"/>
      <c r="L156" s="962"/>
      <c r="M156" s="962"/>
      <c r="N156" s="962"/>
      <c r="O156" s="159" t="e">
        <f t="shared" si="17"/>
        <v>#DIV/0!</v>
      </c>
      <c r="P156" s="160" t="e">
        <f t="shared" si="18"/>
        <v>#DIV/0!</v>
      </c>
      <c r="Q156" s="171" t="e">
        <f t="shared" si="19"/>
        <v>#DIV/0!</v>
      </c>
      <c r="R156" s="161" t="e">
        <f t="shared" si="20"/>
        <v>#DIV/0!</v>
      </c>
      <c r="S156" s="162" t="e">
        <f t="shared" si="21"/>
        <v>#DIV/0!</v>
      </c>
      <c r="T156" s="172" t="e">
        <f t="shared" si="22"/>
        <v>#DIV/0!</v>
      </c>
    </row>
    <row r="157" spans="1:20" ht="15.75" thickBot="1" x14ac:dyDescent="0.3">
      <c r="A157" s="228">
        <v>130</v>
      </c>
      <c r="B157" s="974" t="s">
        <v>519</v>
      </c>
      <c r="C157" s="975"/>
      <c r="D157" s="975"/>
      <c r="E157" s="208"/>
      <c r="F157" s="215"/>
      <c r="G157" s="208"/>
      <c r="H157" s="224"/>
      <c r="I157" s="226">
        <f t="shared" ref="I157:I186" si="23">SUM(F157:H157)</f>
        <v>0</v>
      </c>
      <c r="J157" s="226"/>
      <c r="K157" s="1055"/>
      <c r="L157" s="962"/>
      <c r="M157" s="962"/>
      <c r="N157" s="962"/>
      <c r="O157" s="159" t="e">
        <f t="shared" ref="O157:O186" si="24">$T$8/$F$236*F157*K157</f>
        <v>#DIV/0!</v>
      </c>
      <c r="P157" s="160" t="e">
        <f t="shared" si="18"/>
        <v>#DIV/0!</v>
      </c>
      <c r="Q157" s="171" t="e">
        <f t="shared" si="19"/>
        <v>#DIV/0!</v>
      </c>
      <c r="R157" s="161" t="e">
        <f t="shared" si="20"/>
        <v>#DIV/0!</v>
      </c>
      <c r="S157" s="162" t="e">
        <f t="shared" si="21"/>
        <v>#DIV/0!</v>
      </c>
      <c r="T157" s="172" t="e">
        <f t="shared" si="22"/>
        <v>#DIV/0!</v>
      </c>
    </row>
    <row r="158" spans="1:20" ht="15.75" thickBot="1" x14ac:dyDescent="0.3">
      <c r="A158" s="228">
        <v>131</v>
      </c>
      <c r="B158" s="974" t="s">
        <v>520</v>
      </c>
      <c r="C158" s="975"/>
      <c r="D158" s="975"/>
      <c r="E158" s="208"/>
      <c r="F158" s="215"/>
      <c r="G158" s="208"/>
      <c r="H158" s="224"/>
      <c r="I158" s="226">
        <f t="shared" si="23"/>
        <v>0</v>
      </c>
      <c r="J158" s="226"/>
      <c r="K158" s="1055"/>
      <c r="L158" s="962"/>
      <c r="M158" s="962"/>
      <c r="N158" s="962"/>
      <c r="O158" s="159" t="e">
        <f t="shared" si="24"/>
        <v>#DIV/0!</v>
      </c>
      <c r="P158" s="160" t="e">
        <f t="shared" si="18"/>
        <v>#DIV/0!</v>
      </c>
      <c r="Q158" s="171" t="e">
        <f t="shared" si="19"/>
        <v>#DIV/0!</v>
      </c>
      <c r="R158" s="161" t="e">
        <f t="shared" si="20"/>
        <v>#DIV/0!</v>
      </c>
      <c r="S158" s="162" t="e">
        <f t="shared" si="21"/>
        <v>#DIV/0!</v>
      </c>
      <c r="T158" s="172" t="e">
        <f t="shared" si="22"/>
        <v>#DIV/0!</v>
      </c>
    </row>
    <row r="159" spans="1:20" ht="15.75" thickBot="1" x14ac:dyDescent="0.3">
      <c r="A159" s="228">
        <v>132</v>
      </c>
      <c r="B159" s="974" t="s">
        <v>521</v>
      </c>
      <c r="C159" s="975"/>
      <c r="D159" s="975"/>
      <c r="E159" s="208"/>
      <c r="F159" s="215"/>
      <c r="G159" s="208"/>
      <c r="H159" s="224"/>
      <c r="I159" s="226">
        <f t="shared" si="23"/>
        <v>0</v>
      </c>
      <c r="J159" s="226"/>
      <c r="K159" s="1055"/>
      <c r="L159" s="962"/>
      <c r="M159" s="962"/>
      <c r="N159" s="962"/>
      <c r="O159" s="159" t="e">
        <f t="shared" si="24"/>
        <v>#DIV/0!</v>
      </c>
      <c r="P159" s="160" t="e">
        <f t="shared" si="18"/>
        <v>#DIV/0!</v>
      </c>
      <c r="Q159" s="171" t="e">
        <f t="shared" si="19"/>
        <v>#DIV/0!</v>
      </c>
      <c r="R159" s="161" t="e">
        <f t="shared" si="20"/>
        <v>#DIV/0!</v>
      </c>
      <c r="S159" s="162" t="e">
        <f t="shared" si="21"/>
        <v>#DIV/0!</v>
      </c>
      <c r="T159" s="172" t="e">
        <f t="shared" si="22"/>
        <v>#DIV/0!</v>
      </c>
    </row>
    <row r="160" spans="1:20" ht="15.75" thickBot="1" x14ac:dyDescent="0.3">
      <c r="A160" s="228">
        <v>133</v>
      </c>
      <c r="B160" s="974" t="s">
        <v>539</v>
      </c>
      <c r="C160" s="975"/>
      <c r="D160" s="975"/>
      <c r="E160" s="208"/>
      <c r="F160" s="215"/>
      <c r="G160" s="208"/>
      <c r="H160" s="224"/>
      <c r="I160" s="226">
        <f t="shared" si="23"/>
        <v>0</v>
      </c>
      <c r="J160" s="226"/>
      <c r="K160" s="1055"/>
      <c r="L160" s="962"/>
      <c r="M160" s="962"/>
      <c r="N160" s="962"/>
      <c r="O160" s="159" t="e">
        <f t="shared" si="24"/>
        <v>#DIV/0!</v>
      </c>
      <c r="P160" s="160" t="e">
        <f t="shared" si="18"/>
        <v>#DIV/0!</v>
      </c>
      <c r="Q160" s="171" t="e">
        <f t="shared" si="19"/>
        <v>#DIV/0!</v>
      </c>
      <c r="R160" s="161" t="e">
        <f t="shared" si="20"/>
        <v>#DIV/0!</v>
      </c>
      <c r="S160" s="162" t="e">
        <f t="shared" si="21"/>
        <v>#DIV/0!</v>
      </c>
      <c r="T160" s="172" t="e">
        <f t="shared" si="22"/>
        <v>#DIV/0!</v>
      </c>
    </row>
    <row r="161" spans="1:20" ht="15.75" thickBot="1" x14ac:dyDescent="0.3">
      <c r="A161" s="228">
        <v>134</v>
      </c>
      <c r="B161" s="983" t="s">
        <v>522</v>
      </c>
      <c r="C161" s="984"/>
      <c r="D161" s="984"/>
      <c r="E161" s="208"/>
      <c r="F161" s="215"/>
      <c r="G161" s="208"/>
      <c r="H161" s="224"/>
      <c r="I161" s="226">
        <f t="shared" si="23"/>
        <v>0</v>
      </c>
      <c r="J161" s="226"/>
      <c r="K161" s="1055"/>
      <c r="L161" s="962"/>
      <c r="M161" s="962"/>
      <c r="N161" s="962"/>
      <c r="O161" s="159" t="e">
        <f t="shared" si="24"/>
        <v>#DIV/0!</v>
      </c>
      <c r="P161" s="160" t="e">
        <f t="shared" si="18"/>
        <v>#DIV/0!</v>
      </c>
      <c r="Q161" s="171" t="e">
        <f t="shared" si="19"/>
        <v>#DIV/0!</v>
      </c>
      <c r="R161" s="161" t="e">
        <f t="shared" si="20"/>
        <v>#DIV/0!</v>
      </c>
      <c r="S161" s="162" t="e">
        <f t="shared" si="21"/>
        <v>#DIV/0!</v>
      </c>
      <c r="T161" s="172" t="e">
        <f t="shared" si="22"/>
        <v>#DIV/0!</v>
      </c>
    </row>
    <row r="162" spans="1:20" ht="15.75" thickBot="1" x14ac:dyDescent="0.3">
      <c r="A162" s="228">
        <v>135</v>
      </c>
      <c r="B162" s="983" t="s">
        <v>523</v>
      </c>
      <c r="C162" s="984"/>
      <c r="D162" s="984"/>
      <c r="E162" s="208"/>
      <c r="F162" s="215"/>
      <c r="G162" s="208"/>
      <c r="H162" s="224"/>
      <c r="I162" s="226">
        <f t="shared" si="23"/>
        <v>0</v>
      </c>
      <c r="J162" s="226"/>
      <c r="K162" s="1055"/>
      <c r="L162" s="962"/>
      <c r="M162" s="962"/>
      <c r="N162" s="962"/>
      <c r="O162" s="159" t="e">
        <f t="shared" si="24"/>
        <v>#DIV/0!</v>
      </c>
      <c r="P162" s="160" t="e">
        <f t="shared" si="18"/>
        <v>#DIV/0!</v>
      </c>
      <c r="Q162" s="171" t="e">
        <f t="shared" si="19"/>
        <v>#DIV/0!</v>
      </c>
      <c r="R162" s="161" t="e">
        <f t="shared" si="20"/>
        <v>#DIV/0!</v>
      </c>
      <c r="S162" s="162" t="e">
        <f t="shared" si="21"/>
        <v>#DIV/0!</v>
      </c>
      <c r="T162" s="172" t="e">
        <f t="shared" si="22"/>
        <v>#DIV/0!</v>
      </c>
    </row>
    <row r="163" spans="1:20" ht="15.75" thickBot="1" x14ac:dyDescent="0.3">
      <c r="A163" s="228">
        <v>136</v>
      </c>
      <c r="B163" s="974" t="s">
        <v>524</v>
      </c>
      <c r="C163" s="975"/>
      <c r="D163" s="975"/>
      <c r="E163" s="208"/>
      <c r="F163" s="215"/>
      <c r="G163" s="208"/>
      <c r="H163" s="224"/>
      <c r="I163" s="226">
        <f t="shared" si="23"/>
        <v>0</v>
      </c>
      <c r="J163" s="226"/>
      <c r="K163" s="1055"/>
      <c r="L163" s="962"/>
      <c r="M163" s="962"/>
      <c r="N163" s="962"/>
      <c r="O163" s="159" t="e">
        <f t="shared" si="24"/>
        <v>#DIV/0!</v>
      </c>
      <c r="P163" s="160" t="e">
        <f t="shared" si="18"/>
        <v>#DIV/0!</v>
      </c>
      <c r="Q163" s="171" t="e">
        <f t="shared" si="19"/>
        <v>#DIV/0!</v>
      </c>
      <c r="R163" s="161" t="e">
        <f t="shared" si="20"/>
        <v>#DIV/0!</v>
      </c>
      <c r="S163" s="162" t="e">
        <f t="shared" si="21"/>
        <v>#DIV/0!</v>
      </c>
      <c r="T163" s="172" t="e">
        <f t="shared" si="22"/>
        <v>#DIV/0!</v>
      </c>
    </row>
    <row r="164" spans="1:20" ht="15.75" thickBot="1" x14ac:dyDescent="0.3">
      <c r="A164" s="228">
        <v>137</v>
      </c>
      <c r="B164" s="974" t="s">
        <v>518</v>
      </c>
      <c r="C164" s="975"/>
      <c r="D164" s="975"/>
      <c r="E164" s="209"/>
      <c r="F164" s="215"/>
      <c r="G164" s="208"/>
      <c r="H164" s="224"/>
      <c r="I164" s="226">
        <f t="shared" si="23"/>
        <v>0</v>
      </c>
      <c r="J164" s="226"/>
      <c r="K164" s="1055"/>
      <c r="L164" s="962"/>
      <c r="M164" s="962"/>
      <c r="N164" s="962"/>
      <c r="O164" s="159" t="e">
        <f t="shared" si="24"/>
        <v>#DIV/0!</v>
      </c>
      <c r="P164" s="160" t="e">
        <f t="shared" si="18"/>
        <v>#DIV/0!</v>
      </c>
      <c r="Q164" s="171" t="e">
        <f t="shared" si="19"/>
        <v>#DIV/0!</v>
      </c>
      <c r="R164" s="161" t="e">
        <f t="shared" si="20"/>
        <v>#DIV/0!</v>
      </c>
      <c r="S164" s="162" t="e">
        <f t="shared" si="21"/>
        <v>#DIV/0!</v>
      </c>
      <c r="T164" s="172" t="e">
        <f t="shared" si="22"/>
        <v>#DIV/0!</v>
      </c>
    </row>
    <row r="165" spans="1:20" ht="15.75" thickBot="1" x14ac:dyDescent="0.3">
      <c r="A165" s="228">
        <v>138</v>
      </c>
      <c r="B165" s="974" t="s">
        <v>525</v>
      </c>
      <c r="C165" s="975"/>
      <c r="D165" s="975"/>
      <c r="E165" s="209"/>
      <c r="F165" s="215"/>
      <c r="G165" s="208"/>
      <c r="H165" s="224"/>
      <c r="I165" s="226">
        <f t="shared" si="23"/>
        <v>0</v>
      </c>
      <c r="J165" s="226"/>
      <c r="K165" s="1055"/>
      <c r="L165" s="962"/>
      <c r="M165" s="962"/>
      <c r="N165" s="962"/>
      <c r="O165" s="159" t="e">
        <f t="shared" si="24"/>
        <v>#DIV/0!</v>
      </c>
      <c r="P165" s="160" t="e">
        <f t="shared" si="18"/>
        <v>#DIV/0!</v>
      </c>
      <c r="Q165" s="171" t="e">
        <f t="shared" si="19"/>
        <v>#DIV/0!</v>
      </c>
      <c r="R165" s="161" t="e">
        <f t="shared" si="20"/>
        <v>#DIV/0!</v>
      </c>
      <c r="S165" s="162" t="e">
        <f t="shared" si="21"/>
        <v>#DIV/0!</v>
      </c>
      <c r="T165" s="172" t="e">
        <f t="shared" si="22"/>
        <v>#DIV/0!</v>
      </c>
    </row>
    <row r="166" spans="1:20" ht="15.75" thickBot="1" x14ac:dyDescent="0.3">
      <c r="A166" s="228">
        <v>139</v>
      </c>
      <c r="B166" s="983" t="s">
        <v>526</v>
      </c>
      <c r="C166" s="984"/>
      <c r="D166" s="984"/>
      <c r="E166" s="209"/>
      <c r="F166" s="215"/>
      <c r="G166" s="208"/>
      <c r="H166" s="224"/>
      <c r="I166" s="226">
        <f t="shared" si="23"/>
        <v>0</v>
      </c>
      <c r="J166" s="226"/>
      <c r="K166" s="1055"/>
      <c r="L166" s="962"/>
      <c r="M166" s="962"/>
      <c r="N166" s="962"/>
      <c r="O166" s="159" t="e">
        <f t="shared" si="24"/>
        <v>#DIV/0!</v>
      </c>
      <c r="P166" s="160" t="e">
        <f t="shared" si="18"/>
        <v>#DIV/0!</v>
      </c>
      <c r="Q166" s="171" t="e">
        <f t="shared" si="19"/>
        <v>#DIV/0!</v>
      </c>
      <c r="R166" s="161" t="e">
        <f t="shared" si="20"/>
        <v>#DIV/0!</v>
      </c>
      <c r="S166" s="162" t="e">
        <f t="shared" si="21"/>
        <v>#DIV/0!</v>
      </c>
      <c r="T166" s="172" t="e">
        <f t="shared" si="22"/>
        <v>#DIV/0!</v>
      </c>
    </row>
    <row r="167" spans="1:20" ht="15.75" thickBot="1" x14ac:dyDescent="0.3">
      <c r="A167" s="228">
        <v>140</v>
      </c>
      <c r="B167" s="974" t="s">
        <v>527</v>
      </c>
      <c r="C167" s="975"/>
      <c r="D167" s="975"/>
      <c r="E167" s="209"/>
      <c r="F167" s="215"/>
      <c r="G167" s="208"/>
      <c r="H167" s="224"/>
      <c r="I167" s="226">
        <f t="shared" si="23"/>
        <v>0</v>
      </c>
      <c r="J167" s="226"/>
      <c r="K167" s="1055"/>
      <c r="L167" s="962"/>
      <c r="M167" s="962"/>
      <c r="N167" s="962"/>
      <c r="O167" s="159" t="e">
        <f t="shared" si="24"/>
        <v>#DIV/0!</v>
      </c>
      <c r="P167" s="160" t="e">
        <f t="shared" si="18"/>
        <v>#DIV/0!</v>
      </c>
      <c r="Q167" s="171" t="e">
        <f t="shared" si="19"/>
        <v>#DIV/0!</v>
      </c>
      <c r="R167" s="161" t="e">
        <f t="shared" si="20"/>
        <v>#DIV/0!</v>
      </c>
      <c r="S167" s="162" t="e">
        <f t="shared" si="21"/>
        <v>#DIV/0!</v>
      </c>
      <c r="T167" s="172" t="e">
        <f t="shared" si="22"/>
        <v>#DIV/0!</v>
      </c>
    </row>
    <row r="168" spans="1:20" ht="15.75" thickBot="1" x14ac:dyDescent="0.3">
      <c r="A168" s="228">
        <v>141</v>
      </c>
      <c r="B168" s="974" t="s">
        <v>528</v>
      </c>
      <c r="C168" s="975"/>
      <c r="D168" s="975"/>
      <c r="E168" s="209"/>
      <c r="F168" s="215"/>
      <c r="G168" s="208"/>
      <c r="H168" s="224"/>
      <c r="I168" s="226">
        <f t="shared" si="23"/>
        <v>0</v>
      </c>
      <c r="J168" s="226"/>
      <c r="K168" s="1055"/>
      <c r="L168" s="962"/>
      <c r="M168" s="962"/>
      <c r="N168" s="962"/>
      <c r="O168" s="159" t="e">
        <f t="shared" si="24"/>
        <v>#DIV/0!</v>
      </c>
      <c r="P168" s="160" t="e">
        <f t="shared" si="18"/>
        <v>#DIV/0!</v>
      </c>
      <c r="Q168" s="171" t="e">
        <f t="shared" si="19"/>
        <v>#DIV/0!</v>
      </c>
      <c r="R168" s="161" t="e">
        <f t="shared" si="20"/>
        <v>#DIV/0!</v>
      </c>
      <c r="S168" s="162" t="e">
        <f t="shared" si="21"/>
        <v>#DIV/0!</v>
      </c>
      <c r="T168" s="172" t="e">
        <f t="shared" si="22"/>
        <v>#DIV/0!</v>
      </c>
    </row>
    <row r="169" spans="1:20" ht="15.75" thickBot="1" x14ac:dyDescent="0.3">
      <c r="A169" s="228">
        <v>142</v>
      </c>
      <c r="B169" s="974" t="s">
        <v>529</v>
      </c>
      <c r="C169" s="975"/>
      <c r="D169" s="975"/>
      <c r="E169" s="209"/>
      <c r="F169" s="215"/>
      <c r="G169" s="208"/>
      <c r="H169" s="224"/>
      <c r="I169" s="226">
        <f t="shared" si="23"/>
        <v>0</v>
      </c>
      <c r="J169" s="226"/>
      <c r="K169" s="1055"/>
      <c r="L169" s="962"/>
      <c r="M169" s="962"/>
      <c r="N169" s="962"/>
      <c r="O169" s="159" t="e">
        <f t="shared" si="24"/>
        <v>#DIV/0!</v>
      </c>
      <c r="P169" s="160" t="e">
        <f t="shared" si="18"/>
        <v>#DIV/0!</v>
      </c>
      <c r="Q169" s="171" t="e">
        <f t="shared" si="19"/>
        <v>#DIV/0!</v>
      </c>
      <c r="R169" s="161" t="e">
        <f t="shared" si="20"/>
        <v>#DIV/0!</v>
      </c>
      <c r="S169" s="162" t="e">
        <f t="shared" si="21"/>
        <v>#DIV/0!</v>
      </c>
      <c r="T169" s="172" t="e">
        <f t="shared" si="22"/>
        <v>#DIV/0!</v>
      </c>
    </row>
    <row r="170" spans="1:20" ht="15.75" thickBot="1" x14ac:dyDescent="0.3">
      <c r="A170" s="228">
        <v>143</v>
      </c>
      <c r="B170" s="983" t="s">
        <v>530</v>
      </c>
      <c r="C170" s="984"/>
      <c r="D170" s="984"/>
      <c r="E170" s="209"/>
      <c r="F170" s="215"/>
      <c r="G170" s="208"/>
      <c r="H170" s="224"/>
      <c r="I170" s="226">
        <f t="shared" si="23"/>
        <v>0</v>
      </c>
      <c r="J170" s="226"/>
      <c r="K170" s="1055"/>
      <c r="L170" s="962"/>
      <c r="M170" s="962"/>
      <c r="N170" s="962"/>
      <c r="O170" s="159" t="e">
        <f t="shared" si="24"/>
        <v>#DIV/0!</v>
      </c>
      <c r="P170" s="160" t="e">
        <f t="shared" si="18"/>
        <v>#DIV/0!</v>
      </c>
      <c r="Q170" s="171" t="e">
        <f t="shared" si="19"/>
        <v>#DIV/0!</v>
      </c>
      <c r="R170" s="161" t="e">
        <f t="shared" si="20"/>
        <v>#DIV/0!</v>
      </c>
      <c r="S170" s="162" t="e">
        <f t="shared" si="21"/>
        <v>#DIV/0!</v>
      </c>
      <c r="T170" s="172" t="e">
        <f t="shared" si="22"/>
        <v>#DIV/0!</v>
      </c>
    </row>
    <row r="171" spans="1:20" ht="15.75" thickBot="1" x14ac:dyDescent="0.3">
      <c r="A171" s="228">
        <v>144</v>
      </c>
      <c r="B171" s="983" t="s">
        <v>531</v>
      </c>
      <c r="C171" s="984"/>
      <c r="D171" s="984"/>
      <c r="E171" s="209"/>
      <c r="F171" s="215"/>
      <c r="G171" s="208"/>
      <c r="H171" s="224"/>
      <c r="I171" s="226">
        <f t="shared" si="23"/>
        <v>0</v>
      </c>
      <c r="J171" s="226"/>
      <c r="K171" s="1055"/>
      <c r="L171" s="962"/>
      <c r="M171" s="962"/>
      <c r="N171" s="962"/>
      <c r="O171" s="159" t="e">
        <f t="shared" si="24"/>
        <v>#DIV/0!</v>
      </c>
      <c r="P171" s="160" t="e">
        <f t="shared" si="18"/>
        <v>#DIV/0!</v>
      </c>
      <c r="Q171" s="171" t="e">
        <f t="shared" si="19"/>
        <v>#DIV/0!</v>
      </c>
      <c r="R171" s="161" t="e">
        <f t="shared" si="20"/>
        <v>#DIV/0!</v>
      </c>
      <c r="S171" s="162" t="e">
        <f t="shared" si="21"/>
        <v>#DIV/0!</v>
      </c>
      <c r="T171" s="172" t="e">
        <f t="shared" si="22"/>
        <v>#DIV/0!</v>
      </c>
    </row>
    <row r="172" spans="1:20" ht="15.75" thickBot="1" x14ac:dyDescent="0.3">
      <c r="A172" s="228">
        <v>145</v>
      </c>
      <c r="B172" s="983" t="s">
        <v>532</v>
      </c>
      <c r="C172" s="984"/>
      <c r="D172" s="984"/>
      <c r="E172" s="209"/>
      <c r="F172" s="215"/>
      <c r="G172" s="208"/>
      <c r="H172" s="224"/>
      <c r="I172" s="226">
        <f t="shared" si="23"/>
        <v>0</v>
      </c>
      <c r="J172" s="226"/>
      <c r="K172" s="1055"/>
      <c r="L172" s="962"/>
      <c r="M172" s="962"/>
      <c r="N172" s="962"/>
      <c r="O172" s="159" t="e">
        <f t="shared" si="24"/>
        <v>#DIV/0!</v>
      </c>
      <c r="P172" s="160" t="e">
        <f t="shared" si="18"/>
        <v>#DIV/0!</v>
      </c>
      <c r="Q172" s="171" t="e">
        <f t="shared" si="19"/>
        <v>#DIV/0!</v>
      </c>
      <c r="R172" s="161" t="e">
        <f t="shared" si="20"/>
        <v>#DIV/0!</v>
      </c>
      <c r="S172" s="162" t="e">
        <f t="shared" si="21"/>
        <v>#DIV/0!</v>
      </c>
      <c r="T172" s="172" t="e">
        <f t="shared" si="22"/>
        <v>#DIV/0!</v>
      </c>
    </row>
    <row r="173" spans="1:20" ht="15.75" thickBot="1" x14ac:dyDescent="0.3">
      <c r="A173" s="228">
        <v>146</v>
      </c>
      <c r="B173" s="974" t="s">
        <v>533</v>
      </c>
      <c r="C173" s="975"/>
      <c r="D173" s="975"/>
      <c r="E173" s="209"/>
      <c r="F173" s="215"/>
      <c r="G173" s="208"/>
      <c r="H173" s="224"/>
      <c r="I173" s="226">
        <f t="shared" ref="I173:I179" si="25">SUM(F173:H173)</f>
        <v>0</v>
      </c>
      <c r="J173" s="226"/>
      <c r="K173" s="1055"/>
      <c r="L173" s="962"/>
      <c r="M173" s="962"/>
      <c r="N173" s="962"/>
      <c r="O173" s="159" t="e">
        <f t="shared" ref="O173:O179" si="26">$T$8/$F$236*F173*K173</f>
        <v>#DIV/0!</v>
      </c>
      <c r="P173" s="160" t="e">
        <f t="shared" ref="P173:P179" si="27">O173*0.125</f>
        <v>#DIV/0!</v>
      </c>
      <c r="Q173" s="171" t="e">
        <f t="shared" ref="Q173:Q179" si="28">O173*0.05</f>
        <v>#DIV/0!</v>
      </c>
      <c r="R173" s="161" t="e">
        <f t="shared" ref="R173:R179" si="29">O173*0.125</f>
        <v>#DIV/0!</v>
      </c>
      <c r="S173" s="162" t="e">
        <f t="shared" ref="S173:S179" si="30">P173+Q173+R173</f>
        <v>#DIV/0!</v>
      </c>
      <c r="T173" s="172" t="e">
        <f t="shared" ref="T173:T179" si="31">O173+S173</f>
        <v>#DIV/0!</v>
      </c>
    </row>
    <row r="174" spans="1:20" ht="15.75" thickBot="1" x14ac:dyDescent="0.3">
      <c r="A174" s="228">
        <v>147</v>
      </c>
      <c r="B174" s="980" t="s">
        <v>534</v>
      </c>
      <c r="C174" s="981"/>
      <c r="D174" s="982"/>
      <c r="E174" s="209"/>
      <c r="F174" s="215"/>
      <c r="G174" s="208"/>
      <c r="H174" s="224"/>
      <c r="I174" s="226">
        <f t="shared" si="25"/>
        <v>0</v>
      </c>
      <c r="J174" s="226"/>
      <c r="K174" s="1055"/>
      <c r="L174" s="962"/>
      <c r="M174" s="962"/>
      <c r="N174" s="962"/>
      <c r="O174" s="159" t="e">
        <f t="shared" si="26"/>
        <v>#DIV/0!</v>
      </c>
      <c r="P174" s="160" t="e">
        <f t="shared" si="27"/>
        <v>#DIV/0!</v>
      </c>
      <c r="Q174" s="171" t="e">
        <f t="shared" si="28"/>
        <v>#DIV/0!</v>
      </c>
      <c r="R174" s="161" t="e">
        <f t="shared" si="29"/>
        <v>#DIV/0!</v>
      </c>
      <c r="S174" s="162" t="e">
        <f t="shared" si="30"/>
        <v>#DIV/0!</v>
      </c>
      <c r="T174" s="172" t="e">
        <f t="shared" si="31"/>
        <v>#DIV/0!</v>
      </c>
    </row>
    <row r="175" spans="1:20" ht="15.75" thickBot="1" x14ac:dyDescent="0.3">
      <c r="A175" s="228">
        <v>148</v>
      </c>
      <c r="B175" s="974" t="s">
        <v>535</v>
      </c>
      <c r="C175" s="975"/>
      <c r="D175" s="975"/>
      <c r="E175" s="209"/>
      <c r="F175" s="215"/>
      <c r="G175" s="208"/>
      <c r="H175" s="224"/>
      <c r="I175" s="226">
        <f t="shared" si="25"/>
        <v>0</v>
      </c>
      <c r="J175" s="226"/>
      <c r="K175" s="1055"/>
      <c r="L175" s="962"/>
      <c r="M175" s="962"/>
      <c r="N175" s="962"/>
      <c r="O175" s="159" t="e">
        <f t="shared" si="26"/>
        <v>#DIV/0!</v>
      </c>
      <c r="P175" s="160" t="e">
        <f t="shared" si="27"/>
        <v>#DIV/0!</v>
      </c>
      <c r="Q175" s="171" t="e">
        <f t="shared" si="28"/>
        <v>#DIV/0!</v>
      </c>
      <c r="R175" s="161" t="e">
        <f t="shared" si="29"/>
        <v>#DIV/0!</v>
      </c>
      <c r="S175" s="162" t="e">
        <f t="shared" si="30"/>
        <v>#DIV/0!</v>
      </c>
      <c r="T175" s="172" t="e">
        <f t="shared" si="31"/>
        <v>#DIV/0!</v>
      </c>
    </row>
    <row r="176" spans="1:20" ht="15.75" thickBot="1" x14ac:dyDescent="0.3">
      <c r="A176" s="228">
        <v>149</v>
      </c>
      <c r="B176" s="974" t="s">
        <v>536</v>
      </c>
      <c r="C176" s="975"/>
      <c r="D176" s="976"/>
      <c r="E176" s="209"/>
      <c r="F176" s="215"/>
      <c r="G176" s="208"/>
      <c r="H176" s="224"/>
      <c r="I176" s="226">
        <f t="shared" si="25"/>
        <v>0</v>
      </c>
      <c r="J176" s="226"/>
      <c r="K176" s="1055"/>
      <c r="L176" s="962"/>
      <c r="M176" s="962"/>
      <c r="N176" s="962"/>
      <c r="O176" s="159" t="e">
        <f t="shared" si="26"/>
        <v>#DIV/0!</v>
      </c>
      <c r="P176" s="160" t="e">
        <f t="shared" si="27"/>
        <v>#DIV/0!</v>
      </c>
      <c r="Q176" s="171" t="e">
        <f t="shared" si="28"/>
        <v>#DIV/0!</v>
      </c>
      <c r="R176" s="161" t="e">
        <f t="shared" si="29"/>
        <v>#DIV/0!</v>
      </c>
      <c r="S176" s="162" t="e">
        <f t="shared" si="30"/>
        <v>#DIV/0!</v>
      </c>
      <c r="T176" s="172" t="e">
        <f t="shared" si="31"/>
        <v>#DIV/0!</v>
      </c>
    </row>
    <row r="177" spans="1:20" ht="15.75" thickBot="1" x14ac:dyDescent="0.3">
      <c r="A177" s="228">
        <v>150</v>
      </c>
      <c r="B177" s="974" t="s">
        <v>546</v>
      </c>
      <c r="C177" s="975"/>
      <c r="D177" s="976"/>
      <c r="E177" s="209"/>
      <c r="F177" s="215"/>
      <c r="G177" s="208"/>
      <c r="H177" s="224"/>
      <c r="I177" s="226">
        <f t="shared" si="25"/>
        <v>0</v>
      </c>
      <c r="J177" s="226"/>
      <c r="K177" s="1055"/>
      <c r="L177" s="962"/>
      <c r="M177" s="962"/>
      <c r="N177" s="962"/>
      <c r="O177" s="159" t="e">
        <f t="shared" si="26"/>
        <v>#DIV/0!</v>
      </c>
      <c r="P177" s="160" t="e">
        <f t="shared" si="27"/>
        <v>#DIV/0!</v>
      </c>
      <c r="Q177" s="171" t="e">
        <f t="shared" si="28"/>
        <v>#DIV/0!</v>
      </c>
      <c r="R177" s="161" t="e">
        <f t="shared" si="29"/>
        <v>#DIV/0!</v>
      </c>
      <c r="S177" s="162" t="e">
        <f t="shared" si="30"/>
        <v>#DIV/0!</v>
      </c>
      <c r="T177" s="172" t="e">
        <f t="shared" si="31"/>
        <v>#DIV/0!</v>
      </c>
    </row>
    <row r="178" spans="1:20" ht="15.75" thickBot="1" x14ac:dyDescent="0.3">
      <c r="A178" s="228">
        <v>151</v>
      </c>
      <c r="B178" s="977" t="s">
        <v>547</v>
      </c>
      <c r="C178" s="978"/>
      <c r="D178" s="979"/>
      <c r="E178" s="209"/>
      <c r="F178" s="215"/>
      <c r="G178" s="208"/>
      <c r="H178" s="224"/>
      <c r="I178" s="226">
        <f t="shared" si="25"/>
        <v>0</v>
      </c>
      <c r="J178" s="226"/>
      <c r="K178" s="1055"/>
      <c r="L178" s="962"/>
      <c r="M178" s="962"/>
      <c r="N178" s="962"/>
      <c r="O178" s="159" t="e">
        <f t="shared" si="26"/>
        <v>#DIV/0!</v>
      </c>
      <c r="P178" s="160" t="e">
        <f t="shared" si="27"/>
        <v>#DIV/0!</v>
      </c>
      <c r="Q178" s="171" t="e">
        <f t="shared" si="28"/>
        <v>#DIV/0!</v>
      </c>
      <c r="R178" s="161" t="e">
        <f t="shared" si="29"/>
        <v>#DIV/0!</v>
      </c>
      <c r="S178" s="162" t="e">
        <f t="shared" si="30"/>
        <v>#DIV/0!</v>
      </c>
      <c r="T178" s="172" t="e">
        <f t="shared" si="31"/>
        <v>#DIV/0!</v>
      </c>
    </row>
    <row r="179" spans="1:20" ht="15.75" thickBot="1" x14ac:dyDescent="0.3">
      <c r="A179" s="228">
        <v>152</v>
      </c>
      <c r="B179" s="977" t="s">
        <v>550</v>
      </c>
      <c r="C179" s="978"/>
      <c r="D179" s="979"/>
      <c r="E179" s="209"/>
      <c r="F179" s="215"/>
      <c r="G179" s="208"/>
      <c r="H179" s="224"/>
      <c r="I179" s="226">
        <f t="shared" si="25"/>
        <v>0</v>
      </c>
      <c r="J179" s="226"/>
      <c r="K179" s="1055"/>
      <c r="L179" s="962"/>
      <c r="M179" s="962"/>
      <c r="N179" s="962"/>
      <c r="O179" s="159" t="e">
        <f t="shared" si="26"/>
        <v>#DIV/0!</v>
      </c>
      <c r="P179" s="160" t="e">
        <f t="shared" si="27"/>
        <v>#DIV/0!</v>
      </c>
      <c r="Q179" s="171" t="e">
        <f t="shared" si="28"/>
        <v>#DIV/0!</v>
      </c>
      <c r="R179" s="161" t="e">
        <f t="shared" si="29"/>
        <v>#DIV/0!</v>
      </c>
      <c r="S179" s="162" t="e">
        <f t="shared" si="30"/>
        <v>#DIV/0!</v>
      </c>
      <c r="T179" s="172" t="e">
        <f t="shared" si="31"/>
        <v>#DIV/0!</v>
      </c>
    </row>
    <row r="180" spans="1:20" ht="15.75" thickBot="1" x14ac:dyDescent="0.3">
      <c r="A180" s="228">
        <v>153</v>
      </c>
      <c r="B180" s="974" t="s">
        <v>552</v>
      </c>
      <c r="C180" s="975"/>
      <c r="D180" s="976"/>
      <c r="E180" s="209"/>
      <c r="F180" s="215"/>
      <c r="G180" s="208"/>
      <c r="H180" s="224"/>
      <c r="I180" s="226">
        <f t="shared" si="23"/>
        <v>0</v>
      </c>
      <c r="J180" s="226"/>
      <c r="K180" s="1055"/>
      <c r="L180" s="962"/>
      <c r="M180" s="962"/>
      <c r="N180" s="962"/>
      <c r="O180" s="159" t="e">
        <f t="shared" si="24"/>
        <v>#DIV/0!</v>
      </c>
      <c r="P180" s="160" t="e">
        <f t="shared" si="18"/>
        <v>#DIV/0!</v>
      </c>
      <c r="Q180" s="171" t="e">
        <f t="shared" si="19"/>
        <v>#DIV/0!</v>
      </c>
      <c r="R180" s="161" t="e">
        <f t="shared" si="20"/>
        <v>#DIV/0!</v>
      </c>
      <c r="S180" s="162" t="e">
        <f t="shared" si="21"/>
        <v>#DIV/0!</v>
      </c>
      <c r="T180" s="172" t="e">
        <f t="shared" si="22"/>
        <v>#DIV/0!</v>
      </c>
    </row>
    <row r="181" spans="1:20" ht="15.75" thickBot="1" x14ac:dyDescent="0.3">
      <c r="A181" s="228">
        <v>154</v>
      </c>
      <c r="B181" s="974" t="s">
        <v>553</v>
      </c>
      <c r="C181" s="975"/>
      <c r="D181" s="976"/>
      <c r="E181" s="209"/>
      <c r="F181" s="215"/>
      <c r="G181" s="208"/>
      <c r="H181" s="224"/>
      <c r="I181" s="226">
        <f t="shared" si="23"/>
        <v>0</v>
      </c>
      <c r="J181" s="226"/>
      <c r="K181" s="1055"/>
      <c r="L181" s="962"/>
      <c r="M181" s="962"/>
      <c r="N181" s="962"/>
      <c r="O181" s="159" t="e">
        <f t="shared" si="24"/>
        <v>#DIV/0!</v>
      </c>
      <c r="P181" s="160" t="e">
        <f t="shared" si="18"/>
        <v>#DIV/0!</v>
      </c>
      <c r="Q181" s="171" t="e">
        <f t="shared" si="19"/>
        <v>#DIV/0!</v>
      </c>
      <c r="R181" s="161" t="e">
        <f t="shared" si="20"/>
        <v>#DIV/0!</v>
      </c>
      <c r="S181" s="162" t="e">
        <f t="shared" si="21"/>
        <v>#DIV/0!</v>
      </c>
      <c r="T181" s="172" t="e">
        <f t="shared" si="22"/>
        <v>#DIV/0!</v>
      </c>
    </row>
    <row r="182" spans="1:20" ht="15.75" thickBot="1" x14ac:dyDescent="0.3">
      <c r="A182" s="228">
        <v>155</v>
      </c>
      <c r="B182" s="955"/>
      <c r="C182" s="956"/>
      <c r="D182" s="956"/>
      <c r="E182" s="209"/>
      <c r="F182" s="215"/>
      <c r="G182" s="208"/>
      <c r="H182" s="224"/>
      <c r="I182" s="226">
        <f t="shared" si="23"/>
        <v>0</v>
      </c>
      <c r="J182" s="226"/>
      <c r="K182" s="1055"/>
      <c r="L182" s="962"/>
      <c r="M182" s="962"/>
      <c r="N182" s="962"/>
      <c r="O182" s="159" t="e">
        <f t="shared" si="24"/>
        <v>#DIV/0!</v>
      </c>
      <c r="P182" s="160" t="e">
        <f t="shared" si="18"/>
        <v>#DIV/0!</v>
      </c>
      <c r="Q182" s="171" t="e">
        <f t="shared" si="19"/>
        <v>#DIV/0!</v>
      </c>
      <c r="R182" s="161" t="e">
        <f t="shared" si="20"/>
        <v>#DIV/0!</v>
      </c>
      <c r="S182" s="162" t="e">
        <f t="shared" si="21"/>
        <v>#DIV/0!</v>
      </c>
      <c r="T182" s="172" t="e">
        <f t="shared" si="22"/>
        <v>#DIV/0!</v>
      </c>
    </row>
    <row r="183" spans="1:20" ht="15.75" thickBot="1" x14ac:dyDescent="0.3">
      <c r="A183" s="228">
        <v>156</v>
      </c>
      <c r="B183" s="955"/>
      <c r="C183" s="956"/>
      <c r="D183" s="956"/>
      <c r="E183" s="209"/>
      <c r="F183" s="215"/>
      <c r="G183" s="208"/>
      <c r="H183" s="224"/>
      <c r="I183" s="226">
        <f t="shared" si="23"/>
        <v>0</v>
      </c>
      <c r="J183" s="226"/>
      <c r="K183" s="1055"/>
      <c r="L183" s="962"/>
      <c r="M183" s="962"/>
      <c r="N183" s="962"/>
      <c r="O183" s="159" t="e">
        <f t="shared" si="24"/>
        <v>#DIV/0!</v>
      </c>
      <c r="P183" s="160" t="e">
        <f t="shared" si="18"/>
        <v>#DIV/0!</v>
      </c>
      <c r="Q183" s="171" t="e">
        <f t="shared" si="19"/>
        <v>#DIV/0!</v>
      </c>
      <c r="R183" s="161" t="e">
        <f t="shared" si="20"/>
        <v>#DIV/0!</v>
      </c>
      <c r="S183" s="162" t="e">
        <f t="shared" si="21"/>
        <v>#DIV/0!</v>
      </c>
      <c r="T183" s="172" t="e">
        <f t="shared" si="22"/>
        <v>#DIV/0!</v>
      </c>
    </row>
    <row r="184" spans="1:20" ht="15.75" thickBot="1" x14ac:dyDescent="0.3">
      <c r="A184" s="228">
        <v>157</v>
      </c>
      <c r="B184" s="955"/>
      <c r="C184" s="956"/>
      <c r="D184" s="956"/>
      <c r="E184" s="209"/>
      <c r="F184" s="215"/>
      <c r="G184" s="208"/>
      <c r="H184" s="224"/>
      <c r="I184" s="226">
        <f t="shared" si="23"/>
        <v>0</v>
      </c>
      <c r="J184" s="226"/>
      <c r="K184" s="1055"/>
      <c r="L184" s="962"/>
      <c r="M184" s="962"/>
      <c r="N184" s="962"/>
      <c r="O184" s="159" t="e">
        <f t="shared" si="24"/>
        <v>#DIV/0!</v>
      </c>
      <c r="P184" s="160" t="e">
        <f t="shared" si="18"/>
        <v>#DIV/0!</v>
      </c>
      <c r="Q184" s="171" t="e">
        <f t="shared" si="19"/>
        <v>#DIV/0!</v>
      </c>
      <c r="R184" s="161" t="e">
        <f t="shared" si="20"/>
        <v>#DIV/0!</v>
      </c>
      <c r="S184" s="162" t="e">
        <f t="shared" si="21"/>
        <v>#DIV/0!</v>
      </c>
      <c r="T184" s="172" t="e">
        <f t="shared" si="22"/>
        <v>#DIV/0!</v>
      </c>
    </row>
    <row r="185" spans="1:20" ht="15.75" thickBot="1" x14ac:dyDescent="0.3">
      <c r="A185" s="228">
        <v>158</v>
      </c>
      <c r="B185" s="955"/>
      <c r="C185" s="956"/>
      <c r="D185" s="956"/>
      <c r="E185" s="209"/>
      <c r="F185" s="215"/>
      <c r="G185" s="208"/>
      <c r="H185" s="224"/>
      <c r="I185" s="226">
        <f t="shared" si="23"/>
        <v>0</v>
      </c>
      <c r="J185" s="226"/>
      <c r="K185" s="1055"/>
      <c r="L185" s="962"/>
      <c r="M185" s="962"/>
      <c r="N185" s="962"/>
      <c r="O185" s="159" t="e">
        <f t="shared" si="24"/>
        <v>#DIV/0!</v>
      </c>
      <c r="P185" s="160" t="e">
        <f t="shared" si="18"/>
        <v>#DIV/0!</v>
      </c>
      <c r="Q185" s="171" t="e">
        <f t="shared" si="19"/>
        <v>#DIV/0!</v>
      </c>
      <c r="R185" s="161" t="e">
        <f t="shared" si="20"/>
        <v>#DIV/0!</v>
      </c>
      <c r="S185" s="162" t="e">
        <f t="shared" si="21"/>
        <v>#DIV/0!</v>
      </c>
      <c r="T185" s="172" t="e">
        <f t="shared" si="22"/>
        <v>#DIV/0!</v>
      </c>
    </row>
    <row r="186" spans="1:20" ht="15.75" thickBot="1" x14ac:dyDescent="0.3">
      <c r="A186" s="228">
        <v>159</v>
      </c>
      <c r="B186" s="955"/>
      <c r="C186" s="956"/>
      <c r="D186" s="956"/>
      <c r="E186" s="210"/>
      <c r="F186" s="215"/>
      <c r="G186" s="218"/>
      <c r="H186" s="224"/>
      <c r="I186" s="226">
        <f t="shared" si="23"/>
        <v>0</v>
      </c>
      <c r="J186" s="226"/>
      <c r="K186" s="1055"/>
      <c r="L186" s="962"/>
      <c r="M186" s="962"/>
      <c r="N186" s="962"/>
      <c r="O186" s="159" t="e">
        <f t="shared" si="24"/>
        <v>#DIV/0!</v>
      </c>
      <c r="P186" s="160" t="e">
        <f t="shared" si="18"/>
        <v>#DIV/0!</v>
      </c>
      <c r="Q186" s="171" t="e">
        <f t="shared" si="19"/>
        <v>#DIV/0!</v>
      </c>
      <c r="R186" s="161" t="e">
        <f t="shared" si="20"/>
        <v>#DIV/0!</v>
      </c>
      <c r="S186" s="162" t="e">
        <f t="shared" si="21"/>
        <v>#DIV/0!</v>
      </c>
      <c r="T186" s="172" t="e">
        <f t="shared" si="22"/>
        <v>#DIV/0!</v>
      </c>
    </row>
    <row r="187" spans="1:20" ht="15.75" thickBot="1" x14ac:dyDescent="0.3">
      <c r="A187" s="125"/>
      <c r="B187" s="125"/>
      <c r="C187" s="125"/>
      <c r="D187" s="125"/>
      <c r="E187" s="125"/>
      <c r="F187" s="211">
        <f>SUM(F28:F186)</f>
        <v>0</v>
      </c>
      <c r="G187" s="211">
        <f>SUM(G28:G186)</f>
        <v>0</v>
      </c>
      <c r="H187" s="212">
        <f>SUM(H28:H186)</f>
        <v>0</v>
      </c>
      <c r="I187" s="227">
        <f>SUM(I28:I186)</f>
        <v>0</v>
      </c>
      <c r="J187" s="228"/>
      <c r="K187" s="969">
        <f>SUM(K28:K186)</f>
        <v>0</v>
      </c>
      <c r="L187" s="969"/>
      <c r="M187" s="969"/>
      <c r="N187" s="970"/>
      <c r="O187" s="221" t="e">
        <f>SUM(O28:O186)</f>
        <v>#DIV/0!</v>
      </c>
      <c r="P187" s="164"/>
      <c r="Q187" s="165"/>
      <c r="R187" s="166"/>
      <c r="S187" s="222" t="e">
        <f>SUM(S28:S186)</f>
        <v>#DIV/0!</v>
      </c>
      <c r="T187" s="222" t="e">
        <f>SUM(T28:T186)</f>
        <v>#DIV/0!</v>
      </c>
    </row>
    <row r="188" spans="1:20" ht="15.75" thickBot="1" x14ac:dyDescent="0.3">
      <c r="A188" s="125"/>
      <c r="B188" s="125"/>
      <c r="C188" s="125"/>
      <c r="D188" s="125"/>
      <c r="E188" s="125"/>
      <c r="F188" s="125"/>
      <c r="G188" s="125"/>
      <c r="H188" s="125"/>
      <c r="I188" s="125"/>
      <c r="J188" s="170"/>
      <c r="K188" s="170"/>
      <c r="L188" s="170"/>
      <c r="M188" s="170"/>
      <c r="N188" s="173"/>
      <c r="O188" s="163" t="e">
        <f>T8-O187</f>
        <v>#DIV/0!</v>
      </c>
      <c r="P188" s="173"/>
      <c r="Q188" s="170"/>
      <c r="R188" s="170"/>
      <c r="S188" s="170"/>
      <c r="T188" s="173"/>
    </row>
    <row r="189" spans="1:20" x14ac:dyDescent="0.2">
      <c r="A189" s="954" t="s">
        <v>276</v>
      </c>
      <c r="B189" s="954"/>
      <c r="C189" s="954"/>
      <c r="D189" s="954"/>
      <c r="E189" s="125"/>
      <c r="F189" s="174"/>
      <c r="G189" s="174"/>
      <c r="H189" s="174"/>
      <c r="I189" s="174"/>
      <c r="J189" s="174"/>
      <c r="K189" s="174"/>
      <c r="L189" s="174"/>
      <c r="M189" s="174"/>
      <c r="N189" s="8"/>
      <c r="O189" s="8"/>
      <c r="P189" s="8"/>
      <c r="Q189" s="8"/>
      <c r="R189" s="8"/>
      <c r="S189" s="8"/>
      <c r="T189" s="8"/>
    </row>
    <row r="190" spans="1:20" x14ac:dyDescent="0.2">
      <c r="A190" s="125"/>
      <c r="B190" s="125"/>
      <c r="C190" s="125"/>
      <c r="D190" s="125"/>
      <c r="E190" s="125"/>
      <c r="F190" s="125"/>
      <c r="G190" s="125"/>
      <c r="H190" s="125"/>
      <c r="I190" s="125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x14ac:dyDescent="0.2">
      <c r="A191" s="954" t="s">
        <v>277</v>
      </c>
      <c r="B191" s="954"/>
      <c r="C191" s="954"/>
      <c r="D191" s="95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t="s">
        <v>389</v>
      </c>
    </row>
  </sheetData>
  <mergeCells count="376">
    <mergeCell ref="A5:T5"/>
    <mergeCell ref="A6:A7"/>
    <mergeCell ref="B6:E7"/>
    <mergeCell ref="F6:H6"/>
    <mergeCell ref="I6:J6"/>
    <mergeCell ref="K6:M6"/>
    <mergeCell ref="N6:P6"/>
    <mergeCell ref="Q6:Q7"/>
    <mergeCell ref="R6:R7"/>
    <mergeCell ref="S6:S7"/>
    <mergeCell ref="B8:E8"/>
    <mergeCell ref="I8:J8"/>
    <mergeCell ref="T6:T7"/>
    <mergeCell ref="U6:U7"/>
    <mergeCell ref="I7:J7"/>
    <mergeCell ref="T8:T22"/>
    <mergeCell ref="B9:E9"/>
    <mergeCell ref="I9:J9"/>
    <mergeCell ref="B10:E10"/>
    <mergeCell ref="I10:J10"/>
    <mergeCell ref="B11:E11"/>
    <mergeCell ref="I11:J11"/>
    <mergeCell ref="B12:E12"/>
    <mergeCell ref="I12:J12"/>
    <mergeCell ref="B13:E13"/>
    <mergeCell ref="I13:J13"/>
    <mergeCell ref="B14:E14"/>
    <mergeCell ref="I14:J14"/>
    <mergeCell ref="B15:E15"/>
    <mergeCell ref="I15:J15"/>
    <mergeCell ref="B16:E16"/>
    <mergeCell ref="I16:J16"/>
    <mergeCell ref="B17:E17"/>
    <mergeCell ref="I17:J17"/>
    <mergeCell ref="B18:E18"/>
    <mergeCell ref="I18:J18"/>
    <mergeCell ref="B19:E19"/>
    <mergeCell ref="I19:J19"/>
    <mergeCell ref="B20:E20"/>
    <mergeCell ref="I20:J20"/>
    <mergeCell ref="B21:E21"/>
    <mergeCell ref="I21:J21"/>
    <mergeCell ref="B22:E22"/>
    <mergeCell ref="I22:J22"/>
    <mergeCell ref="B23:E23"/>
    <mergeCell ref="A26:A27"/>
    <mergeCell ref="B26:D27"/>
    <mergeCell ref="E26:E27"/>
    <mergeCell ref="F26:I26"/>
    <mergeCell ref="J26:N26"/>
    <mergeCell ref="O26:O27"/>
    <mergeCell ref="P26:R26"/>
    <mergeCell ref="S26:S27"/>
    <mergeCell ref="T26:T27"/>
    <mergeCell ref="K27:N27"/>
    <mergeCell ref="B28:D28"/>
    <mergeCell ref="K28:N28"/>
    <mergeCell ref="B29:D29"/>
    <mergeCell ref="K29:N29"/>
    <mergeCell ref="B30:D30"/>
    <mergeCell ref="K30:N30"/>
    <mergeCell ref="B31:D31"/>
    <mergeCell ref="K31:N31"/>
    <mergeCell ref="B32:D32"/>
    <mergeCell ref="K32:N32"/>
    <mergeCell ref="B33:D33"/>
    <mergeCell ref="K33:N33"/>
    <mergeCell ref="B34:D34"/>
    <mergeCell ref="K34:N34"/>
    <mergeCell ref="B35:D35"/>
    <mergeCell ref="K35:N35"/>
    <mergeCell ref="B36:D36"/>
    <mergeCell ref="K36:N36"/>
    <mergeCell ref="B37:D37"/>
    <mergeCell ref="K37:N37"/>
    <mergeCell ref="B38:D38"/>
    <mergeCell ref="K38:N38"/>
    <mergeCell ref="B39:D39"/>
    <mergeCell ref="K39:N39"/>
    <mergeCell ref="B40:D40"/>
    <mergeCell ref="K40:N40"/>
    <mergeCell ref="B41:D41"/>
    <mergeCell ref="K41:N41"/>
    <mergeCell ref="B42:D42"/>
    <mergeCell ref="K42:N42"/>
    <mergeCell ref="B43:D43"/>
    <mergeCell ref="K43:N43"/>
    <mergeCell ref="B44:D44"/>
    <mergeCell ref="K44:N44"/>
    <mergeCell ref="B45:D45"/>
    <mergeCell ref="K45:N45"/>
    <mergeCell ref="B46:D46"/>
    <mergeCell ref="K46:N46"/>
    <mergeCell ref="B47:D47"/>
    <mergeCell ref="K47:N47"/>
    <mergeCell ref="B48:D48"/>
    <mergeCell ref="K48:N48"/>
    <mergeCell ref="B49:D49"/>
    <mergeCell ref="K49:N49"/>
    <mergeCell ref="B50:D50"/>
    <mergeCell ref="K50:N50"/>
    <mergeCell ref="B51:D51"/>
    <mergeCell ref="K51:N51"/>
    <mergeCell ref="B52:D52"/>
    <mergeCell ref="K52:N52"/>
    <mergeCell ref="B53:D53"/>
    <mergeCell ref="K53:N53"/>
    <mergeCell ref="B54:D54"/>
    <mergeCell ref="K54:N54"/>
    <mergeCell ref="B55:D55"/>
    <mergeCell ref="K55:N55"/>
    <mergeCell ref="B56:D56"/>
    <mergeCell ref="K56:N56"/>
    <mergeCell ref="B57:D57"/>
    <mergeCell ref="K57:N57"/>
    <mergeCell ref="B58:D58"/>
    <mergeCell ref="K58:N58"/>
    <mergeCell ref="B59:D59"/>
    <mergeCell ref="K59:N59"/>
    <mergeCell ref="B60:D60"/>
    <mergeCell ref="K60:N60"/>
    <mergeCell ref="B61:D61"/>
    <mergeCell ref="K61:N61"/>
    <mergeCell ref="B62:D62"/>
    <mergeCell ref="K62:N62"/>
    <mergeCell ref="B63:D63"/>
    <mergeCell ref="K63:N63"/>
    <mergeCell ref="B64:D64"/>
    <mergeCell ref="K64:N64"/>
    <mergeCell ref="B65:D65"/>
    <mergeCell ref="K65:N65"/>
    <mergeCell ref="B66:D66"/>
    <mergeCell ref="K66:N66"/>
    <mergeCell ref="B67:D67"/>
    <mergeCell ref="K67:N67"/>
    <mergeCell ref="B68:D68"/>
    <mergeCell ref="K68:N68"/>
    <mergeCell ref="B69:D69"/>
    <mergeCell ref="K69:N69"/>
    <mergeCell ref="B70:D70"/>
    <mergeCell ref="K70:N70"/>
    <mergeCell ref="B71:D71"/>
    <mergeCell ref="K71:N71"/>
    <mergeCell ref="B72:D72"/>
    <mergeCell ref="K72:N72"/>
    <mergeCell ref="B73:D73"/>
    <mergeCell ref="K73:N73"/>
    <mergeCell ref="B74:D74"/>
    <mergeCell ref="K74:N74"/>
    <mergeCell ref="B75:D75"/>
    <mergeCell ref="K75:N75"/>
    <mergeCell ref="B76:D76"/>
    <mergeCell ref="K76:N76"/>
    <mergeCell ref="B77:D77"/>
    <mergeCell ref="K77:N77"/>
    <mergeCell ref="B78:D78"/>
    <mergeCell ref="K78:N78"/>
    <mergeCell ref="B79:D79"/>
    <mergeCell ref="K79:N79"/>
    <mergeCell ref="B80:D80"/>
    <mergeCell ref="K80:N80"/>
    <mergeCell ref="B81:D81"/>
    <mergeCell ref="K81:N81"/>
    <mergeCell ref="B82:D82"/>
    <mergeCell ref="K82:N82"/>
    <mergeCell ref="B83:D83"/>
    <mergeCell ref="K83:N83"/>
    <mergeCell ref="B84:D84"/>
    <mergeCell ref="K84:N84"/>
    <mergeCell ref="B85:D85"/>
    <mergeCell ref="K85:N85"/>
    <mergeCell ref="B86:D86"/>
    <mergeCell ref="K86:N86"/>
    <mergeCell ref="B87:D87"/>
    <mergeCell ref="K87:N87"/>
    <mergeCell ref="B88:D88"/>
    <mergeCell ref="K88:N88"/>
    <mergeCell ref="B89:D89"/>
    <mergeCell ref="K89:N89"/>
    <mergeCell ref="B90:D90"/>
    <mergeCell ref="K90:N90"/>
    <mergeCell ref="B91:D91"/>
    <mergeCell ref="K91:N91"/>
    <mergeCell ref="B92:D92"/>
    <mergeCell ref="K92:N92"/>
    <mergeCell ref="B93:D93"/>
    <mergeCell ref="K93:N93"/>
    <mergeCell ref="B94:D94"/>
    <mergeCell ref="K94:N94"/>
    <mergeCell ref="B95:D95"/>
    <mergeCell ref="K95:N95"/>
    <mergeCell ref="B96:D96"/>
    <mergeCell ref="K96:N96"/>
    <mergeCell ref="B97:D97"/>
    <mergeCell ref="K97:N97"/>
    <mergeCell ref="B98:D98"/>
    <mergeCell ref="K98:N98"/>
    <mergeCell ref="B99:D99"/>
    <mergeCell ref="K99:N99"/>
    <mergeCell ref="B100:D100"/>
    <mergeCell ref="K100:N100"/>
    <mergeCell ref="B101:D101"/>
    <mergeCell ref="K101:N101"/>
    <mergeCell ref="B102:D102"/>
    <mergeCell ref="K102:N102"/>
    <mergeCell ref="B103:D103"/>
    <mergeCell ref="K103:N103"/>
    <mergeCell ref="B104:D104"/>
    <mergeCell ref="K104:N104"/>
    <mergeCell ref="B105:D105"/>
    <mergeCell ref="K105:N105"/>
    <mergeCell ref="B106:D106"/>
    <mergeCell ref="K106:N106"/>
    <mergeCell ref="B107:D107"/>
    <mergeCell ref="K107:N107"/>
    <mergeCell ref="B108:D108"/>
    <mergeCell ref="K108:N108"/>
    <mergeCell ref="B109:D109"/>
    <mergeCell ref="K109:N109"/>
    <mergeCell ref="B110:D110"/>
    <mergeCell ref="K110:N110"/>
    <mergeCell ref="B111:D111"/>
    <mergeCell ref="K111:N111"/>
    <mergeCell ref="B112:D112"/>
    <mergeCell ref="K112:N112"/>
    <mergeCell ref="B113:D113"/>
    <mergeCell ref="K113:N113"/>
    <mergeCell ref="B114:D114"/>
    <mergeCell ref="K114:N114"/>
    <mergeCell ref="B115:D115"/>
    <mergeCell ref="K115:N115"/>
    <mergeCell ref="B116:D116"/>
    <mergeCell ref="K116:N116"/>
    <mergeCell ref="B117:D117"/>
    <mergeCell ref="K117:N117"/>
    <mergeCell ref="B118:D118"/>
    <mergeCell ref="K118:N118"/>
    <mergeCell ref="B119:D119"/>
    <mergeCell ref="K119:N119"/>
    <mergeCell ref="B120:D120"/>
    <mergeCell ref="K120:N120"/>
    <mergeCell ref="B121:D121"/>
    <mergeCell ref="K121:N121"/>
    <mergeCell ref="B122:D122"/>
    <mergeCell ref="K122:N122"/>
    <mergeCell ref="B123:D123"/>
    <mergeCell ref="K123:N123"/>
    <mergeCell ref="B124:D124"/>
    <mergeCell ref="K124:N124"/>
    <mergeCell ref="B125:D125"/>
    <mergeCell ref="K125:N125"/>
    <mergeCell ref="B126:D126"/>
    <mergeCell ref="K126:N126"/>
    <mergeCell ref="B127:D127"/>
    <mergeCell ref="K127:N127"/>
    <mergeCell ref="B128:D128"/>
    <mergeCell ref="K128:N128"/>
    <mergeCell ref="B129:D129"/>
    <mergeCell ref="K129:N129"/>
    <mergeCell ref="B130:D130"/>
    <mergeCell ref="K130:N130"/>
    <mergeCell ref="B131:D131"/>
    <mergeCell ref="K131:N131"/>
    <mergeCell ref="B132:D132"/>
    <mergeCell ref="K132:N132"/>
    <mergeCell ref="B133:D133"/>
    <mergeCell ref="K133:N133"/>
    <mergeCell ref="B134:D134"/>
    <mergeCell ref="K134:N134"/>
    <mergeCell ref="B135:D135"/>
    <mergeCell ref="K135:N135"/>
    <mergeCell ref="B136:D136"/>
    <mergeCell ref="K136:N136"/>
    <mergeCell ref="B137:D137"/>
    <mergeCell ref="K137:N137"/>
    <mergeCell ref="B138:D138"/>
    <mergeCell ref="K138:N138"/>
    <mergeCell ref="B139:D139"/>
    <mergeCell ref="K139:N139"/>
    <mergeCell ref="B140:D140"/>
    <mergeCell ref="K140:N140"/>
    <mergeCell ref="B141:D141"/>
    <mergeCell ref="K141:N141"/>
    <mergeCell ref="B142:D142"/>
    <mergeCell ref="K142:N142"/>
    <mergeCell ref="B143:D143"/>
    <mergeCell ref="K143:N143"/>
    <mergeCell ref="B144:D144"/>
    <mergeCell ref="K144:N144"/>
    <mergeCell ref="B145:D145"/>
    <mergeCell ref="K145:N145"/>
    <mergeCell ref="B146:D146"/>
    <mergeCell ref="K146:N146"/>
    <mergeCell ref="B147:D147"/>
    <mergeCell ref="K147:N147"/>
    <mergeCell ref="B148:D148"/>
    <mergeCell ref="K148:N148"/>
    <mergeCell ref="B149:D149"/>
    <mergeCell ref="K149:N149"/>
    <mergeCell ref="B150:D150"/>
    <mergeCell ref="K150:N150"/>
    <mergeCell ref="B151:D151"/>
    <mergeCell ref="K151:N151"/>
    <mergeCell ref="B152:D152"/>
    <mergeCell ref="K152:N152"/>
    <mergeCell ref="B153:D153"/>
    <mergeCell ref="K153:N153"/>
    <mergeCell ref="B154:D154"/>
    <mergeCell ref="K154:N154"/>
    <mergeCell ref="B155:D155"/>
    <mergeCell ref="K155:N155"/>
    <mergeCell ref="B156:D156"/>
    <mergeCell ref="K156:N156"/>
    <mergeCell ref="B157:D157"/>
    <mergeCell ref="K157:N157"/>
    <mergeCell ref="B158:D158"/>
    <mergeCell ref="K158:N158"/>
    <mergeCell ref="B159:D159"/>
    <mergeCell ref="K159:N159"/>
    <mergeCell ref="B160:D160"/>
    <mergeCell ref="K160:N160"/>
    <mergeCell ref="B161:D161"/>
    <mergeCell ref="K161:N161"/>
    <mergeCell ref="B162:D162"/>
    <mergeCell ref="K162:N162"/>
    <mergeCell ref="B163:D163"/>
    <mergeCell ref="K163:N163"/>
    <mergeCell ref="B164:D164"/>
    <mergeCell ref="K164:N164"/>
    <mergeCell ref="B165:D165"/>
    <mergeCell ref="K165:N165"/>
    <mergeCell ref="B166:D166"/>
    <mergeCell ref="K166:N166"/>
    <mergeCell ref="B167:D167"/>
    <mergeCell ref="K167:N167"/>
    <mergeCell ref="B168:D168"/>
    <mergeCell ref="K168:N168"/>
    <mergeCell ref="B169:D169"/>
    <mergeCell ref="K169:N169"/>
    <mergeCell ref="K185:N185"/>
    <mergeCell ref="B182:D182"/>
    <mergeCell ref="K182:N182"/>
    <mergeCell ref="B170:D170"/>
    <mergeCell ref="K170:N170"/>
    <mergeCell ref="B171:D171"/>
    <mergeCell ref="K171:N171"/>
    <mergeCell ref="B172:D172"/>
    <mergeCell ref="K172:N172"/>
    <mergeCell ref="K175:N175"/>
    <mergeCell ref="K179:N179"/>
    <mergeCell ref="B179:D179"/>
    <mergeCell ref="K187:N187"/>
    <mergeCell ref="A189:D189"/>
    <mergeCell ref="A191:D191"/>
    <mergeCell ref="B183:D183"/>
    <mergeCell ref="K183:N183"/>
    <mergeCell ref="B184:D184"/>
    <mergeCell ref="K184:N184"/>
    <mergeCell ref="B185:D185"/>
    <mergeCell ref="B177:D177"/>
    <mergeCell ref="B178:D178"/>
    <mergeCell ref="K177:N177"/>
    <mergeCell ref="K178:N178"/>
    <mergeCell ref="B186:D186"/>
    <mergeCell ref="K186:N186"/>
    <mergeCell ref="B180:D180"/>
    <mergeCell ref="K180:N180"/>
    <mergeCell ref="B181:D181"/>
    <mergeCell ref="K181:N181"/>
    <mergeCell ref="K173:N173"/>
    <mergeCell ref="K174:N174"/>
    <mergeCell ref="B173:D173"/>
    <mergeCell ref="B174:D174"/>
    <mergeCell ref="B175:D175"/>
    <mergeCell ref="B176:D176"/>
    <mergeCell ref="K176:N176"/>
  </mergeCells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Задание-новое</vt:lpstr>
      <vt:lpstr>Задание </vt:lpstr>
      <vt:lpstr>Пастила </vt:lpstr>
      <vt:lpstr>Резка пастилы</vt:lpstr>
      <vt:lpstr>'Задание-новое'!Область_печати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Волошенко Юлия Анатольевна</dc:creator>
  <cp:lastModifiedBy>SerovDen</cp:lastModifiedBy>
  <cp:lastPrinted>2020-10-21T10:09:22Z</cp:lastPrinted>
  <dcterms:created xsi:type="dcterms:W3CDTF">2014-01-15T13:02:22Z</dcterms:created>
  <dcterms:modified xsi:type="dcterms:W3CDTF">2024-11-13T08:27:58Z</dcterms:modified>
</cp:coreProperties>
</file>