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to\Documents\"/>
    </mc:Choice>
  </mc:AlternateContent>
  <xr:revisionPtr revIDLastSave="0" documentId="13_ncr:1_{39AB4A65-1EA5-4CA0-9A6D-7633360E5D84}" xr6:coauthVersionLast="47" xr6:coauthVersionMax="47" xr10:uidLastSave="{00000000-0000-0000-0000-000000000000}"/>
  <bookViews>
    <workbookView xWindow="-120" yWindow="-120" windowWidth="20730" windowHeight="11040" xr2:uid="{E4F734BF-343B-44A3-83F2-FA83159F02CF}"/>
  </bookViews>
  <sheets>
    <sheet name="Summary" sheetId="39" r:id="rId1"/>
    <sheet name="Grafico distr porcentual" sheetId="41" state="hidden" r:id="rId2"/>
    <sheet name="Grafico Tendencia" sheetId="44" state="hidden" r:id="rId3"/>
    <sheet name="Balance Proyectado" sheetId="35" r:id="rId4"/>
    <sheet name="Raw Data Balance Proyectado" sheetId="34" state="hidden" r:id="rId5"/>
    <sheet name="Inflacion " sheetId="19" state="hidden" r:id="rId6"/>
    <sheet name="Alquiler" sheetId="31" state="hidden" r:id="rId7"/>
    <sheet name="Gastos Mes Corriente" sheetId="7" r:id="rId8"/>
    <sheet name="Raw Data Gastos" sheetId="1" state="hidden" r:id="rId9"/>
    <sheet name="Ahorro" sheetId="12" r:id="rId10"/>
    <sheet name="Raw Data Ingreso -Ahorro" sheetId="9" state="hidden" r:id="rId11"/>
    <sheet name="Raw Data Gastos - Ahorro" sheetId="10" state="hidden" r:id="rId12"/>
    <sheet name="Inversiones" sheetId="11" state="hidden" r:id="rId13"/>
    <sheet name="Tipo Ingresos-Gastos" sheetId="6" state="hidden" r:id="rId14"/>
    <sheet name="Dolar Cotizacion" sheetId="4" state="hidden" r:id="rId15"/>
    <sheet name="Raw Data Ingresos Usados" sheetId="2" state="hidden" r:id="rId16"/>
  </sheets>
  <definedNames>
    <definedName name="_xlnm._FilterDatabase" localSheetId="15" hidden="1">'Raw Data Ingresos Usados'!$A$1:$C$10</definedName>
    <definedName name="SegmentaciónDeDatos_Categoria1">#N/A</definedName>
    <definedName name="SegmentaciónDeDatos_Mes1">#N/A</definedName>
    <definedName name="SegmentaciónDeDatos_Tipo_de_Categoria1">#N/A</definedName>
    <definedName name="SegmentaciónDeDatos_Tipo_de_Ingreso_Gasto">#N/A</definedName>
  </definedNames>
  <calcPr calcId="191029"/>
  <pivotCaches>
    <pivotCache cacheId="62" r:id="rId17"/>
    <pivotCache cacheId="66" r:id="rId18"/>
    <pivotCache cacheId="71" r:id="rId19"/>
    <pivotCache cacheId="76" r:id="rId20"/>
    <pivotCache cacheId="101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 s="1"/>
  <c r="K7" i="7"/>
  <c r="H7" i="7"/>
  <c r="I7" i="7" s="1"/>
  <c r="K6" i="7"/>
  <c r="H6" i="7"/>
  <c r="I6" i="7" s="1"/>
  <c r="K5" i="7"/>
  <c r="H5" i="7"/>
  <c r="I5" i="7" s="1"/>
  <c r="K4" i="7"/>
  <c r="H4" i="7"/>
  <c r="I4" i="7" s="1"/>
  <c r="K3" i="7"/>
  <c r="B39" i="7"/>
  <c r="B38" i="7"/>
  <c r="B37" i="7"/>
  <c r="B29" i="7"/>
  <c r="B30" i="7"/>
  <c r="B31" i="7"/>
  <c r="B32" i="7"/>
  <c r="B33" i="7"/>
  <c r="B34" i="7"/>
  <c r="B22" i="7"/>
  <c r="B23" i="7"/>
  <c r="B24" i="7"/>
  <c r="B25" i="7"/>
  <c r="B26" i="7"/>
  <c r="B21" i="7"/>
  <c r="B14" i="7"/>
  <c r="B15" i="7"/>
  <c r="B13" i="7"/>
  <c r="B9" i="2"/>
  <c r="B4" i="7"/>
  <c r="B5" i="7"/>
  <c r="B6" i="7"/>
  <c r="B7" i="7"/>
  <c r="B8" i="7"/>
  <c r="B9" i="7"/>
  <c r="C8" i="2"/>
  <c r="C9" i="2"/>
  <c r="C10" i="2"/>
  <c r="B10" i="2"/>
  <c r="B8" i="2"/>
  <c r="C6" i="2"/>
  <c r="C7" i="2"/>
  <c r="B7" i="2"/>
  <c r="B6" i="2"/>
  <c r="B5" i="2"/>
  <c r="B4" i="2"/>
  <c r="B3" i="2"/>
  <c r="E24" i="1"/>
  <c r="B42" i="7"/>
  <c r="B41" i="7" s="1"/>
  <c r="B133" i="34"/>
  <c r="B109" i="34"/>
  <c r="B85" i="34"/>
  <c r="B61" i="34"/>
  <c r="B37" i="34"/>
  <c r="B132" i="34"/>
  <c r="B108" i="34"/>
  <c r="B84" i="34"/>
  <c r="B60" i="34"/>
  <c r="B36" i="34"/>
  <c r="E34" i="7"/>
  <c r="J5" i="7" l="1"/>
  <c r="L5" i="7" s="1"/>
  <c r="M5" i="7" s="1"/>
  <c r="J6" i="7"/>
  <c r="L6" i="7" s="1"/>
  <c r="M6" i="7" s="1"/>
  <c r="J7" i="7"/>
  <c r="L7" i="7" s="1"/>
  <c r="M7" i="7" s="1"/>
  <c r="J3" i="7"/>
  <c r="L3" i="7" s="1"/>
  <c r="M3" i="7" s="1"/>
  <c r="J4" i="7"/>
  <c r="L4" i="7" s="1"/>
  <c r="M4" i="7" s="1"/>
  <c r="B36" i="7"/>
  <c r="B12" i="7"/>
  <c r="B3" i="7"/>
  <c r="B18" i="7" l="1"/>
  <c r="E30" i="1"/>
  <c r="E29" i="1"/>
  <c r="B57" i="34"/>
  <c r="B81" i="34" s="1"/>
  <c r="B105" i="34" s="1"/>
  <c r="B129" i="34" s="1"/>
  <c r="B120" i="34"/>
  <c r="B96" i="34"/>
  <c r="B123" i="34" s="1"/>
  <c r="B72" i="34"/>
  <c r="B122" i="34"/>
  <c r="B66" i="34"/>
  <c r="B90" i="34" s="1"/>
  <c r="B114" i="34" s="1"/>
  <c r="B138" i="34" s="1"/>
  <c r="B65" i="34"/>
  <c r="B89" i="34" s="1"/>
  <c r="B113" i="34" s="1"/>
  <c r="B137" i="34" s="1"/>
  <c r="B64" i="34"/>
  <c r="B88" i="34" s="1"/>
  <c r="B112" i="34" s="1"/>
  <c r="B136" i="34" s="1"/>
  <c r="B63" i="34"/>
  <c r="B87" i="34" s="1"/>
  <c r="B111" i="34" s="1"/>
  <c r="B135" i="34" s="1"/>
  <c r="B58" i="34"/>
  <c r="B82" i="34" s="1"/>
  <c r="B106" i="34" s="1"/>
  <c r="B130" i="34" s="1"/>
  <c r="B48" i="34"/>
  <c r="B25" i="34"/>
  <c r="B3" i="34"/>
  <c r="E25" i="1"/>
  <c r="E26" i="1"/>
  <c r="E27" i="1"/>
  <c r="E28" i="1"/>
  <c r="D26" i="9"/>
  <c r="D25" i="9"/>
  <c r="D14" i="9"/>
  <c r="C15" i="9"/>
  <c r="D15" i="9" s="1"/>
  <c r="C23" i="9"/>
  <c r="C9" i="9"/>
  <c r="D24" i="9"/>
  <c r="E23" i="1"/>
  <c r="D23" i="9"/>
  <c r="D19" i="9"/>
  <c r="D18" i="9"/>
  <c r="E9" i="12"/>
  <c r="E22" i="1"/>
  <c r="E19" i="1"/>
  <c r="E20" i="1"/>
  <c r="E21" i="1"/>
  <c r="E17" i="1"/>
  <c r="E18" i="1"/>
  <c r="E14" i="1"/>
  <c r="E15" i="1"/>
  <c r="E16" i="1"/>
  <c r="E12" i="1"/>
  <c r="E13" i="1"/>
  <c r="E9" i="1"/>
  <c r="E10" i="1"/>
  <c r="E11" i="1"/>
  <c r="E8" i="1"/>
  <c r="E7" i="1"/>
  <c r="E6" i="1"/>
  <c r="E4" i="1"/>
  <c r="E5" i="1"/>
  <c r="E3" i="1"/>
  <c r="E2" i="1"/>
  <c r="B28" i="7" l="1"/>
  <c r="E4" i="31" l="1"/>
  <c r="D4" i="31"/>
  <c r="E6" i="31"/>
  <c r="E5" i="31"/>
  <c r="D6" i="31"/>
  <c r="D5" i="31"/>
  <c r="F3" i="31"/>
  <c r="F2" i="31"/>
  <c r="D6" i="10"/>
  <c r="D16" i="9"/>
  <c r="E2" i="12"/>
  <c r="E3" i="12"/>
  <c r="E4" i="12"/>
  <c r="E5" i="12"/>
  <c r="E6" i="12"/>
  <c r="E7" i="12"/>
  <c r="E8" i="12"/>
  <c r="C8" i="9"/>
  <c r="D8" i="9" s="1"/>
  <c r="C17" i="9"/>
  <c r="D17" i="9" s="1"/>
  <c r="B7" i="9"/>
  <c r="B8" i="9"/>
  <c r="B9" i="9"/>
  <c r="B10" i="9"/>
  <c r="B11" i="9"/>
  <c r="B17" i="9"/>
  <c r="B6" i="9"/>
  <c r="E2" i="11"/>
  <c r="F2" i="11" s="1"/>
  <c r="E3" i="11"/>
  <c r="F3" i="11" s="1"/>
  <c r="E4" i="11"/>
  <c r="F4" i="11" s="1"/>
  <c r="E5" i="11"/>
  <c r="D9" i="9" s="1"/>
  <c r="E6" i="11"/>
  <c r="F6" i="11" s="1"/>
  <c r="E7" i="11"/>
  <c r="F7" i="11" s="1"/>
  <c r="E8" i="11"/>
  <c r="F8" i="11" s="1"/>
  <c r="D13" i="10"/>
  <c r="D12" i="10"/>
  <c r="C3" i="2"/>
  <c r="C4" i="2"/>
  <c r="C5" i="2"/>
  <c r="C2" i="2"/>
  <c r="E8" i="31" l="1"/>
  <c r="D7" i="31"/>
  <c r="C10" i="9"/>
  <c r="D10" i="9" s="1"/>
  <c r="C11" i="9"/>
  <c r="D11" i="9" s="1"/>
  <c r="C7" i="9"/>
  <c r="D7" i="9" s="1"/>
  <c r="F5" i="11"/>
  <c r="C6" i="9"/>
  <c r="D6" i="9" s="1"/>
  <c r="B20" i="7"/>
  <c r="D8" i="31"/>
  <c r="E9" i="31"/>
  <c r="E12" i="31" s="1"/>
  <c r="E14" i="31" s="1"/>
  <c r="D9" i="31"/>
  <c r="E7" i="31"/>
  <c r="B2" i="2"/>
  <c r="E11" i="12"/>
  <c r="E13" i="31" l="1"/>
  <c r="E10" i="31"/>
  <c r="E15" i="31"/>
  <c r="E16" i="31" s="1"/>
  <c r="E11" i="31"/>
  <c r="D11" i="31"/>
  <c r="D12" i="31"/>
  <c r="D10" i="31"/>
  <c r="E18" i="31" l="1"/>
  <c r="E19" i="31" s="1"/>
  <c r="E17" i="31"/>
  <c r="D15" i="31"/>
  <c r="D14" i="31"/>
  <c r="D13" i="31"/>
  <c r="E20" i="31" l="1"/>
  <c r="E21" i="31"/>
  <c r="E23" i="31" s="1"/>
  <c r="D18" i="31"/>
  <c r="D16" i="31"/>
  <c r="D17" i="31"/>
  <c r="E24" i="31"/>
  <c r="E22" i="31" l="1"/>
  <c r="D19" i="31"/>
  <c r="D20" i="31"/>
  <c r="D21" i="31"/>
  <c r="F5" i="31"/>
  <c r="F6" i="31"/>
  <c r="F9" i="31"/>
  <c r="F4" i="31"/>
  <c r="D22" i="31" l="1"/>
  <c r="D23" i="31"/>
  <c r="D24" i="31"/>
  <c r="F7" i="31"/>
  <c r="F8" i="31"/>
  <c r="F10" i="31" l="1"/>
  <c r="F11" i="31"/>
  <c r="F12" i="31"/>
  <c r="F13" i="31" l="1"/>
  <c r="F15" i="31"/>
  <c r="F14" i="31"/>
  <c r="F18" i="31" l="1"/>
  <c r="F17" i="31"/>
  <c r="F16" i="31"/>
  <c r="F20" i="31" l="1"/>
  <c r="F21" i="31"/>
  <c r="F19" i="31"/>
  <c r="F23" i="31" l="1"/>
  <c r="F24" i="31"/>
  <c r="F22" i="31"/>
  <c r="B44" i="7"/>
  <c r="B45" i="7" s="1"/>
</calcChain>
</file>

<file path=xl/sharedStrings.xml><?xml version="1.0" encoding="utf-8"?>
<sst xmlns="http://schemas.openxmlformats.org/spreadsheetml/2006/main" count="1134" uniqueCount="157">
  <si>
    <t>Categoria</t>
  </si>
  <si>
    <t xml:space="preserve">Fecha </t>
  </si>
  <si>
    <t>Monto</t>
  </si>
  <si>
    <t>Descripcion</t>
  </si>
  <si>
    <t>Forma de Pago</t>
  </si>
  <si>
    <t>Salidas</t>
  </si>
  <si>
    <t>Pedido Ya</t>
  </si>
  <si>
    <t>Mudanza</t>
  </si>
  <si>
    <t>Delivery</t>
  </si>
  <si>
    <t>Transporte</t>
  </si>
  <si>
    <t>Tarjeta Mastercard</t>
  </si>
  <si>
    <t>Enero</t>
  </si>
  <si>
    <t>Febrero</t>
  </si>
  <si>
    <t>Marzo</t>
  </si>
  <si>
    <t>Abril</t>
  </si>
  <si>
    <t>Mayo</t>
  </si>
  <si>
    <t>Junio</t>
  </si>
  <si>
    <t>Ingreso Recurrente</t>
  </si>
  <si>
    <t>Sueldo</t>
  </si>
  <si>
    <t>Sueldo USD</t>
  </si>
  <si>
    <t>Aguinaldo</t>
  </si>
  <si>
    <t>Aguinaldo USD</t>
  </si>
  <si>
    <t>Ingreso Ahorro</t>
  </si>
  <si>
    <t>Fecha</t>
  </si>
  <si>
    <t>Cotizacion MEP</t>
  </si>
  <si>
    <t>Gastos Fijos</t>
  </si>
  <si>
    <t>Luz</t>
  </si>
  <si>
    <t>Internet</t>
  </si>
  <si>
    <t>Celular</t>
  </si>
  <si>
    <t>Gas</t>
  </si>
  <si>
    <t>Alquiler</t>
  </si>
  <si>
    <t>Expensas</t>
  </si>
  <si>
    <t>Gastos Variables</t>
  </si>
  <si>
    <t>Mercaderia</t>
  </si>
  <si>
    <t>Regalo</t>
  </si>
  <si>
    <t>Gastos Ahorros</t>
  </si>
  <si>
    <t>Restante</t>
  </si>
  <si>
    <t>Categorias</t>
  </si>
  <si>
    <t>Tipo de ingresos</t>
  </si>
  <si>
    <t>Tipo</t>
  </si>
  <si>
    <t>Etiquetas de fila</t>
  </si>
  <si>
    <t>Total general</t>
  </si>
  <si>
    <t>Suma de Monto</t>
  </si>
  <si>
    <t>Tipo de Gasto</t>
  </si>
  <si>
    <t>Tarjeta</t>
  </si>
  <si>
    <t>Plazo</t>
  </si>
  <si>
    <t>USD</t>
  </si>
  <si>
    <t>Comentario</t>
  </si>
  <si>
    <t>Todos</t>
  </si>
  <si>
    <t>Regalo vieja</t>
  </si>
  <si>
    <t>Monto USD</t>
  </si>
  <si>
    <t>Monto moneda Original</t>
  </si>
  <si>
    <t>FCI Dólar Linked</t>
  </si>
  <si>
    <t>FCI Capital Ahorro</t>
  </si>
  <si>
    <t>FCI Money Market</t>
  </si>
  <si>
    <t>USD previos</t>
  </si>
  <si>
    <t>Inversion Inicial</t>
  </si>
  <si>
    <t>Remanente venta MEP (Reinvertido)</t>
  </si>
  <si>
    <t>FCI Acciones A</t>
  </si>
  <si>
    <t>Cedears Coca</t>
  </si>
  <si>
    <t>Cedears Apple</t>
  </si>
  <si>
    <t>Cedears Google</t>
  </si>
  <si>
    <t>Valor Inicial</t>
  </si>
  <si>
    <t>Valor Actual</t>
  </si>
  <si>
    <t>Intereses</t>
  </si>
  <si>
    <t>Suma de Monto USD</t>
  </si>
  <si>
    <t>Ingreso</t>
  </si>
  <si>
    <t>Intereses (Antes de liquidar)</t>
  </si>
  <si>
    <t>Total Restante</t>
  </si>
  <si>
    <t>Instrumentos</t>
  </si>
  <si>
    <t>Vacaciones Mati</t>
  </si>
  <si>
    <t>Tarjeta de Credito</t>
  </si>
  <si>
    <t>Mes</t>
  </si>
  <si>
    <t>Julio</t>
  </si>
  <si>
    <t>Agosto</t>
  </si>
  <si>
    <t>Septiembre</t>
  </si>
  <si>
    <t>Total</t>
  </si>
  <si>
    <t>Compra Mati</t>
  </si>
  <si>
    <t>Compra USD</t>
  </si>
  <si>
    <t>Inversion</t>
  </si>
  <si>
    <t>Flete</t>
  </si>
  <si>
    <t>Mudanza Seña + Compra USD+ Pago Parcial</t>
  </si>
  <si>
    <t>Monto Restante</t>
  </si>
  <si>
    <t>Porcentaje de Ahorro</t>
  </si>
  <si>
    <t>Monto Forecast</t>
  </si>
  <si>
    <t xml:space="preserve">Monto Gastado hasta el momento </t>
  </si>
  <si>
    <t>Monto a Ahorrar</t>
  </si>
  <si>
    <t>Monto con ahorro incluido</t>
  </si>
  <si>
    <t xml:space="preserve">Expensas </t>
  </si>
  <si>
    <t>Año</t>
  </si>
  <si>
    <t>Octubre</t>
  </si>
  <si>
    <t>Noviembre</t>
  </si>
  <si>
    <t>Diciembre</t>
  </si>
  <si>
    <t>Años</t>
  </si>
  <si>
    <t>Trimestre</t>
  </si>
  <si>
    <t>Trimestre Alquiler</t>
  </si>
  <si>
    <t>Tipo de dato</t>
  </si>
  <si>
    <t>Real</t>
  </si>
  <si>
    <t>Estimada</t>
  </si>
  <si>
    <t>Fecha Prox Publicacion REM</t>
  </si>
  <si>
    <t>Valores Originales</t>
  </si>
  <si>
    <t>Detalle</t>
  </si>
  <si>
    <t>Prestamo</t>
  </si>
  <si>
    <t>Fecha Actualizado</t>
  </si>
  <si>
    <t>Resumen Febrero</t>
  </si>
  <si>
    <t>Pedido Ya Market Efectivo</t>
  </si>
  <si>
    <t>Carga Sube</t>
  </si>
  <si>
    <t>Verduleria (Comida casa Mati)</t>
  </si>
  <si>
    <t>Carniceria (Comida casa Mati)</t>
  </si>
  <si>
    <t>Chino (Comida casa Mati)</t>
  </si>
  <si>
    <t>Carrefour (Parte en debito)</t>
  </si>
  <si>
    <t>Coto</t>
  </si>
  <si>
    <t>Merienda Mati</t>
  </si>
  <si>
    <t>Mercaderia Mati</t>
  </si>
  <si>
    <t>Carniceria</t>
  </si>
  <si>
    <t>Verduleria</t>
  </si>
  <si>
    <t>Fiambreria</t>
  </si>
  <si>
    <t>Dietetica</t>
  </si>
  <si>
    <t>Alquiler Marzo</t>
  </si>
  <si>
    <t>Entradas Cine</t>
  </si>
  <si>
    <t>Ganancia/Perdida en $</t>
  </si>
  <si>
    <t>Variacion % en $</t>
  </si>
  <si>
    <t>Ajuste Sueldo</t>
  </si>
  <si>
    <t>Panaderia</t>
  </si>
  <si>
    <t>Vino</t>
  </si>
  <si>
    <t>Helado</t>
  </si>
  <si>
    <t xml:space="preserve">Categoria </t>
  </si>
  <si>
    <t xml:space="preserve">Monto </t>
  </si>
  <si>
    <t>Tipo de Categoria</t>
  </si>
  <si>
    <t xml:space="preserve">Suma de Monto </t>
  </si>
  <si>
    <t>Meses</t>
  </si>
  <si>
    <t>Numero de Mes</t>
  </si>
  <si>
    <t>Pedido Ya Market</t>
  </si>
  <si>
    <t>Tucson</t>
  </si>
  <si>
    <t>Etiquetas de columna</t>
  </si>
  <si>
    <t>Ahorros</t>
  </si>
  <si>
    <t xml:space="preserve">Mudanza </t>
  </si>
  <si>
    <t>Muebles</t>
  </si>
  <si>
    <t xml:space="preserve">Vacaciones </t>
  </si>
  <si>
    <t>Tipo de Ingreso/Gasto</t>
  </si>
  <si>
    <t>Egrersos</t>
  </si>
  <si>
    <t>Mudanza Gasto</t>
  </si>
  <si>
    <t>Muebles Gasto</t>
  </si>
  <si>
    <t>Vacaciones Gasto</t>
  </si>
  <si>
    <t>Muebles gasto</t>
  </si>
  <si>
    <t>Reintegro Servicios</t>
  </si>
  <si>
    <t xml:space="preserve">Enero </t>
  </si>
  <si>
    <t>Ingresos= Gastos?</t>
  </si>
  <si>
    <t>Ingreso Total Sobrante</t>
  </si>
  <si>
    <t>Gasto Total Restante</t>
  </si>
  <si>
    <t>Ingreso Usado hasta el momento</t>
  </si>
  <si>
    <t>Gastos hasta el momento</t>
  </si>
  <si>
    <t>Se logro Ahorro?</t>
  </si>
  <si>
    <t>(Todas)</t>
  </si>
  <si>
    <t>Vacaciones</t>
  </si>
  <si>
    <t>Pago Final</t>
  </si>
  <si>
    <t>Ahorro Gasto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</si>
</sst>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%"/>
    <numFmt numFmtId="165" formatCode="dd/mm/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43" fontId="0" fillId="0" borderId="0" xfId="1" applyFont="1"/>
    <xf numFmtId="16" fontId="0" fillId="0" borderId="0" xfId="0" applyNumberFormat="1"/>
    <xf numFmtId="43" fontId="0" fillId="0" borderId="0" xfId="0" applyNumberFormat="1"/>
    <xf numFmtId="0" fontId="2" fillId="0" borderId="0" xfId="0" applyFont="1"/>
    <xf numFmtId="43" fontId="0" fillId="0" borderId="0" xfId="1" applyFont="1" applyBorder="1"/>
    <xf numFmtId="0" fontId="0" fillId="0" borderId="1" xfId="0" applyBorder="1"/>
    <xf numFmtId="0" fontId="0" fillId="2" borderId="1" xfId="0" applyFill="1" applyBorder="1"/>
    <xf numFmtId="0" fontId="2" fillId="0" borderId="2" xfId="0" applyFont="1" applyBorder="1"/>
    <xf numFmtId="43" fontId="0" fillId="0" borderId="1" xfId="1" applyFont="1" applyBorder="1"/>
    <xf numFmtId="43" fontId="0" fillId="2" borderId="1" xfId="1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2" fillId="2" borderId="1" xfId="1" applyFont="1" applyFill="1" applyBorder="1"/>
    <xf numFmtId="43" fontId="0" fillId="0" borderId="1" xfId="0" applyNumberFormat="1" applyBorder="1"/>
    <xf numFmtId="43" fontId="2" fillId="2" borderId="1" xfId="0" applyNumberFormat="1" applyFont="1" applyFill="1" applyBorder="1"/>
    <xf numFmtId="43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3" xfId="0" applyBorder="1"/>
    <xf numFmtId="43" fontId="0" fillId="3" borderId="0" xfId="1" applyFont="1" applyFill="1"/>
    <xf numFmtId="43" fontId="0" fillId="0" borderId="0" xfId="1" applyFont="1" applyFill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0" xfId="0" applyFont="1" applyFill="1"/>
    <xf numFmtId="2" fontId="0" fillId="0" borderId="0" xfId="0" applyNumberFormat="1"/>
    <xf numFmtId="43" fontId="0" fillId="0" borderId="8" xfId="1" applyFont="1" applyBorder="1"/>
    <xf numFmtId="0" fontId="4" fillId="4" borderId="5" xfId="0" applyFont="1" applyFill="1" applyBorder="1"/>
    <xf numFmtId="0" fontId="0" fillId="0" borderId="6" xfId="0" applyBorder="1"/>
    <xf numFmtId="0" fontId="0" fillId="0" borderId="9" xfId="0" applyBorder="1"/>
    <xf numFmtId="43" fontId="0" fillId="0" borderId="6" xfId="1" applyFont="1" applyBorder="1"/>
    <xf numFmtId="164" fontId="0" fillId="0" borderId="0" xfId="2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8" xfId="0" applyBorder="1"/>
    <xf numFmtId="0" fontId="0" fillId="2" borderId="6" xfId="0" applyFill="1" applyBorder="1"/>
    <xf numFmtId="14" fontId="0" fillId="0" borderId="8" xfId="0" applyNumberFormat="1" applyBorder="1"/>
    <xf numFmtId="14" fontId="0" fillId="2" borderId="6" xfId="0" applyNumberFormat="1" applyFill="1" applyBorder="1"/>
    <xf numFmtId="43" fontId="0" fillId="2" borderId="6" xfId="1" applyFont="1" applyFill="1" applyBorder="1"/>
    <xf numFmtId="0" fontId="0" fillId="2" borderId="0" xfId="0" applyFill="1"/>
    <xf numFmtId="0" fontId="0" fillId="2" borderId="7" xfId="0" applyFill="1" applyBorder="1"/>
    <xf numFmtId="0" fontId="0" fillId="0" borderId="7" xfId="0" applyBorder="1"/>
    <xf numFmtId="0" fontId="0" fillId="0" borderId="4" xfId="0" applyBorder="1"/>
    <xf numFmtId="10" fontId="0" fillId="0" borderId="0" xfId="2" applyNumberFormat="1" applyFont="1"/>
    <xf numFmtId="43" fontId="0" fillId="2" borderId="1" xfId="0" applyNumberFormat="1" applyFill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43" fontId="0" fillId="0" borderId="0" xfId="0" applyNumberFormat="1" applyFill="1"/>
    <xf numFmtId="0" fontId="4" fillId="4" borderId="8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3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64" formatCode="0.0%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/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Estilo de tabla dinámica 1" table="0" count="0" xr9:uid="{18E23028-7440-4630-8C0E-3243874D9D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[Presupuesto Personal.xlsx]Grafico Tendencia!GraficoTendencia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5403525636494"/>
          <c:y val="0.12397929425488481"/>
          <c:w val="0.60745859191299467"/>
          <c:h val="0.71500437445319331"/>
        </c:manualLayout>
      </c:layout>
      <c:lineChart>
        <c:grouping val="stacked"/>
        <c:varyColors val="0"/>
        <c:ser>
          <c:idx val="0"/>
          <c:order val="0"/>
          <c:tx>
            <c:strRef>
              <c:f>'Grafico Tendencia'!$B$1:$B$2</c:f>
              <c:strCache>
                <c:ptCount val="1"/>
                <c:pt idx="0">
                  <c:v>Ahorros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Tendencia'!$B$3:$B$9</c:f>
              <c:numCache>
                <c:formatCode>General</c:formatCode>
                <c:ptCount val="6"/>
                <c:pt idx="0">
                  <c:v>803288.18</c:v>
                </c:pt>
                <c:pt idx="1">
                  <c:v>80000</c:v>
                </c:pt>
                <c:pt idx="2">
                  <c:v>170000</c:v>
                </c:pt>
                <c:pt idx="3">
                  <c:v>380000</c:v>
                </c:pt>
                <c:pt idx="4">
                  <c:v>80000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8F3-B4DF-C3C306541F9D}"/>
            </c:ext>
          </c:extLst>
        </c:ser>
        <c:ser>
          <c:idx val="1"/>
          <c:order val="1"/>
          <c:tx>
            <c:strRef>
              <c:f>'Grafico Tendencia'!$C$1:$C$2</c:f>
              <c:strCache>
                <c:ptCount val="1"/>
                <c:pt idx="0">
                  <c:v>Gastos Ahorros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Tendencia'!$C$3:$C$9</c:f>
              <c:numCache>
                <c:formatCode>General</c:formatCode>
                <c:ptCount val="6"/>
                <c:pt idx="0">
                  <c:v>-803288.18</c:v>
                </c:pt>
                <c:pt idx="1">
                  <c:v>-80000</c:v>
                </c:pt>
                <c:pt idx="2">
                  <c:v>-170000</c:v>
                </c:pt>
                <c:pt idx="3">
                  <c:v>-380000</c:v>
                </c:pt>
                <c:pt idx="4">
                  <c:v>-80000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A-48F3-B4DF-C3C306541F9D}"/>
            </c:ext>
          </c:extLst>
        </c:ser>
        <c:ser>
          <c:idx val="2"/>
          <c:order val="2"/>
          <c:tx>
            <c:strRef>
              <c:f>'Grafico Tendencia'!$D$1:$D$2</c:f>
              <c:strCache>
                <c:ptCount val="1"/>
                <c:pt idx="0">
                  <c:v>Gastos Fijos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Tendencia'!$D$3:$D$9</c:f>
              <c:numCache>
                <c:formatCode>General</c:formatCode>
                <c:ptCount val="6"/>
                <c:pt idx="0">
                  <c:v>-18944.900000000001</c:v>
                </c:pt>
                <c:pt idx="1">
                  <c:v>-236754.87</c:v>
                </c:pt>
                <c:pt idx="2">
                  <c:v>-245952.37507000001</c:v>
                </c:pt>
                <c:pt idx="3">
                  <c:v>-335792.66007839999</c:v>
                </c:pt>
                <c:pt idx="4">
                  <c:v>-339699.32608624001</c:v>
                </c:pt>
                <c:pt idx="5">
                  <c:v>-342417.0588035704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A-48F3-B4DF-C3C306541F9D}"/>
            </c:ext>
          </c:extLst>
        </c:ser>
        <c:ser>
          <c:idx val="3"/>
          <c:order val="3"/>
          <c:tx>
            <c:strRef>
              <c:f>'Grafico Tendencia'!$E$1:$E$2</c:f>
              <c:strCache>
                <c:ptCount val="1"/>
                <c:pt idx="0">
                  <c:v>Gastos Variables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Tendencia'!$E$3:$E$9</c:f>
              <c:numCache>
                <c:formatCode>General</c:formatCode>
                <c:ptCount val="6"/>
                <c:pt idx="0">
                  <c:v>-419932.17000000004</c:v>
                </c:pt>
                <c:pt idx="1">
                  <c:v>-355548.37333333329</c:v>
                </c:pt>
                <c:pt idx="2">
                  <c:v>-378921.7</c:v>
                </c:pt>
                <c:pt idx="3">
                  <c:v>-325739.03400000004</c:v>
                </c:pt>
                <c:pt idx="4">
                  <c:v>-340637.77440000005</c:v>
                </c:pt>
                <c:pt idx="5">
                  <c:v>-369591.98522400012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A-48F3-B4DF-C3C306541F9D}"/>
            </c:ext>
          </c:extLst>
        </c:ser>
        <c:ser>
          <c:idx val="4"/>
          <c:order val="4"/>
          <c:tx>
            <c:strRef>
              <c:f>'Grafico Tendencia'!$F$1:$F$2</c:f>
              <c:strCache>
                <c:ptCount val="1"/>
                <c:pt idx="0">
                  <c:v>Ingreso Recurrente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Tendencia'!$F$3:$F$9</c:f>
              <c:numCache>
                <c:formatCode>General</c:formatCode>
                <c:ptCount val="6"/>
                <c:pt idx="0">
                  <c:v>604616.66</c:v>
                </c:pt>
                <c:pt idx="1">
                  <c:v>630690</c:v>
                </c:pt>
                <c:pt idx="2">
                  <c:v>627000</c:v>
                </c:pt>
                <c:pt idx="3">
                  <c:v>627000</c:v>
                </c:pt>
                <c:pt idx="4">
                  <c:v>627000</c:v>
                </c:pt>
                <c:pt idx="5">
                  <c:v>917000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A-48F3-B4DF-C3C306541F9D}"/>
            </c:ext>
          </c:extLst>
        </c:ser>
        <c:ser>
          <c:idx val="5"/>
          <c:order val="5"/>
          <c:tx>
            <c:strRef>
              <c:f>'Grafico Tendencia'!$G$1:$G$2</c:f>
              <c:strCache>
                <c:ptCount val="1"/>
                <c:pt idx="0">
                  <c:v>Inversion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Tendencia'!$G$3:$G$9</c:f>
              <c:numCache>
                <c:formatCode>General</c:formatCode>
                <c:ptCount val="6"/>
                <c:pt idx="0">
                  <c:v>-105841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A-48F3-B4DF-C3C30654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3119"/>
        <c:axId val="293132719"/>
      </c:lineChart>
      <c:catAx>
        <c:axId val="2931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3132719"/>
        <c:crosses val="autoZero"/>
        <c:auto val="1"/>
        <c:lblAlgn val="ctr"/>
        <c:lblOffset val="100"/>
        <c:noMultiLvlLbl val="0"/>
      </c:catAx>
      <c:valAx>
        <c:axId val="2931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31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[Presupuesto Personal.xlsx]Grafico distr porcentual!Grafico Distr Porcentual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porcentual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'Grafico distr porcentual'!$B$3:$B$4</c:f>
              <c:strCache>
                <c:ptCount val="1"/>
                <c:pt idx="0">
                  <c:v>Febrero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porcentual'!$B$5:$B$11</c:f>
              <c:numCache>
                <c:formatCode>General</c:formatCode>
                <c:ptCount val="6"/>
                <c:pt idx="0">
                  <c:v>803288.18</c:v>
                </c:pt>
                <c:pt idx="1">
                  <c:v>-803288.18</c:v>
                </c:pt>
                <c:pt idx="2">
                  <c:v>-18944.900000000001</c:v>
                </c:pt>
                <c:pt idx="3">
                  <c:v>-419932.17000000004</c:v>
                </c:pt>
                <c:pt idx="4">
                  <c:v>604616.66</c:v>
                </c:pt>
                <c:pt idx="5">
                  <c:v>-105841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2B-4B43-A45E-B0BD917435AB}"/>
            </c:ext>
          </c:extLst>
        </c:ser>
        <c:ser>
          <c:idx val="1"/>
          <c:order val="1"/>
          <c:tx>
            <c:strRef>
              <c:f>'Grafico distr porcentual'!$C$3:$C$4</c:f>
              <c:strCache>
                <c:ptCount val="1"/>
                <c:pt idx="0">
                  <c:v>Marzo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porcentual'!$C$5:$C$11</c:f>
              <c:numCache>
                <c:formatCode>General</c:formatCode>
                <c:ptCount val="6"/>
                <c:pt idx="0">
                  <c:v>80000</c:v>
                </c:pt>
                <c:pt idx="1">
                  <c:v>-80000</c:v>
                </c:pt>
                <c:pt idx="2">
                  <c:v>-236754.87</c:v>
                </c:pt>
                <c:pt idx="3">
                  <c:v>-355548.37333333329</c:v>
                </c:pt>
                <c:pt idx="4">
                  <c:v>630690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2B-4B43-A45E-B0BD917435AB}"/>
            </c:ext>
          </c:extLst>
        </c:ser>
        <c:ser>
          <c:idx val="2"/>
          <c:order val="2"/>
          <c:tx>
            <c:strRef>
              <c:f>'Grafico distr porcentual'!$D$3:$D$4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porcentual'!$D$5:$D$11</c:f>
              <c:numCache>
                <c:formatCode>General</c:formatCode>
                <c:ptCount val="6"/>
                <c:pt idx="0">
                  <c:v>170000</c:v>
                </c:pt>
                <c:pt idx="1">
                  <c:v>-170000</c:v>
                </c:pt>
                <c:pt idx="2">
                  <c:v>-245952.37507000001</c:v>
                </c:pt>
                <c:pt idx="3">
                  <c:v>-378921.7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2B-4B43-A45E-B0BD917435AB}"/>
            </c:ext>
          </c:extLst>
        </c:ser>
        <c:ser>
          <c:idx val="3"/>
          <c:order val="3"/>
          <c:tx>
            <c:strRef>
              <c:f>'Grafico distr porcentual'!$E$3:$E$4</c:f>
              <c:strCache>
                <c:ptCount val="1"/>
                <c:pt idx="0">
                  <c:v>Mayo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porcentual'!$E$5:$E$11</c:f>
              <c:numCache>
                <c:formatCode>General</c:formatCode>
                <c:ptCount val="6"/>
                <c:pt idx="0">
                  <c:v>380000</c:v>
                </c:pt>
                <c:pt idx="1">
                  <c:v>-380000</c:v>
                </c:pt>
                <c:pt idx="2">
                  <c:v>-335792.66007839999</c:v>
                </c:pt>
                <c:pt idx="3">
                  <c:v>-325739.03400000004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12B-4B43-A45E-B0BD917435AB}"/>
            </c:ext>
          </c:extLst>
        </c:ser>
        <c:ser>
          <c:idx val="4"/>
          <c:order val="4"/>
          <c:tx>
            <c:strRef>
              <c:f>'Grafico distr porcentual'!$F$3:$F$4</c:f>
              <c:strCache>
                <c:ptCount val="1"/>
                <c:pt idx="0">
                  <c:v>Junio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porcentual'!$F$5:$F$11</c:f>
              <c:numCache>
                <c:formatCode>General</c:formatCode>
                <c:ptCount val="6"/>
                <c:pt idx="0">
                  <c:v>80000</c:v>
                </c:pt>
                <c:pt idx="1">
                  <c:v>-80000</c:v>
                </c:pt>
                <c:pt idx="2">
                  <c:v>-339699.32608624001</c:v>
                </c:pt>
                <c:pt idx="3">
                  <c:v>-340637.77440000005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12B-4B43-A45E-B0BD917435AB}"/>
            </c:ext>
          </c:extLst>
        </c:ser>
        <c:ser>
          <c:idx val="5"/>
          <c:order val="5"/>
          <c:tx>
            <c:strRef>
              <c:f>'Grafico distr porcentual'!$G$3:$G$4</c:f>
              <c:strCache>
                <c:ptCount val="1"/>
                <c:pt idx="0">
                  <c:v>Julio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612B-4B43-A45E-B0BD91743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612B-4B43-A45E-B0BD91743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612B-4B43-A45E-B0BD91743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612B-4B43-A45E-B0BD91743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612B-4B43-A45E-B0BD91743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12B-4B43-A45E-B0BD9174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porcentual'!$G$5:$G$11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-342417.0588035704</c:v>
                </c:pt>
                <c:pt idx="3">
                  <c:v>-369591.98522400012</c:v>
                </c:pt>
                <c:pt idx="4">
                  <c:v>917000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12B-4B43-A45E-B0BD917435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[Presupuesto Personal.xlsx]Grafico distr porcentual!Grafico Distr Porcentual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porcentual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'Grafico distr porcentual'!$B$3:$B$4</c:f>
              <c:strCache>
                <c:ptCount val="1"/>
                <c:pt idx="0">
                  <c:v>Febrero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porcentual'!$B$5:$B$11</c:f>
              <c:numCache>
                <c:formatCode>General</c:formatCode>
                <c:ptCount val="6"/>
                <c:pt idx="0">
                  <c:v>803288.18</c:v>
                </c:pt>
                <c:pt idx="1">
                  <c:v>-803288.18</c:v>
                </c:pt>
                <c:pt idx="2">
                  <c:v>-18944.900000000001</c:v>
                </c:pt>
                <c:pt idx="3">
                  <c:v>-419932.17000000004</c:v>
                </c:pt>
                <c:pt idx="4">
                  <c:v>604616.66</c:v>
                </c:pt>
                <c:pt idx="5">
                  <c:v>-105841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BC4-A56C-4C4BB8BB11EB}"/>
            </c:ext>
          </c:extLst>
        </c:ser>
        <c:ser>
          <c:idx val="1"/>
          <c:order val="1"/>
          <c:tx>
            <c:strRef>
              <c:f>'Grafico distr porcentual'!$C$3:$C$4</c:f>
              <c:strCache>
                <c:ptCount val="1"/>
                <c:pt idx="0">
                  <c:v>Marzo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porcentual'!$C$5:$C$11</c:f>
              <c:numCache>
                <c:formatCode>General</c:formatCode>
                <c:ptCount val="6"/>
                <c:pt idx="0">
                  <c:v>80000</c:v>
                </c:pt>
                <c:pt idx="1">
                  <c:v>-80000</c:v>
                </c:pt>
                <c:pt idx="2">
                  <c:v>-236754.87</c:v>
                </c:pt>
                <c:pt idx="3">
                  <c:v>-355548.37333333329</c:v>
                </c:pt>
                <c:pt idx="4">
                  <c:v>630690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81-4BC4-A56C-4C4BB8BB11EB}"/>
            </c:ext>
          </c:extLst>
        </c:ser>
        <c:ser>
          <c:idx val="2"/>
          <c:order val="2"/>
          <c:tx>
            <c:strRef>
              <c:f>'Grafico distr porcentual'!$D$3:$D$4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porcentual'!$D$5:$D$11</c:f>
              <c:numCache>
                <c:formatCode>General</c:formatCode>
                <c:ptCount val="6"/>
                <c:pt idx="0">
                  <c:v>170000</c:v>
                </c:pt>
                <c:pt idx="1">
                  <c:v>-170000</c:v>
                </c:pt>
                <c:pt idx="2">
                  <c:v>-245952.37507000001</c:v>
                </c:pt>
                <c:pt idx="3">
                  <c:v>-378921.7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81-4BC4-A56C-4C4BB8BB11EB}"/>
            </c:ext>
          </c:extLst>
        </c:ser>
        <c:ser>
          <c:idx val="3"/>
          <c:order val="3"/>
          <c:tx>
            <c:strRef>
              <c:f>'Grafico distr porcentual'!$E$3:$E$4</c:f>
              <c:strCache>
                <c:ptCount val="1"/>
                <c:pt idx="0">
                  <c:v>Mayo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porcentual'!$E$5:$E$11</c:f>
              <c:numCache>
                <c:formatCode>General</c:formatCode>
                <c:ptCount val="6"/>
                <c:pt idx="0">
                  <c:v>380000</c:v>
                </c:pt>
                <c:pt idx="1">
                  <c:v>-380000</c:v>
                </c:pt>
                <c:pt idx="2">
                  <c:v>-335792.66007839999</c:v>
                </c:pt>
                <c:pt idx="3">
                  <c:v>-325739.03400000004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81-4BC4-A56C-4C4BB8BB11EB}"/>
            </c:ext>
          </c:extLst>
        </c:ser>
        <c:ser>
          <c:idx val="4"/>
          <c:order val="4"/>
          <c:tx>
            <c:strRef>
              <c:f>'Grafico distr porcentual'!$F$3:$F$4</c:f>
              <c:strCache>
                <c:ptCount val="1"/>
                <c:pt idx="0">
                  <c:v>Junio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porcentual'!$F$5:$F$11</c:f>
              <c:numCache>
                <c:formatCode>General</c:formatCode>
                <c:ptCount val="6"/>
                <c:pt idx="0">
                  <c:v>80000</c:v>
                </c:pt>
                <c:pt idx="1">
                  <c:v>-80000</c:v>
                </c:pt>
                <c:pt idx="2">
                  <c:v>-339699.32608624001</c:v>
                </c:pt>
                <c:pt idx="3">
                  <c:v>-340637.77440000005</c:v>
                </c:pt>
                <c:pt idx="4">
                  <c:v>627000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81-4BC4-A56C-4C4BB8BB11EB}"/>
            </c:ext>
          </c:extLst>
        </c:ser>
        <c:ser>
          <c:idx val="5"/>
          <c:order val="5"/>
          <c:tx>
            <c:strRef>
              <c:f>'Grafico distr porcentual'!$G$3:$G$4</c:f>
              <c:strCache>
                <c:ptCount val="1"/>
                <c:pt idx="0">
                  <c:v>Julio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distr porcentual'!$A$5:$A$11</c:f>
              <c:strCache>
                <c:ptCount val="6"/>
                <c:pt idx="0">
                  <c:v>Ahorros</c:v>
                </c:pt>
                <c:pt idx="1">
                  <c:v>Gastos Ahorros</c:v>
                </c:pt>
                <c:pt idx="2">
                  <c:v>Gastos Fijos</c:v>
                </c:pt>
                <c:pt idx="3">
                  <c:v>Gastos Variables</c:v>
                </c:pt>
                <c:pt idx="4">
                  <c:v>Ingreso Recurrente</c:v>
                </c:pt>
                <c:pt idx="5">
                  <c:v>Inversion</c:v>
                </c:pt>
              </c:strCache>
            </c:strRef>
          </c:cat>
          <c:val>
            <c:numRef>
              <c:f>'Grafico distr porcentual'!$G$5:$G$11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-342417.0588035704</c:v>
                </c:pt>
                <c:pt idx="3">
                  <c:v>-369591.98522400012</c:v>
                </c:pt>
                <c:pt idx="4">
                  <c:v>917000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81-4BC4-A56C-4C4BB8BB11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[Presupuesto Personal.xlsx]Grafico Tendencia!GraficoTendencia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5403525636494"/>
          <c:y val="0.12397929425488481"/>
          <c:w val="0.60745859191299467"/>
          <c:h val="0.71500437445319331"/>
        </c:manualLayout>
      </c:layout>
      <c:lineChart>
        <c:grouping val="stacked"/>
        <c:varyColors val="0"/>
        <c:ser>
          <c:idx val="0"/>
          <c:order val="0"/>
          <c:tx>
            <c:strRef>
              <c:f>'Grafico Tendencia'!$B$1:$B$2</c:f>
              <c:strCache>
                <c:ptCount val="1"/>
                <c:pt idx="0">
                  <c:v>Ahorros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Tendencia'!$B$3:$B$9</c:f>
              <c:numCache>
                <c:formatCode>General</c:formatCode>
                <c:ptCount val="6"/>
                <c:pt idx="0">
                  <c:v>803288.18</c:v>
                </c:pt>
                <c:pt idx="1">
                  <c:v>80000</c:v>
                </c:pt>
                <c:pt idx="2">
                  <c:v>170000</c:v>
                </c:pt>
                <c:pt idx="3">
                  <c:v>380000</c:v>
                </c:pt>
                <c:pt idx="4">
                  <c:v>80000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1-46CD-9EC3-0052400F2512}"/>
            </c:ext>
          </c:extLst>
        </c:ser>
        <c:ser>
          <c:idx val="1"/>
          <c:order val="1"/>
          <c:tx>
            <c:strRef>
              <c:f>'Grafico Tendencia'!$C$1:$C$2</c:f>
              <c:strCache>
                <c:ptCount val="1"/>
                <c:pt idx="0">
                  <c:v>Gastos Ahorros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Tendencia'!$C$3:$C$9</c:f>
              <c:numCache>
                <c:formatCode>General</c:formatCode>
                <c:ptCount val="6"/>
                <c:pt idx="0">
                  <c:v>-803288.18</c:v>
                </c:pt>
                <c:pt idx="1">
                  <c:v>-80000</c:v>
                </c:pt>
                <c:pt idx="2">
                  <c:v>-170000</c:v>
                </c:pt>
                <c:pt idx="3">
                  <c:v>-380000</c:v>
                </c:pt>
                <c:pt idx="4">
                  <c:v>-80000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D1-46CD-9EC3-0052400F2512}"/>
            </c:ext>
          </c:extLst>
        </c:ser>
        <c:ser>
          <c:idx val="2"/>
          <c:order val="2"/>
          <c:tx>
            <c:strRef>
              <c:f>'Grafico Tendencia'!$D$1:$D$2</c:f>
              <c:strCache>
                <c:ptCount val="1"/>
                <c:pt idx="0">
                  <c:v>Gastos Fijos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Tendencia'!$D$3:$D$9</c:f>
              <c:numCache>
                <c:formatCode>General</c:formatCode>
                <c:ptCount val="6"/>
                <c:pt idx="0">
                  <c:v>-18944.900000000001</c:v>
                </c:pt>
                <c:pt idx="1">
                  <c:v>-236754.87</c:v>
                </c:pt>
                <c:pt idx="2">
                  <c:v>-245952.37507000001</c:v>
                </c:pt>
                <c:pt idx="3">
                  <c:v>-335792.66007839999</c:v>
                </c:pt>
                <c:pt idx="4">
                  <c:v>-339699.32608624001</c:v>
                </c:pt>
                <c:pt idx="5">
                  <c:v>-342417.0588035704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D1-46CD-9EC3-0052400F2512}"/>
            </c:ext>
          </c:extLst>
        </c:ser>
        <c:ser>
          <c:idx val="3"/>
          <c:order val="3"/>
          <c:tx>
            <c:strRef>
              <c:f>'Grafico Tendencia'!$E$1:$E$2</c:f>
              <c:strCache>
                <c:ptCount val="1"/>
                <c:pt idx="0">
                  <c:v>Gastos Variables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Tendencia'!$E$3:$E$9</c:f>
              <c:numCache>
                <c:formatCode>General</c:formatCode>
                <c:ptCount val="6"/>
                <c:pt idx="0">
                  <c:v>-419932.17000000004</c:v>
                </c:pt>
                <c:pt idx="1">
                  <c:v>-355548.37333333329</c:v>
                </c:pt>
                <c:pt idx="2">
                  <c:v>-378921.7</c:v>
                </c:pt>
                <c:pt idx="3">
                  <c:v>-325739.03400000004</c:v>
                </c:pt>
                <c:pt idx="4">
                  <c:v>-340637.77440000005</c:v>
                </c:pt>
                <c:pt idx="5">
                  <c:v>-369591.98522400012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D1-46CD-9EC3-0052400F2512}"/>
            </c:ext>
          </c:extLst>
        </c:ser>
        <c:ser>
          <c:idx val="4"/>
          <c:order val="4"/>
          <c:tx>
            <c:strRef>
              <c:f>'Grafico Tendencia'!$F$1:$F$2</c:f>
              <c:strCache>
                <c:ptCount val="1"/>
                <c:pt idx="0">
                  <c:v>Ingreso Recurrente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Tendencia'!$F$3:$F$9</c:f>
              <c:numCache>
                <c:formatCode>General</c:formatCode>
                <c:ptCount val="6"/>
                <c:pt idx="0">
                  <c:v>604616.66</c:v>
                </c:pt>
                <c:pt idx="1">
                  <c:v>630690</c:v>
                </c:pt>
                <c:pt idx="2">
                  <c:v>627000</c:v>
                </c:pt>
                <c:pt idx="3">
                  <c:v>627000</c:v>
                </c:pt>
                <c:pt idx="4">
                  <c:v>627000</c:v>
                </c:pt>
                <c:pt idx="5">
                  <c:v>917000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D1-46CD-9EC3-0052400F2512}"/>
            </c:ext>
          </c:extLst>
        </c:ser>
        <c:ser>
          <c:idx val="5"/>
          <c:order val="5"/>
          <c:tx>
            <c:strRef>
              <c:f>'Grafico Tendencia'!$G$1:$G$2</c:f>
              <c:strCache>
                <c:ptCount val="1"/>
                <c:pt idx="0">
                  <c:v>Inversion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'Grafico Tendencia'!$A$3:$A$9</c:f>
              <c:strCache>
                <c:ptCount val="6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</c:strCache>
            </c:strRef>
          </c:cat>
          <c:val>
            <c:numRef>
              <c:f>'Grafico Tendencia'!$G$3:$G$9</c:f>
              <c:numCache>
                <c:formatCode>General</c:formatCode>
                <c:ptCount val="6"/>
                <c:pt idx="0">
                  <c:v>-105841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D1-46CD-9EC3-0052400F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3119"/>
        <c:axId val="293132719"/>
      </c:lineChart>
      <c:catAx>
        <c:axId val="2931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3132719"/>
        <c:crosses val="autoZero"/>
        <c:auto val="1"/>
        <c:lblAlgn val="ctr"/>
        <c:lblOffset val="100"/>
        <c:noMultiLvlLbl val="0"/>
      </c:catAx>
      <c:valAx>
        <c:axId val="2931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31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0</xdr:rowOff>
    </xdr:from>
    <xdr:to>
      <xdr:col>15</xdr:col>
      <xdr:colOff>381000</xdr:colOff>
      <xdr:row>14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32065A-B9BF-4C15-B590-AA3F17315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14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ABC674-BB67-40D3-936A-2EA765AA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16</xdr:row>
      <xdr:rowOff>12700</xdr:rowOff>
    </xdr:from>
    <xdr:to>
      <xdr:col>2</xdr:col>
      <xdr:colOff>477838</xdr:colOff>
      <xdr:row>30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es 2">
              <a:extLst>
                <a:ext uri="{FF2B5EF4-FFF2-40B4-BE49-F238E27FC236}">
                  <a16:creationId xmlns:a16="http://schemas.microsoft.com/office/drawing/2014/main" id="{913877DE-1218-4476-96EB-1A4C750A3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" y="3060700"/>
              <a:ext cx="1824038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520700</xdr:colOff>
      <xdr:row>15</xdr:row>
      <xdr:rowOff>177800</xdr:rowOff>
    </xdr:from>
    <xdr:to>
      <xdr:col>5</xdr:col>
      <xdr:colOff>61119</xdr:colOff>
      <xdr:row>29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Tipo de Categoria 1">
              <a:extLst>
                <a:ext uri="{FF2B5EF4-FFF2-40B4-BE49-F238E27FC236}">
                  <a16:creationId xmlns:a16="http://schemas.microsoft.com/office/drawing/2014/main" id="{7B53C653-C3A9-4DBE-99D7-37949B83D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700" y="3035300"/>
              <a:ext cx="182641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177800</xdr:colOff>
      <xdr:row>15</xdr:row>
      <xdr:rowOff>139700</xdr:rowOff>
    </xdr:from>
    <xdr:to>
      <xdr:col>7</xdr:col>
      <xdr:colOff>482600</xdr:colOff>
      <xdr:row>29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ipo de Ingreso/Gasto">
              <a:extLst>
                <a:ext uri="{FF2B5EF4-FFF2-40B4-BE49-F238E27FC236}">
                  <a16:creationId xmlns:a16="http://schemas.microsoft.com/office/drawing/2014/main" id="{27BA8C69-DDC5-476F-9201-E3866D042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Ingreso/Ga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7800" y="29972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159544</xdr:rowOff>
    </xdr:from>
    <xdr:to>
      <xdr:col>5</xdr:col>
      <xdr:colOff>419100</xdr:colOff>
      <xdr:row>26</xdr:row>
      <xdr:rowOff>45244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51563F-19A1-3355-8C4C-0508161A9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</xdr:row>
      <xdr:rowOff>0</xdr:rowOff>
    </xdr:from>
    <xdr:to>
      <xdr:col>4</xdr:col>
      <xdr:colOff>942975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C19AD-916F-EFEA-2077-3D1FC24F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95250</xdr:colOff>
      <xdr:row>10</xdr:row>
      <xdr:rowOff>57150</xdr:rowOff>
    </xdr:from>
    <xdr:to>
      <xdr:col>9</xdr:col>
      <xdr:colOff>242887</xdr:colOff>
      <xdr:row>24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de Ingreso/Gasto 1">
              <a:extLst>
                <a:ext uri="{FF2B5EF4-FFF2-40B4-BE49-F238E27FC236}">
                  <a16:creationId xmlns:a16="http://schemas.microsoft.com/office/drawing/2014/main" id="{4D32B00D-8BEC-2320-DBE5-D65A672D6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Ingreso/Ga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7156" y="1962150"/>
              <a:ext cx="182641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1019175</xdr:colOff>
      <xdr:row>10</xdr:row>
      <xdr:rowOff>76200</xdr:rowOff>
    </xdr:from>
    <xdr:to>
      <xdr:col>6</xdr:col>
      <xdr:colOff>519113</xdr:colOff>
      <xdr:row>24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de Categoria 2">
              <a:extLst>
                <a:ext uri="{FF2B5EF4-FFF2-40B4-BE49-F238E27FC236}">
                  <a16:creationId xmlns:a16="http://schemas.microsoft.com/office/drawing/2014/main" id="{8B9BCE74-9093-8C9A-2EF6-890F77C625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ategori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8331" y="1981200"/>
              <a:ext cx="1821657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333375</xdr:colOff>
      <xdr:row>10</xdr:row>
      <xdr:rowOff>66675</xdr:rowOff>
    </xdr:from>
    <xdr:to>
      <xdr:col>11</xdr:col>
      <xdr:colOff>638175</xdr:colOff>
      <xdr:row>24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  1">
              <a:extLst>
                <a:ext uri="{FF2B5EF4-FFF2-40B4-BE49-F238E27FC236}">
                  <a16:creationId xmlns:a16="http://schemas.microsoft.com/office/drawing/2014/main" id="{2D06938A-1069-FC28-EF23-C086A4F4A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4063" y="19716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ton Diaz Roznickas" refreshedDate="45363.352237037034" createdVersion="8" refreshedVersion="8" minRefreshableVersion="3" recordCount="15" xr:uid="{960B5B91-6365-4829-A43A-600992AABDB5}">
  <cacheSource type="worksheet">
    <worksheetSource name="AhorroEgresos"/>
  </cacheSource>
  <cacheFields count="6">
    <cacheField name="Categoria" numFmtId="0">
      <sharedItems containsBlank="1" count="4">
        <s v="USD"/>
        <s v="FCI Capital Ahorro"/>
        <s v="FCI Money Market"/>
        <m u="1"/>
      </sharedItems>
    </cacheField>
    <cacheField name="Fecha " numFmtId="14">
      <sharedItems containsSemiMixedTypes="0" containsNonDate="0" containsDate="1" containsString="0" minDate="2023-12-27T00:00:00" maxDate="2024-03-02T00:00:00"/>
    </cacheField>
    <cacheField name="Monto moneda Original" numFmtId="0">
      <sharedItems containsSemiMixedTypes="0" containsString="0" containsNumber="1" minValue="-199910.39" maxValue="-2.2400000000000002"/>
    </cacheField>
    <cacheField name="Monto USD" numFmtId="0">
      <sharedItems containsSemiMixedTypes="0" containsString="0" containsNumber="1" minValue="-418.26" maxValue="-2.2400000000000002"/>
    </cacheField>
    <cacheField name="Detalle" numFmtId="43">
      <sharedItems containsBlank="1"/>
    </cacheField>
    <cacheField name="Coment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ton Diaz Roznickas" refreshedDate="45363.352237268518" createdVersion="8" refreshedVersion="8" minRefreshableVersion="3" recordCount="25" xr:uid="{FDD13337-21BB-4131-AD85-5D2A4FCAED1D}">
  <cacheSource type="worksheet">
    <worksheetSource name="AhorrosIngresos"/>
  </cacheSource>
  <cacheFields count="6">
    <cacheField name="Categoria" numFmtId="0">
      <sharedItems count="8">
        <s v="USD"/>
        <s v="FCI Acciones A"/>
        <s v="Cedears Google"/>
        <s v="Cedears Apple"/>
        <s v="Cedears Coca"/>
        <s v="FCI Capital Ahorro"/>
        <s v="FCI Dólar Linked"/>
        <s v="FCI Money Market"/>
      </sharedItems>
    </cacheField>
    <cacheField name="Fecha " numFmtId="14">
      <sharedItems containsSemiMixedTypes="0" containsNonDate="0" containsDate="1" containsString="0" minDate="2023-12-06T00:00:00" maxDate="2024-03-08T00:00:00"/>
    </cacheField>
    <cacheField name="Monto moneda Original" numFmtId="0">
      <sharedItems containsSemiMixedTypes="0" containsString="0" containsNumber="1" minValue="-660" maxValue="50000"/>
    </cacheField>
    <cacheField name="Monto USD" numFmtId="0">
      <sharedItems containsSemiMixedTypes="0" containsString="0" containsNumber="1" minValue="-0.66" maxValue="2776.36"/>
    </cacheField>
    <cacheField name="Comentario" numFmtId="0">
      <sharedItems/>
    </cacheField>
    <cacheField name="Plaz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ton Diaz Roznickas" refreshedDate="45363.352237268518" createdVersion="8" refreshedVersion="8" minRefreshableVersion="3" recordCount="63" xr:uid="{D14C78A0-3D5D-4C7F-B408-4EDA21CE2569}">
  <cacheSource type="worksheet">
    <worksheetSource name="GastosRealizados"/>
  </cacheSource>
  <cacheFields count="6">
    <cacheField name="Categoria" numFmtId="0">
      <sharedItems containsBlank="1" count="29">
        <s v="Luz"/>
        <s v="Tarjeta de Credito"/>
        <s v="Internet"/>
        <s v="Celular"/>
        <s v="Mercaderia"/>
        <s v="Transporte"/>
        <s v="Alquiler"/>
        <s v="Delivery"/>
        <s v="Salidas"/>
        <s v="Expensas"/>
        <s v="Muebles Gasto"/>
        <m/>
        <s v="Mueble Gasto" u="1"/>
        <s v="Tarjeta Visa" u="1"/>
        <s v="Balanza FCI gasto" u="1"/>
        <s v="Bermuda gasto" u="1"/>
        <s v="Tarjeta Visa USD" u="1"/>
        <s v="Tarjeta Mastercard" u="1"/>
        <s v="Vacaciones Mati Mastercard" u="1"/>
        <s v="Zapatillas gasto" u="1"/>
        <s v="Casa gasto" u="1"/>
        <s v="Comida Afuera" u="1"/>
        <s v="Casa" u="1"/>
        <s v="Vacaciones Mati Efectivo" u="1"/>
        <s v="Compra USD" u="1"/>
        <s v="Cuidado Personal" u="1"/>
        <s v="Vacaciones Mati Visa" u="1"/>
        <s v="Balanza FCI" u="1"/>
        <s v="Mudanza USD" u="1"/>
      </sharedItems>
    </cacheField>
    <cacheField name="Fecha " numFmtId="14">
      <sharedItems containsNonDate="0" containsDate="1" containsString="0" containsBlank="1" minDate="2024-02-28T00:00:00" maxDate="2024-04-05T00:00:00"/>
    </cacheField>
    <cacheField name="Monto" numFmtId="43">
      <sharedItems containsString="0" containsBlank="1" containsNumber="1" minValue="-200000" maxValue="-1220"/>
    </cacheField>
    <cacheField name="Descripcion" numFmtId="0">
      <sharedItems containsBlank="1"/>
    </cacheField>
    <cacheField name="Tipo de Gasto" numFmtId="0">
      <sharedItems containsBlank="1" count="8">
        <s v="Gastos Fijos"/>
        <s v="Gastos Variables"/>
        <s v="Gastos Ahorros"/>
        <m/>
        <e v="#N/A" u="1"/>
        <s v="Gastos Ahorro" u="1"/>
        <s v="Inversion" u="1"/>
        <s v="Ingreso Ahorro" u="1"/>
      </sharedItems>
    </cacheField>
    <cacheField name="Forma de Pag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ton Diaz Roznickas" refreshedDate="45363.352237268518" createdVersion="8" refreshedVersion="8" minRefreshableVersion="3" recordCount="10" xr:uid="{1533407E-0FB2-48EB-8367-F6BA1A200F49}">
  <cacheSource type="worksheet">
    <worksheetSource ref="A1:C22" sheet="Raw Data Ingresos Usados"/>
  </cacheSource>
  <cacheFields count="3">
    <cacheField name="Categoria" numFmtId="0">
      <sharedItems containsBlank="1" count="28">
        <s v="Sueldo"/>
        <s v="Sueldo USD"/>
        <s v="Aguinaldo"/>
        <s v="Aguinaldo USD"/>
        <s v="Reintegro Servicios"/>
        <s v="Prestamo"/>
        <s v="Mudanza "/>
        <s v="Muebles"/>
        <s v="Vacaciones "/>
        <m/>
        <s v="Conectividad " u="1"/>
        <s v="Pedido Ya" u="1"/>
        <s v="Nubiz" u="1"/>
        <s v="Nubiz Remanente" u="1"/>
        <s v="Bono" u="1"/>
        <s v="Bono USD" u="1"/>
        <s v="Tarjeta Mati" u="1"/>
        <s v="Sueldo aumento Ajuste" u="1"/>
        <s v="Sueldo aumento Ajuste USD" u="1"/>
        <s v="Vacaciones Mati USD" u="1"/>
        <s v="Mudanza USD" u="1"/>
        <s v="Balanza" u="1"/>
        <s v="Zapatillas" u="1"/>
        <s v="Sobrante Sueldo" u="1"/>
        <s v="Sobrante Pedido Ya" u="1"/>
        <s v="Bermuda" u="1"/>
        <s v="Tarjeta Credito" u="1"/>
        <s v="Entradas Ross Lycnh" u="1"/>
      </sharedItems>
    </cacheField>
    <cacheField name="Monto" numFmtId="0">
      <sharedItems containsString="0" containsBlank="1" containsNumber="1" minValue="0" maxValue="421221.15333333326"/>
    </cacheField>
    <cacheField name="Tipo de ingresos" numFmtId="0">
      <sharedItems containsBlank="1" count="5">
        <s v="Ingreso Recurrente"/>
        <s v="Ahorros"/>
        <m/>
        <e v="#N/A" u="1"/>
        <s v="Ingreso Ahorr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ton Diaz Roznickas" refreshedDate="45363.352237384257" createdVersion="8" refreshedVersion="8" minRefreshableVersion="3" recordCount="141" xr:uid="{934C4CBF-F99B-4E44-B2C3-5A9A9A49955C}">
  <cacheSource type="worksheet">
    <worksheetSource name="BalanceProyectado"/>
  </cacheSource>
  <cacheFields count="6">
    <cacheField name="Categoria " numFmtId="0">
      <sharedItems containsBlank="1" count="64">
        <s v="Sueldo"/>
        <s v="Sueldo USD"/>
        <s v="Reintegro Servicios"/>
        <s v="Aguinaldo"/>
        <s v="Aguinaldo USD"/>
        <s v="Prestamo"/>
        <s v="Mudanza "/>
        <s v="Luz"/>
        <s v="Internet"/>
        <s v="Celular"/>
        <s v="Gas"/>
        <s v="Alquiler"/>
        <s v="Expensas"/>
        <s v="Tarjeta de Credito"/>
        <s v="Mercaderia"/>
        <s v="Salidas"/>
        <s v="Transporte"/>
        <s v="Delivery"/>
        <s v="Regalo"/>
        <s v="Compra USD"/>
        <s v="Vacaciones Gasto"/>
        <s v="Mudanza Gasto"/>
        <s v="Muebles"/>
        <s v="Muebles Gasto"/>
        <s v="Vacaciones "/>
        <s v="Vacaciones" u="1"/>
        <s v="Conectividad " u="1"/>
        <s v="Vacaciones Mati Mastercard" u="1"/>
        <s v="Casa gasto" u="1"/>
        <m u="1"/>
        <s v="Pedido Ya" u="1"/>
        <s v="Nubiz" u="1"/>
        <s v="Nubiz Remanente" u="1"/>
        <s v="Bono" u="1"/>
        <s v="Bono USD" u="1"/>
        <s v="Tarjeta Mati" u="1"/>
        <s v="Sueldo aumento Ajuste" u="1"/>
        <s v="Sueldo aumento Ajuste USD" u="1"/>
        <s v="Sobrante Sueldo" u="1"/>
        <s v="Sobrante Pedido Ya" u="1"/>
        <s v="Vacaciones Mati USD" u="1"/>
        <s v="Mudanza USD" u="1"/>
        <s v="Balanza" u="1"/>
        <s v="Zapatillas" u="1"/>
        <s v="Bermuda" u="1"/>
        <s v="Tarjeta Credito" u="1"/>
        <s v="Entradas Ross Lycnh" u="1"/>
        <s v="Tarjeta Credito Visa" u="1"/>
        <s v="Cortinas Roller" u="1"/>
        <s v="Set de Baño" u="1"/>
        <s v="Tarjeta Visa" u="1"/>
        <s v="Tarjeta Visa USD" u="1"/>
        <s v="Tarjeta Mastercard" u="1"/>
        <s v="Comida Afuera" u="1"/>
        <s v="Cuidado Personal" u="1"/>
        <s v="Vacaciones Mati Visa" u="1"/>
        <s v="Vacaciones Mati Efectivo" u="1"/>
        <s v="Balanza FCI gasto" u="1"/>
        <s v="Zapatillas gasto" u="1"/>
        <s v="Bermuda gasto" u="1"/>
        <s v="Entradas Ross Lycnh gasto" u="1"/>
        <s v="Tarjeta de credito Visa gasto" u="1"/>
        <s v="Cortinas Roller Gasto" u="1"/>
        <s v="Set de Baño gasto" u="1"/>
      </sharedItems>
    </cacheField>
    <cacheField name="Monto " numFmtId="0">
      <sharedItems containsString="0" containsBlank="1" containsNumber="1" minValue="-803288.18" maxValue="803288.18"/>
    </cacheField>
    <cacheField name="Mes" numFmtId="0">
      <sharedItems containsBlank="1" count="7">
        <s v="Febrero"/>
        <s v="Marzo"/>
        <s v="Abril"/>
        <s v="Mayo"/>
        <s v="Junio"/>
        <s v="Julio"/>
        <m u="1"/>
      </sharedItems>
    </cacheField>
    <cacheField name="Numero de Mes" numFmtId="0">
      <sharedItems containsSemiMixedTypes="0" containsString="0" containsNumber="1" containsInteger="1" minValue="2" maxValue="7"/>
    </cacheField>
    <cacheField name="Tipo de Ingreso/Gasto" numFmtId="0">
      <sharedItems count="6">
        <s v="Ingreso Recurrente"/>
        <s v="Ahorros"/>
        <s v="Gastos Fijos"/>
        <s v="Gastos Variables"/>
        <s v="Inversion"/>
        <s v="Gastos Ahorros"/>
      </sharedItems>
    </cacheField>
    <cacheField name="Tipo de Categoria" numFmtId="0">
      <sharedItems containsBlank="1" count="10">
        <s v="Ingreso"/>
        <s v="Egrersos"/>
        <s v="Ingreso Recurrente" u="1"/>
        <s v="Ahorros" u="1"/>
        <s v="Gastos Fijos" u="1"/>
        <s v="Gastos Variables" u="1"/>
        <s v="Inversion" u="1"/>
        <s v="Gastos Ahorros" u="1"/>
        <m u="1"/>
        <s v="Ingreso Ahorro" u="1"/>
      </sharedItems>
    </cacheField>
  </cacheFields>
  <extLst>
    <ext xmlns:x14="http://schemas.microsoft.com/office/spreadsheetml/2009/9/main" uri="{725AE2AE-9491-48be-B2B4-4EB974FC3084}">
      <x14:pivotCacheDefinition pivotCacheId="19956281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4-03-01T00:00:00"/>
    <n v="-100"/>
    <n v="-100"/>
    <s v="Vacaciones Mati"/>
    <s v="Tarjeta Mastercard"/>
  </r>
  <r>
    <x v="0"/>
    <d v="2024-02-28T00:00:00"/>
    <n v="-2.2400000000000002"/>
    <n v="-2.2400000000000002"/>
    <s v="Tarjeta"/>
    <s v="Tarjeta Visa"/>
  </r>
  <r>
    <x v="0"/>
    <d v="2024-02-21T00:00:00"/>
    <n v="-100"/>
    <n v="-100"/>
    <s v="Mudanza"/>
    <s v="Flete"/>
  </r>
  <r>
    <x v="0"/>
    <d v="2024-02-19T00:00:00"/>
    <n v="-300"/>
    <n v="-300"/>
    <s v="Mudanza"/>
    <s v="Pago final + Limpieza Dpto+Flete"/>
  </r>
  <r>
    <x v="0"/>
    <d v="2024-02-19T00:00:00"/>
    <n v="-199910.39"/>
    <n v="-190.39084761904763"/>
    <s v="Vacaciones Mati"/>
    <s v="Vacaciones Mati (Efectivo)"/>
  </r>
  <r>
    <x v="0"/>
    <d v="2024-02-01T00:00:00"/>
    <n v="-418.26"/>
    <n v="-418.26"/>
    <s v="Mudanza"/>
    <s v="Mudanza Seña + Compra USD+ Pago Parcial"/>
  </r>
  <r>
    <x v="0"/>
    <d v="2024-01-31T00:00:00"/>
    <n v="-4.99"/>
    <n v="-4.99"/>
    <s v="Tarjeta"/>
    <s v="Tarjeta Visa"/>
  </r>
  <r>
    <x v="0"/>
    <d v="2024-01-27T00:00:00"/>
    <n v="-100"/>
    <n v="-100"/>
    <s v="Mudanza"/>
    <s v="Mudanza"/>
  </r>
  <r>
    <x v="0"/>
    <d v="2024-01-08T00:00:00"/>
    <n v="-60"/>
    <n v="-60"/>
    <m/>
    <s v="Remanente venta MEP (Reinvertido)"/>
  </r>
  <r>
    <x v="0"/>
    <d v="2024-01-08T00:00:00"/>
    <n v="-40"/>
    <n v="-40"/>
    <s v="Vacaciones Mati"/>
    <s v="Vuelo Cordoba + Las Toninas"/>
  </r>
  <r>
    <x v="1"/>
    <d v="2024-01-04T00:00:00"/>
    <n v="-26771"/>
    <n v="-23.279130434782608"/>
    <s v="Tarjeta"/>
    <s v="Tarjeta Mastercard"/>
  </r>
  <r>
    <x v="2"/>
    <d v="2024-01-03T00:00:00"/>
    <n v="-30849"/>
    <n v="-26.825217391304349"/>
    <s v="Tarjeta"/>
    <s v="Tarjeta Mastercard"/>
  </r>
  <r>
    <x v="0"/>
    <d v="2023-12-28T00:00:00"/>
    <n v="-100"/>
    <n v="-100"/>
    <s v="Tarjeta"/>
    <s v="Tarjeta Visa"/>
  </r>
  <r>
    <x v="0"/>
    <d v="2023-12-27T00:00:00"/>
    <n v="-4.99"/>
    <n v="-4.99"/>
    <s v="Tarjeta"/>
    <s v="Tarjeta Visa"/>
  </r>
  <r>
    <x v="0"/>
    <d v="2023-12-27T00:00:00"/>
    <n v="-200"/>
    <n v="-200"/>
    <s v="Tarjeta"/>
    <s v="Tarjeta Vis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d v="2024-03-07T00:00:00"/>
    <n v="28.42"/>
    <n v="28.42"/>
    <s v="Ajuste Sueldo"/>
    <m/>
  </r>
  <r>
    <x v="0"/>
    <d v="2024-02-28T00:00:00"/>
    <n v="202"/>
    <n v="202"/>
    <s v="Sueldo"/>
    <m/>
  </r>
  <r>
    <x v="0"/>
    <d v="2024-02-19T00:00:00"/>
    <n v="100"/>
    <n v="100"/>
    <s v="Compra Mati"/>
    <m/>
  </r>
  <r>
    <x v="0"/>
    <d v="2024-02-09T00:00:00"/>
    <n v="21.52"/>
    <n v="21.52"/>
    <s v="Sueldo"/>
    <s v="Todos"/>
  </r>
  <r>
    <x v="1"/>
    <d v="2024-03-07T00:00:00"/>
    <n v="3701"/>
    <n v="3.7010000000000001"/>
    <s v="Intereses"/>
    <m/>
  </r>
  <r>
    <x v="2"/>
    <d v="2024-03-07T00:00:00"/>
    <n v="2870"/>
    <n v="2.87"/>
    <s v="Intereses"/>
    <m/>
  </r>
  <r>
    <x v="3"/>
    <d v="2024-03-07T00:00:00"/>
    <n v="1248"/>
    <n v="1.248"/>
    <s v="Intereses"/>
    <m/>
  </r>
  <r>
    <x v="4"/>
    <d v="2024-03-07T00:00:00"/>
    <n v="2494"/>
    <n v="2.4940000000000002"/>
    <s v="Intereses"/>
    <m/>
  </r>
  <r>
    <x v="5"/>
    <d v="2024-03-07T00:00:00"/>
    <n v="3039"/>
    <n v="3.0390000000000001"/>
    <s v="Intereses"/>
    <m/>
  </r>
  <r>
    <x v="6"/>
    <d v="2024-03-07T00:00:00"/>
    <n v="-660"/>
    <n v="-0.66"/>
    <s v="Intereses"/>
    <m/>
  </r>
  <r>
    <x v="0"/>
    <d v="2024-01-30T00:00:00"/>
    <n v="159.11000000000001"/>
    <n v="159.11000000000001"/>
    <s v="Sueldo"/>
    <s v="Todos"/>
  </r>
  <r>
    <x v="0"/>
    <d v="2024-01-25T00:00:00"/>
    <n v="200"/>
    <n v="200"/>
    <s v="Regalo vieja"/>
    <s v="Todos"/>
  </r>
  <r>
    <x v="5"/>
    <d v="2024-01-08T00:00:00"/>
    <n v="19143"/>
    <n v="19.143000000000001"/>
    <s v="Inversion Inicial"/>
    <m/>
  </r>
  <r>
    <x v="6"/>
    <d v="2024-01-08T00:00:00"/>
    <n v="50000"/>
    <n v="50"/>
    <s v="Inversion Inicial"/>
    <m/>
  </r>
  <r>
    <x v="5"/>
    <d v="2024-01-04T00:00:00"/>
    <n v="1593.3096924794991"/>
    <n v="1.3854866891126079"/>
    <s v="Intereses (Antes de liquidar)"/>
    <m/>
  </r>
  <r>
    <x v="7"/>
    <d v="2024-01-03T00:00:00"/>
    <n v="849.90000000000146"/>
    <n v="0.84990000000000143"/>
    <s v="Intereses"/>
    <m/>
  </r>
  <r>
    <x v="5"/>
    <d v="2023-12-22T00:00:00"/>
    <n v="30000"/>
    <n v="30"/>
    <s v="Inversion Inicial"/>
    <m/>
  </r>
  <r>
    <x v="7"/>
    <d v="2023-12-22T00:00:00"/>
    <n v="30000"/>
    <n v="30"/>
    <s v="Inversion Inicial"/>
    <m/>
  </r>
  <r>
    <x v="0"/>
    <d v="2023-12-18T00:00:00"/>
    <n v="214.82"/>
    <n v="214.82"/>
    <s v="Sueldo"/>
    <s v="Todos"/>
  </r>
  <r>
    <x v="0"/>
    <d v="2023-12-06T00:00:00"/>
    <n v="277.70999999999998"/>
    <n v="277.70999999999998"/>
    <s v="Sueldo"/>
    <s v="Todos"/>
  </r>
  <r>
    <x v="0"/>
    <d v="2023-12-06T00:00:00"/>
    <n v="2776.36"/>
    <n v="2776.36"/>
    <s v="USD previos"/>
    <s v="Todos"/>
  </r>
  <r>
    <x v="1"/>
    <d v="2023-12-06T00:00:00"/>
    <n v="15000"/>
    <n v="15"/>
    <s v="Inversion Inicial"/>
    <m/>
  </r>
  <r>
    <x v="2"/>
    <d v="2023-12-06T00:00:00"/>
    <n v="13776"/>
    <n v="13.776"/>
    <s v="Inversion Inicial"/>
    <m/>
  </r>
  <r>
    <x v="3"/>
    <d v="2023-12-06T00:00:00"/>
    <n v="16000"/>
    <n v="16"/>
    <s v="Inversion Inicial"/>
    <m/>
  </r>
  <r>
    <x v="4"/>
    <d v="2023-12-06T00:00:00"/>
    <n v="9741"/>
    <n v="9.7409999999999997"/>
    <s v="Inversion Inicial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d v="2024-02-28T00:00:00"/>
    <n v="-2049.38"/>
    <s v="Enero "/>
    <x v="0"/>
    <s v="Sueldo"/>
  </r>
  <r>
    <x v="1"/>
    <d v="2024-02-28T00:00:00"/>
    <n v="-113648.37333333331"/>
    <s v="Resumen Febrero"/>
    <x v="1"/>
    <s v="Sueldo"/>
  </r>
  <r>
    <x v="2"/>
    <d v="2024-02-28T00:00:00"/>
    <n v="-12370.49"/>
    <s v="Enero "/>
    <x v="0"/>
    <s v="Sueldo"/>
  </r>
  <r>
    <x v="3"/>
    <d v="2024-02-28T00:00:00"/>
    <n v="-10335"/>
    <s v="Enero "/>
    <x v="0"/>
    <s v="Sueldo"/>
  </r>
  <r>
    <x v="4"/>
    <d v="2024-02-29T00:00:00"/>
    <n v="-6230"/>
    <s v="Pedido Ya Market Efectivo"/>
    <x v="1"/>
    <s v="Sueldo"/>
  </r>
  <r>
    <x v="5"/>
    <d v="2024-02-29T00:00:00"/>
    <n v="-5000"/>
    <s v="Carga Sube"/>
    <x v="1"/>
    <s v="Sueldo"/>
  </r>
  <r>
    <x v="6"/>
    <d v="2024-03-01T00:00:00"/>
    <n v="-200000"/>
    <s v="Alquiler Marzo"/>
    <x v="0"/>
    <s v="Sueldo"/>
  </r>
  <r>
    <x v="7"/>
    <d v="2024-03-01T00:00:00"/>
    <n v="-6600"/>
    <s v="Pedido Ya"/>
    <x v="1"/>
    <s v="Sueldo"/>
  </r>
  <r>
    <x v="8"/>
    <d v="2024-03-01T00:00:00"/>
    <n v="-1220"/>
    <s v="Verduleria (Comida casa Mati)"/>
    <x v="1"/>
    <s v="Sueldo"/>
  </r>
  <r>
    <x v="8"/>
    <d v="2024-03-01T00:00:00"/>
    <n v="-4543"/>
    <s v="Carniceria (Comida casa Mati)"/>
    <x v="1"/>
    <s v="Sueldo"/>
  </r>
  <r>
    <x v="8"/>
    <d v="2024-03-01T00:00:00"/>
    <n v="-4700"/>
    <s v="Chino (Comida casa Mati)"/>
    <x v="1"/>
    <s v="Sueldo"/>
  </r>
  <r>
    <x v="4"/>
    <d v="2024-03-01T00:00:00"/>
    <n v="-20000"/>
    <s v="Carrefour (Parte en debito)"/>
    <x v="1"/>
    <s v="Sueldo"/>
  </r>
  <r>
    <x v="4"/>
    <d v="2024-03-02T00:00:00"/>
    <n v="-10490.41"/>
    <s v="Coto"/>
    <x v="1"/>
    <s v="Sueldo"/>
  </r>
  <r>
    <x v="8"/>
    <d v="2024-03-02T00:00:00"/>
    <n v="-1867.5"/>
    <s v="Merienda Mati"/>
    <x v="1"/>
    <s v="Sueldo"/>
  </r>
  <r>
    <x v="4"/>
    <d v="2024-03-02T00:00:00"/>
    <n v="-2790"/>
    <s v="Mercaderia Mati"/>
    <x v="1"/>
    <s v="Sueldo"/>
  </r>
  <r>
    <x v="4"/>
    <d v="2024-03-03T00:00:00"/>
    <n v="-7360"/>
    <s v="Carniceria"/>
    <x v="1"/>
    <s v="Sueldo"/>
  </r>
  <r>
    <x v="4"/>
    <d v="2024-03-03T00:00:00"/>
    <n v="-8517"/>
    <s v="Verduleria"/>
    <x v="1"/>
    <s v="Sueldo"/>
  </r>
  <r>
    <x v="4"/>
    <d v="2024-03-04T00:00:00"/>
    <n v="-3500"/>
    <s v="Fiambreria"/>
    <x v="1"/>
    <s v="Sueldo"/>
  </r>
  <r>
    <x v="4"/>
    <d v="2024-03-04T00:00:00"/>
    <n v="-3000"/>
    <s v="Dietetica"/>
    <x v="1"/>
    <s v="Reintegro Servicios"/>
  </r>
  <r>
    <x v="9"/>
    <d v="2024-03-05T00:00:00"/>
    <n v="-12000"/>
    <s v="Marzo"/>
    <x v="0"/>
    <s v="Sueldo USD"/>
  </r>
  <r>
    <x v="8"/>
    <d v="2024-03-06T00:00:00"/>
    <n v="-6900"/>
    <s v="Entradas Cine"/>
    <x v="1"/>
    <s v="Sueldo USD"/>
  </r>
  <r>
    <x v="4"/>
    <d v="2024-03-07T00:00:00"/>
    <n v="-2930"/>
    <s v="Verduleria"/>
    <x v="1"/>
    <s v="Sueldo USD"/>
  </r>
  <r>
    <x v="10"/>
    <d v="2024-03-07T00:00:00"/>
    <n v="-80000"/>
    <s v="Muebles"/>
    <x v="2"/>
    <s v="Muebles"/>
  </r>
  <r>
    <x v="4"/>
    <d v="2024-03-09T00:00:00"/>
    <n v="-6235"/>
    <s v="Coto"/>
    <x v="1"/>
    <s v="Sueldo USD"/>
  </r>
  <r>
    <x v="8"/>
    <d v="2024-03-09T00:00:00"/>
    <n v="-3000"/>
    <s v="Panaderia"/>
    <x v="1"/>
    <s v="Sueldo USD"/>
  </r>
  <r>
    <x v="8"/>
    <d v="2024-03-09T00:00:00"/>
    <n v="-6127"/>
    <s v="Vino"/>
    <x v="1"/>
    <s v="Sueldo USD"/>
  </r>
  <r>
    <x v="8"/>
    <d v="2024-03-09T00:00:00"/>
    <n v="-8029"/>
    <s v="Helado"/>
    <x v="1"/>
    <s v="Sueldo USD"/>
  </r>
  <r>
    <x v="4"/>
    <d v="2024-04-04T00:00:00"/>
    <n v="-6127"/>
    <s v="Pedido Ya Market"/>
    <x v="1"/>
    <s v="Sueldo USD"/>
  </r>
  <r>
    <x v="7"/>
    <d v="2024-03-10T00:00:00"/>
    <n v="-11476.5"/>
    <s v="Tucson"/>
    <x v="1"/>
    <s v="Sueldo USD"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  <r>
    <x v="11"/>
    <m/>
    <m/>
    <m/>
    <x v="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21221.15333333326"/>
    <x v="0"/>
  </r>
  <r>
    <x v="1"/>
    <n v="62824.5"/>
    <x v="0"/>
  </r>
  <r>
    <x v="2"/>
    <n v="0"/>
    <x v="0"/>
  </r>
  <r>
    <x v="3"/>
    <n v="0"/>
    <x v="0"/>
  </r>
  <r>
    <x v="4"/>
    <n v="3000"/>
    <x v="0"/>
  </r>
  <r>
    <x v="5"/>
    <n v="0"/>
    <x v="0"/>
  </r>
  <r>
    <x v="6"/>
    <n v="0"/>
    <x v="1"/>
  </r>
  <r>
    <x v="7"/>
    <n v="80000"/>
    <x v="1"/>
  </r>
  <r>
    <x v="8"/>
    <n v="0"/>
    <x v="1"/>
  </r>
  <r>
    <x v="9"/>
    <m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401684.66"/>
    <x v="0"/>
    <n v="2"/>
    <x v="0"/>
    <x v="0"/>
  </r>
  <r>
    <x v="1"/>
    <n v="190932.00000000003"/>
    <x v="0"/>
    <n v="2"/>
    <x v="0"/>
    <x v="0"/>
  </r>
  <r>
    <x v="2"/>
    <n v="12000"/>
    <x v="0"/>
    <n v="2"/>
    <x v="0"/>
    <x v="0"/>
  </r>
  <r>
    <x v="3"/>
    <n v="0"/>
    <x v="0"/>
    <n v="2"/>
    <x v="0"/>
    <x v="0"/>
  </r>
  <r>
    <x v="4"/>
    <n v="0"/>
    <x v="0"/>
    <n v="2"/>
    <x v="0"/>
    <x v="0"/>
  </r>
  <r>
    <x v="5"/>
    <n v="0"/>
    <x v="0"/>
    <n v="2"/>
    <x v="0"/>
    <x v="0"/>
  </r>
  <r>
    <x v="6"/>
    <n v="803288.18"/>
    <x v="0"/>
    <n v="2"/>
    <x v="1"/>
    <x v="0"/>
  </r>
  <r>
    <x v="7"/>
    <n v="-2105"/>
    <x v="0"/>
    <n v="2"/>
    <x v="2"/>
    <x v="1"/>
  </r>
  <r>
    <x v="8"/>
    <n v="-10039.9"/>
    <x v="0"/>
    <n v="2"/>
    <x v="2"/>
    <x v="1"/>
  </r>
  <r>
    <x v="9"/>
    <n v="-6800"/>
    <x v="0"/>
    <n v="2"/>
    <x v="2"/>
    <x v="1"/>
  </r>
  <r>
    <x v="10"/>
    <n v="0"/>
    <x v="0"/>
    <n v="2"/>
    <x v="2"/>
    <x v="1"/>
  </r>
  <r>
    <x v="11"/>
    <n v="0"/>
    <x v="0"/>
    <n v="2"/>
    <x v="2"/>
    <x v="1"/>
  </r>
  <r>
    <x v="12"/>
    <n v="0"/>
    <x v="0"/>
    <n v="2"/>
    <x v="2"/>
    <x v="1"/>
  </r>
  <r>
    <x v="13"/>
    <n v="-189188.17"/>
    <x v="0"/>
    <n v="2"/>
    <x v="3"/>
    <x v="1"/>
  </r>
  <r>
    <x v="14"/>
    <n v="-70716"/>
    <x v="0"/>
    <n v="2"/>
    <x v="3"/>
    <x v="1"/>
  </r>
  <r>
    <x v="15"/>
    <n v="-102130"/>
    <x v="0"/>
    <n v="2"/>
    <x v="3"/>
    <x v="1"/>
  </r>
  <r>
    <x v="16"/>
    <n v="-14090"/>
    <x v="0"/>
    <n v="2"/>
    <x v="3"/>
    <x v="1"/>
  </r>
  <r>
    <x v="17"/>
    <n v="-43808"/>
    <x v="0"/>
    <n v="2"/>
    <x v="3"/>
    <x v="1"/>
  </r>
  <r>
    <x v="18"/>
    <n v="0"/>
    <x v="0"/>
    <n v="2"/>
    <x v="3"/>
    <x v="1"/>
  </r>
  <r>
    <x v="19"/>
    <n v="-105841"/>
    <x v="0"/>
    <n v="2"/>
    <x v="4"/>
    <x v="1"/>
  </r>
  <r>
    <x v="20"/>
    <m/>
    <x v="0"/>
    <n v="2"/>
    <x v="5"/>
    <x v="1"/>
  </r>
  <r>
    <x v="21"/>
    <n v="-803288.18"/>
    <x v="0"/>
    <n v="2"/>
    <x v="5"/>
    <x v="1"/>
  </r>
  <r>
    <x v="0"/>
    <n v="421690"/>
    <x v="1"/>
    <n v="3"/>
    <x v="0"/>
    <x v="0"/>
  </r>
  <r>
    <x v="1"/>
    <n v="162000"/>
    <x v="1"/>
    <n v="3"/>
    <x v="0"/>
    <x v="0"/>
  </r>
  <r>
    <x v="2"/>
    <n v="17000"/>
    <x v="1"/>
    <n v="3"/>
    <x v="0"/>
    <x v="0"/>
  </r>
  <r>
    <x v="3"/>
    <n v="0"/>
    <x v="1"/>
    <n v="3"/>
    <x v="0"/>
    <x v="0"/>
  </r>
  <r>
    <x v="4"/>
    <n v="0"/>
    <x v="1"/>
    <n v="3"/>
    <x v="0"/>
    <x v="0"/>
  </r>
  <r>
    <x v="5"/>
    <n v="30000"/>
    <x v="1"/>
    <n v="3"/>
    <x v="0"/>
    <x v="0"/>
  </r>
  <r>
    <x v="6"/>
    <n v="0"/>
    <x v="1"/>
    <n v="3"/>
    <x v="1"/>
    <x v="0"/>
  </r>
  <r>
    <x v="22"/>
    <n v="80000"/>
    <x v="1"/>
    <n v="3"/>
    <x v="1"/>
    <x v="0"/>
  </r>
  <r>
    <x v="7"/>
    <n v="-2049.38"/>
    <x v="1"/>
    <n v="3"/>
    <x v="2"/>
    <x v="1"/>
  </r>
  <r>
    <x v="8"/>
    <n v="-12370.49"/>
    <x v="1"/>
    <n v="3"/>
    <x v="2"/>
    <x v="1"/>
  </r>
  <r>
    <x v="9"/>
    <n v="-10335"/>
    <x v="1"/>
    <n v="3"/>
    <x v="2"/>
    <x v="1"/>
  </r>
  <r>
    <x v="10"/>
    <n v="0"/>
    <x v="1"/>
    <n v="3"/>
    <x v="2"/>
    <x v="1"/>
  </r>
  <r>
    <x v="11"/>
    <n v="-200000"/>
    <x v="1"/>
    <n v="3"/>
    <x v="2"/>
    <x v="1"/>
  </r>
  <r>
    <x v="12"/>
    <n v="-12000"/>
    <x v="1"/>
    <n v="3"/>
    <x v="2"/>
    <x v="1"/>
  </r>
  <r>
    <x v="13"/>
    <n v="-113648.37333333331"/>
    <x v="1"/>
    <n v="3"/>
    <x v="3"/>
    <x v="1"/>
  </r>
  <r>
    <x v="14"/>
    <n v="-82600"/>
    <x v="1"/>
    <n v="3"/>
    <x v="3"/>
    <x v="1"/>
  </r>
  <r>
    <x v="15"/>
    <n v="-82600"/>
    <x v="1"/>
    <n v="3"/>
    <x v="3"/>
    <x v="1"/>
  </r>
  <r>
    <x v="16"/>
    <n v="-41300"/>
    <x v="1"/>
    <n v="3"/>
    <x v="3"/>
    <x v="1"/>
  </r>
  <r>
    <x v="17"/>
    <n v="-35400"/>
    <x v="1"/>
    <n v="3"/>
    <x v="3"/>
    <x v="1"/>
  </r>
  <r>
    <x v="18"/>
    <n v="0"/>
    <x v="1"/>
    <n v="3"/>
    <x v="3"/>
    <x v="1"/>
  </r>
  <r>
    <x v="19"/>
    <n v="0"/>
    <x v="1"/>
    <n v="3"/>
    <x v="4"/>
    <x v="1"/>
  </r>
  <r>
    <x v="20"/>
    <m/>
    <x v="1"/>
    <n v="3"/>
    <x v="5"/>
    <x v="1"/>
  </r>
  <r>
    <x v="23"/>
    <n v="-80000"/>
    <x v="1"/>
    <n v="3"/>
    <x v="5"/>
    <x v="1"/>
  </r>
  <r>
    <x v="0"/>
    <n v="450000"/>
    <x v="2"/>
    <n v="4"/>
    <x v="0"/>
    <x v="0"/>
  </r>
  <r>
    <x v="1"/>
    <n v="130000"/>
    <x v="2"/>
    <n v="4"/>
    <x v="0"/>
    <x v="0"/>
  </r>
  <r>
    <x v="2"/>
    <n v="17000"/>
    <x v="2"/>
    <n v="4"/>
    <x v="0"/>
    <x v="0"/>
  </r>
  <r>
    <x v="3"/>
    <n v="0"/>
    <x v="2"/>
    <n v="4"/>
    <x v="0"/>
    <x v="0"/>
  </r>
  <r>
    <x v="4"/>
    <n v="0"/>
    <x v="2"/>
    <n v="4"/>
    <x v="0"/>
    <x v="0"/>
  </r>
  <r>
    <x v="5"/>
    <n v="30000"/>
    <x v="2"/>
    <n v="4"/>
    <x v="0"/>
    <x v="0"/>
  </r>
  <r>
    <x v="24"/>
    <n v="90000"/>
    <x v="2"/>
    <n v="4"/>
    <x v="1"/>
    <x v="0"/>
  </r>
  <r>
    <x v="6"/>
    <n v="0"/>
    <x v="2"/>
    <n v="4"/>
    <x v="1"/>
    <x v="0"/>
  </r>
  <r>
    <x v="22"/>
    <n v="80000"/>
    <x v="2"/>
    <n v="4"/>
    <x v="1"/>
    <x v="0"/>
  </r>
  <r>
    <x v="7"/>
    <n v="-6000"/>
    <x v="2"/>
    <n v="4"/>
    <x v="2"/>
    <x v="1"/>
  </r>
  <r>
    <x v="8"/>
    <n v="-14139.470069999999"/>
    <x v="2"/>
    <n v="4"/>
    <x v="2"/>
    <x v="1"/>
  </r>
  <r>
    <x v="9"/>
    <n v="-11812.905000000001"/>
    <x v="2"/>
    <n v="4"/>
    <x v="2"/>
    <x v="1"/>
  </r>
  <r>
    <x v="10"/>
    <n v="-2000"/>
    <x v="2"/>
    <n v="4"/>
    <x v="2"/>
    <x v="1"/>
  </r>
  <r>
    <x v="11"/>
    <n v="-200000"/>
    <x v="2"/>
    <n v="4"/>
    <x v="2"/>
    <x v="1"/>
  </r>
  <r>
    <x v="12"/>
    <n v="-12000"/>
    <x v="2"/>
    <n v="4"/>
    <x v="2"/>
    <x v="1"/>
  </r>
  <r>
    <x v="13"/>
    <n v="-52430"/>
    <x v="2"/>
    <n v="4"/>
    <x v="3"/>
    <x v="1"/>
  </r>
  <r>
    <x v="14"/>
    <n v="-94411.8"/>
    <x v="2"/>
    <n v="4"/>
    <x v="3"/>
    <x v="1"/>
  </r>
  <r>
    <x v="15"/>
    <n v="-94411.8"/>
    <x v="2"/>
    <n v="4"/>
    <x v="3"/>
    <x v="1"/>
  </r>
  <r>
    <x v="16"/>
    <n v="-47205.9"/>
    <x v="2"/>
    <n v="4"/>
    <x v="3"/>
    <x v="1"/>
  </r>
  <r>
    <x v="17"/>
    <n v="-40462.199999999997"/>
    <x v="2"/>
    <n v="4"/>
    <x v="3"/>
    <x v="1"/>
  </r>
  <r>
    <x v="18"/>
    <n v="-50000"/>
    <x v="2"/>
    <n v="4"/>
    <x v="3"/>
    <x v="1"/>
  </r>
  <r>
    <x v="19"/>
    <n v="0"/>
    <x v="2"/>
    <n v="4"/>
    <x v="4"/>
    <x v="1"/>
  </r>
  <r>
    <x v="20"/>
    <n v="-90000"/>
    <x v="2"/>
    <n v="4"/>
    <x v="5"/>
    <x v="1"/>
  </r>
  <r>
    <x v="23"/>
    <n v="-80000"/>
    <x v="2"/>
    <n v="4"/>
    <x v="5"/>
    <x v="1"/>
  </r>
  <r>
    <x v="0"/>
    <n v="450000"/>
    <x v="3"/>
    <n v="5"/>
    <x v="0"/>
    <x v="0"/>
  </r>
  <r>
    <x v="1"/>
    <n v="130000"/>
    <x v="3"/>
    <n v="5"/>
    <x v="0"/>
    <x v="0"/>
  </r>
  <r>
    <x v="2"/>
    <n v="17000"/>
    <x v="3"/>
    <n v="5"/>
    <x v="0"/>
    <x v="0"/>
  </r>
  <r>
    <x v="3"/>
    <n v="0"/>
    <x v="3"/>
    <n v="5"/>
    <x v="0"/>
    <x v="0"/>
  </r>
  <r>
    <x v="4"/>
    <n v="0"/>
    <x v="3"/>
    <n v="5"/>
    <x v="0"/>
    <x v="0"/>
  </r>
  <r>
    <x v="5"/>
    <n v="30000"/>
    <x v="3"/>
    <n v="5"/>
    <x v="0"/>
    <x v="0"/>
  </r>
  <r>
    <x v="24"/>
    <n v="300000"/>
    <x v="3"/>
    <n v="5"/>
    <x v="1"/>
    <x v="0"/>
  </r>
  <r>
    <x v="6"/>
    <n v="0"/>
    <x v="3"/>
    <n v="5"/>
    <x v="1"/>
    <x v="0"/>
  </r>
  <r>
    <x v="22"/>
    <n v="80000"/>
    <x v="3"/>
    <n v="5"/>
    <x v="1"/>
    <x v="0"/>
  </r>
  <r>
    <x v="7"/>
    <n v="-6000"/>
    <x v="3"/>
    <n v="5"/>
    <x v="2"/>
    <x v="1"/>
  </r>
  <r>
    <x v="8"/>
    <n v="-15836.206478400001"/>
    <x v="3"/>
    <n v="5"/>
    <x v="2"/>
    <x v="1"/>
  </r>
  <r>
    <x v="9"/>
    <n v="-13230.453600000003"/>
    <x v="3"/>
    <n v="5"/>
    <x v="2"/>
    <x v="1"/>
  </r>
  <r>
    <x v="10"/>
    <n v="-2000"/>
    <x v="3"/>
    <n v="5"/>
    <x v="2"/>
    <x v="1"/>
  </r>
  <r>
    <x v="11"/>
    <n v="-284200"/>
    <x v="3"/>
    <n v="5"/>
    <x v="2"/>
    <x v="1"/>
  </r>
  <r>
    <x v="12"/>
    <n v="-14525.999999999998"/>
    <x v="3"/>
    <n v="5"/>
    <x v="2"/>
    <x v="1"/>
  </r>
  <r>
    <x v="13"/>
    <n v="-16068.33"/>
    <x v="3"/>
    <n v="5"/>
    <x v="3"/>
    <x v="1"/>
  </r>
  <r>
    <x v="14"/>
    <n v="-105741.21600000001"/>
    <x v="3"/>
    <n v="5"/>
    <x v="3"/>
    <x v="1"/>
  </r>
  <r>
    <x v="15"/>
    <n v="-105741.21600000001"/>
    <x v="3"/>
    <n v="5"/>
    <x v="3"/>
    <x v="1"/>
  </r>
  <r>
    <x v="16"/>
    <n v="-52870.608000000007"/>
    <x v="3"/>
    <n v="5"/>
    <x v="3"/>
    <x v="1"/>
  </r>
  <r>
    <x v="17"/>
    <n v="-45317.664000000004"/>
    <x v="3"/>
    <n v="5"/>
    <x v="3"/>
    <x v="1"/>
  </r>
  <r>
    <x v="18"/>
    <n v="0"/>
    <x v="3"/>
    <n v="5"/>
    <x v="3"/>
    <x v="1"/>
  </r>
  <r>
    <x v="19"/>
    <n v="0"/>
    <x v="3"/>
    <n v="5"/>
    <x v="4"/>
    <x v="1"/>
  </r>
  <r>
    <x v="20"/>
    <n v="-300000"/>
    <x v="3"/>
    <n v="5"/>
    <x v="5"/>
    <x v="1"/>
  </r>
  <r>
    <x v="23"/>
    <n v="-80000"/>
    <x v="3"/>
    <n v="5"/>
    <x v="5"/>
    <x v="1"/>
  </r>
  <r>
    <x v="0"/>
    <n v="450000"/>
    <x v="4"/>
    <n v="6"/>
    <x v="0"/>
    <x v="0"/>
  </r>
  <r>
    <x v="1"/>
    <n v="130000"/>
    <x v="4"/>
    <n v="6"/>
    <x v="0"/>
    <x v="0"/>
  </r>
  <r>
    <x v="2"/>
    <n v="17000"/>
    <x v="4"/>
    <n v="6"/>
    <x v="0"/>
    <x v="0"/>
  </r>
  <r>
    <x v="3"/>
    <n v="0"/>
    <x v="4"/>
    <n v="6"/>
    <x v="0"/>
    <x v="0"/>
  </r>
  <r>
    <x v="4"/>
    <n v="0"/>
    <x v="4"/>
    <n v="6"/>
    <x v="0"/>
    <x v="0"/>
  </r>
  <r>
    <x v="5"/>
    <n v="30000"/>
    <x v="4"/>
    <n v="6"/>
    <x v="0"/>
    <x v="0"/>
  </r>
  <r>
    <x v="24"/>
    <n v="0"/>
    <x v="4"/>
    <n v="6"/>
    <x v="1"/>
    <x v="0"/>
  </r>
  <r>
    <x v="6"/>
    <n v="0"/>
    <x v="4"/>
    <n v="6"/>
    <x v="1"/>
    <x v="0"/>
  </r>
  <r>
    <x v="22"/>
    <n v="80000"/>
    <x v="4"/>
    <n v="6"/>
    <x v="1"/>
    <x v="0"/>
  </r>
  <r>
    <x v="7"/>
    <n v="-7000"/>
    <x v="4"/>
    <n v="6"/>
    <x v="2"/>
    <x v="1"/>
  </r>
  <r>
    <x v="8"/>
    <n v="-17419.827126240001"/>
    <x v="4"/>
    <n v="6"/>
    <x v="2"/>
    <x v="1"/>
  </r>
  <r>
    <x v="9"/>
    <n v="-14553.498960000004"/>
    <x v="4"/>
    <n v="6"/>
    <x v="2"/>
    <x v="1"/>
  </r>
  <r>
    <x v="10"/>
    <n v="-2000"/>
    <x v="4"/>
    <n v="6"/>
    <x v="2"/>
    <x v="1"/>
  </r>
  <r>
    <x v="11"/>
    <n v="-284200"/>
    <x v="4"/>
    <n v="6"/>
    <x v="2"/>
    <x v="1"/>
  </r>
  <r>
    <x v="12"/>
    <n v="-14525.999999999998"/>
    <x v="4"/>
    <n v="6"/>
    <x v="2"/>
    <x v="1"/>
  </r>
  <r>
    <x v="13"/>
    <n v="0"/>
    <x v="4"/>
    <n v="6"/>
    <x v="3"/>
    <x v="1"/>
  </r>
  <r>
    <x v="14"/>
    <n v="-116315.33760000003"/>
    <x v="4"/>
    <n v="6"/>
    <x v="3"/>
    <x v="1"/>
  </r>
  <r>
    <x v="15"/>
    <n v="-116315.33760000003"/>
    <x v="4"/>
    <n v="6"/>
    <x v="3"/>
    <x v="1"/>
  </r>
  <r>
    <x v="16"/>
    <n v="-58157.668800000014"/>
    <x v="4"/>
    <n v="6"/>
    <x v="3"/>
    <x v="1"/>
  </r>
  <r>
    <x v="17"/>
    <n v="-49849.430400000012"/>
    <x v="4"/>
    <n v="6"/>
    <x v="3"/>
    <x v="1"/>
  </r>
  <r>
    <x v="18"/>
    <n v="0"/>
    <x v="4"/>
    <n v="6"/>
    <x v="3"/>
    <x v="1"/>
  </r>
  <r>
    <x v="19"/>
    <n v="0"/>
    <x v="4"/>
    <n v="6"/>
    <x v="4"/>
    <x v="1"/>
  </r>
  <r>
    <x v="20"/>
    <n v="0"/>
    <x v="4"/>
    <n v="6"/>
    <x v="5"/>
    <x v="1"/>
  </r>
  <r>
    <x v="23"/>
    <n v="-80000"/>
    <x v="4"/>
    <n v="6"/>
    <x v="5"/>
    <x v="1"/>
  </r>
  <r>
    <x v="0"/>
    <n v="450000"/>
    <x v="5"/>
    <n v="7"/>
    <x v="0"/>
    <x v="0"/>
  </r>
  <r>
    <x v="1"/>
    <n v="130000"/>
    <x v="5"/>
    <n v="7"/>
    <x v="0"/>
    <x v="0"/>
  </r>
  <r>
    <x v="2"/>
    <n v="17000"/>
    <x v="5"/>
    <n v="7"/>
    <x v="0"/>
    <x v="0"/>
  </r>
  <r>
    <x v="3"/>
    <n v="225000"/>
    <x v="5"/>
    <n v="7"/>
    <x v="0"/>
    <x v="0"/>
  </r>
  <r>
    <x v="4"/>
    <n v="65000"/>
    <x v="5"/>
    <n v="7"/>
    <x v="0"/>
    <x v="0"/>
  </r>
  <r>
    <x v="5"/>
    <n v="30000"/>
    <x v="5"/>
    <n v="7"/>
    <x v="0"/>
    <x v="0"/>
  </r>
  <r>
    <x v="24"/>
    <n v="0"/>
    <x v="5"/>
    <n v="7"/>
    <x v="1"/>
    <x v="0"/>
  </r>
  <r>
    <x v="6"/>
    <n v="0"/>
    <x v="5"/>
    <n v="7"/>
    <x v="1"/>
    <x v="0"/>
  </r>
  <r>
    <x v="22"/>
    <n v="0"/>
    <x v="5"/>
    <n v="7"/>
    <x v="1"/>
    <x v="0"/>
  </r>
  <r>
    <x v="7"/>
    <n v="-7000"/>
    <x v="5"/>
    <n v="7"/>
    <x v="2"/>
    <x v="1"/>
  </r>
  <r>
    <x v="8"/>
    <n v="-18900.512431970401"/>
    <x v="5"/>
    <n v="7"/>
    <x v="2"/>
    <x v="1"/>
  </r>
  <r>
    <x v="9"/>
    <n v="-15790.546371600005"/>
    <x v="5"/>
    <n v="7"/>
    <x v="2"/>
    <x v="1"/>
  </r>
  <r>
    <x v="10"/>
    <n v="-2000"/>
    <x v="5"/>
    <n v="7"/>
    <x v="2"/>
    <x v="1"/>
  </r>
  <r>
    <x v="11"/>
    <n v="-284200"/>
    <x v="5"/>
    <n v="7"/>
    <x v="2"/>
    <x v="1"/>
  </r>
  <r>
    <x v="12"/>
    <n v="-14525.999999999998"/>
    <x v="5"/>
    <n v="7"/>
    <x v="2"/>
    <x v="1"/>
  </r>
  <r>
    <x v="13"/>
    <n v="0"/>
    <x v="5"/>
    <n v="7"/>
    <x v="3"/>
    <x v="1"/>
  </r>
  <r>
    <x v="14"/>
    <n v="-126202.14129600003"/>
    <x v="5"/>
    <n v="7"/>
    <x v="3"/>
    <x v="1"/>
  </r>
  <r>
    <x v="15"/>
    <n v="-126202.14129600003"/>
    <x v="5"/>
    <n v="7"/>
    <x v="3"/>
    <x v="1"/>
  </r>
  <r>
    <x v="16"/>
    <n v="-63101.070648000015"/>
    <x v="5"/>
    <n v="7"/>
    <x v="3"/>
    <x v="1"/>
  </r>
  <r>
    <x v="17"/>
    <n v="-54086.631984000014"/>
    <x v="5"/>
    <n v="7"/>
    <x v="3"/>
    <x v="1"/>
  </r>
  <r>
    <x v="18"/>
    <n v="0"/>
    <x v="5"/>
    <n v="7"/>
    <x v="3"/>
    <x v="1"/>
  </r>
  <r>
    <x v="19"/>
    <n v="0"/>
    <x v="5"/>
    <n v="7"/>
    <x v="4"/>
    <x v="1"/>
  </r>
  <r>
    <x v="20"/>
    <n v="0"/>
    <x v="5"/>
    <n v="7"/>
    <x v="5"/>
    <x v="1"/>
  </r>
  <r>
    <x v="23"/>
    <n v="0"/>
    <x v="5"/>
    <n v="7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A83F2-8622-4C69-A1CE-202B273441BE}" name="Grafico Distr Porcentual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H11" firstHeaderRow="1" firstDataRow="2" firstDataCol="1" rowPageCount="1" colPageCount="1"/>
  <pivotFields count="6">
    <pivotField showAll="0"/>
    <pivotField dataField="1" showAll="0"/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axis="axisRow" showAll="0">
      <items count="7">
        <item x="1"/>
        <item x="5"/>
        <item x="2"/>
        <item x="3"/>
        <item x="0"/>
        <item x="4"/>
        <item t="default"/>
      </items>
    </pivotField>
    <pivotField axis="axisPage" multipleItemSelectionAllowed="1" showAll="0">
      <items count="11">
        <item m="1" x="3"/>
        <item x="1"/>
        <item m="1" x="7"/>
        <item m="1" x="4"/>
        <item m="1" x="5"/>
        <item x="0"/>
        <item m="1" x="9"/>
        <item m="1" x="2"/>
        <item m="1" x="6"/>
        <item m="1" x="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uma de Monto " fld="1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0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0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10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10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1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3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4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5"/>
          </reference>
        </references>
      </pivotArea>
    </chartFormat>
    <chartFormat chart="1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10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10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3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4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5"/>
          </reference>
        </references>
      </pivotArea>
    </chartFormat>
    <chartFormat chart="1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3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4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5"/>
          </reference>
        </references>
      </pivotArea>
    </chartFormat>
    <chartFormat chart="1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0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10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3"/>
          </reference>
        </references>
      </pivotArea>
    </chartFormat>
    <chartFormat chart="10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4"/>
          </reference>
        </references>
      </pivotArea>
    </chartFormat>
    <chartFormat chart="10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72E5D-7C50-4177-9FC8-033D3DA74CD6}" name="GraficoTendencia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H9" firstHeaderRow="1" firstDataRow="2" firstDataCol="1"/>
  <pivotFields count="6">
    <pivotField showAll="0">
      <items count="65">
        <item x="3"/>
        <item x="4"/>
        <item x="11"/>
        <item m="1" x="42"/>
        <item m="1" x="57"/>
        <item m="1" x="44"/>
        <item m="1" x="59"/>
        <item m="1" x="33"/>
        <item m="1" x="34"/>
        <item m="1" x="28"/>
        <item x="9"/>
        <item m="1" x="53"/>
        <item x="19"/>
        <item m="1" x="26"/>
        <item m="1" x="48"/>
        <item m="1" x="62"/>
        <item m="1" x="54"/>
        <item x="17"/>
        <item m="1" x="46"/>
        <item m="1" x="60"/>
        <item x="12"/>
        <item x="10"/>
        <item x="8"/>
        <item x="7"/>
        <item x="14"/>
        <item x="6"/>
        <item x="21"/>
        <item m="1" x="41"/>
        <item x="22"/>
        <item x="23"/>
        <item m="1" x="31"/>
        <item m="1" x="32"/>
        <item m="1" x="30"/>
        <item x="5"/>
        <item x="18"/>
        <item x="2"/>
        <item x="15"/>
        <item m="1" x="49"/>
        <item m="1" x="63"/>
        <item m="1" x="39"/>
        <item m="1" x="38"/>
        <item x="0"/>
        <item m="1" x="36"/>
        <item m="1" x="37"/>
        <item x="1"/>
        <item m="1" x="45"/>
        <item m="1" x="47"/>
        <item x="13"/>
        <item m="1" x="61"/>
        <item m="1" x="52"/>
        <item m="1" x="35"/>
        <item m="1" x="50"/>
        <item m="1" x="51"/>
        <item x="16"/>
        <item m="1" x="25"/>
        <item x="24"/>
        <item x="20"/>
        <item m="1" x="56"/>
        <item m="1" x="27"/>
        <item m="1" x="40"/>
        <item m="1" x="55"/>
        <item m="1" x="43"/>
        <item m="1" x="58"/>
        <item m="1" x="29"/>
        <item t="default"/>
      </items>
    </pivotField>
    <pivotField dataField="1" showAll="0"/>
    <pivotField axis="axisRow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axis="axisCol" showAll="0">
      <items count="7">
        <item x="1"/>
        <item x="5"/>
        <item x="2"/>
        <item x="3"/>
        <item x="0"/>
        <item x="4"/>
        <item t="default"/>
      </items>
    </pivotField>
    <pivotField showAll="0">
      <items count="11">
        <item m="1" x="3"/>
        <item x="1"/>
        <item m="1" x="7"/>
        <item m="1" x="4"/>
        <item m="1" x="5"/>
        <item x="0"/>
        <item m="1" x="9"/>
        <item m="1" x="2"/>
        <item m="1" x="6"/>
        <item m="1" x="8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Monto " fld="1" baseField="0" baseItem="0"/>
  </dataFields>
  <chartFormats count="18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92C55-2991-45AA-BDDD-D0574524D430}" name="Balance Proyectado" cacheId="10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5" rowHeaderCaption="Categorias" colHeaderCaption="Meses">
  <location ref="A3:G38" firstHeaderRow="1" firstDataRow="2" firstDataCol="1"/>
  <pivotFields count="6">
    <pivotField axis="axisRow" showAll="0">
      <items count="65">
        <item x="3"/>
        <item x="4"/>
        <item x="11"/>
        <item m="1" x="42"/>
        <item m="1" x="57"/>
        <item m="1" x="44"/>
        <item m="1" x="59"/>
        <item m="1" x="33"/>
        <item m="1" x="34"/>
        <item m="1" x="28"/>
        <item x="9"/>
        <item m="1" x="53"/>
        <item x="19"/>
        <item m="1" x="26"/>
        <item m="1" x="48"/>
        <item m="1" x="62"/>
        <item m="1" x="54"/>
        <item x="17"/>
        <item m="1" x="46"/>
        <item m="1" x="60"/>
        <item x="12"/>
        <item x="10"/>
        <item x="8"/>
        <item x="7"/>
        <item x="14"/>
        <item m="1" x="41"/>
        <item m="1" x="31"/>
        <item m="1" x="32"/>
        <item m="1" x="30"/>
        <item x="18"/>
        <item x="15"/>
        <item m="1" x="49"/>
        <item m="1" x="63"/>
        <item m="1" x="39"/>
        <item m="1" x="38"/>
        <item x="0"/>
        <item m="1" x="36"/>
        <item m="1" x="37"/>
        <item x="1"/>
        <item m="1" x="45"/>
        <item m="1" x="47"/>
        <item m="1" x="61"/>
        <item m="1" x="52"/>
        <item m="1" x="35"/>
        <item m="1" x="50"/>
        <item m="1" x="51"/>
        <item x="16"/>
        <item m="1" x="56"/>
        <item m="1" x="27"/>
        <item m="1" x="40"/>
        <item m="1" x="55"/>
        <item m="1" x="43"/>
        <item m="1" x="58"/>
        <item x="5"/>
        <item x="6"/>
        <item x="13"/>
        <item m="1" x="29"/>
        <item x="22"/>
        <item x="24"/>
        <item m="1" x="25"/>
        <item x="21"/>
        <item x="20"/>
        <item x="23"/>
        <item x="2"/>
        <item t="default"/>
      </items>
    </pivotField>
    <pivotField dataField="1" showAll="0"/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11">
        <item m="1" x="2"/>
        <item m="1" x="9"/>
        <item m="1" x="3"/>
        <item m="1" x="4"/>
        <item m="1" x="5"/>
        <item m="1" x="7"/>
        <item m="1" x="6"/>
        <item m="1" x="8"/>
        <item x="0"/>
        <item x="1"/>
        <item t="default"/>
      </items>
    </pivotField>
  </pivotFields>
  <rowFields count="3">
    <field x="5"/>
    <field x="4"/>
    <field x="0"/>
  </rowFields>
  <rowItems count="34">
    <i>
      <x v="8"/>
    </i>
    <i r="1">
      <x/>
    </i>
    <i r="2">
      <x/>
    </i>
    <i r="2">
      <x v="1"/>
    </i>
    <i r="2">
      <x v="35"/>
    </i>
    <i r="2">
      <x v="38"/>
    </i>
    <i r="2">
      <x v="53"/>
    </i>
    <i r="2">
      <x v="63"/>
    </i>
    <i r="1">
      <x v="1"/>
    </i>
    <i r="2">
      <x v="54"/>
    </i>
    <i r="2">
      <x v="57"/>
    </i>
    <i r="2">
      <x v="58"/>
    </i>
    <i>
      <x v="9"/>
    </i>
    <i r="1">
      <x v="2"/>
    </i>
    <i r="2">
      <x v="2"/>
    </i>
    <i r="2">
      <x v="10"/>
    </i>
    <i r="2">
      <x v="20"/>
    </i>
    <i r="2">
      <x v="21"/>
    </i>
    <i r="2">
      <x v="22"/>
    </i>
    <i r="2">
      <x v="23"/>
    </i>
    <i r="1">
      <x v="3"/>
    </i>
    <i r="2">
      <x v="17"/>
    </i>
    <i r="2">
      <x v="24"/>
    </i>
    <i r="2">
      <x v="29"/>
    </i>
    <i r="2">
      <x v="30"/>
    </i>
    <i r="2">
      <x v="46"/>
    </i>
    <i r="2">
      <x v="55"/>
    </i>
    <i r="1">
      <x v="4"/>
    </i>
    <i r="2">
      <x v="60"/>
    </i>
    <i r="2">
      <x v="61"/>
    </i>
    <i r="2">
      <x v="62"/>
    </i>
    <i r="1">
      <x v="5"/>
    </i>
    <i r="2"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Monto " fld="1" baseField="0" baseItem="0" numFmtId="43"/>
  </dataFields>
  <formats count="1">
    <format dxfId="29">
      <pivotArea outline="0" collapsedLevelsAreSubtotals="1" fieldPosition="0"/>
    </format>
  </formats>
  <chartFormats count="468">
    <chartFormat chart="8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4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4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4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0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2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3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4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5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6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7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8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59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36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2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3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4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6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7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8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69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7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6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7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8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79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0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2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3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4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5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38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8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8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8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0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2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3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4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5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3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9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39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39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0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2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3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4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5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6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7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8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09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10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11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41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19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20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21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8" format="4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5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8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29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2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3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4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7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8" format="4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3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3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4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5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6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7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8" format="4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4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4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5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6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7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8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59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60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61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63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8" format="46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6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66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67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68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69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70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7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72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73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8" format="4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47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7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7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7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7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0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2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3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4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5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6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8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89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8" format="49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2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3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4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6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7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8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8" format="499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5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0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6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7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8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09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0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2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4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5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5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1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2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3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4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5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5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2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0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2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3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4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7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41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5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6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7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8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49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50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51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55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5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8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59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0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3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4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5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6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7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56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6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0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2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3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4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5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6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7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5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7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4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5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6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8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89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90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91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92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93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9" format="59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59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596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597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598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599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600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60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602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603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9" format="6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60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0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0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0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0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4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5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19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9" format="6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6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7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8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29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9" format="6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6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7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3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4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5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9" format="64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4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0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2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3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4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9" format="655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5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0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6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7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8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09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0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2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4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5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5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1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2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3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4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5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5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2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0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2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3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4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7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41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5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6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7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8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49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50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51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55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5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8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59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0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3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4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5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6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7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56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6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0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2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3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4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5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6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7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5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57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4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5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6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8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89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90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91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92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93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10" format="59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59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596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597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598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599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600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60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602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603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0" format="6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60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0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0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08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0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4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5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19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0" format="6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6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7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8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29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10" format="6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6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4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6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7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3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4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5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10" format="64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4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0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2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3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4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0" format="655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FBCC3-788D-4EB7-B494-29F98095C2AB}" name="Ingresos Usados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14" firstHeaderRow="1" firstDataRow="1" firstDataCol="1"/>
  <pivotFields count="3">
    <pivotField axis="axisRow" showAll="0">
      <items count="29">
        <item x="2"/>
        <item x="3"/>
        <item m="1" x="21"/>
        <item m="1" x="14"/>
        <item m="1" x="15"/>
        <item m="1" x="10"/>
        <item m="1" x="20"/>
        <item m="1" x="12"/>
        <item m="1" x="13"/>
        <item m="1" x="11"/>
        <item x="0"/>
        <item m="1" x="17"/>
        <item m="1" x="18"/>
        <item x="1"/>
        <item m="1" x="16"/>
        <item m="1" x="19"/>
        <item m="1" x="22"/>
        <item m="1" x="23"/>
        <item m="1" x="24"/>
        <item m="1" x="25"/>
        <item m="1" x="26"/>
        <item m="1" x="27"/>
        <item x="9"/>
        <item x="4"/>
        <item x="5"/>
        <item x="6"/>
        <item x="7"/>
        <item x="8"/>
        <item t="default"/>
      </items>
    </pivotField>
    <pivotField dataField="1" showAll="0"/>
    <pivotField axis="axisRow" showAll="0">
      <items count="6">
        <item x="0"/>
        <item h="1" m="1" x="4"/>
        <item h="1" x="2"/>
        <item h="1" m="1" x="3"/>
        <item x="1"/>
        <item t="default"/>
      </items>
    </pivotField>
  </pivotFields>
  <rowFields count="2">
    <field x="2"/>
    <field x="0"/>
  </rowFields>
  <rowItems count="12">
    <i>
      <x/>
    </i>
    <i r="1">
      <x/>
    </i>
    <i r="1">
      <x v="1"/>
    </i>
    <i r="1">
      <x v="10"/>
    </i>
    <i r="1">
      <x v="13"/>
    </i>
    <i r="1">
      <x v="23"/>
    </i>
    <i r="1">
      <x v="24"/>
    </i>
    <i>
      <x v="4"/>
    </i>
    <i r="1">
      <x v="25"/>
    </i>
    <i r="1">
      <x v="26"/>
    </i>
    <i r="1">
      <x v="27"/>
    </i>
    <i t="grand">
      <x/>
    </i>
  </rowItems>
  <colItems count="1">
    <i/>
  </colItems>
  <dataFields count="1">
    <dataField name="Suma de Monto" fld="1" baseField="0" baseItem="0" numFmtId="43"/>
  </dataFields>
  <formats count="2">
    <format dxfId="24">
      <pivotArea outline="0" collapsedLevelsAreSubtotals="1" fieldPosition="0"/>
    </format>
    <format dxfId="23">
      <pivotArea collapsedLevelsAreSubtotals="1" fieldPosition="0">
        <references count="2">
          <reference field="0" count="1">
            <x v="1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685AD-5B2F-409F-B4DD-CA04400475A0}" name="Gastos Realizados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7:E32" firstHeaderRow="1" firstDataRow="1" firstDataCol="1"/>
  <pivotFields count="6">
    <pivotField axis="axisRow" showAll="0">
      <items count="30">
        <item m="1" x="22"/>
        <item x="3"/>
        <item m="1" x="21"/>
        <item x="7"/>
        <item x="2"/>
        <item x="0"/>
        <item x="4"/>
        <item x="8"/>
        <item m="1" x="17"/>
        <item m="1" x="13"/>
        <item m="1" x="16"/>
        <item x="5"/>
        <item x="11"/>
        <item m="1" x="18"/>
        <item m="1" x="27"/>
        <item m="1" x="26"/>
        <item m="1" x="25"/>
        <item m="1" x="23"/>
        <item m="1" x="24"/>
        <item m="1" x="28"/>
        <item m="1" x="14"/>
        <item m="1" x="15"/>
        <item x="6"/>
        <item m="1" x="19"/>
        <item m="1" x="20"/>
        <item x="9"/>
        <item x="1"/>
        <item m="1" x="12"/>
        <item x="10"/>
        <item t="default"/>
      </items>
    </pivotField>
    <pivotField showAll="0"/>
    <pivotField dataField="1" numFmtId="43" showAll="0"/>
    <pivotField showAll="0"/>
    <pivotField axis="axisRow" showAll="0">
      <items count="9">
        <item x="0"/>
        <item x="1"/>
        <item m="1" x="6"/>
        <item m="1" x="5"/>
        <item h="1" x="3"/>
        <item h="1" m="1" x="4"/>
        <item h="1" m="1" x="7"/>
        <item x="2"/>
        <item t="default"/>
      </items>
    </pivotField>
    <pivotField showAll="0"/>
  </pivotFields>
  <rowFields count="2">
    <field x="4"/>
    <field x="0"/>
  </rowFields>
  <rowItems count="15">
    <i>
      <x/>
    </i>
    <i r="1">
      <x v="1"/>
    </i>
    <i r="1">
      <x v="4"/>
    </i>
    <i r="1">
      <x v="5"/>
    </i>
    <i r="1">
      <x v="22"/>
    </i>
    <i r="1">
      <x v="25"/>
    </i>
    <i>
      <x v="1"/>
    </i>
    <i r="1">
      <x v="3"/>
    </i>
    <i r="1">
      <x v="6"/>
    </i>
    <i r="1">
      <x v="7"/>
    </i>
    <i r="1">
      <x v="11"/>
    </i>
    <i r="1">
      <x v="26"/>
    </i>
    <i>
      <x v="7"/>
    </i>
    <i r="1">
      <x v="28"/>
    </i>
    <i t="grand">
      <x/>
    </i>
  </rowItems>
  <colItems count="1">
    <i/>
  </colItems>
  <dataFields count="1">
    <dataField name="Suma de Monto" fld="2" baseField="0" baseItem="0" numFmtId="43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1E7D9-3B9E-4F67-9096-43D06AD0FAF4}" name="Ahorros Ingresos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greso">
  <location ref="A1:B10" firstHeaderRow="1" firstDataRow="1" firstDataCol="1"/>
  <pivotFields count="6">
    <pivotField axis="axisRow" showAll="0">
      <items count="9">
        <item x="3"/>
        <item x="4"/>
        <item x="2"/>
        <item x="1"/>
        <item x="5"/>
        <item x="6"/>
        <item x="7"/>
        <item x="0"/>
        <item t="default"/>
      </items>
    </pivotField>
    <pivotField numFmtId="165"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Monto USD" fld="3" baseField="0" baseItem="0"/>
  </dataFields>
  <formats count="3"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1">
            <x v="4"/>
          </reference>
        </references>
      </pivotArea>
    </format>
    <format dxfId="1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1529A-0779-4E97-91A7-D2E6F49024EA}" name="Ahorros Egresos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B16" firstHeaderRow="1" firstDataRow="1" firstDataCol="1"/>
  <pivotFields count="6">
    <pivotField axis="axisRow" showAll="0">
      <items count="5">
        <item x="1"/>
        <item x="2"/>
        <item x="0"/>
        <item h="1" m="1" x="3"/>
        <item t="default"/>
      </items>
    </pivotField>
    <pivotField numFmtId="165" showAll="0"/>
    <pivotField numFmtId="43" showAll="0"/>
    <pivotField dataField="1" numFmtId="43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USD" fld="3" baseField="0" baseItem="0"/>
  </dataFields>
  <formats count="2">
    <format dxfId="22">
      <pivotArea collapsedLevelsAreSubtotals="1" fieldPosition="0">
        <references count="1">
          <reference field="0" count="0"/>
        </references>
      </pivotArea>
    </format>
    <format dxfId="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E0227E9A-C3A5-450F-948F-C64996DD53F8}" sourceName="Mes">
  <pivotTables>
    <pivotTable tabId="41" name="Grafico Distr Porcentual"/>
  </pivotTables>
  <data>
    <tabular pivotCacheId="1995628146">
      <items count="7">
        <i x="0" s="1"/>
        <i x="1" s="1"/>
        <i x="2" s="1"/>
        <i x="3" s="1"/>
        <i x="4" s="1"/>
        <i x="5" s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1" xr10:uid="{1ED69999-AABC-47DE-B90E-2BF3C4F2B588}" sourceName="Categoria ">
  <pivotTables>
    <pivotTable tabId="44" name="GraficoTendencia"/>
  </pivotTables>
  <data>
    <tabular pivotCacheId="1995628146">
      <items count="64">
        <i x="3" s="1"/>
        <i x="4" s="1"/>
        <i x="11" s="1"/>
        <i x="9" s="1"/>
        <i x="19" s="1"/>
        <i x="17" s="1"/>
        <i x="12" s="1"/>
        <i x="10" s="1"/>
        <i x="8" s="1"/>
        <i x="7" s="1"/>
        <i x="14" s="1"/>
        <i x="6" s="1"/>
        <i x="21" s="1"/>
        <i x="22" s="1"/>
        <i x="23" s="1"/>
        <i x="5" s="1"/>
        <i x="18" s="1"/>
        <i x="2" s="1"/>
        <i x="15" s="1"/>
        <i x="0" s="1"/>
        <i x="1" s="1"/>
        <i x="13" s="1"/>
        <i x="16" s="1"/>
        <i x="24" s="1"/>
        <i x="20" s="1"/>
        <i x="42" s="1" nd="1"/>
        <i x="57" s="1" nd="1"/>
        <i x="44" s="1" nd="1"/>
        <i x="59" s="1" nd="1"/>
        <i x="33" s="1" nd="1"/>
        <i x="34" s="1" nd="1"/>
        <i x="28" s="1" nd="1"/>
        <i x="53" s="1" nd="1"/>
        <i x="26" s="1" nd="1"/>
        <i x="48" s="1" nd="1"/>
        <i x="62" s="1" nd="1"/>
        <i x="54" s="1" nd="1"/>
        <i x="46" s="1" nd="1"/>
        <i x="60" s="1" nd="1"/>
        <i x="41" s="1" nd="1"/>
        <i x="31" s="1" nd="1"/>
        <i x="32" s="1" nd="1"/>
        <i x="30" s="1" nd="1"/>
        <i x="49" s="1" nd="1"/>
        <i x="63" s="1" nd="1"/>
        <i x="39" s="1" nd="1"/>
        <i x="38" s="1" nd="1"/>
        <i x="36" s="1" nd="1"/>
        <i x="37" s="1" nd="1"/>
        <i x="45" s="1" nd="1"/>
        <i x="47" s="1" nd="1"/>
        <i x="61" s="1" nd="1"/>
        <i x="52" s="1" nd="1"/>
        <i x="35" s="1" nd="1"/>
        <i x="50" s="1" nd="1"/>
        <i x="51" s="1" nd="1"/>
        <i x="25" s="1" nd="1"/>
        <i x="56" s="1" nd="1"/>
        <i x="27" s="1" nd="1"/>
        <i x="40" s="1" nd="1"/>
        <i x="55" s="1" nd="1"/>
        <i x="43" s="1" nd="1"/>
        <i x="58" s="1" nd="1"/>
        <i x="2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ategoria1" xr10:uid="{01728A19-DC9C-4E02-8FDA-270F061642D1}" sourceName="Tipo de Categoria">
  <pivotTables>
    <pivotTable tabId="41" name="Grafico Distr Porcentual"/>
    <pivotTable tabId="44" name="GraficoTendencia"/>
  </pivotTables>
  <data>
    <tabular pivotCacheId="1995628146">
      <items count="10">
        <i x="1" s="1"/>
        <i x="0" s="1"/>
        <i x="3" s="1" nd="1"/>
        <i x="7" s="1" nd="1"/>
        <i x="4" s="1" nd="1"/>
        <i x="5" s="1" nd="1"/>
        <i x="9" s="1" nd="1"/>
        <i x="2" s="1" nd="1"/>
        <i x="6" s="1" nd="1"/>
        <i x="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Ingreso_Gasto" xr10:uid="{3F7641B9-9F17-4B87-99D7-D3475DFB4368}" sourceName="Tipo de Ingreso/Gasto">
  <pivotTables>
    <pivotTable tabId="41" name="Grafico Distr Porcentual"/>
    <pivotTable tabId="44" name="GraficoTendencia"/>
  </pivotTables>
  <data>
    <tabular pivotCacheId="1995628146">
      <items count="6">
        <i x="1" s="1"/>
        <i x="5" s="1"/>
        <i x="2" s="1"/>
        <i x="3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2" xr10:uid="{470BEB4D-41B4-4DB3-8B30-54B42AC385DF}" cache="SegmentaciónDeDatos_Mes1" caption="Mes" rowHeight="257175"/>
  <slicer name="Tipo de Categoria 1" xr10:uid="{22446A07-E07D-4E96-9ABF-3AEC030CA51E}" cache="SegmentaciónDeDatos_Tipo_de_Categoria1" caption="Tipo de Categoria" rowHeight="257175"/>
  <slicer name="Tipo de Ingreso/Gasto" xr10:uid="{19557EAD-B3FE-4BBF-AB61-4468507FF9FE}" cache="SegmentaciónDeDatos_Tipo_de_Ingreso_Gasto" caption="Tipo de Ingreso/Gast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 1" xr10:uid="{4A653C76-BC66-4314-B850-2915F05726F9}" cache="SegmentaciónDeDatos_Categoria1" caption="Categoria " rowHeight="257175"/>
  <slicer name="Tipo de Categoria 2" xr10:uid="{C87F113E-974B-4E1F-9180-42E164E92371}" cache="SegmentaciónDeDatos_Tipo_de_Categoria1" caption="Tipo de Categoria" rowHeight="257175"/>
  <slicer name="Tipo de Ingreso/Gasto 1" xr10:uid="{59FCE815-DA7B-4C67-B5F7-DBCAA744BB71}" cache="SegmentaciónDeDatos_Tipo_de_Ingreso_Gasto" caption="Tipo de Ingreso/Gast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2C0136-5905-45E1-B51F-AB6774446AB9}" name="BalanceProyectado" displayName="BalanceProyectado" ref="A1:F142" totalsRowShown="0">
  <autoFilter ref="A1:F142" xr:uid="{8A2C0136-5905-45E1-B51F-AB6774446AB9}"/>
  <tableColumns count="6">
    <tableColumn id="1" xr3:uid="{1AFC1CC1-5136-4177-A0BB-3FAEE41B5140}" name="Categoria " dataDxfId="34"/>
    <tableColumn id="2" xr3:uid="{FDA03322-8EE8-4A77-A611-F127F561286B}" name="Monto "/>
    <tableColumn id="3" xr3:uid="{4A499C5C-FCF4-4E8D-A5CD-A483020E747F}" name="Mes"/>
    <tableColumn id="7" xr3:uid="{95D6518B-0B78-4A1D-8AE8-6D5443F2707B}" name="Numero de Mes"/>
    <tableColumn id="4" xr3:uid="{128D88AB-534F-407A-890A-F5FBC4D02B33}" name="Tipo de Ingreso/Gasto" dataDxfId="33"/>
    <tableColumn id="5" xr3:uid="{8F073CE2-3F5A-473E-A12D-BE88BB6BC0B5}" name="Tipo de Categor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7A27B-0B8C-419C-8557-1525441C8EC7}" name="TipoIngresoEgreso" displayName="TipoIngresoEgreso" ref="A1:B49" totalsRowShown="0">
  <autoFilter ref="A1:B49" xr:uid="{EE57A27B-0B8C-419C-8557-1525441C8EC7}"/>
  <tableColumns count="2">
    <tableColumn id="1" xr3:uid="{981DE69D-6C79-4656-91D0-85836374097A}" name="Categoria" dataDxfId="7"/>
    <tableColumn id="2" xr3:uid="{E2E4FF51-CA87-4CE7-8C10-D3FEB01EE4D1}" name="Tip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BB6133-B6AB-4634-A875-A8FB0136B7D3}" name="CotizacionDolar" displayName="CotizacionDolar" ref="A1:B11" totalsRowShown="0">
  <autoFilter ref="A1:B11" xr:uid="{A7BB6133-B6AB-4634-A875-A8FB0136B7D3}"/>
  <tableColumns count="2">
    <tableColumn id="1" xr3:uid="{CFAB50F5-63A4-4B38-9EBA-4B8FAFDB4C2F}" name="Fecha" dataDxfId="6"/>
    <tableColumn id="2" xr3:uid="{FEB9C228-45BD-40CD-87DF-839476E4D8A5}" name="Cotizacion MEP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4DE9CEE-CF9A-49A3-94B2-290AA93FDF71}" name="InlfacionTendencia" displayName="InlfacionTendencia" ref="B1:E26" totalsRowShown="0">
  <autoFilter ref="B1:E26" xr:uid="{A4DE9CEE-CF9A-49A3-94B2-290AA93FDF71}"/>
  <tableColumns count="4">
    <tableColumn id="3" xr3:uid="{5E66FD7E-A8E7-4A37-A7DD-69E2543191BE}" name="Trimestre Alquiler"/>
    <tableColumn id="1" xr3:uid="{213E74F7-C402-47D0-84C4-3B9547D8B7D1}" name="Mes"/>
    <tableColumn id="2" xr3:uid="{8641BE2D-A5C8-42A5-8D3C-E88E70D38723}" name="Monto"/>
    <tableColumn id="4" xr3:uid="{4A5732D2-979D-41D3-ABBC-0F48F3FB1719}" name="Tipo de da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0462F1A-FDEE-4933-A07C-48D8CAC4BE42}" name="AlquilerTendencia" displayName="AlquilerTendencia" ref="A1:F24" totalsRowShown="0">
  <autoFilter ref="A1:F24" xr:uid="{30462F1A-FDEE-4933-A07C-48D8CAC4BE42}"/>
  <tableColumns count="6">
    <tableColumn id="1" xr3:uid="{1D7E17A2-AFAC-47A8-B66D-28B8EC6AA8FE}" name="Año"/>
    <tableColumn id="2" xr3:uid="{2AAEA251-7E46-43F0-A271-62583C0CA791}" name="Trimestre"/>
    <tableColumn id="3" xr3:uid="{A92F612E-76ED-415A-AF99-2FD2FCCE351C}" name="Mes"/>
    <tableColumn id="4" xr3:uid="{5B905D83-F70C-4149-8462-EA22E1EC01B7}" name="Alquiler" dataDxfId="32"/>
    <tableColumn id="5" xr3:uid="{D6086303-0431-408B-BD1F-E855B73934F3}" name="Expensas" dataDxfId="31"/>
    <tableColumn id="6" xr3:uid="{E54BBE8A-451A-4D9C-8DCF-9926F73DFFAB}" name="Total" dataDxfId="30">
      <calculatedColumnFormula>D2+E2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F55684-7058-4335-B66D-E4F5BEE75F51}" name="AhorroGastosVar6" displayName="AhorroGastosVar6" ref="G2:M7" totalsRowShown="0">
  <autoFilter ref="G2:M7" xr:uid="{F1F55684-7058-4335-B66D-E4F5BEE75F51}"/>
  <tableColumns count="7">
    <tableColumn id="1" xr3:uid="{9F872E3F-6525-463A-AC67-29B3E572D72C}" name="Categoria"/>
    <tableColumn id="2" xr3:uid="{0AB6784A-5997-4F15-8ADE-2C1D1039C2D3}" name="Monto Forecast" dataDxfId="5">
      <calculatedColumnFormula>VLOOKUP(AhorroGastosVar6[[#This Row],[Categoria]],'Balance Proyectado'!$A$4:$G$64,3,FALSE)</calculatedColumnFormula>
    </tableColumn>
    <tableColumn id="3" xr3:uid="{A3528AC1-E86A-4071-A22C-DDE54B79927C}" name="Monto a Ahorrar" dataDxfId="4">
      <calculatedColumnFormula>AhorroGastosVar6[[#This Row],[Monto Forecast]]*$N$3</calculatedColumnFormula>
    </tableColumn>
    <tableColumn id="7" xr3:uid="{AAFDE279-D73A-494B-AB10-69872D1BBAFC}" name="Monto con ahorro incluido" dataDxfId="3">
      <calculatedColumnFormula>AhorroGastosVar6[[#This Row],[Monto Forecast]]-AhorroGastosVar6[[#This Row],[Monto a Ahorrar]]</calculatedColumnFormula>
    </tableColumn>
    <tableColumn id="4" xr3:uid="{3DAA594F-9D9F-4409-A53A-6C3C9FBC77D0}" name="Monto Gastado hasta el momento " dataDxfId="2">
      <calculatedColumnFormula>VLOOKUP(AhorroGastosVar6[[#This Row],[Categoria]],'Gastos Mes Corriente'!$D$2:$E$34,2,FALSE)</calculatedColumnFormula>
    </tableColumn>
    <tableColumn id="5" xr3:uid="{0236CDF9-A385-4C15-B109-1FE239F90139}" name="Monto Restante" dataDxfId="1">
      <calculatedColumnFormula>AhorroGastosVar6[[#This Row],[Monto con ahorro incluido]]-AhorroGastosVar6[[#This Row],[Monto Gastado hasta el momento ]]</calculatedColumnFormula>
    </tableColumn>
    <tableColumn id="6" xr3:uid="{7DB6A3B2-AE74-49D1-9F61-0D635FAA1F0A}" name="Se logro Ahorro?" dataDxfId="0">
      <calculatedColumnFormula>IF(AhorroGastosVar6[[#This Row],[Monto Restante]]&gt;=0,"No","Si")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5B1D5-6926-431F-9839-F9F9E548CE22}" name="GastosRealizados" displayName="GastosRealizados" ref="A1:F64" totalsRowShown="0">
  <autoFilter ref="A1:F64" xr:uid="{8595B1D5-6926-431F-9839-F9F9E548CE22}"/>
  <tableColumns count="6">
    <tableColumn id="1" xr3:uid="{CAB97822-D14B-4A81-8AC1-3CB75D120DFA}" name="Categoria"/>
    <tableColumn id="2" xr3:uid="{9701B217-17FF-4697-B8FD-C53280EFD9F7}" name="Fecha " dataDxfId="28"/>
    <tableColumn id="3" xr3:uid="{7B4DD254-9B78-4D79-8604-5ACF69A57B69}" name="Monto" dataDxfId="27" dataCellStyle="Millares"/>
    <tableColumn id="4" xr3:uid="{D20179FA-DBFF-465F-A803-CCE1BF0E723E}" name="Descripcion"/>
    <tableColumn id="6" xr3:uid="{3D52AC40-BB3C-467D-8F27-26457ACC1228}" name="Tipo de Gasto" dataDxfId="26">
      <calculatedColumnFormula>VLOOKUP(GastosRealizados[[#This Row],[Categoria]],TipoIngresoEgreso[#All],2,FALSE)</calculatedColumnFormula>
    </tableColumn>
    <tableColumn id="5" xr3:uid="{73BFB588-48C8-49F0-93F1-BD7FF94977F4}" name="Forma de Pa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D02050-1BB4-4A84-8F32-3AC344E3E43B}" name="Tabla9" displayName="Tabla9" ref="D1:E11" totalsRowShown="0">
  <autoFilter ref="D1:E11" xr:uid="{4BD02050-1BB4-4A84-8F32-3AC344E3E43B}"/>
  <tableColumns count="2">
    <tableColumn id="1" xr3:uid="{175716CD-F7A1-444D-B9DB-3C4542FA9668}" name="Instrumentos" dataDxfId="17"/>
    <tableColumn id="2" xr3:uid="{E9345FA2-B646-4BAE-97C7-8C7FE2C01756}" name="Monto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7654C5-89A0-480C-8CAA-2302977835B4}" name="AhorrosIngresos" displayName="AhorrosIngresos" ref="A1:F26" totalsRowShown="0" headerRowDxfId="15">
  <autoFilter ref="A1:F26" xr:uid="{4E7654C5-89A0-480C-8CAA-2302977835B4}"/>
  <tableColumns count="6">
    <tableColumn id="1" xr3:uid="{B435FBF6-B487-470B-AD56-2BE0898F9E8C}" name="Categoria"/>
    <tableColumn id="2" xr3:uid="{4F8FD2EB-30BE-45D4-A250-50D800A4F2AA}" name="Fecha "/>
    <tableColumn id="6" xr3:uid="{05D9EF68-8FAD-4941-97C5-D320A56CD4C5}" name="Monto moneda Original" dataCellStyle="Millares"/>
    <tableColumn id="3" xr3:uid="{EE160C53-1CAE-4E60-8005-23A35562B3E8}" name="Monto USD"/>
    <tableColumn id="4" xr3:uid="{AB4FAFF5-8D79-4D62-A51A-B9D343D1225C}" name="Comentario"/>
    <tableColumn id="5" xr3:uid="{F2E11591-865B-4E23-AD17-43B3FBF54EBD}" name="Plaz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63F8AE-B12D-4B2B-ACAA-D71979DB4E01}" name="AhorroEgresos" displayName="AhorroEgresos" ref="A1:F16" totalsRowShown="0" headerRowDxfId="14" headerRowBorderDxfId="13" tableBorderDxfId="12" totalsRowBorderDxfId="11">
  <autoFilter ref="A1:F16" xr:uid="{7963F8AE-B12D-4B2B-ACAA-D71979DB4E01}"/>
  <sortState xmlns:xlrd2="http://schemas.microsoft.com/office/spreadsheetml/2017/richdata2" ref="A2:F4">
    <sortCondition descending="1" ref="B1:B4"/>
  </sortState>
  <tableColumns count="6">
    <tableColumn id="1" xr3:uid="{8F9F8500-3AD9-488F-BCD0-4AB7D4036982}" name="Categoria"/>
    <tableColumn id="2" xr3:uid="{FF004BC1-045D-4452-9055-947CFDDAC531}" name="Fecha "/>
    <tableColumn id="3" xr3:uid="{807FD9E6-22B9-476E-96C7-D351B1B12972}" name="Monto moneda Original" dataCellStyle="Millares"/>
    <tableColumn id="4" xr3:uid="{8D1C4F7C-AD46-4DDD-9185-AD3BC7A8D042}" name="Monto USD" dataCellStyle="Millares"/>
    <tableColumn id="6" xr3:uid="{40AFED72-32F1-47C0-B335-FBC29CC6F381}" name="Detalle" dataDxfId="10" dataCellStyle="Millares"/>
    <tableColumn id="5" xr3:uid="{4516FB06-5728-4BDF-8919-7ACD323D9E1E}" name="Comentari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C108D8-6163-4814-929B-AEC37925C103}" name="InstrumentosInvertidos" displayName="InstrumentosInvertidos" ref="A1:F8" totalsRowShown="0">
  <autoFilter ref="A1:F8" xr:uid="{92C108D8-6163-4814-929B-AEC37925C103}"/>
  <tableColumns count="6">
    <tableColumn id="1" xr3:uid="{CF918138-2C3E-4C6D-865B-9D31FC8E0AE6}" name="Categoria"/>
    <tableColumn id="2" xr3:uid="{CBB48594-42FA-4DBD-BEBC-235FECC57304}" name="Fecha "/>
    <tableColumn id="3" xr3:uid="{362C435C-AEBF-41A0-B3C8-80D98077AE49}" name="Valor Inicial"/>
    <tableColumn id="4" xr3:uid="{66911564-78F2-44A4-A67F-C71B951FFF3B}" name="Valor Actual"/>
    <tableColumn id="5" xr3:uid="{017A19B1-6D14-46EC-9D5C-801F2423DF03}" name="Ganancia/Perdida en $" dataDxfId="9">
      <calculatedColumnFormula>InstrumentosInvertidos[[#This Row],[Valor Actual]]-InstrumentosInvertidos[[#This Row],[Valor Inicial]]</calculatedColumnFormula>
    </tableColumn>
    <tableColumn id="6" xr3:uid="{C3A6B532-D4D2-4230-A390-9B7D46F8F6D5}" name="Variacion % en $" dataDxfId="8" dataCellStyle="Porcentaje">
      <calculatedColumnFormula>InstrumentosInvertidos[[#This Row],[Ganancia/Perdida en $]]/InstrumentosInvertidos[[#This Row],[Valor Inicial]]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81DA-E032-4B23-B678-ACCA29602EDB}">
  <dimension ref="A1"/>
  <sheetViews>
    <sheetView showGridLines="0" tabSelected="1" zoomScale="75" zoomScaleNormal="75" workbookViewId="0">
      <selection activeCell="K19" sqref="K19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5C0A-8A8B-4C23-A98A-3582F51C3F77}">
  <dimension ref="A1:I16"/>
  <sheetViews>
    <sheetView zoomScale="90" zoomScaleNormal="90" workbookViewId="0">
      <selection activeCell="D14" sqref="D14"/>
    </sheetView>
  </sheetViews>
  <sheetFormatPr baseColWidth="10" defaultRowHeight="15" x14ac:dyDescent="0.25"/>
  <cols>
    <col min="1" max="1" width="17.5703125" bestFit="1" customWidth="1"/>
    <col min="2" max="2" width="19.28515625" bestFit="1" customWidth="1"/>
    <col min="3" max="3" width="18.85546875" customWidth="1"/>
    <col min="4" max="4" width="17.5703125" bestFit="1" customWidth="1"/>
    <col min="5" max="5" width="12.42578125" customWidth="1"/>
    <col min="8" max="8" width="14.28515625" bestFit="1" customWidth="1"/>
  </cols>
  <sheetData>
    <row r="1" spans="1:9" x14ac:dyDescent="0.25">
      <c r="A1" s="18" t="s">
        <v>66</v>
      </c>
      <c r="B1" t="s">
        <v>65</v>
      </c>
      <c r="D1" t="s">
        <v>69</v>
      </c>
      <c r="E1" t="s">
        <v>2</v>
      </c>
    </row>
    <row r="2" spans="1:9" x14ac:dyDescent="0.25">
      <c r="A2" s="19" t="s">
        <v>60</v>
      </c>
      <c r="B2" s="4">
        <v>17.248000000000001</v>
      </c>
      <c r="D2" s="19" t="s">
        <v>60</v>
      </c>
      <c r="E2" s="27">
        <f>VLOOKUP(D2,$A$1:$B$20,2,FALSE)+_xlfn.IFNA(VLOOKUP(D2,$A$12:$B$16,2,FALSE),0)</f>
        <v>17.248000000000001</v>
      </c>
    </row>
    <row r="3" spans="1:9" x14ac:dyDescent="0.25">
      <c r="A3" s="19" t="s">
        <v>59</v>
      </c>
      <c r="B3" s="4">
        <v>12.234999999999999</v>
      </c>
      <c r="D3" s="19" t="s">
        <v>59</v>
      </c>
      <c r="E3" s="27">
        <f t="shared" ref="E3:E8" si="0">VLOOKUP(D3,$A$1:$B$10,2,FALSE)+_xlfn.IFNA(VLOOKUP(D3,$A$12:$B$16,2,FALSE),0)</f>
        <v>12.234999999999999</v>
      </c>
    </row>
    <row r="4" spans="1:9" x14ac:dyDescent="0.25">
      <c r="A4" s="19" t="s">
        <v>61</v>
      </c>
      <c r="B4" s="4">
        <v>16.646000000000001</v>
      </c>
      <c r="D4" s="19" t="s">
        <v>61</v>
      </c>
      <c r="E4" s="27">
        <f t="shared" si="0"/>
        <v>16.646000000000001</v>
      </c>
    </row>
    <row r="5" spans="1:9" x14ac:dyDescent="0.25">
      <c r="A5" s="19" t="s">
        <v>58</v>
      </c>
      <c r="B5" s="4">
        <v>18.701000000000001</v>
      </c>
      <c r="D5" s="19" t="s">
        <v>58</v>
      </c>
      <c r="E5" s="27">
        <f t="shared" si="0"/>
        <v>18.701000000000001</v>
      </c>
    </row>
    <row r="6" spans="1:9" x14ac:dyDescent="0.25">
      <c r="A6" s="19" t="s">
        <v>53</v>
      </c>
      <c r="B6" s="50">
        <v>53.567486689112613</v>
      </c>
      <c r="D6" s="19" t="s">
        <v>53</v>
      </c>
      <c r="E6" s="27">
        <f t="shared" si="0"/>
        <v>30.288356254330004</v>
      </c>
    </row>
    <row r="7" spans="1:9" x14ac:dyDescent="0.25">
      <c r="A7" s="19" t="s">
        <v>52</v>
      </c>
      <c r="B7" s="4">
        <v>49.34</v>
      </c>
      <c r="D7" s="19" t="s">
        <v>52</v>
      </c>
      <c r="E7" s="27">
        <f t="shared" si="0"/>
        <v>49.34</v>
      </c>
    </row>
    <row r="8" spans="1:9" x14ac:dyDescent="0.25">
      <c r="A8" s="19" t="s">
        <v>54</v>
      </c>
      <c r="B8" s="4">
        <v>30.849900000000002</v>
      </c>
      <c r="D8" s="19" t="s">
        <v>54</v>
      </c>
      <c r="E8" s="27">
        <f t="shared" si="0"/>
        <v>4.0246826086956524</v>
      </c>
    </row>
    <row r="9" spans="1:9" x14ac:dyDescent="0.25">
      <c r="A9" s="19" t="s">
        <v>46</v>
      </c>
      <c r="B9" s="4">
        <v>3979.94</v>
      </c>
      <c r="D9" s="19" t="s">
        <v>46</v>
      </c>
      <c r="E9" s="27">
        <f>VLOOKUP(D9,$A$1:$B$10,2,FALSE)+_xlfn.IFNA(VLOOKUP(D9,$A$12:$B$16,2,FALSE),0)</f>
        <v>2359.0691523809523</v>
      </c>
      <c r="H9" s="48"/>
      <c r="I9" s="48"/>
    </row>
    <row r="10" spans="1:9" x14ac:dyDescent="0.25">
      <c r="A10" s="19" t="s">
        <v>41</v>
      </c>
      <c r="B10" s="27">
        <v>4178.527386689113</v>
      </c>
    </row>
    <row r="11" spans="1:9" x14ac:dyDescent="0.25">
      <c r="D11" s="19" t="s">
        <v>68</v>
      </c>
      <c r="E11" s="2">
        <f>SUM(E2:E9)</f>
        <v>2507.5521912439781</v>
      </c>
    </row>
    <row r="12" spans="1:9" x14ac:dyDescent="0.25">
      <c r="A12" s="18" t="s">
        <v>40</v>
      </c>
      <c r="B12" t="s">
        <v>65</v>
      </c>
    </row>
    <row r="13" spans="1:9" x14ac:dyDescent="0.25">
      <c r="A13" s="19" t="s">
        <v>53</v>
      </c>
      <c r="B13" s="4">
        <v>-23.279130434782608</v>
      </c>
    </row>
    <row r="14" spans="1:9" x14ac:dyDescent="0.25">
      <c r="A14" s="19" t="s">
        <v>54</v>
      </c>
      <c r="B14" s="4">
        <v>-26.825217391304349</v>
      </c>
    </row>
    <row r="15" spans="1:9" x14ac:dyDescent="0.25">
      <c r="A15" s="19" t="s">
        <v>46</v>
      </c>
      <c r="B15" s="4">
        <v>-1620.8708476190477</v>
      </c>
    </row>
    <row r="16" spans="1:9" x14ac:dyDescent="0.25">
      <c r="A16" s="19" t="s">
        <v>41</v>
      </c>
      <c r="B16" s="27">
        <v>-1670.9751954451347</v>
      </c>
    </row>
  </sheetData>
  <mergeCells count="1">
    <mergeCell ref="H9:I9"/>
  </mergeCells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CA12-3E47-456C-8528-E97A5D121F39}">
  <dimension ref="A1:P34"/>
  <sheetViews>
    <sheetView workbookViewId="0">
      <selection activeCell="A5" sqref="A5"/>
    </sheetView>
  </sheetViews>
  <sheetFormatPr baseColWidth="10" defaultRowHeight="15" x14ac:dyDescent="0.25"/>
  <cols>
    <col min="1" max="1" width="17.5703125" bestFit="1" customWidth="1"/>
    <col min="3" max="3" width="14" customWidth="1"/>
    <col min="5" max="5" width="26" bestFit="1" customWidth="1"/>
  </cols>
  <sheetData>
    <row r="1" spans="1:8" x14ac:dyDescent="0.25">
      <c r="A1" s="24" t="s">
        <v>0</v>
      </c>
      <c r="B1" s="25" t="s">
        <v>1</v>
      </c>
      <c r="C1" s="25" t="s">
        <v>51</v>
      </c>
      <c r="D1" s="25" t="s">
        <v>50</v>
      </c>
      <c r="E1" s="25" t="s">
        <v>47</v>
      </c>
      <c r="F1" s="26" t="s">
        <v>45</v>
      </c>
    </row>
    <row r="2" spans="1:8" x14ac:dyDescent="0.25">
      <c r="A2" t="s">
        <v>46</v>
      </c>
      <c r="B2" s="1">
        <v>45358</v>
      </c>
      <c r="C2" s="2">
        <v>28.42</v>
      </c>
      <c r="D2">
        <v>28.42</v>
      </c>
      <c r="E2" t="s">
        <v>122</v>
      </c>
    </row>
    <row r="3" spans="1:8" x14ac:dyDescent="0.25">
      <c r="A3" t="s">
        <v>46</v>
      </c>
      <c r="B3" s="1">
        <v>45350</v>
      </c>
      <c r="C3" s="2">
        <v>202</v>
      </c>
      <c r="D3">
        <v>202</v>
      </c>
      <c r="E3" t="s">
        <v>18</v>
      </c>
    </row>
    <row r="4" spans="1:8" x14ac:dyDescent="0.25">
      <c r="A4" t="s">
        <v>46</v>
      </c>
      <c r="B4" s="1">
        <v>45341</v>
      </c>
      <c r="C4" s="2">
        <v>100</v>
      </c>
      <c r="D4">
        <v>100</v>
      </c>
      <c r="E4" t="s">
        <v>77</v>
      </c>
    </row>
    <row r="5" spans="1:8" x14ac:dyDescent="0.25">
      <c r="A5" t="s">
        <v>46</v>
      </c>
      <c r="B5" s="1">
        <v>45331</v>
      </c>
      <c r="C5" s="2">
        <v>21.52</v>
      </c>
      <c r="D5">
        <v>21.52</v>
      </c>
      <c r="E5" t="s">
        <v>18</v>
      </c>
      <c r="F5" t="s">
        <v>48</v>
      </c>
    </row>
    <row r="6" spans="1:8" x14ac:dyDescent="0.25">
      <c r="A6" t="s">
        <v>58</v>
      </c>
      <c r="B6" s="1">
        <f>VLOOKUP(AhorrosIngresos[[#This Row],[Categoria]],InstrumentosInvertidos[#All],2,FALSE)</f>
        <v>45358</v>
      </c>
      <c r="C6" s="2">
        <f>VLOOKUP(AhorrosIngresos[[#This Row],[Categoria]],InstrumentosInvertidos[#All],5,FALSE)</f>
        <v>3701</v>
      </c>
      <c r="D6" s="4">
        <f>AhorrosIngresos[[#This Row],[Monto moneda Original]]/'Dolar Cotizacion'!$B$4</f>
        <v>3.7010000000000001</v>
      </c>
      <c r="E6" t="s">
        <v>64</v>
      </c>
    </row>
    <row r="7" spans="1:8" x14ac:dyDescent="0.25">
      <c r="A7" t="s">
        <v>61</v>
      </c>
      <c r="B7" s="1">
        <f>VLOOKUP(AhorrosIngresos[[#This Row],[Categoria]],InstrumentosInvertidos[#All],2,FALSE)</f>
        <v>45358</v>
      </c>
      <c r="C7" s="2">
        <f>VLOOKUP(AhorrosIngresos[[#This Row],[Categoria]],InstrumentosInvertidos[#All],5,FALSE)</f>
        <v>2870</v>
      </c>
      <c r="D7" s="4">
        <f>AhorrosIngresos[[#This Row],[Monto moneda Original]]/'Dolar Cotizacion'!$B$4</f>
        <v>2.87</v>
      </c>
      <c r="E7" t="s">
        <v>64</v>
      </c>
      <c r="H7" s="4"/>
    </row>
    <row r="8" spans="1:8" x14ac:dyDescent="0.25">
      <c r="A8" t="s">
        <v>60</v>
      </c>
      <c r="B8" s="1">
        <f>VLOOKUP(AhorrosIngresos[[#This Row],[Categoria]],InstrumentosInvertidos[#All],2,FALSE)</f>
        <v>45358</v>
      </c>
      <c r="C8" s="2">
        <f>VLOOKUP(AhorrosIngresos[[#This Row],[Categoria]],InstrumentosInvertidos[#All],5,FALSE)</f>
        <v>1248</v>
      </c>
      <c r="D8" s="4">
        <f>AhorrosIngresos[[#This Row],[Monto moneda Original]]/'Dolar Cotizacion'!$B$4</f>
        <v>1.248</v>
      </c>
      <c r="E8" t="s">
        <v>64</v>
      </c>
      <c r="H8" s="28"/>
    </row>
    <row r="9" spans="1:8" x14ac:dyDescent="0.25">
      <c r="A9" t="s">
        <v>59</v>
      </c>
      <c r="B9" s="1">
        <f>VLOOKUP(AhorrosIngresos[[#This Row],[Categoria]],InstrumentosInvertidos[#All],2,FALSE)</f>
        <v>45358</v>
      </c>
      <c r="C9" s="2">
        <f>VLOOKUP(AhorrosIngresos[[#This Row],[Categoria]],InstrumentosInvertidos[#All],5,FALSE)</f>
        <v>2494</v>
      </c>
      <c r="D9" s="4">
        <f>AhorrosIngresos[[#This Row],[Monto moneda Original]]/'Dolar Cotizacion'!$B$4</f>
        <v>2.4940000000000002</v>
      </c>
      <c r="E9" t="s">
        <v>64</v>
      </c>
    </row>
    <row r="10" spans="1:8" x14ac:dyDescent="0.25">
      <c r="A10" t="s">
        <v>53</v>
      </c>
      <c r="B10" s="1">
        <f>VLOOKUP(AhorrosIngresos[[#This Row],[Categoria]],InstrumentosInvertidos[#All],2,FALSE)</f>
        <v>45358</v>
      </c>
      <c r="C10" s="2">
        <f>VLOOKUP(AhorrosIngresos[[#This Row],[Categoria]],InstrumentosInvertidos[#All],5,FALSE)</f>
        <v>3039</v>
      </c>
      <c r="D10" s="4">
        <f>AhorrosIngresos[[#This Row],[Monto moneda Original]]/'Dolar Cotizacion'!$B$4</f>
        <v>3.0390000000000001</v>
      </c>
      <c r="E10" t="s">
        <v>64</v>
      </c>
    </row>
    <row r="11" spans="1:8" x14ac:dyDescent="0.25">
      <c r="A11" t="s">
        <v>52</v>
      </c>
      <c r="B11" s="1">
        <f>VLOOKUP(AhorrosIngresos[[#This Row],[Categoria]],InstrumentosInvertidos[#All],2,FALSE)</f>
        <v>45358</v>
      </c>
      <c r="C11" s="2">
        <f>VLOOKUP(AhorrosIngresos[[#This Row],[Categoria]],InstrumentosInvertidos[#All],5,FALSE)</f>
        <v>-660</v>
      </c>
      <c r="D11" s="4">
        <f>AhorrosIngresos[[#This Row],[Monto moneda Original]]/'Dolar Cotizacion'!$B$4</f>
        <v>-0.66</v>
      </c>
      <c r="E11" t="s">
        <v>64</v>
      </c>
    </row>
    <row r="12" spans="1:8" x14ac:dyDescent="0.25">
      <c r="A12" t="s">
        <v>46</v>
      </c>
      <c r="B12" s="1">
        <v>45321</v>
      </c>
      <c r="C12" s="2">
        <v>159.11000000000001</v>
      </c>
      <c r="D12">
        <v>159.11000000000001</v>
      </c>
      <c r="E12" t="s">
        <v>18</v>
      </c>
      <c r="F12" t="s">
        <v>48</v>
      </c>
    </row>
    <row r="13" spans="1:8" x14ac:dyDescent="0.25">
      <c r="A13" t="s">
        <v>46</v>
      </c>
      <c r="B13" s="1">
        <v>45316</v>
      </c>
      <c r="C13" s="2">
        <v>200</v>
      </c>
      <c r="D13">
        <v>200</v>
      </c>
      <c r="E13" t="s">
        <v>49</v>
      </c>
      <c r="F13" t="s">
        <v>48</v>
      </c>
    </row>
    <row r="14" spans="1:8" x14ac:dyDescent="0.25">
      <c r="A14" t="s">
        <v>53</v>
      </c>
      <c r="B14" s="1">
        <v>45299</v>
      </c>
      <c r="C14" s="2">
        <v>19143</v>
      </c>
      <c r="D14" s="4">
        <f>AhorrosIngresos[[#This Row],[Monto moneda Original]]/'Dolar Cotizacion'!$B$4</f>
        <v>19.143000000000001</v>
      </c>
      <c r="E14" t="s">
        <v>56</v>
      </c>
    </row>
    <row r="15" spans="1:8" x14ac:dyDescent="0.25">
      <c r="A15" t="s">
        <v>52</v>
      </c>
      <c r="B15" s="1">
        <v>45299</v>
      </c>
      <c r="C15" s="2">
        <f>VLOOKUP(AhorrosIngresos[[#This Row],[Categoria]],InstrumentosInvertidos[#All],3,FALSE)</f>
        <v>50000</v>
      </c>
      <c r="D15" s="4">
        <f>AhorrosIngresos[[#This Row],[Monto moneda Original]]/'Dolar Cotizacion'!$B$4</f>
        <v>50</v>
      </c>
      <c r="E15" t="s">
        <v>56</v>
      </c>
    </row>
    <row r="16" spans="1:8" x14ac:dyDescent="0.25">
      <c r="A16" t="s">
        <v>53</v>
      </c>
      <c r="B16" s="1">
        <v>45295</v>
      </c>
      <c r="C16" s="2">
        <v>1593.3096924794991</v>
      </c>
      <c r="D16" s="4">
        <f>AhorrosIngresos[[#This Row],[Monto moneda Original]]/'Dolar Cotizacion'!$B$3</f>
        <v>1.3854866891126079</v>
      </c>
      <c r="E16" t="s">
        <v>67</v>
      </c>
    </row>
    <row r="17" spans="1:11" x14ac:dyDescent="0.25">
      <c r="A17" t="s">
        <v>54</v>
      </c>
      <c r="B17" s="1">
        <f>VLOOKUP(AhorrosIngresos[[#This Row],[Categoria]],InstrumentosInvertidos[#All],2,FALSE)</f>
        <v>45294</v>
      </c>
      <c r="C17" s="2">
        <f>VLOOKUP(AhorrosIngresos[[#This Row],[Categoria]],InstrumentosInvertidos[#All],5,FALSE)</f>
        <v>849.90000000000146</v>
      </c>
      <c r="D17" s="4">
        <f>AhorrosIngresos[[#This Row],[Monto moneda Original]]/'Dolar Cotizacion'!$B$4</f>
        <v>0.84990000000000143</v>
      </c>
      <c r="E17" t="s">
        <v>64</v>
      </c>
    </row>
    <row r="18" spans="1:11" x14ac:dyDescent="0.25">
      <c r="A18" t="s">
        <v>53</v>
      </c>
      <c r="B18" s="1">
        <v>45282</v>
      </c>
      <c r="C18" s="2">
        <v>30000</v>
      </c>
      <c r="D18" s="4">
        <f>AhorrosIngresos[[#This Row],[Monto moneda Original]]/'Dolar Cotizacion'!$B$4</f>
        <v>30</v>
      </c>
      <c r="E18" t="s">
        <v>56</v>
      </c>
    </row>
    <row r="19" spans="1:11" x14ac:dyDescent="0.25">
      <c r="A19" t="s">
        <v>54</v>
      </c>
      <c r="B19" s="1">
        <v>45282</v>
      </c>
      <c r="C19" s="2">
        <v>30000</v>
      </c>
      <c r="D19" s="4">
        <f>AhorrosIngresos[[#This Row],[Monto moneda Original]]/'Dolar Cotizacion'!$B$4</f>
        <v>30</v>
      </c>
      <c r="E19" t="s">
        <v>56</v>
      </c>
    </row>
    <row r="20" spans="1:11" x14ac:dyDescent="0.25">
      <c r="A20" t="s">
        <v>46</v>
      </c>
      <c r="B20" s="1">
        <v>45278</v>
      </c>
      <c r="C20" s="2">
        <v>214.82</v>
      </c>
      <c r="D20">
        <v>214.82</v>
      </c>
      <c r="E20" t="s">
        <v>18</v>
      </c>
      <c r="F20" t="s">
        <v>48</v>
      </c>
    </row>
    <row r="21" spans="1:11" x14ac:dyDescent="0.25">
      <c r="A21" t="s">
        <v>46</v>
      </c>
      <c r="B21" s="1">
        <v>45266</v>
      </c>
      <c r="C21" s="2">
        <v>277.70999999999998</v>
      </c>
      <c r="D21" s="2">
        <v>277.70999999999998</v>
      </c>
      <c r="E21" t="s">
        <v>18</v>
      </c>
      <c r="F21" t="s">
        <v>48</v>
      </c>
    </row>
    <row r="22" spans="1:11" x14ac:dyDescent="0.25">
      <c r="A22" t="s">
        <v>46</v>
      </c>
      <c r="B22" s="1">
        <v>45266</v>
      </c>
      <c r="C22">
        <v>2776.36</v>
      </c>
      <c r="D22">
        <v>2776.36</v>
      </c>
      <c r="E22" t="s">
        <v>55</v>
      </c>
      <c r="F22" t="s">
        <v>48</v>
      </c>
    </row>
    <row r="23" spans="1:11" x14ac:dyDescent="0.25">
      <c r="A23" t="s">
        <v>58</v>
      </c>
      <c r="B23" s="1">
        <v>45266</v>
      </c>
      <c r="C23" s="2">
        <f>VLOOKUP(AhorrosIngresos[[#This Row],[Categoria]],InstrumentosInvertidos[#All],3,FALSE)</f>
        <v>15000</v>
      </c>
      <c r="D23" s="4">
        <f>AhorrosIngresos[[#This Row],[Monto moneda Original]]/'Dolar Cotizacion'!$B$4</f>
        <v>15</v>
      </c>
      <c r="E23" t="s">
        <v>56</v>
      </c>
    </row>
    <row r="24" spans="1:11" x14ac:dyDescent="0.25">
      <c r="A24" t="s">
        <v>61</v>
      </c>
      <c r="B24" s="1">
        <v>45266</v>
      </c>
      <c r="C24" s="2">
        <v>13776</v>
      </c>
      <c r="D24" s="4">
        <f>AhorrosIngresos[[#This Row],[Monto moneda Original]]/'Dolar Cotizacion'!$B$4</f>
        <v>13.776</v>
      </c>
      <c r="E24" t="s">
        <v>56</v>
      </c>
      <c r="K24" s="45"/>
    </row>
    <row r="25" spans="1:11" x14ac:dyDescent="0.25">
      <c r="A25" t="s">
        <v>60</v>
      </c>
      <c r="B25" s="1">
        <v>45266</v>
      </c>
      <c r="C25" s="2">
        <v>16000</v>
      </c>
      <c r="D25" s="4">
        <f>AhorrosIngresos[[#This Row],[Monto moneda Original]]/'Dolar Cotizacion'!$B$4</f>
        <v>16</v>
      </c>
      <c r="E25" t="s">
        <v>56</v>
      </c>
      <c r="K25" s="45"/>
    </row>
    <row r="26" spans="1:11" x14ac:dyDescent="0.25">
      <c r="A26" t="s">
        <v>59</v>
      </c>
      <c r="B26" s="1">
        <v>45266</v>
      </c>
      <c r="C26" s="2">
        <v>9741</v>
      </c>
      <c r="D26" s="4">
        <f>AhorrosIngresos[[#This Row],[Monto moneda Original]]/'Dolar Cotizacion'!$B$4</f>
        <v>9.7409999999999997</v>
      </c>
      <c r="E26" t="s">
        <v>56</v>
      </c>
    </row>
    <row r="27" spans="1:11" x14ac:dyDescent="0.25">
      <c r="C27" s="2"/>
    </row>
    <row r="28" spans="1:11" x14ac:dyDescent="0.25">
      <c r="C28" s="4"/>
    </row>
    <row r="33" spans="11:16" x14ac:dyDescent="0.25">
      <c r="K33" s="28"/>
      <c r="L33" s="4"/>
      <c r="O33" s="4"/>
      <c r="P33" s="33"/>
    </row>
    <row r="34" spans="11:16" x14ac:dyDescent="0.25">
      <c r="P34" s="4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E6BA-3F1A-4A6F-9F35-073E58624AA7}">
  <dimension ref="A1:H19"/>
  <sheetViews>
    <sheetView workbookViewId="0">
      <selection activeCell="C10" sqref="C10"/>
    </sheetView>
  </sheetViews>
  <sheetFormatPr baseColWidth="10" defaultRowHeight="15" x14ac:dyDescent="0.25"/>
  <cols>
    <col min="1" max="1" width="17.5703125" bestFit="1" customWidth="1"/>
    <col min="3" max="3" width="24" customWidth="1"/>
    <col min="4" max="5" width="13.140625" customWidth="1"/>
    <col min="6" max="6" width="40.5703125" bestFit="1" customWidth="1"/>
  </cols>
  <sheetData>
    <row r="1" spans="1:8" x14ac:dyDescent="0.25">
      <c r="A1" s="29" t="s">
        <v>0</v>
      </c>
      <c r="B1" s="29" t="s">
        <v>1</v>
      </c>
      <c r="C1" s="29" t="s">
        <v>51</v>
      </c>
      <c r="D1" s="29" t="s">
        <v>50</v>
      </c>
      <c r="E1" s="29" t="s">
        <v>101</v>
      </c>
      <c r="F1" s="29" t="s">
        <v>47</v>
      </c>
    </row>
    <row r="2" spans="1:8" x14ac:dyDescent="0.25">
      <c r="A2" t="s">
        <v>46</v>
      </c>
      <c r="B2" s="1">
        <v>45352</v>
      </c>
      <c r="C2" s="2">
        <v>-100</v>
      </c>
      <c r="D2" s="2">
        <v>-100</v>
      </c>
      <c r="E2" s="32" t="s">
        <v>70</v>
      </c>
      <c r="F2" s="36" t="s">
        <v>71</v>
      </c>
    </row>
    <row r="3" spans="1:8" x14ac:dyDescent="0.25">
      <c r="A3" s="31" t="s">
        <v>46</v>
      </c>
      <c r="B3" s="1">
        <v>45350</v>
      </c>
      <c r="C3" s="6">
        <v>-2.2400000000000002</v>
      </c>
      <c r="D3" s="6">
        <v>-2.2400000000000002</v>
      </c>
      <c r="E3" s="2" t="s">
        <v>44</v>
      </c>
      <c r="F3" s="36" t="s">
        <v>71</v>
      </c>
    </row>
    <row r="4" spans="1:8" x14ac:dyDescent="0.25">
      <c r="A4" t="s">
        <v>46</v>
      </c>
      <c r="B4" s="1">
        <v>45343</v>
      </c>
      <c r="C4" s="2">
        <v>-100</v>
      </c>
      <c r="D4" s="2">
        <v>-100</v>
      </c>
      <c r="E4" s="2" t="s">
        <v>7</v>
      </c>
      <c r="F4" t="s">
        <v>80</v>
      </c>
    </row>
    <row r="5" spans="1:8" x14ac:dyDescent="0.25">
      <c r="A5" t="s">
        <v>46</v>
      </c>
      <c r="B5" s="1">
        <v>45341</v>
      </c>
      <c r="C5">
        <v>-300</v>
      </c>
      <c r="D5">
        <v>-300</v>
      </c>
      <c r="E5" s="2" t="s">
        <v>7</v>
      </c>
      <c r="F5" t="s">
        <v>155</v>
      </c>
    </row>
    <row r="6" spans="1:8" x14ac:dyDescent="0.25">
      <c r="A6" s="36" t="s">
        <v>46</v>
      </c>
      <c r="B6" s="38">
        <v>45341</v>
      </c>
      <c r="C6" s="32">
        <v>-199910.39</v>
      </c>
      <c r="D6" s="32">
        <f>AhorroEgresos[[#This Row],[Monto moneda Original]]/1050</f>
        <v>-190.39084761904763</v>
      </c>
      <c r="E6" s="32" t="s">
        <v>70</v>
      </c>
      <c r="F6" s="30" t="s">
        <v>138</v>
      </c>
      <c r="H6" s="4"/>
    </row>
    <row r="7" spans="1:8" x14ac:dyDescent="0.25">
      <c r="A7" s="37" t="s">
        <v>46</v>
      </c>
      <c r="B7" s="39">
        <v>45323</v>
      </c>
      <c r="C7" s="40">
        <v>-418.26</v>
      </c>
      <c r="D7" s="40">
        <v>-418.26</v>
      </c>
      <c r="E7" s="2" t="s">
        <v>7</v>
      </c>
      <c r="F7" s="37" t="s">
        <v>81</v>
      </c>
    </row>
    <row r="8" spans="1:8" x14ac:dyDescent="0.25">
      <c r="A8" s="31" t="s">
        <v>46</v>
      </c>
      <c r="B8" s="1">
        <v>45322</v>
      </c>
      <c r="C8" s="6">
        <v>-4.99</v>
      </c>
      <c r="D8" s="6">
        <v>-4.99</v>
      </c>
      <c r="E8" s="2" t="s">
        <v>44</v>
      </c>
      <c r="F8" s="36" t="s">
        <v>71</v>
      </c>
    </row>
    <row r="9" spans="1:8" x14ac:dyDescent="0.25">
      <c r="A9" t="s">
        <v>46</v>
      </c>
      <c r="B9" s="1">
        <v>45318</v>
      </c>
      <c r="C9" s="6">
        <v>-100</v>
      </c>
      <c r="D9" s="6">
        <v>-100</v>
      </c>
      <c r="E9" s="2" t="s">
        <v>7</v>
      </c>
      <c r="F9" s="41" t="s">
        <v>7</v>
      </c>
    </row>
    <row r="10" spans="1:8" x14ac:dyDescent="0.25">
      <c r="A10" t="s">
        <v>46</v>
      </c>
      <c r="B10" s="1">
        <v>45299</v>
      </c>
      <c r="C10" s="2">
        <v>-60</v>
      </c>
      <c r="D10" s="2">
        <v>-60</v>
      </c>
      <c r="E10" s="2"/>
      <c r="F10" t="s">
        <v>57</v>
      </c>
    </row>
    <row r="11" spans="1:8" x14ac:dyDescent="0.25">
      <c r="A11" t="s">
        <v>46</v>
      </c>
      <c r="B11" s="1">
        <v>45299</v>
      </c>
      <c r="C11" s="2">
        <v>-40</v>
      </c>
      <c r="D11" s="2">
        <v>-40</v>
      </c>
      <c r="E11" s="32" t="s">
        <v>154</v>
      </c>
      <c r="F11" t="s">
        <v>154</v>
      </c>
    </row>
    <row r="12" spans="1:8" x14ac:dyDescent="0.25">
      <c r="A12" t="s">
        <v>53</v>
      </c>
      <c r="B12" s="1">
        <v>45295</v>
      </c>
      <c r="C12" s="2">
        <v>-26771</v>
      </c>
      <c r="D12" s="2">
        <f>AhorroEgresos[[#This Row],[Monto moneda Original]]/'Dolar Cotizacion'!$B$3</f>
        <v>-23.279130434782608</v>
      </c>
      <c r="E12" s="2" t="s">
        <v>44</v>
      </c>
      <c r="F12" t="s">
        <v>10</v>
      </c>
    </row>
    <row r="13" spans="1:8" x14ac:dyDescent="0.25">
      <c r="A13" t="s">
        <v>54</v>
      </c>
      <c r="B13" s="1">
        <v>45294</v>
      </c>
      <c r="C13" s="2">
        <v>-30849</v>
      </c>
      <c r="D13" s="2">
        <f>AhorroEgresos[[#This Row],[Monto moneda Original]]/'Dolar Cotizacion'!$B$3</f>
        <v>-26.825217391304349</v>
      </c>
      <c r="E13" s="2" t="s">
        <v>44</v>
      </c>
      <c r="F13" s="30" t="s">
        <v>10</v>
      </c>
    </row>
    <row r="14" spans="1:8" x14ac:dyDescent="0.25">
      <c r="A14" t="s">
        <v>46</v>
      </c>
      <c r="B14" s="1">
        <v>45288</v>
      </c>
      <c r="C14" s="32">
        <v>-100</v>
      </c>
      <c r="D14" s="32">
        <v>-100</v>
      </c>
      <c r="E14" s="2" t="s">
        <v>44</v>
      </c>
      <c r="F14" s="36" t="s">
        <v>71</v>
      </c>
    </row>
    <row r="15" spans="1:8" x14ac:dyDescent="0.25">
      <c r="A15" t="s">
        <v>46</v>
      </c>
      <c r="B15" s="1">
        <v>45287</v>
      </c>
      <c r="C15" s="6">
        <v>-4.99</v>
      </c>
      <c r="D15" s="6">
        <v>-4.99</v>
      </c>
      <c r="E15" s="2" t="s">
        <v>44</v>
      </c>
      <c r="F15" s="36" t="s">
        <v>71</v>
      </c>
    </row>
    <row r="16" spans="1:8" x14ac:dyDescent="0.25">
      <c r="A16" t="s">
        <v>46</v>
      </c>
      <c r="B16" s="1">
        <v>45287</v>
      </c>
      <c r="C16" s="2">
        <v>-200</v>
      </c>
      <c r="D16" s="2">
        <v>-200</v>
      </c>
      <c r="E16" s="2" t="s">
        <v>44</v>
      </c>
      <c r="F16" s="36" t="s">
        <v>71</v>
      </c>
    </row>
    <row r="19" spans="4:5" x14ac:dyDescent="0.25">
      <c r="D19" s="4"/>
      <c r="E19" s="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8793-CED0-4B1A-A8CD-437AF4E5485B}">
  <dimension ref="A1:H8"/>
  <sheetViews>
    <sheetView workbookViewId="0">
      <selection activeCell="A5" sqref="A5"/>
    </sheetView>
  </sheetViews>
  <sheetFormatPr baseColWidth="10" defaultRowHeight="15" x14ac:dyDescent="0.25"/>
  <cols>
    <col min="1" max="1" width="17.5703125" bestFit="1" customWidth="1"/>
    <col min="3" max="3" width="13.85546875" customWidth="1"/>
    <col min="4" max="4" width="12.7109375" customWidth="1"/>
    <col min="5" max="5" width="19.42578125" customWidth="1"/>
    <col min="6" max="6" width="13.7109375" customWidth="1"/>
    <col min="8" max="8" width="17.28515625" bestFit="1" customWidth="1"/>
  </cols>
  <sheetData>
    <row r="1" spans="1:8" x14ac:dyDescent="0.25">
      <c r="A1" s="24" t="s">
        <v>0</v>
      </c>
      <c r="B1" t="s">
        <v>1</v>
      </c>
      <c r="C1" t="s">
        <v>62</v>
      </c>
      <c r="D1" t="s">
        <v>63</v>
      </c>
      <c r="E1" t="s">
        <v>120</v>
      </c>
      <c r="F1" t="s">
        <v>121</v>
      </c>
      <c r="H1" t="s">
        <v>103</v>
      </c>
    </row>
    <row r="2" spans="1:8" x14ac:dyDescent="0.25">
      <c r="A2" t="s">
        <v>58</v>
      </c>
      <c r="B2" s="1">
        <v>45358</v>
      </c>
      <c r="C2" s="2">
        <v>15000</v>
      </c>
      <c r="D2" s="2">
        <v>18701</v>
      </c>
      <c r="E2" s="4">
        <f>InstrumentosInvertidos[[#This Row],[Valor Actual]]-InstrumentosInvertidos[[#This Row],[Valor Inicial]]</f>
        <v>3701</v>
      </c>
      <c r="F2" s="33">
        <f>InstrumentosInvertidos[[#This Row],[Ganancia/Perdida en $]]/InstrumentosInvertidos[[#This Row],[Valor Inicial]]</f>
        <v>0.24673333333333333</v>
      </c>
    </row>
    <row r="3" spans="1:8" x14ac:dyDescent="0.25">
      <c r="A3" t="s">
        <v>61</v>
      </c>
      <c r="B3" s="1">
        <v>45358</v>
      </c>
      <c r="C3" s="2">
        <v>13776</v>
      </c>
      <c r="D3" s="2">
        <v>16646</v>
      </c>
      <c r="E3" s="4">
        <f>InstrumentosInvertidos[[#This Row],[Valor Actual]]-InstrumentosInvertidos[[#This Row],[Valor Inicial]]</f>
        <v>2870</v>
      </c>
      <c r="F3" s="33">
        <f>InstrumentosInvertidos[[#This Row],[Ganancia/Perdida en $]]/InstrumentosInvertidos[[#This Row],[Valor Inicial]]</f>
        <v>0.20833333333333334</v>
      </c>
    </row>
    <row r="4" spans="1:8" x14ac:dyDescent="0.25">
      <c r="A4" t="s">
        <v>60</v>
      </c>
      <c r="B4" s="1">
        <v>45358</v>
      </c>
      <c r="C4" s="2">
        <v>16000</v>
      </c>
      <c r="D4" s="2">
        <v>17248</v>
      </c>
      <c r="E4" s="4">
        <f>InstrumentosInvertidos[[#This Row],[Valor Actual]]-InstrumentosInvertidos[[#This Row],[Valor Inicial]]</f>
        <v>1248</v>
      </c>
      <c r="F4" s="33">
        <f>InstrumentosInvertidos[[#This Row],[Ganancia/Perdida en $]]/InstrumentosInvertidos[[#This Row],[Valor Inicial]]</f>
        <v>7.8E-2</v>
      </c>
    </row>
    <row r="5" spans="1:8" x14ac:dyDescent="0.25">
      <c r="A5" t="s">
        <v>59</v>
      </c>
      <c r="B5" s="1">
        <v>45358</v>
      </c>
      <c r="C5" s="2">
        <v>9741</v>
      </c>
      <c r="D5" s="2">
        <v>12235</v>
      </c>
      <c r="E5" s="4">
        <f>InstrumentosInvertidos[[#This Row],[Valor Actual]]-InstrumentosInvertidos[[#This Row],[Valor Inicial]]</f>
        <v>2494</v>
      </c>
      <c r="F5" s="33">
        <f>InstrumentosInvertidos[[#This Row],[Ganancia/Perdida en $]]/InstrumentosInvertidos[[#This Row],[Valor Inicial]]</f>
        <v>0.25603120829483628</v>
      </c>
    </row>
    <row r="6" spans="1:8" x14ac:dyDescent="0.25">
      <c r="A6" t="s">
        <v>53</v>
      </c>
      <c r="B6" s="1">
        <v>45358</v>
      </c>
      <c r="C6" s="2">
        <v>23965</v>
      </c>
      <c r="D6" s="2">
        <v>27004</v>
      </c>
      <c r="E6" s="4">
        <f>InstrumentosInvertidos[[#This Row],[Valor Actual]]-InstrumentosInvertidos[[#This Row],[Valor Inicial]]</f>
        <v>3039</v>
      </c>
      <c r="F6" s="33">
        <f>InstrumentosInvertidos[[#This Row],[Ganancia/Perdida en $]]/InstrumentosInvertidos[[#This Row],[Valor Inicial]]</f>
        <v>0.12680993114959316</v>
      </c>
    </row>
    <row r="7" spans="1:8" x14ac:dyDescent="0.25">
      <c r="A7" t="s">
        <v>52</v>
      </c>
      <c r="B7" s="1">
        <v>45358</v>
      </c>
      <c r="C7" s="2">
        <v>50000</v>
      </c>
      <c r="D7" s="2">
        <v>49340</v>
      </c>
      <c r="E7" s="2">
        <f>InstrumentosInvertidos[[#This Row],[Valor Actual]]-InstrumentosInvertidos[[#This Row],[Valor Inicial]]</f>
        <v>-660</v>
      </c>
      <c r="F7" s="33">
        <f>InstrumentosInvertidos[[#This Row],[Ganancia/Perdida en $]]/InstrumentosInvertidos[[#This Row],[Valor Inicial]]</f>
        <v>-1.32E-2</v>
      </c>
    </row>
    <row r="8" spans="1:8" x14ac:dyDescent="0.25">
      <c r="A8" t="s">
        <v>54</v>
      </c>
      <c r="B8" s="1">
        <v>45294</v>
      </c>
      <c r="C8" s="2">
        <v>30000</v>
      </c>
      <c r="D8">
        <v>30849.9</v>
      </c>
      <c r="E8" s="4">
        <f>InstrumentosInvertidos[[#This Row],[Valor Actual]]-InstrumentosInvertidos[[#This Row],[Valor Inicial]]</f>
        <v>849.90000000000146</v>
      </c>
      <c r="F8" s="33">
        <f>InstrumentosInvertidos[[#This Row],[Ganancia/Perdida en $]]/InstrumentosInvertidos[[#This Row],[Valor Inicial]]</f>
        <v>2.833000000000005E-2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756C-FAD2-43E4-9F48-059E116545F4}">
  <dimension ref="A1:B49"/>
  <sheetViews>
    <sheetView workbookViewId="0">
      <selection activeCell="A7" sqref="A7"/>
    </sheetView>
  </sheetViews>
  <sheetFormatPr baseColWidth="10" defaultRowHeight="15" x14ac:dyDescent="0.25"/>
  <cols>
    <col min="1" max="1" width="25.7109375" bestFit="1" customWidth="1"/>
    <col min="2" max="2" width="17.140625" bestFit="1" customWidth="1"/>
  </cols>
  <sheetData>
    <row r="1" spans="1:2" x14ac:dyDescent="0.25">
      <c r="A1" t="s">
        <v>0</v>
      </c>
      <c r="B1" t="s">
        <v>39</v>
      </c>
    </row>
    <row r="2" spans="1:2" x14ac:dyDescent="0.25">
      <c r="A2" s="34" t="s">
        <v>20</v>
      </c>
      <c r="B2" s="8" t="s">
        <v>17</v>
      </c>
    </row>
    <row r="3" spans="1:2" x14ac:dyDescent="0.25">
      <c r="A3" s="34" t="s">
        <v>21</v>
      </c>
      <c r="B3" s="8" t="s">
        <v>17</v>
      </c>
    </row>
    <row r="4" spans="1:2" x14ac:dyDescent="0.25">
      <c r="A4" s="34" t="s">
        <v>18</v>
      </c>
      <c r="B4" s="8" t="s">
        <v>17</v>
      </c>
    </row>
    <row r="5" spans="1:2" x14ac:dyDescent="0.25">
      <c r="A5" s="34" t="s">
        <v>19</v>
      </c>
      <c r="B5" s="8" t="s">
        <v>17</v>
      </c>
    </row>
    <row r="6" spans="1:2" x14ac:dyDescent="0.25">
      <c r="A6" s="34" t="s">
        <v>102</v>
      </c>
      <c r="B6" s="8" t="s">
        <v>17</v>
      </c>
    </row>
    <row r="7" spans="1:2" x14ac:dyDescent="0.25">
      <c r="A7" s="34" t="s">
        <v>145</v>
      </c>
      <c r="B7" s="8" t="s">
        <v>17</v>
      </c>
    </row>
    <row r="8" spans="1:2" x14ac:dyDescent="0.25">
      <c r="A8" s="34" t="s">
        <v>136</v>
      </c>
      <c r="B8" t="s">
        <v>135</v>
      </c>
    </row>
    <row r="9" spans="1:2" x14ac:dyDescent="0.25">
      <c r="A9" s="34" t="s">
        <v>137</v>
      </c>
      <c r="B9" t="s">
        <v>135</v>
      </c>
    </row>
    <row r="10" spans="1:2" x14ac:dyDescent="0.25">
      <c r="A10" s="34" t="s">
        <v>138</v>
      </c>
      <c r="B10" t="s">
        <v>135</v>
      </c>
    </row>
    <row r="11" spans="1:2" x14ac:dyDescent="0.25">
      <c r="A11" s="34" t="s">
        <v>30</v>
      </c>
      <c r="B11" t="s">
        <v>25</v>
      </c>
    </row>
    <row r="12" spans="1:2" x14ac:dyDescent="0.25">
      <c r="A12" s="34" t="s">
        <v>28</v>
      </c>
      <c r="B12" t="s">
        <v>25</v>
      </c>
    </row>
    <row r="13" spans="1:2" x14ac:dyDescent="0.25">
      <c r="A13" s="34" t="s">
        <v>31</v>
      </c>
      <c r="B13" t="s">
        <v>25</v>
      </c>
    </row>
    <row r="14" spans="1:2" x14ac:dyDescent="0.25">
      <c r="A14" s="34" t="s">
        <v>29</v>
      </c>
      <c r="B14" t="s">
        <v>25</v>
      </c>
    </row>
    <row r="15" spans="1:2" x14ac:dyDescent="0.25">
      <c r="A15" s="34" t="s">
        <v>27</v>
      </c>
      <c r="B15" t="s">
        <v>25</v>
      </c>
    </row>
    <row r="16" spans="1:2" x14ac:dyDescent="0.25">
      <c r="A16" s="34" t="s">
        <v>26</v>
      </c>
      <c r="B16" t="s">
        <v>25</v>
      </c>
    </row>
    <row r="17" spans="1:2" x14ac:dyDescent="0.25">
      <c r="A17" s="8" t="s">
        <v>8</v>
      </c>
      <c r="B17" t="s">
        <v>32</v>
      </c>
    </row>
    <row r="18" spans="1:2" x14ac:dyDescent="0.25">
      <c r="A18" s="7" t="s">
        <v>33</v>
      </c>
      <c r="B18" t="s">
        <v>32</v>
      </c>
    </row>
    <row r="19" spans="1:2" x14ac:dyDescent="0.25">
      <c r="A19" s="8" t="s">
        <v>34</v>
      </c>
      <c r="B19" t="s">
        <v>32</v>
      </c>
    </row>
    <row r="20" spans="1:2" x14ac:dyDescent="0.25">
      <c r="A20" s="7" t="s">
        <v>5</v>
      </c>
      <c r="B20" t="s">
        <v>32</v>
      </c>
    </row>
    <row r="21" spans="1:2" x14ac:dyDescent="0.25">
      <c r="A21" s="7" t="s">
        <v>9</v>
      </c>
      <c r="B21" t="s">
        <v>32</v>
      </c>
    </row>
    <row r="22" spans="1:2" x14ac:dyDescent="0.25">
      <c r="A22" s="8" t="s">
        <v>71</v>
      </c>
      <c r="B22" t="s">
        <v>32</v>
      </c>
    </row>
    <row r="23" spans="1:2" x14ac:dyDescent="0.25">
      <c r="A23" s="7" t="s">
        <v>141</v>
      </c>
      <c r="B23" t="s">
        <v>35</v>
      </c>
    </row>
    <row r="24" spans="1:2" x14ac:dyDescent="0.25">
      <c r="A24" s="7" t="s">
        <v>143</v>
      </c>
      <c r="B24" t="s">
        <v>35</v>
      </c>
    </row>
    <row r="25" spans="1:2" x14ac:dyDescent="0.25">
      <c r="A25" s="8" t="s">
        <v>142</v>
      </c>
      <c r="B25" t="s">
        <v>35</v>
      </c>
    </row>
    <row r="26" spans="1:2" x14ac:dyDescent="0.25">
      <c r="A26" s="7" t="s">
        <v>78</v>
      </c>
      <c r="B26" t="s">
        <v>79</v>
      </c>
    </row>
    <row r="27" spans="1:2" x14ac:dyDescent="0.25">
      <c r="A27" s="8"/>
    </row>
    <row r="28" spans="1:2" x14ac:dyDescent="0.25">
      <c r="A28" s="7"/>
    </row>
    <row r="29" spans="1:2" x14ac:dyDescent="0.25">
      <c r="A29" s="8"/>
    </row>
    <row r="30" spans="1:2" x14ac:dyDescent="0.25">
      <c r="A30" s="7"/>
    </row>
    <row r="31" spans="1:2" x14ac:dyDescent="0.25">
      <c r="A31" s="8"/>
    </row>
    <row r="32" spans="1:2" x14ac:dyDescent="0.25">
      <c r="A32" s="7"/>
    </row>
    <row r="33" spans="1:2" x14ac:dyDescent="0.25">
      <c r="A33" s="8"/>
    </row>
    <row r="34" spans="1:2" x14ac:dyDescent="0.25">
      <c r="A34" s="8"/>
    </row>
    <row r="35" spans="1:2" x14ac:dyDescent="0.25">
      <c r="A35" s="7"/>
    </row>
    <row r="36" spans="1:2" x14ac:dyDescent="0.25">
      <c r="A36" s="8"/>
    </row>
    <row r="37" spans="1:2" x14ac:dyDescent="0.25">
      <c r="A37" s="21"/>
    </row>
    <row r="38" spans="1:2" x14ac:dyDescent="0.25">
      <c r="A38" s="21"/>
    </row>
    <row r="39" spans="1:2" x14ac:dyDescent="0.25">
      <c r="A39" s="21"/>
    </row>
    <row r="40" spans="1:2" x14ac:dyDescent="0.25">
      <c r="B40" s="8"/>
    </row>
    <row r="41" spans="1:2" x14ac:dyDescent="0.25">
      <c r="B41" s="7"/>
    </row>
    <row r="42" spans="1:2" x14ac:dyDescent="0.25">
      <c r="A42" s="7"/>
    </row>
    <row r="43" spans="1:2" x14ac:dyDescent="0.25">
      <c r="A43" s="8"/>
    </row>
    <row r="44" spans="1:2" x14ac:dyDescent="0.25">
      <c r="A44" s="21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2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DB26-BEEF-44D3-BAEC-25DD3C158F30}">
  <dimension ref="A1:B11"/>
  <sheetViews>
    <sheetView workbookViewId="0">
      <selection activeCell="A2" sqref="A2"/>
    </sheetView>
  </sheetViews>
  <sheetFormatPr baseColWidth="10" defaultRowHeight="15" x14ac:dyDescent="0.25"/>
  <cols>
    <col min="2" max="2" width="17" customWidth="1"/>
  </cols>
  <sheetData>
    <row r="1" spans="1:2" x14ac:dyDescent="0.25">
      <c r="A1" t="s">
        <v>23</v>
      </c>
      <c r="B1" t="s">
        <v>24</v>
      </c>
    </row>
    <row r="2" spans="1:2" x14ac:dyDescent="0.25">
      <c r="A2" s="3">
        <v>45323</v>
      </c>
      <c r="B2" s="2">
        <v>1200</v>
      </c>
    </row>
    <row r="3" spans="1:2" x14ac:dyDescent="0.25">
      <c r="A3" s="3">
        <v>45332</v>
      </c>
      <c r="B3" s="2">
        <v>1150</v>
      </c>
    </row>
    <row r="4" spans="1:2" x14ac:dyDescent="0.25">
      <c r="A4" s="3">
        <v>45352</v>
      </c>
      <c r="B4" s="2">
        <v>1000</v>
      </c>
    </row>
    <row r="5" spans="1:2" x14ac:dyDescent="0.25">
      <c r="A5" s="3">
        <v>45366</v>
      </c>
      <c r="B5" s="2"/>
    </row>
    <row r="6" spans="1:2" x14ac:dyDescent="0.25">
      <c r="A6" s="3">
        <v>45383</v>
      </c>
      <c r="B6" s="2"/>
    </row>
    <row r="7" spans="1:2" x14ac:dyDescent="0.25">
      <c r="A7" s="3">
        <v>45397</v>
      </c>
      <c r="B7" s="2"/>
    </row>
    <row r="8" spans="1:2" x14ac:dyDescent="0.25">
      <c r="A8" s="3">
        <v>45413</v>
      </c>
      <c r="B8" s="2"/>
    </row>
    <row r="9" spans="1:2" x14ac:dyDescent="0.25">
      <c r="A9" s="3">
        <v>45427</v>
      </c>
      <c r="B9" s="2"/>
    </row>
    <row r="10" spans="1:2" x14ac:dyDescent="0.25">
      <c r="A10" s="3">
        <v>45444</v>
      </c>
      <c r="B10" s="2"/>
    </row>
    <row r="11" spans="1:2" x14ac:dyDescent="0.25">
      <c r="A11" s="3">
        <v>45458</v>
      </c>
      <c r="B1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5F3C-AD49-451B-90F0-620D42C0601A}">
  <dimension ref="A1:C10"/>
  <sheetViews>
    <sheetView workbookViewId="0">
      <selection activeCell="C1" sqref="C1"/>
    </sheetView>
  </sheetViews>
  <sheetFormatPr baseColWidth="10" defaultRowHeight="15" x14ac:dyDescent="0.25"/>
  <cols>
    <col min="1" max="1" width="25.7109375" bestFit="1" customWidth="1"/>
    <col min="2" max="2" width="18.42578125" customWidth="1"/>
    <col min="3" max="3" width="17.140625" bestFit="1" customWidth="1"/>
  </cols>
  <sheetData>
    <row r="1" spans="1:3" x14ac:dyDescent="0.25">
      <c r="A1" s="7" t="s">
        <v>0</v>
      </c>
      <c r="B1" s="7" t="s">
        <v>2</v>
      </c>
      <c r="C1" s="7" t="s">
        <v>38</v>
      </c>
    </row>
    <row r="2" spans="1:3" x14ac:dyDescent="0.25">
      <c r="A2" s="8" t="s">
        <v>18</v>
      </c>
      <c r="B2" s="11">
        <f>-SUMIF(GastosRealizados[[#All],[Forma de Pago]],"=Sueldo",GastosRealizados[[#All],[Monto]])</f>
        <v>421221.15333333326</v>
      </c>
      <c r="C2" s="8" t="str">
        <f>VLOOKUP(A2,TipoIngresoEgreso[#All],2,FALSE)</f>
        <v>Ingreso Recurrente</v>
      </c>
    </row>
    <row r="3" spans="1:3" x14ac:dyDescent="0.25">
      <c r="A3" s="7" t="s">
        <v>19</v>
      </c>
      <c r="B3" s="10">
        <f>-SUMIF(GastosRealizados[[#All],[Forma de Pago]],"=Sueldo USD",GastosRealizados[[#All],[Monto]])</f>
        <v>62824.5</v>
      </c>
      <c r="C3" s="7" t="str">
        <f>VLOOKUP(A3,TipoIngresoEgreso[#All],2,FALSE)</f>
        <v>Ingreso Recurrente</v>
      </c>
    </row>
    <row r="4" spans="1:3" x14ac:dyDescent="0.25">
      <c r="A4" s="7" t="s">
        <v>20</v>
      </c>
      <c r="B4" s="7">
        <f>-SUMIF(GastosRealizados[[#All],[Forma de Pago]],"=Aguinaldo",GastosRealizados[[#All],[Monto]])</f>
        <v>0</v>
      </c>
      <c r="C4" s="7" t="str">
        <f>VLOOKUP(A4,TipoIngresoEgreso[#All],2,FALSE)</f>
        <v>Ingreso Recurrente</v>
      </c>
    </row>
    <row r="5" spans="1:3" x14ac:dyDescent="0.25">
      <c r="A5" s="8" t="s">
        <v>21</v>
      </c>
      <c r="B5" s="8">
        <f>-SUMIF(GastosRealizados[[#All],[Forma de Pago]],"=Aguinaldo USD",GastosRealizados[[#All],[Monto]])</f>
        <v>0</v>
      </c>
      <c r="C5" s="8" t="str">
        <f>VLOOKUP(A5,TipoIngresoEgreso[#All],2,FALSE)</f>
        <v>Ingreso Recurrente</v>
      </c>
    </row>
    <row r="6" spans="1:3" x14ac:dyDescent="0.25">
      <c r="A6" s="8" t="s">
        <v>145</v>
      </c>
      <c r="B6">
        <f>-SUMIF(GastosRealizados[[#All],[Forma de Pago]],"=Reintegro Servicios",GastosRealizados[[#All],[Monto]])</f>
        <v>3000</v>
      </c>
      <c r="C6" s="8" t="str">
        <f>VLOOKUP(A6,TipoIngresoEgreso[#All],2,FALSE)</f>
        <v>Ingreso Recurrente</v>
      </c>
    </row>
    <row r="7" spans="1:3" x14ac:dyDescent="0.25">
      <c r="A7" s="7" t="s">
        <v>102</v>
      </c>
      <c r="B7" s="8">
        <f>-SUMIF(GastosRealizados[[#All],[Forma de Pago]],"=Prestamo",GastosRealizados[[#All],[Monto]])</f>
        <v>0</v>
      </c>
      <c r="C7" s="8" t="str">
        <f>VLOOKUP(A7,TipoIngresoEgreso[#All],2,FALSE)</f>
        <v>Ingreso Recurrente</v>
      </c>
    </row>
    <row r="8" spans="1:3" x14ac:dyDescent="0.25">
      <c r="A8" s="7" t="s">
        <v>136</v>
      </c>
      <c r="B8" s="8">
        <f>-SUMIF(GastosRealizados[[#All],[Forma de Pago]],"=Mudanza",GastosRealizados[[#All],[Monto]])</f>
        <v>0</v>
      </c>
      <c r="C8" s="8" t="str">
        <f>VLOOKUP(A8,TipoIngresoEgreso[#All],2,FALSE)</f>
        <v>Ahorros</v>
      </c>
    </row>
    <row r="9" spans="1:3" x14ac:dyDescent="0.25">
      <c r="A9" s="8" t="s">
        <v>137</v>
      </c>
      <c r="B9" s="8">
        <f>-SUMIF(GastosRealizados[[#All],[Forma de Pago]],"=Muebles",GastosRealizados[[#All],[Monto]])</f>
        <v>80000</v>
      </c>
      <c r="C9" s="8" t="str">
        <f>VLOOKUP(A9,TipoIngresoEgreso[#All],2,FALSE)</f>
        <v>Ahorros</v>
      </c>
    </row>
    <row r="10" spans="1:3" x14ac:dyDescent="0.25">
      <c r="A10" s="7" t="s">
        <v>138</v>
      </c>
      <c r="B10" s="8">
        <f>-SUMIF(GastosRealizados[[#All],[Forma de Pago]],"=Vacaciones",GastosRealizados[[#All],[Monto]])</f>
        <v>0</v>
      </c>
      <c r="C10" s="8" t="str">
        <f>VLOOKUP(A10,TipoIngresoEgreso[#All],2,FALSE)</f>
        <v>Ahorros</v>
      </c>
    </row>
  </sheetData>
  <autoFilter ref="A1:C19" xr:uid="{4F7E5F3C-AD49-451B-90F0-620D42C0601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ADCA-5CB6-48B9-97D9-5D4D9DFB9979}">
  <dimension ref="A1:H11"/>
  <sheetViews>
    <sheetView zoomScale="80" zoomScaleNormal="80" workbookViewId="0">
      <selection activeCell="B8" sqref="B8"/>
    </sheetView>
  </sheetViews>
  <sheetFormatPr baseColWidth="10" defaultRowHeight="15" x14ac:dyDescent="0.25"/>
  <cols>
    <col min="1" max="1" width="18.140625" bestFit="1" customWidth="1"/>
    <col min="2" max="2" width="23.140625" bestFit="1" customWidth="1"/>
    <col min="3" max="8" width="13.7109375" bestFit="1" customWidth="1"/>
  </cols>
  <sheetData>
    <row r="1" spans="1:8" x14ac:dyDescent="0.25">
      <c r="A1" s="18" t="s">
        <v>128</v>
      </c>
      <c r="B1" t="s">
        <v>153</v>
      </c>
    </row>
    <row r="3" spans="1:8" x14ac:dyDescent="0.25">
      <c r="A3" s="18" t="s">
        <v>129</v>
      </c>
      <c r="B3" s="18" t="s">
        <v>134</v>
      </c>
    </row>
    <row r="4" spans="1:8" x14ac:dyDescent="0.25">
      <c r="A4" s="18" t="s">
        <v>40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73</v>
      </c>
      <c r="H4" t="s">
        <v>41</v>
      </c>
    </row>
    <row r="5" spans="1:8" x14ac:dyDescent="0.25">
      <c r="A5" s="19" t="s">
        <v>135</v>
      </c>
      <c r="B5" s="49">
        <v>803288.18</v>
      </c>
      <c r="C5" s="49">
        <v>80000</v>
      </c>
      <c r="D5" s="49">
        <v>170000</v>
      </c>
      <c r="E5" s="49">
        <v>380000</v>
      </c>
      <c r="F5" s="49">
        <v>80000</v>
      </c>
      <c r="G5" s="49">
        <v>0</v>
      </c>
      <c r="H5" s="49">
        <v>1513288.1800000002</v>
      </c>
    </row>
    <row r="6" spans="1:8" x14ac:dyDescent="0.25">
      <c r="A6" s="19" t="s">
        <v>35</v>
      </c>
      <c r="B6" s="49">
        <v>-803288.18</v>
      </c>
      <c r="C6" s="49">
        <v>-80000</v>
      </c>
      <c r="D6" s="49">
        <v>-170000</v>
      </c>
      <c r="E6" s="49">
        <v>-380000</v>
      </c>
      <c r="F6" s="49">
        <v>-80000</v>
      </c>
      <c r="G6" s="49">
        <v>0</v>
      </c>
      <c r="H6" s="49">
        <v>-1513288.1800000002</v>
      </c>
    </row>
    <row r="7" spans="1:8" x14ac:dyDescent="0.25">
      <c r="A7" s="19" t="s">
        <v>25</v>
      </c>
      <c r="B7" s="49">
        <v>-18944.900000000001</v>
      </c>
      <c r="C7" s="49">
        <v>-236754.87</v>
      </c>
      <c r="D7" s="49">
        <v>-245952.37507000001</v>
      </c>
      <c r="E7" s="49">
        <v>-335792.66007839999</v>
      </c>
      <c r="F7" s="49">
        <v>-339699.32608624001</v>
      </c>
      <c r="G7" s="49">
        <v>-342417.0588035704</v>
      </c>
      <c r="H7" s="49">
        <v>-1519561.1900382102</v>
      </c>
    </row>
    <row r="8" spans="1:8" x14ac:dyDescent="0.25">
      <c r="A8" s="19" t="s">
        <v>32</v>
      </c>
      <c r="B8" s="49">
        <v>-419932.17000000004</v>
      </c>
      <c r="C8" s="49">
        <v>-355548.37333333329</v>
      </c>
      <c r="D8" s="49">
        <v>-378921.7</v>
      </c>
      <c r="E8" s="49">
        <v>-325739.03400000004</v>
      </c>
      <c r="F8" s="49">
        <v>-340637.77440000005</v>
      </c>
      <c r="G8" s="49">
        <v>-369591.98522400012</v>
      </c>
      <c r="H8" s="49">
        <v>-2190371.0369573333</v>
      </c>
    </row>
    <row r="9" spans="1:8" x14ac:dyDescent="0.25">
      <c r="A9" s="19" t="s">
        <v>17</v>
      </c>
      <c r="B9" s="49">
        <v>604616.66</v>
      </c>
      <c r="C9" s="49">
        <v>630690</v>
      </c>
      <c r="D9" s="49">
        <v>627000</v>
      </c>
      <c r="E9" s="49">
        <v>627000</v>
      </c>
      <c r="F9" s="49">
        <v>627000</v>
      </c>
      <c r="G9" s="49">
        <v>917000</v>
      </c>
      <c r="H9" s="49">
        <v>4033306.66</v>
      </c>
    </row>
    <row r="10" spans="1:8" x14ac:dyDescent="0.25">
      <c r="A10" s="19" t="s">
        <v>79</v>
      </c>
      <c r="B10" s="49">
        <v>-105841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-105841</v>
      </c>
    </row>
    <row r="11" spans="1:8" x14ac:dyDescent="0.25">
      <c r="A11" s="19" t="s">
        <v>41</v>
      </c>
      <c r="B11" s="49">
        <v>59898.589999999967</v>
      </c>
      <c r="C11" s="49">
        <v>38386.756666666712</v>
      </c>
      <c r="D11" s="49">
        <v>2125.9249299999792</v>
      </c>
      <c r="E11" s="49">
        <v>-34531.694078400033</v>
      </c>
      <c r="F11" s="49">
        <v>-53337.100486240117</v>
      </c>
      <c r="G11" s="49">
        <v>204990.95597242948</v>
      </c>
      <c r="H11" s="49">
        <v>217533.43300445657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A878-CC31-474F-B86E-FD029B037BF6}">
  <dimension ref="A1:H9"/>
  <sheetViews>
    <sheetView topLeftCell="A6" zoomScale="80" zoomScaleNormal="80" workbookViewId="0">
      <selection activeCell="B9" sqref="B9"/>
    </sheetView>
  </sheetViews>
  <sheetFormatPr baseColWidth="10" defaultRowHeight="15" x14ac:dyDescent="0.25"/>
  <cols>
    <col min="1" max="1" width="18.140625" bestFit="1" customWidth="1"/>
    <col min="2" max="2" width="23.140625" bestFit="1" customWidth="1"/>
    <col min="3" max="3" width="15" bestFit="1" customWidth="1"/>
    <col min="4" max="4" width="13.7109375" bestFit="1" customWidth="1"/>
    <col min="5" max="5" width="16.42578125" bestFit="1" customWidth="1"/>
    <col min="6" max="6" width="18.42578125" bestFit="1" customWidth="1"/>
    <col min="7" max="7" width="9.42578125" bestFit="1" customWidth="1"/>
    <col min="8" max="8" width="13.7109375" bestFit="1" customWidth="1"/>
  </cols>
  <sheetData>
    <row r="1" spans="1:8" x14ac:dyDescent="0.25">
      <c r="A1" s="18" t="s">
        <v>129</v>
      </c>
      <c r="B1" s="18" t="s">
        <v>134</v>
      </c>
    </row>
    <row r="2" spans="1:8" x14ac:dyDescent="0.25">
      <c r="A2" s="18" t="s">
        <v>40</v>
      </c>
      <c r="B2" t="s">
        <v>135</v>
      </c>
      <c r="C2" t="s">
        <v>35</v>
      </c>
      <c r="D2" t="s">
        <v>25</v>
      </c>
      <c r="E2" t="s">
        <v>32</v>
      </c>
      <c r="F2" t="s">
        <v>17</v>
      </c>
      <c r="G2" t="s">
        <v>79</v>
      </c>
      <c r="H2" t="s">
        <v>41</v>
      </c>
    </row>
    <row r="3" spans="1:8" x14ac:dyDescent="0.25">
      <c r="A3" s="19" t="s">
        <v>12</v>
      </c>
      <c r="B3" s="49">
        <v>803288.18</v>
      </c>
      <c r="C3" s="49">
        <v>-803288.18</v>
      </c>
      <c r="D3" s="49">
        <v>-18944.900000000001</v>
      </c>
      <c r="E3" s="49">
        <v>-419932.17000000004</v>
      </c>
      <c r="F3" s="49">
        <v>604616.66</v>
      </c>
      <c r="G3" s="49">
        <v>-105841</v>
      </c>
      <c r="H3" s="49">
        <v>59898.589999999967</v>
      </c>
    </row>
    <row r="4" spans="1:8" x14ac:dyDescent="0.25">
      <c r="A4" s="19" t="s">
        <v>13</v>
      </c>
      <c r="B4" s="49">
        <v>80000</v>
      </c>
      <c r="C4" s="49">
        <v>-80000</v>
      </c>
      <c r="D4" s="49">
        <v>-236754.87</v>
      </c>
      <c r="E4" s="49">
        <v>-355548.37333333329</v>
      </c>
      <c r="F4" s="49">
        <v>630690</v>
      </c>
      <c r="G4" s="49">
        <v>0</v>
      </c>
      <c r="H4" s="49">
        <v>38386.756666666712</v>
      </c>
    </row>
    <row r="5" spans="1:8" x14ac:dyDescent="0.25">
      <c r="A5" s="19" t="s">
        <v>14</v>
      </c>
      <c r="B5" s="49">
        <v>170000</v>
      </c>
      <c r="C5" s="49">
        <v>-170000</v>
      </c>
      <c r="D5" s="49">
        <v>-245952.37507000001</v>
      </c>
      <c r="E5" s="49">
        <v>-378921.7</v>
      </c>
      <c r="F5" s="49">
        <v>627000</v>
      </c>
      <c r="G5" s="49">
        <v>0</v>
      </c>
      <c r="H5" s="49">
        <v>2125.9249299999792</v>
      </c>
    </row>
    <row r="6" spans="1:8" x14ac:dyDescent="0.25">
      <c r="A6" s="19" t="s">
        <v>15</v>
      </c>
      <c r="B6" s="49">
        <v>380000</v>
      </c>
      <c r="C6" s="49">
        <v>-380000</v>
      </c>
      <c r="D6" s="49">
        <v>-335792.66007839999</v>
      </c>
      <c r="E6" s="49">
        <v>-325739.03400000004</v>
      </c>
      <c r="F6" s="49">
        <v>627000</v>
      </c>
      <c r="G6" s="49">
        <v>0</v>
      </c>
      <c r="H6" s="49">
        <v>-34531.694078400033</v>
      </c>
    </row>
    <row r="7" spans="1:8" x14ac:dyDescent="0.25">
      <c r="A7" s="19" t="s">
        <v>16</v>
      </c>
      <c r="B7" s="49">
        <v>80000</v>
      </c>
      <c r="C7" s="49">
        <v>-80000</v>
      </c>
      <c r="D7" s="49">
        <v>-339699.32608624001</v>
      </c>
      <c r="E7" s="49">
        <v>-340637.77440000005</v>
      </c>
      <c r="F7" s="49">
        <v>627000</v>
      </c>
      <c r="G7" s="49">
        <v>0</v>
      </c>
      <c r="H7" s="49">
        <v>-53337.100486240117</v>
      </c>
    </row>
    <row r="8" spans="1:8" x14ac:dyDescent="0.25">
      <c r="A8" s="19" t="s">
        <v>73</v>
      </c>
      <c r="B8" s="49">
        <v>0</v>
      </c>
      <c r="C8" s="49">
        <v>0</v>
      </c>
      <c r="D8" s="49">
        <v>-342417.0588035704</v>
      </c>
      <c r="E8" s="49">
        <v>-369591.98522400012</v>
      </c>
      <c r="F8" s="49">
        <v>917000</v>
      </c>
      <c r="G8" s="49">
        <v>0</v>
      </c>
      <c r="H8" s="49">
        <v>204990.95597242948</v>
      </c>
    </row>
    <row r="9" spans="1:8" x14ac:dyDescent="0.25">
      <c r="A9" s="19" t="s">
        <v>41</v>
      </c>
      <c r="B9" s="49">
        <v>1513288.1800000002</v>
      </c>
      <c r="C9" s="49">
        <v>-1513288.1800000002</v>
      </c>
      <c r="D9" s="49">
        <v>-1519561.1900382102</v>
      </c>
      <c r="E9" s="49">
        <v>-2190371.0369573333</v>
      </c>
      <c r="F9" s="49">
        <v>4033306.66</v>
      </c>
      <c r="G9" s="49">
        <v>-105841</v>
      </c>
      <c r="H9" s="49">
        <v>217533.43300445599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D5C6-74AB-432A-A6A6-6AFC27D0305F}">
  <dimension ref="A3:G38"/>
  <sheetViews>
    <sheetView showGridLines="0" zoomScale="80" zoomScaleNormal="80" workbookViewId="0">
      <selection activeCell="C26" sqref="C26"/>
    </sheetView>
  </sheetViews>
  <sheetFormatPr baseColWidth="10" defaultRowHeight="15" x14ac:dyDescent="0.25"/>
  <cols>
    <col min="1" max="1" width="23.42578125" bestFit="1" customWidth="1"/>
    <col min="2" max="2" width="13.85546875" bestFit="1" customWidth="1"/>
    <col min="3" max="4" width="12.28515625" bestFit="1" customWidth="1"/>
    <col min="5" max="5" width="13.85546875" bestFit="1" customWidth="1"/>
    <col min="6" max="7" width="12.28515625" bestFit="1" customWidth="1"/>
    <col min="8" max="8" width="11.140625" bestFit="1" customWidth="1"/>
  </cols>
  <sheetData>
    <row r="3" spans="1:7" x14ac:dyDescent="0.25">
      <c r="A3" s="18" t="s">
        <v>129</v>
      </c>
      <c r="B3" s="18" t="s">
        <v>130</v>
      </c>
    </row>
    <row r="4" spans="1:7" x14ac:dyDescent="0.25">
      <c r="A4" s="18" t="s">
        <v>37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73</v>
      </c>
    </row>
    <row r="5" spans="1:7" x14ac:dyDescent="0.25">
      <c r="A5" s="19" t="s">
        <v>66</v>
      </c>
      <c r="B5" s="4">
        <v>1407904.84</v>
      </c>
      <c r="C5" s="4">
        <v>710690</v>
      </c>
      <c r="D5" s="4">
        <v>797000</v>
      </c>
      <c r="E5" s="4">
        <v>1007000</v>
      </c>
      <c r="F5" s="4">
        <v>707000</v>
      </c>
      <c r="G5" s="4">
        <v>917000</v>
      </c>
    </row>
    <row r="6" spans="1:7" x14ac:dyDescent="0.25">
      <c r="A6" s="20" t="s">
        <v>17</v>
      </c>
      <c r="B6" s="4">
        <v>604616.66</v>
      </c>
      <c r="C6" s="4">
        <v>630690</v>
      </c>
      <c r="D6" s="4">
        <v>627000</v>
      </c>
      <c r="E6" s="4">
        <v>627000</v>
      </c>
      <c r="F6" s="4">
        <v>627000</v>
      </c>
      <c r="G6" s="4">
        <v>917000</v>
      </c>
    </row>
    <row r="7" spans="1:7" x14ac:dyDescent="0.25">
      <c r="A7" s="34" t="s">
        <v>20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225000</v>
      </c>
    </row>
    <row r="8" spans="1:7" x14ac:dyDescent="0.25">
      <c r="A8" s="34" t="s">
        <v>21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65000</v>
      </c>
    </row>
    <row r="9" spans="1:7" x14ac:dyDescent="0.25">
      <c r="A9" s="34" t="s">
        <v>18</v>
      </c>
      <c r="B9" s="4">
        <v>401684.66</v>
      </c>
      <c r="C9" s="4">
        <v>421690</v>
      </c>
      <c r="D9" s="4">
        <v>450000</v>
      </c>
      <c r="E9" s="4">
        <v>450000</v>
      </c>
      <c r="F9" s="4">
        <v>450000</v>
      </c>
      <c r="G9" s="4">
        <v>450000</v>
      </c>
    </row>
    <row r="10" spans="1:7" x14ac:dyDescent="0.25">
      <c r="A10" s="34" t="s">
        <v>19</v>
      </c>
      <c r="B10" s="4">
        <v>190932.00000000003</v>
      </c>
      <c r="C10" s="4">
        <v>162000</v>
      </c>
      <c r="D10" s="4">
        <v>130000</v>
      </c>
      <c r="E10" s="4">
        <v>130000</v>
      </c>
      <c r="F10" s="4">
        <v>130000</v>
      </c>
      <c r="G10" s="4">
        <v>130000</v>
      </c>
    </row>
    <row r="11" spans="1:7" x14ac:dyDescent="0.25">
      <c r="A11" s="34" t="s">
        <v>102</v>
      </c>
      <c r="B11" s="4">
        <v>0</v>
      </c>
      <c r="C11" s="4">
        <v>30000</v>
      </c>
      <c r="D11" s="4">
        <v>30000</v>
      </c>
      <c r="E11" s="4">
        <v>30000</v>
      </c>
      <c r="F11" s="4">
        <v>30000</v>
      </c>
      <c r="G11" s="4">
        <v>30000</v>
      </c>
    </row>
    <row r="12" spans="1:7" x14ac:dyDescent="0.25">
      <c r="A12" s="34" t="s">
        <v>145</v>
      </c>
      <c r="B12" s="4">
        <v>12000</v>
      </c>
      <c r="C12" s="4">
        <v>17000</v>
      </c>
      <c r="D12" s="4">
        <v>17000</v>
      </c>
      <c r="E12" s="4">
        <v>17000</v>
      </c>
      <c r="F12" s="4">
        <v>17000</v>
      </c>
      <c r="G12" s="4">
        <v>17000</v>
      </c>
    </row>
    <row r="13" spans="1:7" x14ac:dyDescent="0.25">
      <c r="A13" s="20" t="s">
        <v>135</v>
      </c>
      <c r="B13" s="4">
        <v>803288.18</v>
      </c>
      <c r="C13" s="4">
        <v>80000</v>
      </c>
      <c r="D13" s="4">
        <v>170000</v>
      </c>
      <c r="E13" s="4">
        <v>380000</v>
      </c>
      <c r="F13" s="4">
        <v>80000</v>
      </c>
      <c r="G13" s="4">
        <v>0</v>
      </c>
    </row>
    <row r="14" spans="1:7" x14ac:dyDescent="0.25">
      <c r="A14" s="34" t="s">
        <v>136</v>
      </c>
      <c r="B14" s="4">
        <v>803288.18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A15" s="34" t="s">
        <v>137</v>
      </c>
      <c r="B15" s="4"/>
      <c r="C15" s="4">
        <v>80000</v>
      </c>
      <c r="D15" s="4">
        <v>80000</v>
      </c>
      <c r="E15" s="4">
        <v>80000</v>
      </c>
      <c r="F15" s="4">
        <v>80000</v>
      </c>
      <c r="G15" s="4">
        <v>0</v>
      </c>
    </row>
    <row r="16" spans="1:7" x14ac:dyDescent="0.25">
      <c r="A16" s="34" t="s">
        <v>138</v>
      </c>
      <c r="B16" s="4"/>
      <c r="C16" s="4"/>
      <c r="D16" s="4">
        <v>90000</v>
      </c>
      <c r="E16" s="4">
        <v>300000</v>
      </c>
      <c r="F16" s="4">
        <v>0</v>
      </c>
      <c r="G16" s="4">
        <v>0</v>
      </c>
    </row>
    <row r="17" spans="1:7" x14ac:dyDescent="0.25">
      <c r="A17" s="19" t="s">
        <v>140</v>
      </c>
      <c r="B17" s="4">
        <v>-1348006.25</v>
      </c>
      <c r="C17" s="4">
        <v>-672303.24333333329</v>
      </c>
      <c r="D17" s="4">
        <v>-794874.07507000002</v>
      </c>
      <c r="E17" s="4">
        <v>-1041531.6940783999</v>
      </c>
      <c r="F17" s="4">
        <v>-760337.10048624</v>
      </c>
      <c r="G17" s="4">
        <v>-712009.04402757052</v>
      </c>
    </row>
    <row r="18" spans="1:7" x14ac:dyDescent="0.25">
      <c r="A18" s="20" t="s">
        <v>25</v>
      </c>
      <c r="B18" s="4">
        <v>-18944.900000000001</v>
      </c>
      <c r="C18" s="4">
        <v>-236754.87</v>
      </c>
      <c r="D18" s="4">
        <v>-245952.37507000001</v>
      </c>
      <c r="E18" s="4">
        <v>-335792.66007839999</v>
      </c>
      <c r="F18" s="4">
        <v>-339699.32608624001</v>
      </c>
      <c r="G18" s="4">
        <v>-342417.0588035704</v>
      </c>
    </row>
    <row r="19" spans="1:7" x14ac:dyDescent="0.25">
      <c r="A19" s="34" t="s">
        <v>30</v>
      </c>
      <c r="B19" s="4">
        <v>0</v>
      </c>
      <c r="C19" s="4">
        <v>-200000</v>
      </c>
      <c r="D19" s="4">
        <v>-200000</v>
      </c>
      <c r="E19" s="4">
        <v>-284200</v>
      </c>
      <c r="F19" s="4">
        <v>-284200</v>
      </c>
      <c r="G19" s="4">
        <v>-284200</v>
      </c>
    </row>
    <row r="20" spans="1:7" x14ac:dyDescent="0.25">
      <c r="A20" s="34" t="s">
        <v>28</v>
      </c>
      <c r="B20" s="4">
        <v>-6800</v>
      </c>
      <c r="C20" s="4">
        <v>-10335</v>
      </c>
      <c r="D20" s="4">
        <v>-11812.905000000001</v>
      </c>
      <c r="E20" s="4">
        <v>-13230.453600000003</v>
      </c>
      <c r="F20" s="4">
        <v>-14553.498960000004</v>
      </c>
      <c r="G20" s="4">
        <v>-15790.546371600005</v>
      </c>
    </row>
    <row r="21" spans="1:7" x14ac:dyDescent="0.25">
      <c r="A21" s="34" t="s">
        <v>31</v>
      </c>
      <c r="B21" s="4">
        <v>0</v>
      </c>
      <c r="C21" s="4">
        <v>-12000</v>
      </c>
      <c r="D21" s="4">
        <v>-12000</v>
      </c>
      <c r="E21" s="4">
        <v>-14525.999999999998</v>
      </c>
      <c r="F21" s="4">
        <v>-14525.999999999998</v>
      </c>
      <c r="G21" s="4">
        <v>-14525.999999999998</v>
      </c>
    </row>
    <row r="22" spans="1:7" x14ac:dyDescent="0.25">
      <c r="A22" s="34" t="s">
        <v>29</v>
      </c>
      <c r="B22" s="4">
        <v>0</v>
      </c>
      <c r="C22" s="4">
        <v>0</v>
      </c>
      <c r="D22" s="4">
        <v>-2000</v>
      </c>
      <c r="E22" s="4">
        <v>-2000</v>
      </c>
      <c r="F22" s="4">
        <v>-2000</v>
      </c>
      <c r="G22" s="4">
        <v>-2000</v>
      </c>
    </row>
    <row r="23" spans="1:7" x14ac:dyDescent="0.25">
      <c r="A23" s="34" t="s">
        <v>27</v>
      </c>
      <c r="B23" s="4">
        <v>-10039.9</v>
      </c>
      <c r="C23" s="4">
        <v>-12370.49</v>
      </c>
      <c r="D23" s="4">
        <v>-14139.470069999999</v>
      </c>
      <c r="E23" s="4">
        <v>-15836.206478400001</v>
      </c>
      <c r="F23" s="4">
        <v>-17419.827126240001</v>
      </c>
      <c r="G23" s="4">
        <v>-18900.512431970401</v>
      </c>
    </row>
    <row r="24" spans="1:7" x14ac:dyDescent="0.25">
      <c r="A24" s="34" t="s">
        <v>26</v>
      </c>
      <c r="B24" s="4">
        <v>-2105</v>
      </c>
      <c r="C24" s="4">
        <v>-2049.38</v>
      </c>
      <c r="D24" s="4">
        <v>-6000</v>
      </c>
      <c r="E24" s="4">
        <v>-6000</v>
      </c>
      <c r="F24" s="4">
        <v>-7000</v>
      </c>
      <c r="G24" s="4">
        <v>-7000</v>
      </c>
    </row>
    <row r="25" spans="1:7" x14ac:dyDescent="0.25">
      <c r="A25" s="20" t="s">
        <v>32</v>
      </c>
      <c r="B25" s="4">
        <v>-419932.17000000004</v>
      </c>
      <c r="C25" s="4">
        <v>-355548.37333333329</v>
      </c>
      <c r="D25" s="4">
        <v>-378921.7</v>
      </c>
      <c r="E25" s="4">
        <v>-325739.03400000004</v>
      </c>
      <c r="F25" s="4">
        <v>-340637.77440000011</v>
      </c>
      <c r="G25" s="4">
        <v>-369591.98522400006</v>
      </c>
    </row>
    <row r="26" spans="1:7" x14ac:dyDescent="0.25">
      <c r="A26" s="34" t="s">
        <v>8</v>
      </c>
      <c r="B26" s="4">
        <v>-43808</v>
      </c>
      <c r="C26" s="4">
        <v>-35400</v>
      </c>
      <c r="D26" s="4">
        <v>-40462.199999999997</v>
      </c>
      <c r="E26" s="4">
        <v>-45317.664000000004</v>
      </c>
      <c r="F26" s="4">
        <v>-49849.430400000012</v>
      </c>
      <c r="G26" s="4">
        <v>-54086.631984000014</v>
      </c>
    </row>
    <row r="27" spans="1:7" x14ac:dyDescent="0.25">
      <c r="A27" s="34" t="s">
        <v>33</v>
      </c>
      <c r="B27" s="4">
        <v>-70716</v>
      </c>
      <c r="C27" s="4">
        <v>-82600</v>
      </c>
      <c r="D27" s="4">
        <v>-94411.8</v>
      </c>
      <c r="E27" s="4">
        <v>-105741.21600000001</v>
      </c>
      <c r="F27" s="4">
        <v>-116315.33760000003</v>
      </c>
      <c r="G27" s="4">
        <v>-126202.14129600003</v>
      </c>
    </row>
    <row r="28" spans="1:7" x14ac:dyDescent="0.25">
      <c r="A28" s="34" t="s">
        <v>34</v>
      </c>
      <c r="B28" s="4">
        <v>0</v>
      </c>
      <c r="C28" s="4">
        <v>0</v>
      </c>
      <c r="D28" s="4">
        <v>-50000</v>
      </c>
      <c r="E28" s="4">
        <v>0</v>
      </c>
      <c r="F28" s="4">
        <v>0</v>
      </c>
      <c r="G28" s="4">
        <v>0</v>
      </c>
    </row>
    <row r="29" spans="1:7" x14ac:dyDescent="0.25">
      <c r="A29" s="34" t="s">
        <v>5</v>
      </c>
      <c r="B29" s="4">
        <v>-102130</v>
      </c>
      <c r="C29" s="4">
        <v>-82600</v>
      </c>
      <c r="D29" s="4">
        <v>-94411.8</v>
      </c>
      <c r="E29" s="4">
        <v>-105741.21600000001</v>
      </c>
      <c r="F29" s="4">
        <v>-116315.33760000003</v>
      </c>
      <c r="G29" s="4">
        <v>-126202.14129600003</v>
      </c>
    </row>
    <row r="30" spans="1:7" x14ac:dyDescent="0.25">
      <c r="A30" s="34" t="s">
        <v>9</v>
      </c>
      <c r="B30" s="4">
        <v>-14090</v>
      </c>
      <c r="C30" s="4">
        <v>-41300</v>
      </c>
      <c r="D30" s="4">
        <v>-47205.9</v>
      </c>
      <c r="E30" s="4">
        <v>-52870.608000000007</v>
      </c>
      <c r="F30" s="4">
        <v>-58157.668800000014</v>
      </c>
      <c r="G30" s="4">
        <v>-63101.070648000015</v>
      </c>
    </row>
    <row r="31" spans="1:7" x14ac:dyDescent="0.25">
      <c r="A31" s="34" t="s">
        <v>71</v>
      </c>
      <c r="B31" s="4">
        <v>-189188.17</v>
      </c>
      <c r="C31" s="4">
        <v>-113648.37333333331</v>
      </c>
      <c r="D31" s="4">
        <v>-52430</v>
      </c>
      <c r="E31" s="4">
        <v>-16068.33</v>
      </c>
      <c r="F31" s="4">
        <v>0</v>
      </c>
      <c r="G31" s="4">
        <v>0</v>
      </c>
    </row>
    <row r="32" spans="1:7" x14ac:dyDescent="0.25">
      <c r="A32" s="20" t="s">
        <v>35</v>
      </c>
      <c r="B32" s="4">
        <v>-803288.18</v>
      </c>
      <c r="C32" s="4">
        <v>-80000</v>
      </c>
      <c r="D32" s="4">
        <v>-170000</v>
      </c>
      <c r="E32" s="4">
        <v>-380000</v>
      </c>
      <c r="F32" s="4">
        <v>-80000</v>
      </c>
      <c r="G32" s="4">
        <v>0</v>
      </c>
    </row>
    <row r="33" spans="1:7" x14ac:dyDescent="0.25">
      <c r="A33" s="34" t="s">
        <v>141</v>
      </c>
      <c r="B33" s="4">
        <v>-803288.18</v>
      </c>
      <c r="C33" s="4"/>
      <c r="D33" s="4"/>
      <c r="E33" s="4"/>
      <c r="F33" s="4"/>
      <c r="G33" s="4"/>
    </row>
    <row r="34" spans="1:7" x14ac:dyDescent="0.25">
      <c r="A34" s="34" t="s">
        <v>143</v>
      </c>
      <c r="B34" s="4"/>
      <c r="C34" s="4"/>
      <c r="D34" s="4">
        <v>-90000</v>
      </c>
      <c r="E34" s="4">
        <v>-300000</v>
      </c>
      <c r="F34" s="4">
        <v>0</v>
      </c>
      <c r="G34" s="4">
        <v>0</v>
      </c>
    </row>
    <row r="35" spans="1:7" x14ac:dyDescent="0.25">
      <c r="A35" s="34" t="s">
        <v>142</v>
      </c>
      <c r="B35" s="4"/>
      <c r="C35" s="4">
        <v>-80000</v>
      </c>
      <c r="D35" s="4">
        <v>-80000</v>
      </c>
      <c r="E35" s="4">
        <v>-80000</v>
      </c>
      <c r="F35" s="4">
        <v>-80000</v>
      </c>
      <c r="G35" s="4">
        <v>0</v>
      </c>
    </row>
    <row r="36" spans="1:7" x14ac:dyDescent="0.25">
      <c r="A36" s="20" t="s">
        <v>79</v>
      </c>
      <c r="B36" s="4">
        <v>-105841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5">
      <c r="A37" s="34" t="s">
        <v>78</v>
      </c>
      <c r="B37" s="4">
        <v>-105841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s="19" t="s">
        <v>41</v>
      </c>
      <c r="B38" s="4">
        <v>59898.590000000084</v>
      </c>
      <c r="C38" s="4">
        <v>38386.756666666697</v>
      </c>
      <c r="D38" s="4">
        <v>2125.9249299999501</v>
      </c>
      <c r="E38" s="4">
        <v>-34531.694078400091</v>
      </c>
      <c r="F38" s="4">
        <v>-53337.100486240088</v>
      </c>
      <c r="G38" s="4">
        <v>204990.95597242939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AD84-2B5A-45F3-AE66-F331C0FF1AF3}">
  <dimension ref="A1:F142"/>
  <sheetViews>
    <sheetView zoomScale="90" zoomScaleNormal="90" workbookViewId="0"/>
  </sheetViews>
  <sheetFormatPr baseColWidth="10" defaultRowHeight="15" x14ac:dyDescent="0.25"/>
  <cols>
    <col min="1" max="1" width="25.7109375" bestFit="1" customWidth="1"/>
    <col min="2" max="2" width="12.140625" bestFit="1" customWidth="1"/>
    <col min="5" max="5" width="18.7109375" customWidth="1"/>
  </cols>
  <sheetData>
    <row r="1" spans="1:6" x14ac:dyDescent="0.25">
      <c r="A1" t="s">
        <v>126</v>
      </c>
      <c r="B1" t="s">
        <v>127</v>
      </c>
      <c r="C1" t="s">
        <v>72</v>
      </c>
      <c r="D1" t="s">
        <v>131</v>
      </c>
      <c r="E1" t="s">
        <v>139</v>
      </c>
      <c r="F1" t="s">
        <v>128</v>
      </c>
    </row>
    <row r="2" spans="1:6" x14ac:dyDescent="0.25">
      <c r="A2" s="8" t="s">
        <v>18</v>
      </c>
      <c r="B2">
        <v>401684.66</v>
      </c>
      <c r="C2" t="s">
        <v>12</v>
      </c>
      <c r="D2">
        <v>2</v>
      </c>
      <c r="E2" s="12" t="s">
        <v>17</v>
      </c>
      <c r="F2" t="s">
        <v>66</v>
      </c>
    </row>
    <row r="3" spans="1:6" x14ac:dyDescent="0.25">
      <c r="A3" s="7" t="s">
        <v>19</v>
      </c>
      <c r="B3" s="4">
        <f>159.11*'Dolar Cotizacion'!B2</f>
        <v>190932.00000000003</v>
      </c>
      <c r="C3" t="s">
        <v>12</v>
      </c>
      <c r="D3">
        <v>2</v>
      </c>
      <c r="E3" s="12" t="s">
        <v>17</v>
      </c>
      <c r="F3" t="s">
        <v>66</v>
      </c>
    </row>
    <row r="4" spans="1:6" x14ac:dyDescent="0.25">
      <c r="A4" s="8" t="s">
        <v>145</v>
      </c>
      <c r="B4">
        <v>12000</v>
      </c>
      <c r="C4" t="s">
        <v>12</v>
      </c>
      <c r="D4">
        <v>2</v>
      </c>
      <c r="E4" s="12" t="s">
        <v>17</v>
      </c>
      <c r="F4" t="s">
        <v>66</v>
      </c>
    </row>
    <row r="5" spans="1:6" x14ac:dyDescent="0.25">
      <c r="A5" s="8" t="s">
        <v>20</v>
      </c>
      <c r="B5">
        <v>0</v>
      </c>
      <c r="C5" t="s">
        <v>12</v>
      </c>
      <c r="D5">
        <v>2</v>
      </c>
      <c r="E5" s="12" t="s">
        <v>17</v>
      </c>
      <c r="F5" t="s">
        <v>66</v>
      </c>
    </row>
    <row r="6" spans="1:6" x14ac:dyDescent="0.25">
      <c r="A6" s="7" t="s">
        <v>21</v>
      </c>
      <c r="B6">
        <v>0</v>
      </c>
      <c r="C6" t="s">
        <v>12</v>
      </c>
      <c r="D6">
        <v>2</v>
      </c>
      <c r="E6" s="12" t="s">
        <v>17</v>
      </c>
      <c r="F6" t="s">
        <v>66</v>
      </c>
    </row>
    <row r="7" spans="1:6" x14ac:dyDescent="0.25">
      <c r="A7" s="8" t="s">
        <v>102</v>
      </c>
      <c r="B7">
        <v>0</v>
      </c>
      <c r="C7" t="s">
        <v>12</v>
      </c>
      <c r="D7">
        <v>2</v>
      </c>
      <c r="E7" s="12" t="s">
        <v>17</v>
      </c>
      <c r="F7" t="s">
        <v>66</v>
      </c>
    </row>
    <row r="8" spans="1:6" x14ac:dyDescent="0.25">
      <c r="A8" s="8" t="s">
        <v>136</v>
      </c>
      <c r="B8" s="11">
        <v>803288.18</v>
      </c>
      <c r="C8" t="s">
        <v>12</v>
      </c>
      <c r="D8">
        <v>2</v>
      </c>
      <c r="E8" s="13" t="s">
        <v>135</v>
      </c>
      <c r="F8" t="s">
        <v>66</v>
      </c>
    </row>
    <row r="9" spans="1:6" x14ac:dyDescent="0.25">
      <c r="A9" s="7" t="s">
        <v>26</v>
      </c>
      <c r="B9" s="10">
        <v>-2105</v>
      </c>
      <c r="C9" t="s">
        <v>12</v>
      </c>
      <c r="D9">
        <v>2</v>
      </c>
      <c r="E9" s="13" t="s">
        <v>25</v>
      </c>
      <c r="F9" t="s">
        <v>140</v>
      </c>
    </row>
    <row r="10" spans="1:6" x14ac:dyDescent="0.25">
      <c r="A10" s="8" t="s">
        <v>27</v>
      </c>
      <c r="B10" s="11">
        <v>-10039.9</v>
      </c>
      <c r="C10" t="s">
        <v>12</v>
      </c>
      <c r="D10">
        <v>2</v>
      </c>
      <c r="E10" s="13" t="s">
        <v>25</v>
      </c>
      <c r="F10" t="s">
        <v>140</v>
      </c>
    </row>
    <row r="11" spans="1:6" x14ac:dyDescent="0.25">
      <c r="A11" s="7" t="s">
        <v>28</v>
      </c>
      <c r="B11" s="10">
        <v>-6800</v>
      </c>
      <c r="C11" t="s">
        <v>12</v>
      </c>
      <c r="D11">
        <v>2</v>
      </c>
      <c r="E11" s="13" t="s">
        <v>25</v>
      </c>
      <c r="F11" t="s">
        <v>140</v>
      </c>
    </row>
    <row r="12" spans="1:6" x14ac:dyDescent="0.25">
      <c r="A12" s="8" t="s">
        <v>29</v>
      </c>
      <c r="B12" s="10">
        <v>0</v>
      </c>
      <c r="C12" t="s">
        <v>12</v>
      </c>
      <c r="D12">
        <v>2</v>
      </c>
      <c r="E12" s="13" t="s">
        <v>25</v>
      </c>
      <c r="F12" t="s">
        <v>140</v>
      </c>
    </row>
    <row r="13" spans="1:6" x14ac:dyDescent="0.25">
      <c r="A13" s="7" t="s">
        <v>30</v>
      </c>
      <c r="B13" s="10">
        <v>0</v>
      </c>
      <c r="C13" t="s">
        <v>12</v>
      </c>
      <c r="D13">
        <v>2</v>
      </c>
      <c r="E13" s="13" t="s">
        <v>25</v>
      </c>
      <c r="F13" t="s">
        <v>140</v>
      </c>
    </row>
    <row r="14" spans="1:6" x14ac:dyDescent="0.25">
      <c r="A14" s="8" t="s">
        <v>31</v>
      </c>
      <c r="B14" s="10">
        <v>0</v>
      </c>
      <c r="C14" t="s">
        <v>12</v>
      </c>
      <c r="D14">
        <v>2</v>
      </c>
      <c r="E14" s="13" t="s">
        <v>25</v>
      </c>
      <c r="F14" t="s">
        <v>140</v>
      </c>
    </row>
    <row r="15" spans="1:6" x14ac:dyDescent="0.25">
      <c r="A15" s="7" t="s">
        <v>71</v>
      </c>
      <c r="B15" s="15">
        <v>-189188.17</v>
      </c>
      <c r="C15" t="s">
        <v>12</v>
      </c>
      <c r="D15">
        <v>2</v>
      </c>
      <c r="E15" s="13" t="s">
        <v>32</v>
      </c>
      <c r="F15" t="s">
        <v>140</v>
      </c>
    </row>
    <row r="16" spans="1:6" x14ac:dyDescent="0.25">
      <c r="A16" s="8" t="s">
        <v>33</v>
      </c>
      <c r="B16" s="11">
        <v>-70716</v>
      </c>
      <c r="C16" t="s">
        <v>12</v>
      </c>
      <c r="D16">
        <v>2</v>
      </c>
      <c r="E16" s="13" t="s">
        <v>32</v>
      </c>
      <c r="F16" t="s">
        <v>140</v>
      </c>
    </row>
    <row r="17" spans="1:6" x14ac:dyDescent="0.25">
      <c r="A17" s="7" t="s">
        <v>5</v>
      </c>
      <c r="B17" s="15">
        <v>-102130</v>
      </c>
      <c r="C17" t="s">
        <v>12</v>
      </c>
      <c r="D17">
        <v>2</v>
      </c>
      <c r="E17" s="13" t="s">
        <v>32</v>
      </c>
      <c r="F17" t="s">
        <v>140</v>
      </c>
    </row>
    <row r="18" spans="1:6" x14ac:dyDescent="0.25">
      <c r="A18" s="8" t="s">
        <v>9</v>
      </c>
      <c r="B18" s="46">
        <v>-14090</v>
      </c>
      <c r="C18" t="s">
        <v>12</v>
      </c>
      <c r="D18">
        <v>2</v>
      </c>
      <c r="E18" s="13" t="s">
        <v>32</v>
      </c>
      <c r="F18" t="s">
        <v>140</v>
      </c>
    </row>
    <row r="19" spans="1:6" x14ac:dyDescent="0.25">
      <c r="A19" s="7" t="s">
        <v>8</v>
      </c>
      <c r="B19" s="15">
        <v>-43808</v>
      </c>
      <c r="C19" t="s">
        <v>12</v>
      </c>
      <c r="D19">
        <v>2</v>
      </c>
      <c r="E19" s="13" t="s">
        <v>32</v>
      </c>
      <c r="F19" t="s">
        <v>140</v>
      </c>
    </row>
    <row r="20" spans="1:6" x14ac:dyDescent="0.25">
      <c r="A20" s="7" t="s">
        <v>34</v>
      </c>
      <c r="B20" s="10">
        <v>0</v>
      </c>
      <c r="C20" t="s">
        <v>12</v>
      </c>
      <c r="D20">
        <v>2</v>
      </c>
      <c r="E20" s="13" t="s">
        <v>32</v>
      </c>
      <c r="F20" t="s">
        <v>140</v>
      </c>
    </row>
    <row r="21" spans="1:6" x14ac:dyDescent="0.25">
      <c r="A21" s="7" t="s">
        <v>78</v>
      </c>
      <c r="B21" s="7">
        <v>-105841</v>
      </c>
      <c r="C21" t="s">
        <v>12</v>
      </c>
      <c r="D21">
        <v>2</v>
      </c>
      <c r="E21" s="12" t="s">
        <v>79</v>
      </c>
      <c r="F21" t="s">
        <v>140</v>
      </c>
    </row>
    <row r="22" spans="1:6" x14ac:dyDescent="0.25">
      <c r="A22" s="7" t="s">
        <v>143</v>
      </c>
      <c r="B22" s="10"/>
      <c r="C22" t="s">
        <v>12</v>
      </c>
      <c r="D22">
        <v>2</v>
      </c>
      <c r="E22" s="12" t="s">
        <v>35</v>
      </c>
      <c r="F22" t="s">
        <v>140</v>
      </c>
    </row>
    <row r="23" spans="1:6" x14ac:dyDescent="0.25">
      <c r="A23" s="7" t="s">
        <v>141</v>
      </c>
      <c r="B23" s="10">
        <v>-803288.18</v>
      </c>
      <c r="C23" t="s">
        <v>12</v>
      </c>
      <c r="D23">
        <v>2</v>
      </c>
      <c r="E23" s="12" t="s">
        <v>35</v>
      </c>
      <c r="F23" t="s">
        <v>140</v>
      </c>
    </row>
    <row r="24" spans="1:6" x14ac:dyDescent="0.25">
      <c r="A24" s="8" t="s">
        <v>18</v>
      </c>
      <c r="B24" s="6">
        <v>421690</v>
      </c>
      <c r="C24" t="s">
        <v>13</v>
      </c>
      <c r="D24">
        <v>3</v>
      </c>
      <c r="E24" s="12" t="s">
        <v>17</v>
      </c>
      <c r="F24" t="s">
        <v>66</v>
      </c>
    </row>
    <row r="25" spans="1:6" x14ac:dyDescent="0.25">
      <c r="A25" s="8" t="s">
        <v>19</v>
      </c>
      <c r="B25" s="6">
        <f>162*'Dolar Cotizacion'!B4</f>
        <v>162000</v>
      </c>
      <c r="C25" t="s">
        <v>13</v>
      </c>
      <c r="D25">
        <v>3</v>
      </c>
      <c r="E25" s="12" t="s">
        <v>17</v>
      </c>
      <c r="F25" t="s">
        <v>66</v>
      </c>
    </row>
    <row r="26" spans="1:6" x14ac:dyDescent="0.25">
      <c r="A26" s="8" t="s">
        <v>145</v>
      </c>
      <c r="B26" s="6">
        <v>17000</v>
      </c>
      <c r="C26" t="s">
        <v>13</v>
      </c>
      <c r="D26">
        <v>3</v>
      </c>
      <c r="E26" s="12" t="s">
        <v>17</v>
      </c>
      <c r="F26" t="s">
        <v>66</v>
      </c>
    </row>
    <row r="27" spans="1:6" x14ac:dyDescent="0.25">
      <c r="A27" s="8" t="s">
        <v>20</v>
      </c>
      <c r="B27" s="10">
        <v>0</v>
      </c>
      <c r="C27" t="s">
        <v>13</v>
      </c>
      <c r="D27">
        <v>3</v>
      </c>
      <c r="E27" s="12" t="s">
        <v>17</v>
      </c>
      <c r="F27" t="s">
        <v>66</v>
      </c>
    </row>
    <row r="28" spans="1:6" x14ac:dyDescent="0.25">
      <c r="A28" s="8" t="s">
        <v>21</v>
      </c>
      <c r="B28" s="10">
        <v>0</v>
      </c>
      <c r="C28" t="s">
        <v>13</v>
      </c>
      <c r="D28">
        <v>3</v>
      </c>
      <c r="E28" s="12" t="s">
        <v>17</v>
      </c>
      <c r="F28" t="s">
        <v>66</v>
      </c>
    </row>
    <row r="29" spans="1:6" x14ac:dyDescent="0.25">
      <c r="A29" s="8" t="s">
        <v>102</v>
      </c>
      <c r="B29" s="6">
        <v>30000</v>
      </c>
      <c r="C29" t="s">
        <v>13</v>
      </c>
      <c r="D29">
        <v>3</v>
      </c>
      <c r="E29" s="12" t="s">
        <v>17</v>
      </c>
      <c r="F29" t="s">
        <v>66</v>
      </c>
    </row>
    <row r="30" spans="1:6" x14ac:dyDescent="0.25">
      <c r="A30" s="8" t="s">
        <v>136</v>
      </c>
      <c r="B30" s="10">
        <v>0</v>
      </c>
      <c r="C30" t="s">
        <v>13</v>
      </c>
      <c r="D30">
        <v>3</v>
      </c>
      <c r="E30" s="13" t="s">
        <v>135</v>
      </c>
      <c r="F30" t="s">
        <v>66</v>
      </c>
    </row>
    <row r="31" spans="1:6" x14ac:dyDescent="0.25">
      <c r="A31" s="8" t="s">
        <v>137</v>
      </c>
      <c r="B31" s="10">
        <v>80000</v>
      </c>
      <c r="C31" t="s">
        <v>13</v>
      </c>
      <c r="D31">
        <v>3</v>
      </c>
      <c r="E31" s="13" t="s">
        <v>135</v>
      </c>
      <c r="F31" t="s">
        <v>66</v>
      </c>
    </row>
    <row r="32" spans="1:6" x14ac:dyDescent="0.25">
      <c r="A32" s="8" t="s">
        <v>26</v>
      </c>
      <c r="B32">
        <v>-2049.38</v>
      </c>
      <c r="C32" t="s">
        <v>13</v>
      </c>
      <c r="D32">
        <v>3</v>
      </c>
      <c r="E32" s="13" t="s">
        <v>25</v>
      </c>
      <c r="F32" t="s">
        <v>140</v>
      </c>
    </row>
    <row r="33" spans="1:6" x14ac:dyDescent="0.25">
      <c r="A33" s="8" t="s">
        <v>27</v>
      </c>
      <c r="B33" s="4">
        <v>-12370.49</v>
      </c>
      <c r="C33" t="s">
        <v>13</v>
      </c>
      <c r="D33">
        <v>3</v>
      </c>
      <c r="E33" s="13" t="s">
        <v>25</v>
      </c>
      <c r="F33" t="s">
        <v>140</v>
      </c>
    </row>
    <row r="34" spans="1:6" x14ac:dyDescent="0.25">
      <c r="A34" s="8" t="s">
        <v>28</v>
      </c>
      <c r="B34" s="4">
        <v>-10335</v>
      </c>
      <c r="C34" t="s">
        <v>13</v>
      </c>
      <c r="D34">
        <v>3</v>
      </c>
      <c r="E34" s="13" t="s">
        <v>25</v>
      </c>
      <c r="F34" t="s">
        <v>140</v>
      </c>
    </row>
    <row r="35" spans="1:6" x14ac:dyDescent="0.25">
      <c r="A35" s="8" t="s">
        <v>29</v>
      </c>
      <c r="B35" s="10">
        <v>0</v>
      </c>
      <c r="C35" t="s">
        <v>13</v>
      </c>
      <c r="D35">
        <v>3</v>
      </c>
      <c r="E35" s="13" t="s">
        <v>25</v>
      </c>
      <c r="F35" t="s">
        <v>140</v>
      </c>
    </row>
    <row r="36" spans="1:6" x14ac:dyDescent="0.25">
      <c r="A36" s="8" t="s">
        <v>30</v>
      </c>
      <c r="B36" s="2">
        <f>-VLOOKUP(BalanceProyectado[[#This Row],[Mes]],Alquiler!$C$1:$F$13,2,FALSE)</f>
        <v>-200000</v>
      </c>
      <c r="C36" t="s">
        <v>13</v>
      </c>
      <c r="D36">
        <v>3</v>
      </c>
      <c r="E36" s="13" t="s">
        <v>25</v>
      </c>
      <c r="F36" t="s">
        <v>140</v>
      </c>
    </row>
    <row r="37" spans="1:6" x14ac:dyDescent="0.25">
      <c r="A37" s="8" t="s">
        <v>31</v>
      </c>
      <c r="B37" s="2">
        <f>-VLOOKUP(BalanceProyectado[[#This Row],[Mes]],Alquiler!$C$1:$F$13,3,FALSE)</f>
        <v>-12000</v>
      </c>
      <c r="C37" t="s">
        <v>13</v>
      </c>
      <c r="D37">
        <v>3</v>
      </c>
      <c r="E37" s="13" t="s">
        <v>25</v>
      </c>
      <c r="F37" t="s">
        <v>140</v>
      </c>
    </row>
    <row r="38" spans="1:6" x14ac:dyDescent="0.25">
      <c r="A38" s="7" t="s">
        <v>71</v>
      </c>
      <c r="B38" s="4">
        <v>-113648.37333333331</v>
      </c>
      <c r="C38" t="s">
        <v>13</v>
      </c>
      <c r="D38">
        <v>3</v>
      </c>
      <c r="E38" s="13" t="s">
        <v>32</v>
      </c>
      <c r="F38" t="s">
        <v>140</v>
      </c>
    </row>
    <row r="39" spans="1:6" x14ac:dyDescent="0.25">
      <c r="A39" s="8" t="s">
        <v>33</v>
      </c>
      <c r="B39" s="4">
        <v>-82600</v>
      </c>
      <c r="C39" t="s">
        <v>13</v>
      </c>
      <c r="D39">
        <v>3</v>
      </c>
      <c r="E39" s="13" t="s">
        <v>32</v>
      </c>
      <c r="F39" t="s">
        <v>140</v>
      </c>
    </row>
    <row r="40" spans="1:6" x14ac:dyDescent="0.25">
      <c r="A40" s="8" t="s">
        <v>5</v>
      </c>
      <c r="B40" s="4">
        <v>-82600</v>
      </c>
      <c r="C40" t="s">
        <v>13</v>
      </c>
      <c r="D40">
        <v>3</v>
      </c>
      <c r="E40" s="13" t="s">
        <v>32</v>
      </c>
      <c r="F40" t="s">
        <v>140</v>
      </c>
    </row>
    <row r="41" spans="1:6" x14ac:dyDescent="0.25">
      <c r="A41" s="8" t="s">
        <v>9</v>
      </c>
      <c r="B41" s="4">
        <v>-41300</v>
      </c>
      <c r="C41" t="s">
        <v>13</v>
      </c>
      <c r="D41">
        <v>3</v>
      </c>
      <c r="E41" s="13" t="s">
        <v>32</v>
      </c>
      <c r="F41" t="s">
        <v>140</v>
      </c>
    </row>
    <row r="42" spans="1:6" x14ac:dyDescent="0.25">
      <c r="A42" s="8" t="s">
        <v>8</v>
      </c>
      <c r="B42" s="4">
        <v>-35400</v>
      </c>
      <c r="C42" t="s">
        <v>13</v>
      </c>
      <c r="D42">
        <v>3</v>
      </c>
      <c r="E42" s="13" t="s">
        <v>32</v>
      </c>
      <c r="F42" t="s">
        <v>140</v>
      </c>
    </row>
    <row r="43" spans="1:6" x14ac:dyDescent="0.25">
      <c r="A43" s="8" t="s">
        <v>34</v>
      </c>
      <c r="B43" s="10">
        <v>0</v>
      </c>
      <c r="C43" t="s">
        <v>13</v>
      </c>
      <c r="D43">
        <v>3</v>
      </c>
      <c r="E43" s="13" t="s">
        <v>32</v>
      </c>
      <c r="F43" t="s">
        <v>140</v>
      </c>
    </row>
    <row r="44" spans="1:6" x14ac:dyDescent="0.25">
      <c r="A44" s="8" t="s">
        <v>78</v>
      </c>
      <c r="B44" s="10">
        <v>0</v>
      </c>
      <c r="C44" t="s">
        <v>13</v>
      </c>
      <c r="D44">
        <v>3</v>
      </c>
      <c r="E44" s="12" t="s">
        <v>79</v>
      </c>
      <c r="F44" t="s">
        <v>140</v>
      </c>
    </row>
    <row r="45" spans="1:6" x14ac:dyDescent="0.25">
      <c r="A45" s="7" t="s">
        <v>143</v>
      </c>
      <c r="C45" t="s">
        <v>13</v>
      </c>
      <c r="D45">
        <v>3</v>
      </c>
      <c r="E45" s="12" t="s">
        <v>35</v>
      </c>
      <c r="F45" t="s">
        <v>140</v>
      </c>
    </row>
    <row r="46" spans="1:6" x14ac:dyDescent="0.25">
      <c r="A46" s="8" t="s">
        <v>142</v>
      </c>
      <c r="B46" s="10">
        <v>-80000</v>
      </c>
      <c r="C46" t="s">
        <v>13</v>
      </c>
      <c r="D46">
        <v>3</v>
      </c>
      <c r="E46" s="12" t="s">
        <v>35</v>
      </c>
      <c r="F46" t="s">
        <v>140</v>
      </c>
    </row>
    <row r="47" spans="1:6" x14ac:dyDescent="0.25">
      <c r="A47" s="8" t="s">
        <v>18</v>
      </c>
      <c r="B47" s="6">
        <v>450000</v>
      </c>
      <c r="C47" t="s">
        <v>14</v>
      </c>
      <c r="D47">
        <v>4</v>
      </c>
      <c r="E47" s="12" t="s">
        <v>17</v>
      </c>
      <c r="F47" t="s">
        <v>66</v>
      </c>
    </row>
    <row r="48" spans="1:6" x14ac:dyDescent="0.25">
      <c r="A48" s="8" t="s">
        <v>19</v>
      </c>
      <c r="B48" s="6">
        <f>130*'Dolar Cotizacion'!B4</f>
        <v>130000</v>
      </c>
      <c r="C48" t="s">
        <v>14</v>
      </c>
      <c r="D48">
        <v>4</v>
      </c>
      <c r="E48" s="12" t="s">
        <v>17</v>
      </c>
      <c r="F48" t="s">
        <v>66</v>
      </c>
    </row>
    <row r="49" spans="1:6" x14ac:dyDescent="0.25">
      <c r="A49" s="8" t="s">
        <v>145</v>
      </c>
      <c r="B49" s="6">
        <v>17000</v>
      </c>
      <c r="C49" t="s">
        <v>14</v>
      </c>
      <c r="D49">
        <v>4</v>
      </c>
      <c r="E49" s="12" t="s">
        <v>17</v>
      </c>
      <c r="F49" t="s">
        <v>66</v>
      </c>
    </row>
    <row r="50" spans="1:6" x14ac:dyDescent="0.25">
      <c r="A50" s="8" t="s">
        <v>20</v>
      </c>
      <c r="B50" s="10">
        <v>0</v>
      </c>
      <c r="C50" t="s">
        <v>14</v>
      </c>
      <c r="D50">
        <v>4</v>
      </c>
      <c r="E50" s="12" t="s">
        <v>17</v>
      </c>
      <c r="F50" t="s">
        <v>66</v>
      </c>
    </row>
    <row r="51" spans="1:6" x14ac:dyDescent="0.25">
      <c r="A51" s="8" t="s">
        <v>21</v>
      </c>
      <c r="B51" s="10">
        <v>0</v>
      </c>
      <c r="C51" t="s">
        <v>14</v>
      </c>
      <c r="D51">
        <v>4</v>
      </c>
      <c r="E51" s="12" t="s">
        <v>17</v>
      </c>
      <c r="F51" t="s">
        <v>66</v>
      </c>
    </row>
    <row r="52" spans="1:6" x14ac:dyDescent="0.25">
      <c r="A52" s="8" t="s">
        <v>102</v>
      </c>
      <c r="B52" s="6">
        <v>30000</v>
      </c>
      <c r="C52" t="s">
        <v>14</v>
      </c>
      <c r="D52">
        <v>4</v>
      </c>
      <c r="E52" s="12" t="s">
        <v>17</v>
      </c>
      <c r="F52" t="s">
        <v>66</v>
      </c>
    </row>
    <row r="53" spans="1:6" x14ac:dyDescent="0.25">
      <c r="A53" s="8" t="s">
        <v>138</v>
      </c>
      <c r="B53" s="10">
        <v>90000</v>
      </c>
      <c r="C53" t="s">
        <v>14</v>
      </c>
      <c r="D53">
        <v>4</v>
      </c>
      <c r="E53" s="13" t="s">
        <v>135</v>
      </c>
      <c r="F53" t="s">
        <v>66</v>
      </c>
    </row>
    <row r="54" spans="1:6" x14ac:dyDescent="0.25">
      <c r="A54" s="8" t="s">
        <v>136</v>
      </c>
      <c r="B54" s="10">
        <v>0</v>
      </c>
      <c r="C54" t="s">
        <v>14</v>
      </c>
      <c r="D54">
        <v>4</v>
      </c>
      <c r="E54" s="13" t="s">
        <v>135</v>
      </c>
      <c r="F54" t="s">
        <v>66</v>
      </c>
    </row>
    <row r="55" spans="1:6" x14ac:dyDescent="0.25">
      <c r="A55" s="8" t="s">
        <v>137</v>
      </c>
      <c r="B55">
        <v>80000</v>
      </c>
      <c r="C55" t="s">
        <v>14</v>
      </c>
      <c r="D55">
        <v>4</v>
      </c>
      <c r="E55" s="13" t="s">
        <v>135</v>
      </c>
      <c r="F55" t="s">
        <v>66</v>
      </c>
    </row>
    <row r="56" spans="1:6" x14ac:dyDescent="0.25">
      <c r="A56" s="8" t="s">
        <v>26</v>
      </c>
      <c r="B56">
        <v>-6000</v>
      </c>
      <c r="C56" t="s">
        <v>14</v>
      </c>
      <c r="D56">
        <v>4</v>
      </c>
      <c r="E56" s="13" t="s">
        <v>25</v>
      </c>
      <c r="F56" t="s">
        <v>140</v>
      </c>
    </row>
    <row r="57" spans="1:6" x14ac:dyDescent="0.25">
      <c r="A57" s="8" t="s">
        <v>27</v>
      </c>
      <c r="B57">
        <f>(SUMIFS(B1:B56,A1:A56,"Internet",D1:D56,3))*(1+'Inflacion '!$D$4)</f>
        <v>-14139.470069999999</v>
      </c>
      <c r="C57" t="s">
        <v>14</v>
      </c>
      <c r="D57">
        <v>4</v>
      </c>
      <c r="E57" s="13" t="s">
        <v>25</v>
      </c>
      <c r="F57" t="s">
        <v>140</v>
      </c>
    </row>
    <row r="58" spans="1:6" x14ac:dyDescent="0.25">
      <c r="A58" s="8" t="s">
        <v>28</v>
      </c>
      <c r="B58">
        <f>(SUMIFS(B2:B57,A2:A57,"Celular",D2:D57,3))*(1+'Inflacion '!$D$4)</f>
        <v>-11812.905000000001</v>
      </c>
      <c r="C58" t="s">
        <v>14</v>
      </c>
      <c r="D58">
        <v>4</v>
      </c>
      <c r="E58" s="13" t="s">
        <v>25</v>
      </c>
      <c r="F58" t="s">
        <v>140</v>
      </c>
    </row>
    <row r="59" spans="1:6" x14ac:dyDescent="0.25">
      <c r="A59" s="8" t="s">
        <v>29</v>
      </c>
      <c r="B59">
        <v>-2000</v>
      </c>
      <c r="C59" t="s">
        <v>14</v>
      </c>
      <c r="D59">
        <v>4</v>
      </c>
      <c r="E59" s="13" t="s">
        <v>25</v>
      </c>
      <c r="F59" t="s">
        <v>140</v>
      </c>
    </row>
    <row r="60" spans="1:6" x14ac:dyDescent="0.25">
      <c r="A60" s="8" t="s">
        <v>30</v>
      </c>
      <c r="B60" s="2">
        <f>-VLOOKUP(BalanceProyectado[[#This Row],[Mes]],Alquiler!$C$1:$F$13,2,FALSE)</f>
        <v>-200000</v>
      </c>
      <c r="C60" t="s">
        <v>14</v>
      </c>
      <c r="D60">
        <v>4</v>
      </c>
      <c r="E60" s="13" t="s">
        <v>25</v>
      </c>
      <c r="F60" t="s">
        <v>140</v>
      </c>
    </row>
    <row r="61" spans="1:6" x14ac:dyDescent="0.25">
      <c r="A61" s="8" t="s">
        <v>31</v>
      </c>
      <c r="B61" s="2">
        <f>-VLOOKUP(BalanceProyectado[[#This Row],[Mes]],Alquiler!$C$1:$F$13,3,FALSE)</f>
        <v>-12000</v>
      </c>
      <c r="C61" t="s">
        <v>14</v>
      </c>
      <c r="D61">
        <v>4</v>
      </c>
      <c r="E61" s="13" t="s">
        <v>25</v>
      </c>
      <c r="F61" t="s">
        <v>140</v>
      </c>
    </row>
    <row r="62" spans="1:6" x14ac:dyDescent="0.25">
      <c r="A62" s="7" t="s">
        <v>71</v>
      </c>
      <c r="B62">
        <v>-52430</v>
      </c>
      <c r="C62" t="s">
        <v>14</v>
      </c>
      <c r="D62">
        <v>4</v>
      </c>
      <c r="E62" s="13" t="s">
        <v>32</v>
      </c>
      <c r="F62" t="s">
        <v>140</v>
      </c>
    </row>
    <row r="63" spans="1:6" x14ac:dyDescent="0.25">
      <c r="A63" s="8" t="s">
        <v>33</v>
      </c>
      <c r="B63">
        <f>(SUMIFS(B6:B62,A6:A62,"Mercaderia",D6:D62,3))*(1+'Inflacion '!$D$4)</f>
        <v>-94411.8</v>
      </c>
      <c r="C63" t="s">
        <v>14</v>
      </c>
      <c r="D63">
        <v>4</v>
      </c>
      <c r="E63" s="13" t="s">
        <v>32</v>
      </c>
      <c r="F63" t="s">
        <v>140</v>
      </c>
    </row>
    <row r="64" spans="1:6" x14ac:dyDescent="0.25">
      <c r="A64" s="8" t="s">
        <v>5</v>
      </c>
      <c r="B64">
        <f>(SUMIFS(B7:B63,A7:A63,"Salidas",D7:D63,3))*(1+'Inflacion '!$D$4)</f>
        <v>-94411.8</v>
      </c>
      <c r="C64" t="s">
        <v>14</v>
      </c>
      <c r="D64">
        <v>4</v>
      </c>
      <c r="E64" s="13" t="s">
        <v>32</v>
      </c>
      <c r="F64" t="s">
        <v>140</v>
      </c>
    </row>
    <row r="65" spans="1:6" x14ac:dyDescent="0.25">
      <c r="A65" s="8" t="s">
        <v>9</v>
      </c>
      <c r="B65">
        <f>(SUMIFS(B7:B64,A7:A64,"Transporte",D7:D64,3))*(1+'Inflacion '!$D$4)</f>
        <v>-47205.9</v>
      </c>
      <c r="C65" t="s">
        <v>14</v>
      </c>
      <c r="D65">
        <v>4</v>
      </c>
      <c r="E65" s="13" t="s">
        <v>32</v>
      </c>
      <c r="F65" t="s">
        <v>140</v>
      </c>
    </row>
    <row r="66" spans="1:6" x14ac:dyDescent="0.25">
      <c r="A66" s="8" t="s">
        <v>8</v>
      </c>
      <c r="B66">
        <f>(SUMIFS(B7:B65,A7:A65,"Delivery",D7:D65,3))*(1+'Inflacion '!$D$4)</f>
        <v>-40462.199999999997</v>
      </c>
      <c r="C66" t="s">
        <v>14</v>
      </c>
      <c r="D66">
        <v>4</v>
      </c>
      <c r="E66" s="13" t="s">
        <v>32</v>
      </c>
      <c r="F66" t="s">
        <v>140</v>
      </c>
    </row>
    <row r="67" spans="1:6" x14ac:dyDescent="0.25">
      <c r="A67" s="8" t="s">
        <v>34</v>
      </c>
      <c r="B67">
        <v>-50000</v>
      </c>
      <c r="C67" t="s">
        <v>14</v>
      </c>
      <c r="D67">
        <v>4</v>
      </c>
      <c r="E67" s="13" t="s">
        <v>32</v>
      </c>
      <c r="F67" t="s">
        <v>140</v>
      </c>
    </row>
    <row r="68" spans="1:6" x14ac:dyDescent="0.25">
      <c r="A68" s="8" t="s">
        <v>78</v>
      </c>
      <c r="B68" s="10">
        <v>0</v>
      </c>
      <c r="C68" t="s">
        <v>14</v>
      </c>
      <c r="D68">
        <v>4</v>
      </c>
      <c r="E68" s="12" t="s">
        <v>79</v>
      </c>
      <c r="F68" t="s">
        <v>140</v>
      </c>
    </row>
    <row r="69" spans="1:6" x14ac:dyDescent="0.25">
      <c r="A69" s="8" t="s">
        <v>143</v>
      </c>
      <c r="B69" s="10">
        <v>-90000</v>
      </c>
      <c r="C69" t="s">
        <v>14</v>
      </c>
      <c r="D69">
        <v>4</v>
      </c>
      <c r="E69" s="12" t="s">
        <v>35</v>
      </c>
      <c r="F69" t="s">
        <v>140</v>
      </c>
    </row>
    <row r="70" spans="1:6" x14ac:dyDescent="0.25">
      <c r="A70" s="8" t="s">
        <v>142</v>
      </c>
      <c r="B70" s="10">
        <v>-80000</v>
      </c>
      <c r="C70" t="s">
        <v>14</v>
      </c>
      <c r="D70">
        <v>4</v>
      </c>
      <c r="E70" s="12" t="s">
        <v>35</v>
      </c>
      <c r="F70" t="s">
        <v>140</v>
      </c>
    </row>
    <row r="71" spans="1:6" x14ac:dyDescent="0.25">
      <c r="A71" s="8" t="s">
        <v>18</v>
      </c>
      <c r="B71" s="6">
        <v>450000</v>
      </c>
      <c r="C71" t="s">
        <v>15</v>
      </c>
      <c r="D71">
        <v>5</v>
      </c>
      <c r="E71" s="12" t="s">
        <v>17</v>
      </c>
      <c r="F71" t="s">
        <v>66</v>
      </c>
    </row>
    <row r="72" spans="1:6" x14ac:dyDescent="0.25">
      <c r="A72" s="8" t="s">
        <v>19</v>
      </c>
      <c r="B72" s="6">
        <f>130*'Dolar Cotizacion'!B4</f>
        <v>130000</v>
      </c>
      <c r="C72" t="s">
        <v>15</v>
      </c>
      <c r="D72">
        <v>5</v>
      </c>
      <c r="E72" s="12" t="s">
        <v>17</v>
      </c>
      <c r="F72" t="s">
        <v>66</v>
      </c>
    </row>
    <row r="73" spans="1:6" x14ac:dyDescent="0.25">
      <c r="A73" s="8" t="s">
        <v>145</v>
      </c>
      <c r="B73" s="6">
        <v>17000</v>
      </c>
      <c r="C73" t="s">
        <v>15</v>
      </c>
      <c r="D73">
        <v>5</v>
      </c>
      <c r="E73" s="12" t="s">
        <v>17</v>
      </c>
      <c r="F73" t="s">
        <v>66</v>
      </c>
    </row>
    <row r="74" spans="1:6" x14ac:dyDescent="0.25">
      <c r="A74" s="8" t="s">
        <v>20</v>
      </c>
      <c r="B74" s="10">
        <v>0</v>
      </c>
      <c r="C74" t="s">
        <v>15</v>
      </c>
      <c r="D74">
        <v>5</v>
      </c>
      <c r="E74" s="12" t="s">
        <v>17</v>
      </c>
      <c r="F74" t="s">
        <v>66</v>
      </c>
    </row>
    <row r="75" spans="1:6" x14ac:dyDescent="0.25">
      <c r="A75" s="8" t="s">
        <v>21</v>
      </c>
      <c r="B75" s="10">
        <v>0</v>
      </c>
      <c r="C75" t="s">
        <v>15</v>
      </c>
      <c r="D75">
        <v>5</v>
      </c>
      <c r="E75" s="12" t="s">
        <v>17</v>
      </c>
      <c r="F75" t="s">
        <v>66</v>
      </c>
    </row>
    <row r="76" spans="1:6" x14ac:dyDescent="0.25">
      <c r="A76" s="8" t="s">
        <v>102</v>
      </c>
      <c r="B76" s="6">
        <v>30000</v>
      </c>
      <c r="C76" t="s">
        <v>15</v>
      </c>
      <c r="D76">
        <v>5</v>
      </c>
      <c r="E76" s="12" t="s">
        <v>17</v>
      </c>
      <c r="F76" t="s">
        <v>66</v>
      </c>
    </row>
    <row r="77" spans="1:6" x14ac:dyDescent="0.25">
      <c r="A77" s="8" t="s">
        <v>138</v>
      </c>
      <c r="B77" s="10">
        <v>300000</v>
      </c>
      <c r="C77" t="s">
        <v>15</v>
      </c>
      <c r="D77">
        <v>5</v>
      </c>
      <c r="E77" s="13" t="s">
        <v>135</v>
      </c>
      <c r="F77" t="s">
        <v>66</v>
      </c>
    </row>
    <row r="78" spans="1:6" x14ac:dyDescent="0.25">
      <c r="A78" s="8" t="s">
        <v>136</v>
      </c>
      <c r="B78" s="10">
        <v>0</v>
      </c>
      <c r="C78" t="s">
        <v>15</v>
      </c>
      <c r="D78">
        <v>5</v>
      </c>
      <c r="E78" s="13" t="s">
        <v>135</v>
      </c>
      <c r="F78" t="s">
        <v>66</v>
      </c>
    </row>
    <row r="79" spans="1:6" x14ac:dyDescent="0.25">
      <c r="A79" s="8" t="s">
        <v>137</v>
      </c>
      <c r="B79">
        <v>80000</v>
      </c>
      <c r="C79" t="s">
        <v>15</v>
      </c>
      <c r="D79">
        <v>5</v>
      </c>
      <c r="E79" s="13" t="s">
        <v>135</v>
      </c>
      <c r="F79" t="s">
        <v>66</v>
      </c>
    </row>
    <row r="80" spans="1:6" x14ac:dyDescent="0.25">
      <c r="A80" s="8" t="s">
        <v>26</v>
      </c>
      <c r="B80">
        <v>-6000</v>
      </c>
      <c r="C80" t="s">
        <v>15</v>
      </c>
      <c r="D80">
        <v>5</v>
      </c>
      <c r="E80" s="13" t="s">
        <v>25</v>
      </c>
      <c r="F80" t="s">
        <v>140</v>
      </c>
    </row>
    <row r="81" spans="1:6" x14ac:dyDescent="0.25">
      <c r="A81" s="8" t="s">
        <v>27</v>
      </c>
      <c r="B81">
        <f>(SUMIFS(B1:B80,A1:A80,"Internet",D1:D80,4))*(1+'Inflacion '!$D$5)</f>
        <v>-15836.206478400001</v>
      </c>
      <c r="C81" t="s">
        <v>15</v>
      </c>
      <c r="D81">
        <v>5</v>
      </c>
      <c r="E81" s="13" t="s">
        <v>25</v>
      </c>
      <c r="F81" t="s">
        <v>140</v>
      </c>
    </row>
    <row r="82" spans="1:6" x14ac:dyDescent="0.25">
      <c r="A82" s="8" t="s">
        <v>28</v>
      </c>
      <c r="B82" s="4">
        <f>(SUMIFS(B24:B81,A24:A81,"Celular",D24:D81,4))*(1+'Inflacion '!$D$5)</f>
        <v>-13230.453600000003</v>
      </c>
      <c r="C82" t="s">
        <v>15</v>
      </c>
      <c r="D82">
        <v>5</v>
      </c>
      <c r="E82" s="13" t="s">
        <v>25</v>
      </c>
      <c r="F82" t="s">
        <v>140</v>
      </c>
    </row>
    <row r="83" spans="1:6" x14ac:dyDescent="0.25">
      <c r="A83" s="8" t="s">
        <v>29</v>
      </c>
      <c r="B83">
        <v>-2000</v>
      </c>
      <c r="C83" t="s">
        <v>15</v>
      </c>
      <c r="D83">
        <v>5</v>
      </c>
      <c r="E83" s="13" t="s">
        <v>25</v>
      </c>
      <c r="F83" t="s">
        <v>140</v>
      </c>
    </row>
    <row r="84" spans="1:6" x14ac:dyDescent="0.25">
      <c r="A84" s="8" t="s">
        <v>30</v>
      </c>
      <c r="B84" s="2">
        <f>-VLOOKUP(BalanceProyectado[[#This Row],[Mes]],Alquiler!$C$1:$F$13,2,FALSE)</f>
        <v>-284200</v>
      </c>
      <c r="C84" t="s">
        <v>15</v>
      </c>
      <c r="D84">
        <v>5</v>
      </c>
      <c r="E84" s="13" t="s">
        <v>25</v>
      </c>
      <c r="F84" t="s">
        <v>140</v>
      </c>
    </row>
    <row r="85" spans="1:6" x14ac:dyDescent="0.25">
      <c r="A85" s="8" t="s">
        <v>31</v>
      </c>
      <c r="B85" s="2">
        <f>-VLOOKUP(BalanceProyectado[[#This Row],[Mes]],Alquiler!$C$1:$F$13,3,FALSE)</f>
        <v>-14525.999999999998</v>
      </c>
      <c r="C85" t="s">
        <v>15</v>
      </c>
      <c r="D85">
        <v>5</v>
      </c>
      <c r="E85" s="13" t="s">
        <v>25</v>
      </c>
      <c r="F85" t="s">
        <v>140</v>
      </c>
    </row>
    <row r="86" spans="1:6" x14ac:dyDescent="0.25">
      <c r="A86" s="7" t="s">
        <v>71</v>
      </c>
      <c r="B86" s="4">
        <v>-16068.33</v>
      </c>
      <c r="C86" t="s">
        <v>15</v>
      </c>
      <c r="D86">
        <v>5</v>
      </c>
      <c r="E86" s="13" t="s">
        <v>32</v>
      </c>
      <c r="F86" t="s">
        <v>140</v>
      </c>
    </row>
    <row r="87" spans="1:6" x14ac:dyDescent="0.25">
      <c r="A87" s="8" t="s">
        <v>33</v>
      </c>
      <c r="B87" s="4">
        <f>(SUMIFS(B28:B86,A28:A86,"Mercaderia",D28:D86,4))*(1+'Inflacion '!$D$5)</f>
        <v>-105741.21600000001</v>
      </c>
      <c r="C87" t="s">
        <v>15</v>
      </c>
      <c r="D87">
        <v>5</v>
      </c>
      <c r="E87" s="13" t="s">
        <v>32</v>
      </c>
      <c r="F87" t="s">
        <v>140</v>
      </c>
    </row>
    <row r="88" spans="1:6" x14ac:dyDescent="0.25">
      <c r="A88" s="8" t="s">
        <v>5</v>
      </c>
      <c r="B88" s="4">
        <f>(SUMIFS(B29:B87,A29:A87,"Salidas",D29:D87,4))*(1+'Inflacion '!$D$5)</f>
        <v>-105741.21600000001</v>
      </c>
      <c r="C88" t="s">
        <v>15</v>
      </c>
      <c r="D88">
        <v>5</v>
      </c>
      <c r="E88" s="13" t="s">
        <v>32</v>
      </c>
      <c r="F88" t="s">
        <v>140</v>
      </c>
    </row>
    <row r="89" spans="1:6" x14ac:dyDescent="0.25">
      <c r="A89" s="8" t="s">
        <v>9</v>
      </c>
      <c r="B89" s="4">
        <f>(SUMIFS(B29:B88,A29:A88,"Transporte",D29:D88,4))*(1+'Inflacion '!$D$5)</f>
        <v>-52870.608000000007</v>
      </c>
      <c r="C89" t="s">
        <v>15</v>
      </c>
      <c r="D89">
        <v>5</v>
      </c>
      <c r="E89" s="13" t="s">
        <v>32</v>
      </c>
      <c r="F89" t="s">
        <v>140</v>
      </c>
    </row>
    <row r="90" spans="1:6" x14ac:dyDescent="0.25">
      <c r="A90" s="8" t="s">
        <v>8</v>
      </c>
      <c r="B90" s="4">
        <f>(SUMIFS(B29:B89,A29:A89,"Delivery",D29:D89,4))*(1+'Inflacion '!$D$5)</f>
        <v>-45317.664000000004</v>
      </c>
      <c r="C90" t="s">
        <v>15</v>
      </c>
      <c r="D90">
        <v>5</v>
      </c>
      <c r="E90" s="13" t="s">
        <v>32</v>
      </c>
      <c r="F90" t="s">
        <v>140</v>
      </c>
    </row>
    <row r="91" spans="1:6" x14ac:dyDescent="0.25">
      <c r="A91" s="8" t="s">
        <v>34</v>
      </c>
      <c r="B91" s="10">
        <v>0</v>
      </c>
      <c r="C91" t="s">
        <v>15</v>
      </c>
      <c r="D91">
        <v>5</v>
      </c>
      <c r="E91" s="13" t="s">
        <v>32</v>
      </c>
      <c r="F91" t="s">
        <v>140</v>
      </c>
    </row>
    <row r="92" spans="1:6" x14ac:dyDescent="0.25">
      <c r="A92" s="8" t="s">
        <v>78</v>
      </c>
      <c r="B92" s="10">
        <v>0</v>
      </c>
      <c r="C92" t="s">
        <v>15</v>
      </c>
      <c r="D92">
        <v>5</v>
      </c>
      <c r="E92" s="12" t="s">
        <v>79</v>
      </c>
      <c r="F92" t="s">
        <v>140</v>
      </c>
    </row>
    <row r="93" spans="1:6" x14ac:dyDescent="0.25">
      <c r="A93" s="8" t="s">
        <v>143</v>
      </c>
      <c r="B93" s="10">
        <v>-300000</v>
      </c>
      <c r="C93" t="s">
        <v>15</v>
      </c>
      <c r="D93">
        <v>5</v>
      </c>
      <c r="E93" s="12" t="s">
        <v>35</v>
      </c>
      <c r="F93" t="s">
        <v>140</v>
      </c>
    </row>
    <row r="94" spans="1:6" x14ac:dyDescent="0.25">
      <c r="A94" s="8" t="s">
        <v>144</v>
      </c>
      <c r="B94" s="10">
        <v>-80000</v>
      </c>
      <c r="C94" t="s">
        <v>15</v>
      </c>
      <c r="D94">
        <v>5</v>
      </c>
      <c r="E94" s="12" t="s">
        <v>35</v>
      </c>
      <c r="F94" t="s">
        <v>140</v>
      </c>
    </row>
    <row r="95" spans="1:6" x14ac:dyDescent="0.25">
      <c r="A95" s="8" t="s">
        <v>18</v>
      </c>
      <c r="B95" s="6">
        <v>450000</v>
      </c>
      <c r="C95" t="s">
        <v>16</v>
      </c>
      <c r="D95">
        <v>6</v>
      </c>
      <c r="E95" s="12" t="s">
        <v>17</v>
      </c>
      <c r="F95" t="s">
        <v>66</v>
      </c>
    </row>
    <row r="96" spans="1:6" x14ac:dyDescent="0.25">
      <c r="A96" s="8" t="s">
        <v>19</v>
      </c>
      <c r="B96" s="6">
        <f>130*'Dolar Cotizacion'!B4</f>
        <v>130000</v>
      </c>
      <c r="C96" t="s">
        <v>16</v>
      </c>
      <c r="D96">
        <v>6</v>
      </c>
      <c r="E96" s="12" t="s">
        <v>17</v>
      </c>
      <c r="F96" t="s">
        <v>66</v>
      </c>
    </row>
    <row r="97" spans="1:6" x14ac:dyDescent="0.25">
      <c r="A97" s="8" t="s">
        <v>145</v>
      </c>
      <c r="B97" s="6">
        <v>17000</v>
      </c>
      <c r="C97" t="s">
        <v>16</v>
      </c>
      <c r="D97">
        <v>6</v>
      </c>
      <c r="E97" s="12" t="s">
        <v>17</v>
      </c>
      <c r="F97" t="s">
        <v>66</v>
      </c>
    </row>
    <row r="98" spans="1:6" x14ac:dyDescent="0.25">
      <c r="A98" s="8" t="s">
        <v>20</v>
      </c>
      <c r="B98" s="10">
        <v>0</v>
      </c>
      <c r="C98" t="s">
        <v>16</v>
      </c>
      <c r="D98">
        <v>6</v>
      </c>
      <c r="E98" s="12" t="s">
        <v>17</v>
      </c>
      <c r="F98" t="s">
        <v>66</v>
      </c>
    </row>
    <row r="99" spans="1:6" x14ac:dyDescent="0.25">
      <c r="A99" s="8" t="s">
        <v>21</v>
      </c>
      <c r="B99" s="10">
        <v>0</v>
      </c>
      <c r="C99" t="s">
        <v>16</v>
      </c>
      <c r="D99">
        <v>6</v>
      </c>
      <c r="E99" s="12" t="s">
        <v>17</v>
      </c>
      <c r="F99" t="s">
        <v>66</v>
      </c>
    </row>
    <row r="100" spans="1:6" x14ac:dyDescent="0.25">
      <c r="A100" s="8" t="s">
        <v>102</v>
      </c>
      <c r="B100" s="6">
        <v>30000</v>
      </c>
      <c r="C100" t="s">
        <v>16</v>
      </c>
      <c r="D100">
        <v>6</v>
      </c>
      <c r="E100" s="12" t="s">
        <v>17</v>
      </c>
      <c r="F100" t="s">
        <v>66</v>
      </c>
    </row>
    <row r="101" spans="1:6" x14ac:dyDescent="0.25">
      <c r="A101" s="8" t="s">
        <v>138</v>
      </c>
      <c r="B101" s="10">
        <v>0</v>
      </c>
      <c r="C101" t="s">
        <v>16</v>
      </c>
      <c r="D101">
        <v>6</v>
      </c>
      <c r="E101" s="13" t="s">
        <v>135</v>
      </c>
      <c r="F101" t="s">
        <v>66</v>
      </c>
    </row>
    <row r="102" spans="1:6" x14ac:dyDescent="0.25">
      <c r="A102" s="8" t="s">
        <v>136</v>
      </c>
      <c r="B102" s="10">
        <v>0</v>
      </c>
      <c r="C102" t="s">
        <v>16</v>
      </c>
      <c r="D102">
        <v>6</v>
      </c>
      <c r="E102" s="13" t="s">
        <v>135</v>
      </c>
      <c r="F102" t="s">
        <v>66</v>
      </c>
    </row>
    <row r="103" spans="1:6" x14ac:dyDescent="0.25">
      <c r="A103" s="8" t="s">
        <v>137</v>
      </c>
      <c r="B103">
        <v>80000</v>
      </c>
      <c r="C103" t="s">
        <v>16</v>
      </c>
      <c r="D103">
        <v>6</v>
      </c>
      <c r="E103" s="13" t="s">
        <v>135</v>
      </c>
      <c r="F103" t="s">
        <v>66</v>
      </c>
    </row>
    <row r="104" spans="1:6" x14ac:dyDescent="0.25">
      <c r="A104" s="8" t="s">
        <v>26</v>
      </c>
      <c r="B104">
        <v>-7000</v>
      </c>
      <c r="C104" t="s">
        <v>16</v>
      </c>
      <c r="D104">
        <v>6</v>
      </c>
      <c r="E104" s="13" t="s">
        <v>25</v>
      </c>
      <c r="F104" t="s">
        <v>140</v>
      </c>
    </row>
    <row r="105" spans="1:6" x14ac:dyDescent="0.25">
      <c r="A105" s="8" t="s">
        <v>27</v>
      </c>
      <c r="B105" s="4">
        <f>(SUMIFS(B1:B104,A1:A104,"Internet",D1:D104,5))*(1+'Inflacion '!$D$6)</f>
        <v>-17419.827126240001</v>
      </c>
      <c r="C105" t="s">
        <v>16</v>
      </c>
      <c r="D105">
        <v>6</v>
      </c>
      <c r="E105" s="13" t="s">
        <v>25</v>
      </c>
      <c r="F105" t="s">
        <v>140</v>
      </c>
    </row>
    <row r="106" spans="1:6" x14ac:dyDescent="0.25">
      <c r="A106" s="8" t="s">
        <v>28</v>
      </c>
      <c r="B106" s="4">
        <f>(SUMIFS(B47:B105,A47:A105,"Celular",D47:D105,5))*(1+'Inflacion '!$D$6)</f>
        <v>-14553.498960000004</v>
      </c>
      <c r="C106" t="s">
        <v>16</v>
      </c>
      <c r="D106">
        <v>6</v>
      </c>
      <c r="E106" s="13" t="s">
        <v>25</v>
      </c>
      <c r="F106" t="s">
        <v>140</v>
      </c>
    </row>
    <row r="107" spans="1:6" x14ac:dyDescent="0.25">
      <c r="A107" s="8" t="s">
        <v>29</v>
      </c>
      <c r="B107">
        <v>-2000</v>
      </c>
      <c r="C107" t="s">
        <v>16</v>
      </c>
      <c r="D107">
        <v>6</v>
      </c>
      <c r="E107" s="13" t="s">
        <v>25</v>
      </c>
      <c r="F107" t="s">
        <v>140</v>
      </c>
    </row>
    <row r="108" spans="1:6" x14ac:dyDescent="0.25">
      <c r="A108" s="8" t="s">
        <v>30</v>
      </c>
      <c r="B108" s="2">
        <f>-VLOOKUP(BalanceProyectado[[#This Row],[Mes]],Alquiler!$C$1:$F$13,2,FALSE)</f>
        <v>-284200</v>
      </c>
      <c r="C108" t="s">
        <v>16</v>
      </c>
      <c r="D108">
        <v>6</v>
      </c>
      <c r="E108" s="13" t="s">
        <v>25</v>
      </c>
      <c r="F108" t="s">
        <v>140</v>
      </c>
    </row>
    <row r="109" spans="1:6" x14ac:dyDescent="0.25">
      <c r="A109" s="8" t="s">
        <v>31</v>
      </c>
      <c r="B109" s="2">
        <f>-VLOOKUP(BalanceProyectado[[#This Row],[Mes]],Alquiler!$C$1:$F$13,3,FALSE)</f>
        <v>-14525.999999999998</v>
      </c>
      <c r="C109" t="s">
        <v>16</v>
      </c>
      <c r="D109">
        <v>6</v>
      </c>
      <c r="E109" s="13" t="s">
        <v>25</v>
      </c>
      <c r="F109" t="s">
        <v>140</v>
      </c>
    </row>
    <row r="110" spans="1:6" x14ac:dyDescent="0.25">
      <c r="A110" s="7" t="s">
        <v>71</v>
      </c>
      <c r="B110" s="10">
        <v>0</v>
      </c>
      <c r="C110" t="s">
        <v>16</v>
      </c>
      <c r="D110">
        <v>6</v>
      </c>
      <c r="E110" s="13" t="s">
        <v>32</v>
      </c>
      <c r="F110" t="s">
        <v>140</v>
      </c>
    </row>
    <row r="111" spans="1:6" x14ac:dyDescent="0.25">
      <c r="A111" s="8" t="s">
        <v>33</v>
      </c>
      <c r="B111" s="4">
        <f>(SUMIFS(B51:B110,A51:A110,"Mercaderia",D51:D110,5))*(1+'Inflacion '!$D$6)</f>
        <v>-116315.33760000003</v>
      </c>
      <c r="C111" t="s">
        <v>16</v>
      </c>
      <c r="D111">
        <v>6</v>
      </c>
      <c r="E111" s="13" t="s">
        <v>32</v>
      </c>
      <c r="F111" t="s">
        <v>140</v>
      </c>
    </row>
    <row r="112" spans="1:6" x14ac:dyDescent="0.25">
      <c r="A112" s="8" t="s">
        <v>5</v>
      </c>
      <c r="B112" s="4">
        <f>(SUMIFS(B52:B111,A52:A111,"Salidas",D52:D111,5))*(1+'Inflacion '!$D$6)</f>
        <v>-116315.33760000003</v>
      </c>
      <c r="C112" t="s">
        <v>16</v>
      </c>
      <c r="D112">
        <v>6</v>
      </c>
      <c r="E112" s="13" t="s">
        <v>32</v>
      </c>
      <c r="F112" t="s">
        <v>140</v>
      </c>
    </row>
    <row r="113" spans="1:6" x14ac:dyDescent="0.25">
      <c r="A113" s="8" t="s">
        <v>9</v>
      </c>
      <c r="B113" s="4">
        <f>(SUMIFS(B52:B112,A52:A112,"Transporte",D52:D112,5))*(1+'Inflacion '!$D$6)</f>
        <v>-58157.668800000014</v>
      </c>
      <c r="C113" t="s">
        <v>16</v>
      </c>
      <c r="D113">
        <v>6</v>
      </c>
      <c r="E113" s="13" t="s">
        <v>32</v>
      </c>
      <c r="F113" t="s">
        <v>140</v>
      </c>
    </row>
    <row r="114" spans="1:6" x14ac:dyDescent="0.25">
      <c r="A114" s="8" t="s">
        <v>8</v>
      </c>
      <c r="B114" s="4">
        <f>(SUMIFS(B52:B113,A52:A113,"Delivery",D52:D113,5))*(1+'Inflacion '!$D$6)</f>
        <v>-49849.430400000012</v>
      </c>
      <c r="C114" t="s">
        <v>16</v>
      </c>
      <c r="D114">
        <v>6</v>
      </c>
      <c r="E114" s="13" t="s">
        <v>32</v>
      </c>
      <c r="F114" t="s">
        <v>140</v>
      </c>
    </row>
    <row r="115" spans="1:6" x14ac:dyDescent="0.25">
      <c r="A115" s="8" t="s">
        <v>34</v>
      </c>
      <c r="B115" s="10">
        <v>0</v>
      </c>
      <c r="C115" t="s">
        <v>16</v>
      </c>
      <c r="D115">
        <v>6</v>
      </c>
      <c r="E115" s="13" t="s">
        <v>32</v>
      </c>
      <c r="F115" t="s">
        <v>140</v>
      </c>
    </row>
    <row r="116" spans="1:6" x14ac:dyDescent="0.25">
      <c r="A116" s="8" t="s">
        <v>78</v>
      </c>
      <c r="B116" s="10">
        <v>0</v>
      </c>
      <c r="C116" t="s">
        <v>16</v>
      </c>
      <c r="D116">
        <v>6</v>
      </c>
      <c r="E116" s="12" t="s">
        <v>79</v>
      </c>
      <c r="F116" t="s">
        <v>140</v>
      </c>
    </row>
    <row r="117" spans="1:6" x14ac:dyDescent="0.25">
      <c r="A117" s="8" t="s">
        <v>143</v>
      </c>
      <c r="B117" s="10">
        <v>0</v>
      </c>
      <c r="C117" t="s">
        <v>16</v>
      </c>
      <c r="D117">
        <v>6</v>
      </c>
      <c r="E117" s="12" t="s">
        <v>35</v>
      </c>
      <c r="F117" t="s">
        <v>140</v>
      </c>
    </row>
    <row r="118" spans="1:6" x14ac:dyDescent="0.25">
      <c r="A118" s="8" t="s">
        <v>144</v>
      </c>
      <c r="B118" s="10">
        <v>-80000</v>
      </c>
      <c r="C118" t="s">
        <v>16</v>
      </c>
      <c r="D118">
        <v>6</v>
      </c>
      <c r="E118" s="12" t="s">
        <v>35</v>
      </c>
      <c r="F118" t="s">
        <v>140</v>
      </c>
    </row>
    <row r="119" spans="1:6" x14ac:dyDescent="0.25">
      <c r="A119" s="8" t="s">
        <v>18</v>
      </c>
      <c r="B119" s="6">
        <v>450000</v>
      </c>
      <c r="C119" t="s">
        <v>73</v>
      </c>
      <c r="D119">
        <v>7</v>
      </c>
      <c r="E119" s="12" t="s">
        <v>17</v>
      </c>
      <c r="F119" t="s">
        <v>66</v>
      </c>
    </row>
    <row r="120" spans="1:6" x14ac:dyDescent="0.25">
      <c r="A120" s="8" t="s">
        <v>19</v>
      </c>
      <c r="B120" s="6">
        <f>130*'Dolar Cotizacion'!B4</f>
        <v>130000</v>
      </c>
      <c r="C120" t="s">
        <v>73</v>
      </c>
      <c r="D120">
        <v>7</v>
      </c>
      <c r="E120" s="12" t="s">
        <v>17</v>
      </c>
      <c r="F120" t="s">
        <v>66</v>
      </c>
    </row>
    <row r="121" spans="1:6" x14ac:dyDescent="0.25">
      <c r="A121" s="8" t="s">
        <v>145</v>
      </c>
      <c r="B121" s="6">
        <v>17000</v>
      </c>
      <c r="C121" t="s">
        <v>73</v>
      </c>
      <c r="D121">
        <v>7</v>
      </c>
      <c r="E121" s="12" t="s">
        <v>17</v>
      </c>
      <c r="F121" t="s">
        <v>66</v>
      </c>
    </row>
    <row r="122" spans="1:6" x14ac:dyDescent="0.25">
      <c r="A122" s="8" t="s">
        <v>20</v>
      </c>
      <c r="B122">
        <f>SUMIFS(B1:B121,A1:A121,"=Sueldo",D1:D121,6)/2</f>
        <v>225000</v>
      </c>
      <c r="C122" t="s">
        <v>73</v>
      </c>
      <c r="D122">
        <v>7</v>
      </c>
      <c r="E122" s="12" t="s">
        <v>17</v>
      </c>
      <c r="F122" t="s">
        <v>66</v>
      </c>
    </row>
    <row r="123" spans="1:6" x14ac:dyDescent="0.25">
      <c r="A123" s="8" t="s">
        <v>21</v>
      </c>
      <c r="B123">
        <f>SUMIFS(B2:B122,A2:A122,"=Sueldo USD",D2:D122,6)/2</f>
        <v>65000</v>
      </c>
      <c r="C123" t="s">
        <v>73</v>
      </c>
      <c r="D123">
        <v>7</v>
      </c>
      <c r="E123" s="12" t="s">
        <v>17</v>
      </c>
      <c r="F123" t="s">
        <v>66</v>
      </c>
    </row>
    <row r="124" spans="1:6" x14ac:dyDescent="0.25">
      <c r="A124" s="8" t="s">
        <v>102</v>
      </c>
      <c r="B124" s="6">
        <v>30000</v>
      </c>
      <c r="C124" t="s">
        <v>73</v>
      </c>
      <c r="D124">
        <v>7</v>
      </c>
      <c r="E124" s="12" t="s">
        <v>17</v>
      </c>
      <c r="F124" t="s">
        <v>66</v>
      </c>
    </row>
    <row r="125" spans="1:6" x14ac:dyDescent="0.25">
      <c r="A125" s="8" t="s">
        <v>138</v>
      </c>
      <c r="B125" s="10">
        <v>0</v>
      </c>
      <c r="C125" t="s">
        <v>73</v>
      </c>
      <c r="D125">
        <v>7</v>
      </c>
      <c r="E125" s="13" t="s">
        <v>135</v>
      </c>
      <c r="F125" t="s">
        <v>66</v>
      </c>
    </row>
    <row r="126" spans="1:6" x14ac:dyDescent="0.25">
      <c r="A126" s="8" t="s">
        <v>136</v>
      </c>
      <c r="B126" s="10">
        <v>0</v>
      </c>
      <c r="C126" t="s">
        <v>73</v>
      </c>
      <c r="D126">
        <v>7</v>
      </c>
      <c r="E126" s="13" t="s">
        <v>135</v>
      </c>
      <c r="F126" t="s">
        <v>66</v>
      </c>
    </row>
    <row r="127" spans="1:6" x14ac:dyDescent="0.25">
      <c r="A127" s="8" t="s">
        <v>137</v>
      </c>
      <c r="B127" s="10">
        <v>0</v>
      </c>
      <c r="C127" t="s">
        <v>73</v>
      </c>
      <c r="D127">
        <v>7</v>
      </c>
      <c r="E127" s="13" t="s">
        <v>135</v>
      </c>
      <c r="F127" t="s">
        <v>66</v>
      </c>
    </row>
    <row r="128" spans="1:6" x14ac:dyDescent="0.25">
      <c r="A128" s="8" t="s">
        <v>26</v>
      </c>
      <c r="B128">
        <v>-7000</v>
      </c>
      <c r="C128" t="s">
        <v>73</v>
      </c>
      <c r="D128">
        <v>7</v>
      </c>
      <c r="E128" s="13" t="s">
        <v>25</v>
      </c>
      <c r="F128" t="s">
        <v>140</v>
      </c>
    </row>
    <row r="129" spans="1:6" x14ac:dyDescent="0.25">
      <c r="A129" s="8" t="s">
        <v>27</v>
      </c>
      <c r="B129" s="4">
        <f>(SUMIFS(B1:B128,A1:A128,"Internet",D1:D128,6))*(1+'Inflacion '!$D$7)</f>
        <v>-18900.512431970401</v>
      </c>
      <c r="C129" t="s">
        <v>73</v>
      </c>
      <c r="D129">
        <v>7</v>
      </c>
      <c r="E129" s="13" t="s">
        <v>25</v>
      </c>
      <c r="F129" t="s">
        <v>140</v>
      </c>
    </row>
    <row r="130" spans="1:6" x14ac:dyDescent="0.25">
      <c r="A130" s="8" t="s">
        <v>28</v>
      </c>
      <c r="B130" s="4">
        <f>(SUMIFS(B71:B129,A71:A129,"Celular",D71:D129,6))*(1+'Inflacion '!$D$7)</f>
        <v>-15790.546371600005</v>
      </c>
      <c r="C130" t="s">
        <v>73</v>
      </c>
      <c r="D130">
        <v>7</v>
      </c>
      <c r="E130" s="13" t="s">
        <v>25</v>
      </c>
      <c r="F130" t="s">
        <v>140</v>
      </c>
    </row>
    <row r="131" spans="1:6" x14ac:dyDescent="0.25">
      <c r="A131" s="8" t="s">
        <v>29</v>
      </c>
      <c r="B131">
        <v>-2000</v>
      </c>
      <c r="C131" t="s">
        <v>73</v>
      </c>
      <c r="D131">
        <v>7</v>
      </c>
      <c r="E131" s="13" t="s">
        <v>25</v>
      </c>
      <c r="F131" t="s">
        <v>140</v>
      </c>
    </row>
    <row r="132" spans="1:6" x14ac:dyDescent="0.25">
      <c r="A132" s="8" t="s">
        <v>30</v>
      </c>
      <c r="B132" s="2">
        <f>-VLOOKUP(BalanceProyectado[[#This Row],[Mes]],Alquiler!$C$1:$F$13,2,FALSE)</f>
        <v>-284200</v>
      </c>
      <c r="C132" t="s">
        <v>73</v>
      </c>
      <c r="D132">
        <v>7</v>
      </c>
      <c r="E132" s="13" t="s">
        <v>25</v>
      </c>
      <c r="F132" t="s">
        <v>140</v>
      </c>
    </row>
    <row r="133" spans="1:6" x14ac:dyDescent="0.25">
      <c r="A133" s="8" t="s">
        <v>31</v>
      </c>
      <c r="B133" s="2">
        <f>-VLOOKUP(BalanceProyectado[[#This Row],[Mes]],Alquiler!$C$1:$F$13,3,FALSE)</f>
        <v>-14525.999999999998</v>
      </c>
      <c r="C133" t="s">
        <v>73</v>
      </c>
      <c r="D133">
        <v>7</v>
      </c>
      <c r="E133" s="13" t="s">
        <v>25</v>
      </c>
      <c r="F133" t="s">
        <v>140</v>
      </c>
    </row>
    <row r="134" spans="1:6" x14ac:dyDescent="0.25">
      <c r="A134" s="7" t="s">
        <v>71</v>
      </c>
      <c r="B134" s="10">
        <v>0</v>
      </c>
      <c r="C134" t="s">
        <v>73</v>
      </c>
      <c r="D134">
        <v>7</v>
      </c>
      <c r="E134" s="13" t="s">
        <v>32</v>
      </c>
      <c r="F134" t="s">
        <v>140</v>
      </c>
    </row>
    <row r="135" spans="1:6" x14ac:dyDescent="0.25">
      <c r="A135" s="8" t="s">
        <v>33</v>
      </c>
      <c r="B135" s="4">
        <f>(SUMIFS(B75:B134,A75:A134,"Mercaderia",D75:D134,6))*(1+'Inflacion '!$D$7)</f>
        <v>-126202.14129600003</v>
      </c>
      <c r="C135" t="s">
        <v>73</v>
      </c>
      <c r="D135">
        <v>7</v>
      </c>
      <c r="E135" s="13" t="s">
        <v>32</v>
      </c>
      <c r="F135" t="s">
        <v>140</v>
      </c>
    </row>
    <row r="136" spans="1:6" x14ac:dyDescent="0.25">
      <c r="A136" s="8" t="s">
        <v>5</v>
      </c>
      <c r="B136" s="4">
        <f>(SUMIFS(B76:B135,A76:A135,"Salidas",D76:D135,6))*(1+'Inflacion '!$D$7)</f>
        <v>-126202.14129600003</v>
      </c>
      <c r="C136" t="s">
        <v>73</v>
      </c>
      <c r="D136">
        <v>7</v>
      </c>
      <c r="E136" s="13" t="s">
        <v>32</v>
      </c>
      <c r="F136" t="s">
        <v>140</v>
      </c>
    </row>
    <row r="137" spans="1:6" x14ac:dyDescent="0.25">
      <c r="A137" s="8" t="s">
        <v>9</v>
      </c>
      <c r="B137" s="4">
        <f>(SUMIFS(B76:B136,A76:A136,"Transporte",D76:D136,6))*(1+'Inflacion '!$D$7)</f>
        <v>-63101.070648000015</v>
      </c>
      <c r="C137" t="s">
        <v>73</v>
      </c>
      <c r="D137">
        <v>7</v>
      </c>
      <c r="E137" s="13" t="s">
        <v>32</v>
      </c>
      <c r="F137" t="s">
        <v>140</v>
      </c>
    </row>
    <row r="138" spans="1:6" x14ac:dyDescent="0.25">
      <c r="A138" s="8" t="s">
        <v>8</v>
      </c>
      <c r="B138" s="4">
        <f>(SUMIFS(B76:B137,A76:A137,"Delivery",D76:D137,6))*(1+'Inflacion '!$D$7)</f>
        <v>-54086.631984000014</v>
      </c>
      <c r="C138" t="s">
        <v>73</v>
      </c>
      <c r="D138">
        <v>7</v>
      </c>
      <c r="E138" s="13" t="s">
        <v>32</v>
      </c>
      <c r="F138" t="s">
        <v>140</v>
      </c>
    </row>
    <row r="139" spans="1:6" x14ac:dyDescent="0.25">
      <c r="A139" s="8" t="s">
        <v>34</v>
      </c>
      <c r="B139" s="10">
        <v>0</v>
      </c>
      <c r="C139" t="s">
        <v>73</v>
      </c>
      <c r="D139">
        <v>7</v>
      </c>
      <c r="E139" s="13" t="s">
        <v>32</v>
      </c>
      <c r="F139" t="s">
        <v>140</v>
      </c>
    </row>
    <row r="140" spans="1:6" x14ac:dyDescent="0.25">
      <c r="A140" s="8" t="s">
        <v>78</v>
      </c>
      <c r="B140" s="10">
        <v>0</v>
      </c>
      <c r="C140" t="s">
        <v>73</v>
      </c>
      <c r="D140">
        <v>7</v>
      </c>
      <c r="E140" s="12" t="s">
        <v>79</v>
      </c>
      <c r="F140" t="s">
        <v>140</v>
      </c>
    </row>
    <row r="141" spans="1:6" x14ac:dyDescent="0.25">
      <c r="A141" s="8" t="s">
        <v>143</v>
      </c>
      <c r="B141" s="10">
        <v>0</v>
      </c>
      <c r="C141" t="s">
        <v>73</v>
      </c>
      <c r="D141">
        <v>7</v>
      </c>
      <c r="E141" s="12" t="s">
        <v>35</v>
      </c>
      <c r="F141" t="s">
        <v>140</v>
      </c>
    </row>
    <row r="142" spans="1:6" x14ac:dyDescent="0.25">
      <c r="A142" s="8" t="s">
        <v>144</v>
      </c>
      <c r="B142" s="10">
        <v>0</v>
      </c>
      <c r="C142" t="s">
        <v>73</v>
      </c>
      <c r="D142">
        <v>7</v>
      </c>
      <c r="E142" s="12" t="s">
        <v>35</v>
      </c>
      <c r="F142" t="s">
        <v>140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62E5-EC7E-4881-9F5B-3272F0D295A4}">
  <dimension ref="A1:H26"/>
  <sheetViews>
    <sheetView workbookViewId="0">
      <selection activeCell="C6" sqref="C6"/>
    </sheetView>
  </sheetViews>
  <sheetFormatPr baseColWidth="10" defaultRowHeight="15" x14ac:dyDescent="0.25"/>
  <cols>
    <col min="2" max="2" width="19.5703125" bestFit="1" customWidth="1"/>
    <col min="7" max="7" width="26.140625" bestFit="1" customWidth="1"/>
  </cols>
  <sheetData>
    <row r="1" spans="1:8" x14ac:dyDescent="0.25">
      <c r="A1" s="24" t="s">
        <v>93</v>
      </c>
      <c r="B1" t="s">
        <v>95</v>
      </c>
      <c r="C1" t="s">
        <v>72</v>
      </c>
      <c r="D1" t="s">
        <v>2</v>
      </c>
      <c r="E1" t="s">
        <v>96</v>
      </c>
      <c r="G1" t="s">
        <v>99</v>
      </c>
      <c r="H1" s="3">
        <v>45350</v>
      </c>
    </row>
    <row r="2" spans="1:8" x14ac:dyDescent="0.25">
      <c r="A2" s="42">
        <v>2024</v>
      </c>
      <c r="C2" t="s">
        <v>11</v>
      </c>
      <c r="D2" s="35">
        <v>0.20599999999999999</v>
      </c>
      <c r="E2" t="s">
        <v>97</v>
      </c>
    </row>
    <row r="3" spans="1:8" x14ac:dyDescent="0.25">
      <c r="A3" s="43">
        <v>2024</v>
      </c>
      <c r="B3">
        <v>1</v>
      </c>
      <c r="C3" t="s">
        <v>12</v>
      </c>
      <c r="D3" s="35">
        <v>0.158</v>
      </c>
      <c r="E3" t="s">
        <v>97</v>
      </c>
    </row>
    <row r="4" spans="1:8" x14ac:dyDescent="0.25">
      <c r="A4" s="42">
        <v>2024</v>
      </c>
      <c r="B4">
        <v>1</v>
      </c>
      <c r="C4" t="s">
        <v>13</v>
      </c>
      <c r="D4" s="35">
        <v>0.14299999999999999</v>
      </c>
      <c r="E4" t="s">
        <v>98</v>
      </c>
    </row>
    <row r="5" spans="1:8" x14ac:dyDescent="0.25">
      <c r="A5" s="43">
        <v>2024</v>
      </c>
      <c r="B5">
        <v>1</v>
      </c>
      <c r="C5" t="s">
        <v>14</v>
      </c>
      <c r="D5" s="35">
        <v>0.12</v>
      </c>
      <c r="E5" t="s">
        <v>98</v>
      </c>
    </row>
    <row r="6" spans="1:8" x14ac:dyDescent="0.25">
      <c r="A6" s="42">
        <v>2024</v>
      </c>
      <c r="B6">
        <v>2</v>
      </c>
      <c r="C6" t="s">
        <v>15</v>
      </c>
      <c r="D6" s="35">
        <v>0.1</v>
      </c>
      <c r="E6" t="s">
        <v>98</v>
      </c>
    </row>
    <row r="7" spans="1:8" x14ac:dyDescent="0.25">
      <c r="A7" s="43">
        <v>2024</v>
      </c>
      <c r="B7">
        <v>2</v>
      </c>
      <c r="C7" t="s">
        <v>16</v>
      </c>
      <c r="D7" s="35">
        <v>8.5000000000000006E-2</v>
      </c>
      <c r="E7" t="s">
        <v>98</v>
      </c>
    </row>
    <row r="8" spans="1:8" x14ac:dyDescent="0.25">
      <c r="A8" s="42">
        <v>2024</v>
      </c>
      <c r="B8">
        <v>2</v>
      </c>
      <c r="C8" t="s">
        <v>73</v>
      </c>
      <c r="D8" s="35">
        <v>7.8E-2</v>
      </c>
      <c r="E8" t="s">
        <v>98</v>
      </c>
    </row>
    <row r="9" spans="1:8" x14ac:dyDescent="0.25">
      <c r="A9" s="43">
        <v>2024</v>
      </c>
      <c r="B9">
        <v>3</v>
      </c>
      <c r="C9" t="s">
        <v>74</v>
      </c>
      <c r="D9" s="35">
        <v>7.0000000000000007E-2</v>
      </c>
      <c r="E9" t="s">
        <v>98</v>
      </c>
    </row>
    <row r="10" spans="1:8" x14ac:dyDescent="0.25">
      <c r="A10" s="42">
        <v>2024</v>
      </c>
      <c r="B10">
        <v>3</v>
      </c>
      <c r="C10" t="s">
        <v>75</v>
      </c>
      <c r="D10" s="35">
        <v>0.15</v>
      </c>
      <c r="E10" t="s">
        <v>98</v>
      </c>
    </row>
    <row r="11" spans="1:8" x14ac:dyDescent="0.25">
      <c r="A11" s="43">
        <v>2024</v>
      </c>
      <c r="B11">
        <v>3</v>
      </c>
      <c r="C11" t="s">
        <v>90</v>
      </c>
      <c r="D11" s="35">
        <v>0.15</v>
      </c>
      <c r="E11" t="s">
        <v>98</v>
      </c>
    </row>
    <row r="12" spans="1:8" x14ac:dyDescent="0.25">
      <c r="A12" s="42">
        <v>2024</v>
      </c>
      <c r="B12">
        <v>4</v>
      </c>
      <c r="C12" t="s">
        <v>91</v>
      </c>
      <c r="D12" s="35">
        <v>0.15</v>
      </c>
      <c r="E12" t="s">
        <v>98</v>
      </c>
    </row>
    <row r="13" spans="1:8" x14ac:dyDescent="0.25">
      <c r="A13" s="43">
        <v>2024</v>
      </c>
      <c r="B13">
        <v>4</v>
      </c>
      <c r="C13" t="s">
        <v>92</v>
      </c>
      <c r="D13" s="35">
        <v>0.15</v>
      </c>
      <c r="E13" t="s">
        <v>98</v>
      </c>
    </row>
    <row r="14" spans="1:8" x14ac:dyDescent="0.25">
      <c r="A14" s="42">
        <v>2025</v>
      </c>
      <c r="B14">
        <v>4</v>
      </c>
      <c r="C14" t="s">
        <v>11</v>
      </c>
      <c r="D14" s="35">
        <v>0.15</v>
      </c>
      <c r="E14" t="s">
        <v>98</v>
      </c>
    </row>
    <row r="15" spans="1:8" x14ac:dyDescent="0.25">
      <c r="A15" s="43">
        <v>2025</v>
      </c>
      <c r="B15">
        <v>5</v>
      </c>
      <c r="C15" t="s">
        <v>12</v>
      </c>
      <c r="D15" s="35">
        <v>0.15</v>
      </c>
      <c r="E15" t="s">
        <v>98</v>
      </c>
    </row>
    <row r="16" spans="1:8" x14ac:dyDescent="0.25">
      <c r="A16" s="42">
        <v>2025</v>
      </c>
      <c r="B16">
        <v>5</v>
      </c>
      <c r="C16" t="s">
        <v>13</v>
      </c>
      <c r="D16" s="35">
        <v>0.15</v>
      </c>
      <c r="E16" t="s">
        <v>98</v>
      </c>
    </row>
    <row r="17" spans="1:5" x14ac:dyDescent="0.25">
      <c r="A17" s="43">
        <v>2025</v>
      </c>
      <c r="B17">
        <v>5</v>
      </c>
      <c r="C17" t="s">
        <v>14</v>
      </c>
      <c r="D17" s="35">
        <v>0.15</v>
      </c>
      <c r="E17" t="s">
        <v>98</v>
      </c>
    </row>
    <row r="18" spans="1:5" x14ac:dyDescent="0.25">
      <c r="A18" s="42">
        <v>2025</v>
      </c>
      <c r="B18">
        <v>6</v>
      </c>
      <c r="C18" t="s">
        <v>15</v>
      </c>
      <c r="D18" s="35">
        <v>0.15</v>
      </c>
      <c r="E18" t="s">
        <v>98</v>
      </c>
    </row>
    <row r="19" spans="1:5" x14ac:dyDescent="0.25">
      <c r="A19" s="43">
        <v>2025</v>
      </c>
      <c r="B19">
        <v>6</v>
      </c>
      <c r="C19" t="s">
        <v>16</v>
      </c>
      <c r="D19" s="35">
        <v>0.15</v>
      </c>
      <c r="E19" t="s">
        <v>98</v>
      </c>
    </row>
    <row r="20" spans="1:5" x14ac:dyDescent="0.25">
      <c r="A20" s="42">
        <v>2025</v>
      </c>
      <c r="B20">
        <v>6</v>
      </c>
      <c r="C20" t="s">
        <v>73</v>
      </c>
      <c r="D20" s="35">
        <v>0.15</v>
      </c>
      <c r="E20" t="s">
        <v>98</v>
      </c>
    </row>
    <row r="21" spans="1:5" x14ac:dyDescent="0.25">
      <c r="A21" s="43">
        <v>2025</v>
      </c>
      <c r="B21">
        <v>7</v>
      </c>
      <c r="C21" t="s">
        <v>74</v>
      </c>
      <c r="D21" s="35">
        <v>0.15</v>
      </c>
      <c r="E21" t="s">
        <v>98</v>
      </c>
    </row>
    <row r="22" spans="1:5" x14ac:dyDescent="0.25">
      <c r="A22" s="42">
        <v>2025</v>
      </c>
      <c r="B22">
        <v>7</v>
      </c>
      <c r="C22" t="s">
        <v>75</v>
      </c>
      <c r="D22" s="35">
        <v>0.15</v>
      </c>
      <c r="E22" t="s">
        <v>98</v>
      </c>
    </row>
    <row r="23" spans="1:5" x14ac:dyDescent="0.25">
      <c r="A23" s="43">
        <v>2025</v>
      </c>
      <c r="B23">
        <v>7</v>
      </c>
      <c r="C23" t="s">
        <v>90</v>
      </c>
      <c r="D23" s="35">
        <v>0.15</v>
      </c>
      <c r="E23" t="s">
        <v>98</v>
      </c>
    </row>
    <row r="24" spans="1:5" x14ac:dyDescent="0.25">
      <c r="A24" s="42">
        <v>2025</v>
      </c>
      <c r="B24">
        <v>8</v>
      </c>
      <c r="C24" t="s">
        <v>91</v>
      </c>
      <c r="D24" s="35">
        <v>0.15</v>
      </c>
      <c r="E24" t="s">
        <v>98</v>
      </c>
    </row>
    <row r="25" spans="1:5" x14ac:dyDescent="0.25">
      <c r="A25" s="43">
        <v>2025</v>
      </c>
      <c r="B25">
        <v>8</v>
      </c>
      <c r="C25" t="s">
        <v>92</v>
      </c>
      <c r="D25" s="35">
        <v>0.15</v>
      </c>
      <c r="E25" t="s">
        <v>98</v>
      </c>
    </row>
    <row r="26" spans="1:5" x14ac:dyDescent="0.25">
      <c r="A26" s="42">
        <v>2026</v>
      </c>
      <c r="B26">
        <v>8</v>
      </c>
      <c r="C26" t="s">
        <v>11</v>
      </c>
      <c r="D26" s="35">
        <v>0.15</v>
      </c>
      <c r="E26" t="s">
        <v>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672A-6FB0-46E2-ABD3-CB54329BEFA3}">
  <dimension ref="A1:N24"/>
  <sheetViews>
    <sheetView workbookViewId="0">
      <selection activeCell="B7" sqref="B7"/>
    </sheetView>
  </sheetViews>
  <sheetFormatPr baseColWidth="10" defaultRowHeight="15" x14ac:dyDescent="0.25"/>
  <cols>
    <col min="4" max="4" width="13.140625" bestFit="1" customWidth="1"/>
    <col min="5" max="5" width="11.5703125" customWidth="1"/>
    <col min="6" max="6" width="13.140625" bestFit="1" customWidth="1"/>
  </cols>
  <sheetData>
    <row r="1" spans="1:14" x14ac:dyDescent="0.25">
      <c r="A1" t="s">
        <v>89</v>
      </c>
      <c r="B1" t="s">
        <v>94</v>
      </c>
      <c r="C1" t="s">
        <v>72</v>
      </c>
      <c r="D1" t="s">
        <v>30</v>
      </c>
      <c r="E1" t="s">
        <v>31</v>
      </c>
      <c r="F1" t="s">
        <v>76</v>
      </c>
      <c r="H1" s="48" t="s">
        <v>100</v>
      </c>
      <c r="I1" s="48"/>
    </row>
    <row r="2" spans="1:14" x14ac:dyDescent="0.25">
      <c r="A2">
        <v>2024</v>
      </c>
      <c r="B2">
        <v>1</v>
      </c>
      <c r="C2" t="s">
        <v>13</v>
      </c>
      <c r="D2" s="2">
        <v>200000</v>
      </c>
      <c r="E2" s="2">
        <v>12000</v>
      </c>
      <c r="F2" s="4">
        <f>D2+E2</f>
        <v>212000</v>
      </c>
      <c r="H2" t="s">
        <v>30</v>
      </c>
      <c r="I2">
        <v>200000</v>
      </c>
    </row>
    <row r="3" spans="1:14" x14ac:dyDescent="0.25">
      <c r="A3">
        <v>2024</v>
      </c>
      <c r="B3">
        <v>1</v>
      </c>
      <c r="C3" t="s">
        <v>14</v>
      </c>
      <c r="D3" s="2">
        <v>200000</v>
      </c>
      <c r="E3" s="2">
        <v>12000</v>
      </c>
      <c r="F3" s="4">
        <f t="shared" ref="F3:F24" si="0">D3+E3</f>
        <v>212000</v>
      </c>
      <c r="H3" t="s">
        <v>88</v>
      </c>
      <c r="I3">
        <v>12000</v>
      </c>
    </row>
    <row r="4" spans="1:14" x14ac:dyDescent="0.25">
      <c r="A4">
        <v>2024</v>
      </c>
      <c r="B4">
        <v>2</v>
      </c>
      <c r="C4" t="s">
        <v>15</v>
      </c>
      <c r="D4" s="4">
        <f>$D$3*(1+(SUMIF(InlfacionTendencia[[#All],[Trimestre Alquiler]],"=1",InlfacionTendencia[[#All],[Monto]])))</f>
        <v>284200</v>
      </c>
      <c r="E4" s="4">
        <f>$E$3*(1+(SUMIF(InlfacionTendencia[[#All],[Trimestre Alquiler]],"=1",InlfacionTendencia[[#All],[Monto]]))/2)</f>
        <v>14525.999999999998</v>
      </c>
      <c r="F4" s="4">
        <f t="shared" si="0"/>
        <v>298726</v>
      </c>
      <c r="G4" s="4"/>
      <c r="H4" s="4"/>
      <c r="I4" s="4"/>
      <c r="K4" s="4"/>
      <c r="L4" s="4"/>
      <c r="M4" s="4"/>
      <c r="N4" s="4"/>
    </row>
    <row r="5" spans="1:14" x14ac:dyDescent="0.25">
      <c r="A5">
        <v>2024</v>
      </c>
      <c r="B5">
        <v>2</v>
      </c>
      <c r="C5" t="s">
        <v>16</v>
      </c>
      <c r="D5" s="4">
        <f>$D$3*(1+(SUMIF(InlfacionTendencia[[#All],[Trimestre Alquiler]],"=1",InlfacionTendencia[[#All],[Monto]])))</f>
        <v>284200</v>
      </c>
      <c r="E5" s="4">
        <f>$E$3*(1+(SUMIF(InlfacionTendencia[[#All],[Trimestre Alquiler]],"=1",InlfacionTendencia[[#All],[Monto]]))/2)</f>
        <v>14525.999999999998</v>
      </c>
      <c r="F5" s="4">
        <f t="shared" si="0"/>
        <v>298726</v>
      </c>
      <c r="H5" s="4"/>
      <c r="I5" s="4"/>
      <c r="K5" s="4"/>
    </row>
    <row r="6" spans="1:14" x14ac:dyDescent="0.25">
      <c r="A6">
        <v>2024</v>
      </c>
      <c r="B6">
        <v>2</v>
      </c>
      <c r="C6" t="s">
        <v>73</v>
      </c>
      <c r="D6" s="4">
        <f>$D$3*(1+(SUMIF(InlfacionTendencia[[#All],[Trimestre Alquiler]],"=1",InlfacionTendencia[[#All],[Monto]])))</f>
        <v>284200</v>
      </c>
      <c r="E6" s="4">
        <f>$E$3*(1+(SUMIF(InlfacionTendencia[[#All],[Trimestre Alquiler]],"=1",InlfacionTendencia[[#All],[Monto]]))/2)</f>
        <v>14525.999999999998</v>
      </c>
      <c r="F6" s="4">
        <f t="shared" si="0"/>
        <v>298726</v>
      </c>
      <c r="H6" s="4"/>
      <c r="I6" s="4"/>
      <c r="K6" s="4"/>
    </row>
    <row r="7" spans="1:14" x14ac:dyDescent="0.25">
      <c r="A7">
        <v>2024</v>
      </c>
      <c r="B7">
        <v>3</v>
      </c>
      <c r="C7" t="s">
        <v>74</v>
      </c>
      <c r="D7" s="4">
        <f>$D$6*(1+(SUMIF(InlfacionTendencia[[#All],[Trimestre Alquiler]],"=2",InlfacionTendencia[[#All],[Monto]])))</f>
        <v>358944.6</v>
      </c>
      <c r="E7" s="4">
        <f>$E$6*(1+(SUMIF(InlfacionTendencia[[#All],[Trimestre Alquiler]],"=2",InlfacionTendencia[[#All],[Monto]]))/2)</f>
        <v>16436.168999999998</v>
      </c>
      <c r="F7" s="4">
        <f t="shared" si="0"/>
        <v>375380.76899999997</v>
      </c>
    </row>
    <row r="8" spans="1:14" x14ac:dyDescent="0.25">
      <c r="A8">
        <v>2024</v>
      </c>
      <c r="B8">
        <v>3</v>
      </c>
      <c r="C8" t="s">
        <v>75</v>
      </c>
      <c r="D8" s="4">
        <f>$D$6*(1+(SUMIF(InlfacionTendencia[[#All],[Trimestre Alquiler]],"=2",InlfacionTendencia[[#All],[Monto]])))</f>
        <v>358944.6</v>
      </c>
      <c r="E8" s="4">
        <f>$E$6*(1+(SUMIF(InlfacionTendencia[[#All],[Trimestre Alquiler]],"=2",InlfacionTendencia[[#All],[Monto]]))/2)</f>
        <v>16436.168999999998</v>
      </c>
      <c r="F8" s="4">
        <f t="shared" si="0"/>
        <v>375380.76899999997</v>
      </c>
    </row>
    <row r="9" spans="1:14" x14ac:dyDescent="0.25">
      <c r="A9">
        <v>2024</v>
      </c>
      <c r="B9">
        <v>3</v>
      </c>
      <c r="C9" t="s">
        <v>90</v>
      </c>
      <c r="D9" s="4">
        <f>$D$6*(1+(SUMIF(InlfacionTendencia[[#All],[Trimestre Alquiler]],"=2",InlfacionTendencia[[#All],[Monto]])))</f>
        <v>358944.6</v>
      </c>
      <c r="E9" s="4">
        <f>$E$6*(1+(SUMIF(InlfacionTendencia[[#All],[Trimestre Alquiler]],"=2",InlfacionTendencia[[#All],[Monto]]))/2)</f>
        <v>16436.168999999998</v>
      </c>
      <c r="F9" s="4">
        <f t="shared" si="0"/>
        <v>375380.76899999997</v>
      </c>
    </row>
    <row r="10" spans="1:14" x14ac:dyDescent="0.25">
      <c r="A10">
        <v>2024</v>
      </c>
      <c r="B10">
        <v>4</v>
      </c>
      <c r="C10" t="s">
        <v>91</v>
      </c>
      <c r="D10" s="4">
        <f>$D$9*(1+(SUMIF(InlfacionTendencia[[#All],[Trimestre Alquiler]],"=3",InlfacionTendencia[[#All],[Monto]])))</f>
        <v>491754.10200000001</v>
      </c>
      <c r="E10" s="4">
        <f>$E$9*(1+(SUMIF(InlfacionTendencia[[#All],[Trimestre Alquiler]],"=3",InlfacionTendencia[[#All],[Monto]]))/2)</f>
        <v>19476.860264999999</v>
      </c>
      <c r="F10" s="4">
        <f t="shared" si="0"/>
        <v>511230.96226500004</v>
      </c>
    </row>
    <row r="11" spans="1:14" x14ac:dyDescent="0.25">
      <c r="A11">
        <v>2024</v>
      </c>
      <c r="B11">
        <v>4</v>
      </c>
      <c r="C11" t="s">
        <v>92</v>
      </c>
      <c r="D11" s="4">
        <f>$D$9*(1+(SUMIF(InlfacionTendencia[[#All],[Trimestre Alquiler]],"=3",InlfacionTendencia[[#All],[Monto]])))</f>
        <v>491754.10200000001</v>
      </c>
      <c r="E11" s="4">
        <f>$E$9*(1+(SUMIF(InlfacionTendencia[[#All],[Trimestre Alquiler]],"=3",InlfacionTendencia[[#All],[Monto]]))/2)</f>
        <v>19476.860264999999</v>
      </c>
      <c r="F11" s="4">
        <f t="shared" si="0"/>
        <v>511230.96226500004</v>
      </c>
    </row>
    <row r="12" spans="1:14" x14ac:dyDescent="0.25">
      <c r="A12">
        <v>2025</v>
      </c>
      <c r="B12">
        <v>4</v>
      </c>
      <c r="C12" t="s">
        <v>11</v>
      </c>
      <c r="D12" s="4">
        <f>$D$9*(1+(SUMIF(InlfacionTendencia[[#All],[Trimestre Alquiler]],"=3",InlfacionTendencia[[#All],[Monto]])))</f>
        <v>491754.10200000001</v>
      </c>
      <c r="E12" s="4">
        <f>$E$9*(1+(SUMIF(InlfacionTendencia[[#All],[Trimestre Alquiler]],"=3",InlfacionTendencia[[#All],[Monto]]))/2)</f>
        <v>19476.860264999999</v>
      </c>
      <c r="F12" s="4">
        <f t="shared" si="0"/>
        <v>511230.96226500004</v>
      </c>
    </row>
    <row r="13" spans="1:14" x14ac:dyDescent="0.25">
      <c r="A13">
        <v>2025</v>
      </c>
      <c r="B13">
        <v>5</v>
      </c>
      <c r="C13" t="s">
        <v>12</v>
      </c>
      <c r="D13" s="4">
        <f>$D$12*(1+(SUMIF(InlfacionTendencia[[#All],[Trimestre Alquiler]],"=4",InlfacionTendencia[[#All],[Monto]])))</f>
        <v>713043.44790000003</v>
      </c>
      <c r="E13" s="4">
        <f>$E$12*(1+(SUMIF(InlfacionTendencia[[#All],[Trimestre Alquiler]],"=4",InlfacionTendencia[[#All],[Monto]]))/2)</f>
        <v>23859.153824625002</v>
      </c>
      <c r="F13" s="4">
        <f t="shared" si="0"/>
        <v>736902.60172462498</v>
      </c>
    </row>
    <row r="14" spans="1:14" x14ac:dyDescent="0.25">
      <c r="A14">
        <v>2025</v>
      </c>
      <c r="B14">
        <v>5</v>
      </c>
      <c r="C14" t="s">
        <v>13</v>
      </c>
      <c r="D14" s="4">
        <f>$D$12*(1+(SUMIF(InlfacionTendencia[[#All],[Trimestre Alquiler]],"=4",InlfacionTendencia[[#All],[Monto]])))</f>
        <v>713043.44790000003</v>
      </c>
      <c r="E14" s="4">
        <f>$E$12*(1+(SUMIF(InlfacionTendencia[[#All],[Trimestre Alquiler]],"=4",InlfacionTendencia[[#All],[Monto]]))/2)</f>
        <v>23859.153824625002</v>
      </c>
      <c r="F14" s="4">
        <f t="shared" si="0"/>
        <v>736902.60172462498</v>
      </c>
    </row>
    <row r="15" spans="1:14" x14ac:dyDescent="0.25">
      <c r="A15">
        <v>2025</v>
      </c>
      <c r="B15">
        <v>5</v>
      </c>
      <c r="C15" t="s">
        <v>14</v>
      </c>
      <c r="D15" s="4">
        <f>$D$12*(1+(SUMIF(InlfacionTendencia[[#All],[Trimestre Alquiler]],"=4",InlfacionTendencia[[#All],[Monto]])))</f>
        <v>713043.44790000003</v>
      </c>
      <c r="E15" s="4">
        <f>$E$12*(1+(SUMIF(InlfacionTendencia[[#All],[Trimestre Alquiler]],"=4",InlfacionTendencia[[#All],[Monto]]))/2)</f>
        <v>23859.153824625002</v>
      </c>
      <c r="F15" s="4">
        <f t="shared" si="0"/>
        <v>736902.60172462498</v>
      </c>
    </row>
    <row r="16" spans="1:14" x14ac:dyDescent="0.25">
      <c r="A16">
        <v>2025</v>
      </c>
      <c r="B16">
        <v>6</v>
      </c>
      <c r="C16" t="s">
        <v>15</v>
      </c>
      <c r="D16" s="4">
        <f>$D$15*(1+(SUMIF(InlfacionTendencia[[#All],[Trimestre Alquiler]],"=5",InlfacionTendencia[[#All],[Monto]])))</f>
        <v>1033912.999455</v>
      </c>
      <c r="E16" s="4">
        <f>$E$15*(1+(SUMIF(InlfacionTendencia[[#All],[Trimestre Alquiler]],"=5",InlfacionTendencia[[#All],[Monto]]))/2)</f>
        <v>29227.463435165631</v>
      </c>
      <c r="F16" s="4">
        <f t="shared" si="0"/>
        <v>1063140.4628901656</v>
      </c>
    </row>
    <row r="17" spans="1:6" x14ac:dyDescent="0.25">
      <c r="A17">
        <v>2025</v>
      </c>
      <c r="B17">
        <v>6</v>
      </c>
      <c r="C17" t="s">
        <v>16</v>
      </c>
      <c r="D17" s="4">
        <f>$D$15*(1+(SUMIF(InlfacionTendencia[[#All],[Trimestre Alquiler]],"=5",InlfacionTendencia[[#All],[Monto]])))</f>
        <v>1033912.999455</v>
      </c>
      <c r="E17" s="4">
        <f>$E$15*(1+(SUMIF(InlfacionTendencia[[#All],[Trimestre Alquiler]],"=5",InlfacionTendencia[[#All],[Monto]]))/2)</f>
        <v>29227.463435165631</v>
      </c>
      <c r="F17" s="4">
        <f t="shared" si="0"/>
        <v>1063140.4628901656</v>
      </c>
    </row>
    <row r="18" spans="1:6" x14ac:dyDescent="0.25">
      <c r="A18">
        <v>2025</v>
      </c>
      <c r="B18">
        <v>6</v>
      </c>
      <c r="C18" t="s">
        <v>73</v>
      </c>
      <c r="D18" s="4">
        <f>$D$15*(1+(SUMIF(InlfacionTendencia[[#All],[Trimestre Alquiler]],"=5",InlfacionTendencia[[#All],[Monto]])))</f>
        <v>1033912.999455</v>
      </c>
      <c r="E18" s="4">
        <f>$E$15*(1+(SUMIF(InlfacionTendencia[[#All],[Trimestre Alquiler]],"=5",InlfacionTendencia[[#All],[Monto]]))/2)</f>
        <v>29227.463435165631</v>
      </c>
      <c r="F18" s="4">
        <f t="shared" si="0"/>
        <v>1063140.4628901656</v>
      </c>
    </row>
    <row r="19" spans="1:6" x14ac:dyDescent="0.25">
      <c r="A19">
        <v>2025</v>
      </c>
      <c r="B19">
        <v>7</v>
      </c>
      <c r="C19" t="s">
        <v>74</v>
      </c>
      <c r="D19" s="4">
        <f>$D$18*(1+(SUMIF(InlfacionTendencia[[#All],[Trimestre Alquiler]],"=6",InlfacionTendencia[[#All],[Monto]])))</f>
        <v>1499173.8492097501</v>
      </c>
      <c r="E19" s="4">
        <f>$E$18*(1+(SUMIF(InlfacionTendencia[[#All],[Trimestre Alquiler]],"=6",InlfacionTendencia[[#All],[Monto]]))/2)</f>
        <v>35803.642708077903</v>
      </c>
      <c r="F19" s="4">
        <f t="shared" si="0"/>
        <v>1534977.4919178279</v>
      </c>
    </row>
    <row r="20" spans="1:6" x14ac:dyDescent="0.25">
      <c r="A20">
        <v>2025</v>
      </c>
      <c r="B20">
        <v>7</v>
      </c>
      <c r="C20" t="s">
        <v>75</v>
      </c>
      <c r="D20" s="4">
        <f>$D$18*(1+(SUMIF(InlfacionTendencia[[#All],[Trimestre Alquiler]],"=6",InlfacionTendencia[[#All],[Monto]])))</f>
        <v>1499173.8492097501</v>
      </c>
      <c r="E20" s="4">
        <f>$E$18*(1+(SUMIF(InlfacionTendencia[[#All],[Trimestre Alquiler]],"=6",InlfacionTendencia[[#All],[Monto]]))/2)</f>
        <v>35803.642708077903</v>
      </c>
      <c r="F20" s="4">
        <f t="shared" si="0"/>
        <v>1534977.4919178279</v>
      </c>
    </row>
    <row r="21" spans="1:6" x14ac:dyDescent="0.25">
      <c r="A21">
        <v>2025</v>
      </c>
      <c r="B21">
        <v>7</v>
      </c>
      <c r="C21" t="s">
        <v>90</v>
      </c>
      <c r="D21" s="4">
        <f>$D$18*(1+(SUMIF(InlfacionTendencia[[#All],[Trimestre Alquiler]],"=6",InlfacionTendencia[[#All],[Monto]])))</f>
        <v>1499173.8492097501</v>
      </c>
      <c r="E21" s="4">
        <f>$E$18*(1+(SUMIF(InlfacionTendencia[[#All],[Trimestre Alquiler]],"=6",InlfacionTendencia[[#All],[Monto]]))/2)</f>
        <v>35803.642708077903</v>
      </c>
      <c r="F21" s="4">
        <f t="shared" si="0"/>
        <v>1534977.4919178279</v>
      </c>
    </row>
    <row r="22" spans="1:6" x14ac:dyDescent="0.25">
      <c r="A22">
        <v>2025</v>
      </c>
      <c r="B22">
        <v>8</v>
      </c>
      <c r="C22" t="s">
        <v>91</v>
      </c>
      <c r="D22" s="4">
        <f>$D$21*(1+(SUMIF(InlfacionTendencia[[#All],[Trimestre Alquiler]],"=7",InlfacionTendencia[[#All],[Monto]])))</f>
        <v>2173802.0813541375</v>
      </c>
      <c r="E22" s="4">
        <f>$E$21*(1+(SUMIF(InlfacionTendencia[[#All],[Trimestre Alquiler]],"=7",InlfacionTendencia[[#All],[Monto]]))/2)</f>
        <v>43859.462317395431</v>
      </c>
      <c r="F22" s="4">
        <f t="shared" si="0"/>
        <v>2217661.543671533</v>
      </c>
    </row>
    <row r="23" spans="1:6" x14ac:dyDescent="0.25">
      <c r="A23">
        <v>2025</v>
      </c>
      <c r="B23">
        <v>8</v>
      </c>
      <c r="C23" t="s">
        <v>92</v>
      </c>
      <c r="D23" s="4">
        <f>$D$21*(1+(SUMIF(InlfacionTendencia[[#All],[Trimestre Alquiler]],"=7",InlfacionTendencia[[#All],[Monto]])))</f>
        <v>2173802.0813541375</v>
      </c>
      <c r="E23" s="4">
        <f>$E$21*(1+(SUMIF(InlfacionTendencia[[#All],[Trimestre Alquiler]],"=7",InlfacionTendencia[[#All],[Monto]]))/2)</f>
        <v>43859.462317395431</v>
      </c>
      <c r="F23" s="4">
        <f t="shared" si="0"/>
        <v>2217661.543671533</v>
      </c>
    </row>
    <row r="24" spans="1:6" x14ac:dyDescent="0.25">
      <c r="A24">
        <v>2025</v>
      </c>
      <c r="B24">
        <v>8</v>
      </c>
      <c r="C24" t="s">
        <v>11</v>
      </c>
      <c r="D24" s="4">
        <f>$D$21*(1+(SUMIF(InlfacionTendencia[[#All],[Trimestre Alquiler]],"=7",InlfacionTendencia[[#All],[Monto]])))</f>
        <v>2173802.0813541375</v>
      </c>
      <c r="E24" s="4">
        <f>$E$21*(1+(SUMIF(InlfacionTendencia[[#All],[Trimestre Alquiler]],"=7",InlfacionTendencia[[#All],[Monto]]))/2)</f>
        <v>43859.462317395431</v>
      </c>
      <c r="F24" s="4">
        <f t="shared" si="0"/>
        <v>2217661.543671533</v>
      </c>
    </row>
  </sheetData>
  <mergeCells count="1">
    <mergeCell ref="H1:I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74D8-7F01-4F19-9D30-AB2443945811}">
  <dimension ref="A1:N49"/>
  <sheetViews>
    <sheetView showGridLines="0" zoomScale="60" zoomScaleNormal="60" workbookViewId="0">
      <selection activeCell="A3" sqref="A3"/>
    </sheetView>
  </sheetViews>
  <sheetFormatPr baseColWidth="10" defaultRowHeight="15" x14ac:dyDescent="0.25"/>
  <cols>
    <col min="1" max="1" width="28.5703125" customWidth="1"/>
    <col min="2" max="2" width="18.7109375" customWidth="1"/>
    <col min="4" max="4" width="26.7109375" bestFit="1" customWidth="1"/>
    <col min="5" max="5" width="21.28515625" bestFit="1" customWidth="1"/>
    <col min="6" max="6" width="13.140625" customWidth="1"/>
    <col min="7" max="7" width="19.140625" bestFit="1" customWidth="1"/>
    <col min="8" max="8" width="28.5703125" bestFit="1" customWidth="1"/>
    <col min="9" max="10" width="26.28515625" bestFit="1" customWidth="1"/>
    <col min="11" max="11" width="27.85546875" bestFit="1" customWidth="1"/>
    <col min="12" max="12" width="16" bestFit="1" customWidth="1"/>
    <col min="13" max="13" width="27" bestFit="1" customWidth="1"/>
    <col min="14" max="14" width="23.5703125" bestFit="1" customWidth="1"/>
    <col min="15" max="15" width="15.85546875" bestFit="1" customWidth="1"/>
  </cols>
  <sheetData>
    <row r="1" spans="1:14" x14ac:dyDescent="0.25">
      <c r="D1" s="48" t="s">
        <v>150</v>
      </c>
      <c r="E1" s="48"/>
      <c r="G1" s="51" t="s">
        <v>156</v>
      </c>
      <c r="H1" s="51"/>
      <c r="I1" s="51"/>
      <c r="J1" s="51"/>
      <c r="K1" s="51"/>
      <c r="L1" s="51"/>
      <c r="M1" s="51"/>
    </row>
    <row r="2" spans="1:14" ht="15.75" thickBot="1" x14ac:dyDescent="0.3">
      <c r="A2" s="9" t="s">
        <v>37</v>
      </c>
      <c r="B2" s="9" t="s">
        <v>13</v>
      </c>
      <c r="D2" s="18" t="s">
        <v>40</v>
      </c>
      <c r="E2" t="s">
        <v>42</v>
      </c>
      <c r="G2" t="s">
        <v>0</v>
      </c>
      <c r="H2" t="s">
        <v>84</v>
      </c>
      <c r="I2" t="s">
        <v>86</v>
      </c>
      <c r="J2" t="s">
        <v>87</v>
      </c>
      <c r="K2" t="s">
        <v>85</v>
      </c>
      <c r="L2" t="s">
        <v>82</v>
      </c>
      <c r="M2" t="s">
        <v>152</v>
      </c>
      <c r="N2" t="s">
        <v>83</v>
      </c>
    </row>
    <row r="3" spans="1:14" x14ac:dyDescent="0.25">
      <c r="A3" s="12" t="s">
        <v>17</v>
      </c>
      <c r="B3" s="12">
        <f>SUM(B4:B9)</f>
        <v>143644.34666666674</v>
      </c>
      <c r="D3" s="19" t="s">
        <v>17</v>
      </c>
      <c r="E3" s="4">
        <v>487045.65333333326</v>
      </c>
      <c r="G3" t="s">
        <v>71</v>
      </c>
      <c r="H3" s="2">
        <f>VLOOKUP(AhorroGastosVar6[[#This Row],[Categoria]],'Balance Proyectado'!$A$4:$G$64,3,FALSE)</f>
        <v>-113648.37333333331</v>
      </c>
      <c r="I3" s="4">
        <f>AhorroGastosVar6[[#This Row],[Monto Forecast]]*$N$3</f>
        <v>-34094.511999999988</v>
      </c>
      <c r="J3" s="4">
        <f>AhorroGastosVar6[[#This Row],[Monto Forecast]]-AhorroGastosVar6[[#This Row],[Monto a Ahorrar]]</f>
        <v>-79553.86133333332</v>
      </c>
      <c r="K3" s="4">
        <f>VLOOKUP(AhorroGastosVar6[[#This Row],[Categoria]],'Gastos Mes Corriente'!$D$2:$E$34,2,FALSE)</f>
        <v>-113648.37333333331</v>
      </c>
      <c r="L3" s="4">
        <f>AhorroGastosVar6[[#This Row],[Monto con ahorro incluido]]-AhorroGastosVar6[[#This Row],[Monto Gastado hasta el momento ]]</f>
        <v>34094.511999999988</v>
      </c>
      <c r="M3" s="4" t="str">
        <f>IF(AhorroGastosVar6[[#This Row],[Monto Restante]]&gt;=0,"No","Si")</f>
        <v>No</v>
      </c>
      <c r="N3" s="35">
        <v>0.3</v>
      </c>
    </row>
    <row r="4" spans="1:14" x14ac:dyDescent="0.25">
      <c r="A4" s="8" t="s">
        <v>20</v>
      </c>
      <c r="B4" s="8">
        <f>VLOOKUP(A4,'Balance Proyectado'!$A$4:$C$64,3,FALSE)-_xlfn.IFNA(VLOOKUP(A4,$D$2:$E$49,2,FALSE),0)</f>
        <v>0</v>
      </c>
      <c r="D4" s="20" t="s">
        <v>20</v>
      </c>
      <c r="E4" s="4">
        <v>0</v>
      </c>
      <c r="G4" t="s">
        <v>33</v>
      </c>
      <c r="H4" s="2">
        <f>VLOOKUP(AhorroGastosVar6[[#This Row],[Categoria]],'Balance Proyectado'!$A$4:$G$64,3,FALSE)</f>
        <v>-82600</v>
      </c>
      <c r="I4" s="4">
        <f>AhorroGastosVar6[[#This Row],[Monto Forecast]]*$N$3</f>
        <v>-24780</v>
      </c>
      <c r="J4" s="4">
        <f>AhorroGastosVar6[[#This Row],[Monto Forecast]]-AhorroGastosVar6[[#This Row],[Monto a Ahorrar]]</f>
        <v>-57820</v>
      </c>
      <c r="K4" s="4">
        <f>VLOOKUP(AhorroGastosVar6[[#This Row],[Categoria]],'Gastos Mes Corriente'!$D$2:$E$34,2,FALSE)</f>
        <v>-77179.41</v>
      </c>
      <c r="L4" s="4">
        <f>AhorroGastosVar6[[#This Row],[Monto con ahorro incluido]]-AhorroGastosVar6[[#This Row],[Monto Gastado hasta el momento ]]</f>
        <v>19359.410000000003</v>
      </c>
      <c r="M4" s="4" t="str">
        <f>IF(AhorroGastosVar6[[#This Row],[Monto Restante]]&gt;=0,"No","Si")</f>
        <v>No</v>
      </c>
    </row>
    <row r="5" spans="1:14" x14ac:dyDescent="0.25">
      <c r="A5" s="7" t="s">
        <v>21</v>
      </c>
      <c r="B5" s="7">
        <f>VLOOKUP(A5,'Balance Proyectado'!$A$4:$C$64,3,FALSE)-_xlfn.IFNA(VLOOKUP(A5,$D$2:$E$49,2,FALSE),0)</f>
        <v>0</v>
      </c>
      <c r="D5" s="20" t="s">
        <v>21</v>
      </c>
      <c r="E5" s="4">
        <v>0</v>
      </c>
      <c r="G5" t="s">
        <v>5</v>
      </c>
      <c r="H5" s="2">
        <f>VLOOKUP(AhorroGastosVar6[[#This Row],[Categoria]],'Balance Proyectado'!$A$4:$G$64,3,FALSE)</f>
        <v>-82600</v>
      </c>
      <c r="I5" s="4">
        <f>AhorroGastosVar6[[#This Row],[Monto Forecast]]*$N$3</f>
        <v>-24780</v>
      </c>
      <c r="J5" s="4">
        <f>AhorroGastosVar6[[#This Row],[Monto Forecast]]-AhorroGastosVar6[[#This Row],[Monto a Ahorrar]]</f>
        <v>-57820</v>
      </c>
      <c r="K5" s="4">
        <f>VLOOKUP(AhorroGastosVar6[[#This Row],[Categoria]],'Gastos Mes Corriente'!$D$2:$E$34,2,FALSE)</f>
        <v>-36386.5</v>
      </c>
      <c r="L5" s="4">
        <f>AhorroGastosVar6[[#This Row],[Monto con ahorro incluido]]-AhorroGastosVar6[[#This Row],[Monto Gastado hasta el momento ]]</f>
        <v>-21433.5</v>
      </c>
      <c r="M5" s="4" t="str">
        <f>IF(AhorroGastosVar6[[#This Row],[Monto Restante]]&gt;=0,"No","Si")</f>
        <v>Si</v>
      </c>
    </row>
    <row r="6" spans="1:14" x14ac:dyDescent="0.25">
      <c r="A6" s="8" t="s">
        <v>145</v>
      </c>
      <c r="B6" s="8">
        <f>VLOOKUP(A6,'Balance Proyectado'!$A$4:$C$64,3,FALSE)-_xlfn.IFNA(VLOOKUP(A6,$D$2:$E$49,2,FALSE),0)</f>
        <v>14000</v>
      </c>
      <c r="D6" s="20" t="s">
        <v>18</v>
      </c>
      <c r="E6" s="50">
        <v>421221.15333333326</v>
      </c>
      <c r="G6" t="s">
        <v>9</v>
      </c>
      <c r="H6" s="2">
        <f>VLOOKUP(AhorroGastosVar6[[#This Row],[Categoria]],'Balance Proyectado'!$A$4:$G$64,3,FALSE)</f>
        <v>-41300</v>
      </c>
      <c r="I6" s="4">
        <f>AhorroGastosVar6[[#This Row],[Monto Forecast]]*$N$3</f>
        <v>-12390</v>
      </c>
      <c r="J6" s="4">
        <f>AhorroGastosVar6[[#This Row],[Monto Forecast]]-AhorroGastosVar6[[#This Row],[Monto a Ahorrar]]</f>
        <v>-28910</v>
      </c>
      <c r="K6" s="4">
        <f>VLOOKUP(AhorroGastosVar6[[#This Row],[Categoria]],'Gastos Mes Corriente'!$D$2:$E$34,2,FALSE)</f>
        <v>-5000</v>
      </c>
      <c r="L6" s="4">
        <f>AhorroGastosVar6[[#This Row],[Monto con ahorro incluido]]-AhorroGastosVar6[[#This Row],[Monto Gastado hasta el momento ]]</f>
        <v>-23910</v>
      </c>
      <c r="M6" s="4" t="str">
        <f>IF(AhorroGastosVar6[[#This Row],[Monto Restante]]&gt;=0,"No","Si")</f>
        <v>Si</v>
      </c>
    </row>
    <row r="7" spans="1:14" x14ac:dyDescent="0.25">
      <c r="A7" s="7" t="s">
        <v>18</v>
      </c>
      <c r="B7" s="47">
        <f>VLOOKUP(A7,'Balance Proyectado'!$A$4:$C$64,3,FALSE)-_xlfn.IFNA(VLOOKUP(A7,$D$2:$E$49,2,FALSE),0)</f>
        <v>468.84666666673729</v>
      </c>
      <c r="D7" s="20" t="s">
        <v>19</v>
      </c>
      <c r="E7" s="4">
        <v>62824.5</v>
      </c>
      <c r="G7" t="s">
        <v>8</v>
      </c>
      <c r="H7" s="2">
        <f>VLOOKUP(AhorroGastosVar6[[#This Row],[Categoria]],'Balance Proyectado'!$A$4:$G$64,3,FALSE)</f>
        <v>-35400</v>
      </c>
      <c r="I7" s="4">
        <f>AhorroGastosVar6[[#This Row],[Monto Forecast]]*$N$3</f>
        <v>-10620</v>
      </c>
      <c r="J7" s="4">
        <f>AhorroGastosVar6[[#This Row],[Monto Forecast]]-AhorroGastosVar6[[#This Row],[Monto a Ahorrar]]</f>
        <v>-24780</v>
      </c>
      <c r="K7" s="4">
        <f>VLOOKUP(AhorroGastosVar6[[#This Row],[Categoria]],'Gastos Mes Corriente'!$D$2:$E$34,2,FALSE)</f>
        <v>-18076.5</v>
      </c>
      <c r="L7" s="4">
        <f>AhorroGastosVar6[[#This Row],[Monto con ahorro incluido]]-AhorroGastosVar6[[#This Row],[Monto Gastado hasta el momento ]]</f>
        <v>-6703.5</v>
      </c>
      <c r="M7" s="4" t="str">
        <f>IF(AhorroGastosVar6[[#This Row],[Monto Restante]]&gt;=0,"No","Si")</f>
        <v>Si</v>
      </c>
    </row>
    <row r="8" spans="1:14" x14ac:dyDescent="0.25">
      <c r="A8" s="8" t="s">
        <v>19</v>
      </c>
      <c r="B8" s="8">
        <f>VLOOKUP(A8,'Balance Proyectado'!$A$4:$C$64,3,FALSE)-_xlfn.IFNA(VLOOKUP(A8,$D$2:$E$49,2,FALSE),0)</f>
        <v>99175.5</v>
      </c>
      <c r="D8" s="20" t="s">
        <v>145</v>
      </c>
      <c r="E8" s="4">
        <v>3000</v>
      </c>
    </row>
    <row r="9" spans="1:14" x14ac:dyDescent="0.25">
      <c r="A9" s="7" t="s">
        <v>102</v>
      </c>
      <c r="B9" s="7">
        <f>VLOOKUP(A9,'Balance Proyectado'!$A$4:$C$64,3,FALSE)-_xlfn.IFNA(VLOOKUP(A9,$D$2:$E$49,2,FALSE),0)</f>
        <v>30000</v>
      </c>
      <c r="D9" s="20" t="s">
        <v>102</v>
      </c>
      <c r="E9" s="4">
        <v>0</v>
      </c>
    </row>
    <row r="10" spans="1:14" x14ac:dyDescent="0.25">
      <c r="A10" s="8"/>
      <c r="B10" s="8"/>
      <c r="D10" s="19" t="s">
        <v>135</v>
      </c>
      <c r="E10" s="4">
        <v>80000</v>
      </c>
    </row>
    <row r="11" spans="1:14" x14ac:dyDescent="0.25">
      <c r="A11" s="7"/>
      <c r="B11" s="7"/>
      <c r="D11" s="20" t="s">
        <v>136</v>
      </c>
      <c r="E11" s="4">
        <v>0</v>
      </c>
    </row>
    <row r="12" spans="1:14" x14ac:dyDescent="0.25">
      <c r="A12" s="13" t="s">
        <v>22</v>
      </c>
      <c r="B12" s="14">
        <f>SUM(B13:B15)</f>
        <v>0</v>
      </c>
      <c r="D12" s="20" t="s">
        <v>137</v>
      </c>
      <c r="E12" s="4">
        <v>80000</v>
      </c>
    </row>
    <row r="13" spans="1:14" x14ac:dyDescent="0.25">
      <c r="A13" s="7" t="s">
        <v>136</v>
      </c>
      <c r="B13" s="47">
        <f>VLOOKUP(A13,'Balance Proyectado'!$A$4:$C$64,3,FALSE)-_xlfn.IFNA(VLOOKUP(A13,$D$2:$E$49,2,FALSE),0)</f>
        <v>0</v>
      </c>
      <c r="D13" s="20" t="s">
        <v>138</v>
      </c>
      <c r="E13" s="4">
        <v>0</v>
      </c>
    </row>
    <row r="14" spans="1:14" x14ac:dyDescent="0.25">
      <c r="A14" s="8" t="s">
        <v>137</v>
      </c>
      <c r="B14" s="8">
        <f>VLOOKUP(A14,'Balance Proyectado'!$A$4:$C$64,3,FALSE)-_xlfn.IFNA(VLOOKUP(A14,$D$2:$E$49,2,FALSE),0)</f>
        <v>0</v>
      </c>
      <c r="D14" s="19" t="s">
        <v>41</v>
      </c>
      <c r="E14" s="4">
        <v>567045.65333333332</v>
      </c>
    </row>
    <row r="15" spans="1:14" x14ac:dyDescent="0.25">
      <c r="A15" s="7" t="s">
        <v>138</v>
      </c>
      <c r="B15" s="7">
        <f>VLOOKUP(A15,'Balance Proyectado'!$A$4:$C$64,3,FALSE)-_xlfn.IFNA(VLOOKUP(A15,$D$2:$E$49,2,FALSE),0)</f>
        <v>0</v>
      </c>
    </row>
    <row r="16" spans="1:14" x14ac:dyDescent="0.25">
      <c r="A16" s="8"/>
      <c r="B16" s="8"/>
      <c r="C16" s="4"/>
      <c r="D16" s="48" t="s">
        <v>151</v>
      </c>
      <c r="E16" s="48"/>
    </row>
    <row r="17" spans="1:6" x14ac:dyDescent="0.25">
      <c r="A17" s="7"/>
      <c r="B17" s="7"/>
      <c r="D17" s="18" t="s">
        <v>40</v>
      </c>
      <c r="E17" t="s">
        <v>42</v>
      </c>
    </row>
    <row r="18" spans="1:6" x14ac:dyDescent="0.25">
      <c r="A18" s="13" t="s">
        <v>148</v>
      </c>
      <c r="B18" s="16">
        <f>B3+B12</f>
        <v>143644.34666666674</v>
      </c>
      <c r="D18" s="19" t="s">
        <v>25</v>
      </c>
      <c r="E18" s="4">
        <v>-236754.87</v>
      </c>
    </row>
    <row r="19" spans="1:6" x14ac:dyDescent="0.25">
      <c r="A19" s="7"/>
      <c r="B19" s="15"/>
      <c r="D19" s="20" t="s">
        <v>28</v>
      </c>
      <c r="E19" s="4">
        <v>-10335</v>
      </c>
    </row>
    <row r="20" spans="1:6" x14ac:dyDescent="0.25">
      <c r="A20" s="13" t="s">
        <v>25</v>
      </c>
      <c r="B20" s="16">
        <f>SUM(B21:B26)</f>
        <v>0</v>
      </c>
      <c r="D20" s="20" t="s">
        <v>27</v>
      </c>
      <c r="E20" s="4">
        <v>-12370.49</v>
      </c>
    </row>
    <row r="21" spans="1:6" x14ac:dyDescent="0.25">
      <c r="A21" s="7" t="s">
        <v>30</v>
      </c>
      <c r="B21" s="7">
        <f>VLOOKUP(A21,'Balance Proyectado'!$A$4:$C$64,3,FALSE)-_xlfn.IFNA(VLOOKUP(A21,$D$2:$E$49,2,FALSE),0)</f>
        <v>0</v>
      </c>
      <c r="D21" s="20" t="s">
        <v>26</v>
      </c>
      <c r="E21" s="4">
        <v>-2049.38</v>
      </c>
      <c r="F21" s="4"/>
    </row>
    <row r="22" spans="1:6" x14ac:dyDescent="0.25">
      <c r="A22" s="8" t="s">
        <v>28</v>
      </c>
      <c r="B22" s="8">
        <f>VLOOKUP(A22,'Balance Proyectado'!$A$4:$C$64,3,FALSE)-_xlfn.IFNA(VLOOKUP(A22,$D$2:$E$49,2,FALSE),0)</f>
        <v>0</v>
      </c>
      <c r="D22" s="20" t="s">
        <v>30</v>
      </c>
      <c r="E22" s="4">
        <v>-200000</v>
      </c>
    </row>
    <row r="23" spans="1:6" x14ac:dyDescent="0.25">
      <c r="A23" s="7" t="s">
        <v>31</v>
      </c>
      <c r="B23" s="7">
        <f>VLOOKUP(A23,'Balance Proyectado'!$A$4:$C$64,3,FALSE)-_xlfn.IFNA(VLOOKUP(A23,$D$2:$E$49,2,FALSE),0)</f>
        <v>0</v>
      </c>
      <c r="D23" s="20" t="s">
        <v>31</v>
      </c>
      <c r="E23" s="4">
        <v>-12000</v>
      </c>
    </row>
    <row r="24" spans="1:6" x14ac:dyDescent="0.25">
      <c r="A24" s="7" t="s">
        <v>29</v>
      </c>
      <c r="B24" s="7">
        <f>VLOOKUP(A24,'Balance Proyectado'!$A$4:$C$64,3,FALSE)-_xlfn.IFNA(VLOOKUP(A24,$D$2:$E$49,2,FALSE),0)</f>
        <v>0</v>
      </c>
      <c r="D24" s="19" t="s">
        <v>32</v>
      </c>
      <c r="E24" s="4">
        <v>-250290.78333333333</v>
      </c>
    </row>
    <row r="25" spans="1:6" x14ac:dyDescent="0.25">
      <c r="A25" s="8" t="s">
        <v>27</v>
      </c>
      <c r="B25" s="8">
        <f>VLOOKUP(A25,'Balance Proyectado'!$A$4:$C$64,3,FALSE)-_xlfn.IFNA(VLOOKUP(A25,$D$2:$E$49,2,FALSE),0)</f>
        <v>0</v>
      </c>
      <c r="D25" s="20" t="s">
        <v>8</v>
      </c>
      <c r="E25" s="4">
        <v>-18076.5</v>
      </c>
    </row>
    <row r="26" spans="1:6" x14ac:dyDescent="0.25">
      <c r="A26" s="7" t="s">
        <v>26</v>
      </c>
      <c r="B26" s="7">
        <f>VLOOKUP(A26,'Balance Proyectado'!$A$4:$C$64,3,FALSE)-_xlfn.IFNA(VLOOKUP(A26,$D$2:$E$49,2,FALSE),0)</f>
        <v>0</v>
      </c>
      <c r="D26" s="20" t="s">
        <v>33</v>
      </c>
      <c r="E26" s="4">
        <v>-77179.41</v>
      </c>
    </row>
    <row r="27" spans="1:6" x14ac:dyDescent="0.25">
      <c r="A27" s="7"/>
      <c r="B27" s="15"/>
      <c r="D27" s="20" t="s">
        <v>5</v>
      </c>
      <c r="E27" s="4">
        <v>-36386.5</v>
      </c>
    </row>
    <row r="28" spans="1:6" x14ac:dyDescent="0.25">
      <c r="A28" s="13" t="s">
        <v>32</v>
      </c>
      <c r="B28" s="16">
        <f>SUM(B29:B34)</f>
        <v>-105257.59</v>
      </c>
      <c r="D28" s="20" t="s">
        <v>9</v>
      </c>
      <c r="E28" s="4">
        <v>-5000</v>
      </c>
    </row>
    <row r="29" spans="1:6" x14ac:dyDescent="0.25">
      <c r="A29" s="8" t="s">
        <v>8</v>
      </c>
      <c r="B29" s="8">
        <f>VLOOKUP(A29,'Balance Proyectado'!$A$4:$C$64,3,FALSE)-_xlfn.IFNA(VLOOKUP(A29,$D$2:$E$49,2,FALSE),0)</f>
        <v>-17323.5</v>
      </c>
      <c r="D29" s="20" t="s">
        <v>71</v>
      </c>
      <c r="E29" s="4">
        <v>-113648.37333333331</v>
      </c>
    </row>
    <row r="30" spans="1:6" x14ac:dyDescent="0.25">
      <c r="A30" s="7" t="s">
        <v>33</v>
      </c>
      <c r="B30" s="7">
        <f>VLOOKUP(A30,'Balance Proyectado'!$A$4:$C$64,3,FALSE)-_xlfn.IFNA(VLOOKUP(A30,$D$2:$E$49,2,FALSE),0)</f>
        <v>-5420.5899999999965</v>
      </c>
      <c r="D30" s="19" t="s">
        <v>35</v>
      </c>
      <c r="E30" s="4">
        <v>-80000</v>
      </c>
    </row>
    <row r="31" spans="1:6" x14ac:dyDescent="0.25">
      <c r="A31" s="8" t="s">
        <v>34</v>
      </c>
      <c r="B31" s="8">
        <f>VLOOKUP(A31,'Balance Proyectado'!$A$4:$C$64,3,FALSE)-_xlfn.IFNA(VLOOKUP(A31,$D$2:$E$49,2,FALSE),0)</f>
        <v>0</v>
      </c>
      <c r="D31" s="20" t="s">
        <v>142</v>
      </c>
      <c r="E31" s="4">
        <v>-80000</v>
      </c>
    </row>
    <row r="32" spans="1:6" x14ac:dyDescent="0.25">
      <c r="A32" s="7" t="s">
        <v>5</v>
      </c>
      <c r="B32" s="7">
        <f>VLOOKUP(A32,'Balance Proyectado'!$A$4:$C$64,3,FALSE)-_xlfn.IFNA(VLOOKUP(A32,$D$2:$E$49,2,FALSE),0)</f>
        <v>-46213.5</v>
      </c>
      <c r="D32" s="19" t="s">
        <v>41</v>
      </c>
      <c r="E32" s="4">
        <v>-567045.65333333332</v>
      </c>
    </row>
    <row r="33" spans="1:5" x14ac:dyDescent="0.25">
      <c r="A33" s="7" t="s">
        <v>9</v>
      </c>
      <c r="B33" s="7">
        <f>VLOOKUP(A33,'Balance Proyectado'!$A$4:$C$64,3,FALSE)-_xlfn.IFNA(VLOOKUP(A33,$D$2:$E$49,2,FALSE),0)</f>
        <v>-36300</v>
      </c>
    </row>
    <row r="34" spans="1:5" x14ac:dyDescent="0.25">
      <c r="A34" s="8" t="s">
        <v>71</v>
      </c>
      <c r="B34" s="8">
        <f>VLOOKUP(A34,'Balance Proyectado'!$A$4:$C$64,3,FALSE)-_xlfn.IFNA(VLOOKUP(A34,$D$2:$E$49,2,FALSE),0)</f>
        <v>0</v>
      </c>
      <c r="D34" s="5" t="s">
        <v>147</v>
      </c>
      <c r="E34" s="5" t="b">
        <f>GETPIVOTDATA("Monto",$D$2)=-GETPIVOTDATA("Monto",$D$17)</f>
        <v>1</v>
      </c>
    </row>
    <row r="35" spans="1:5" x14ac:dyDescent="0.25">
      <c r="A35" s="44"/>
      <c r="B35" s="7"/>
    </row>
    <row r="36" spans="1:5" x14ac:dyDescent="0.25">
      <c r="A36" s="12" t="s">
        <v>35</v>
      </c>
      <c r="B36" s="17">
        <f>SUM(B37:B40)</f>
        <v>0</v>
      </c>
    </row>
    <row r="37" spans="1:5" x14ac:dyDescent="0.25">
      <c r="A37" s="7" t="s">
        <v>141</v>
      </c>
      <c r="B37" s="7">
        <f>VLOOKUP(A37,'Balance Proyectado'!$A$4:$C$64,3,FALSE)-_xlfn.IFNA(VLOOKUP(A37,$D$2:$E$49,2,FALSE),0)</f>
        <v>0</v>
      </c>
    </row>
    <row r="38" spans="1:5" x14ac:dyDescent="0.25">
      <c r="A38" s="7" t="s">
        <v>143</v>
      </c>
      <c r="B38" s="7">
        <f>VLOOKUP(A38,'Balance Proyectado'!$A$4:$C$64,3,FALSE)-_xlfn.IFNA(VLOOKUP(A38,$D$2:$E$49,2,FALSE),0)</f>
        <v>0</v>
      </c>
    </row>
    <row r="39" spans="1:5" x14ac:dyDescent="0.25">
      <c r="A39" s="8" t="s">
        <v>142</v>
      </c>
      <c r="B39" s="8">
        <f>VLOOKUP(A39,'Balance Proyectado'!$A$4:$C$64,3,FALSE)-_xlfn.IFNA(VLOOKUP(A39,$D$2:$E$49,2,FALSE),0)</f>
        <v>0</v>
      </c>
    </row>
    <row r="41" spans="1:5" x14ac:dyDescent="0.25">
      <c r="A41" s="13" t="s">
        <v>79</v>
      </c>
      <c r="B41" s="13">
        <f>SUM(B42)</f>
        <v>0</v>
      </c>
    </row>
    <row r="42" spans="1:5" x14ac:dyDescent="0.25">
      <c r="A42" s="7" t="s">
        <v>78</v>
      </c>
      <c r="B42" s="7">
        <f>VLOOKUP(A42,'Balance Proyectado'!$A$4:$C$64,3,FALSE)-_xlfn.IFNA(VLOOKUP(A42,$D$1:$E$54,2,FALSE),0)</f>
        <v>0</v>
      </c>
    </row>
    <row r="44" spans="1:5" x14ac:dyDescent="0.25">
      <c r="A44" s="13" t="s">
        <v>149</v>
      </c>
      <c r="B44" s="16">
        <f>B20+B28+B36</f>
        <v>-105257.59</v>
      </c>
    </row>
    <row r="45" spans="1:5" x14ac:dyDescent="0.25">
      <c r="A45" s="13" t="s">
        <v>36</v>
      </c>
      <c r="B45" s="16">
        <f>B18+B44</f>
        <v>38386.756666666741</v>
      </c>
    </row>
    <row r="46" spans="1:5" x14ac:dyDescent="0.25">
      <c r="A46" s="7"/>
      <c r="B46" s="7"/>
    </row>
    <row r="47" spans="1:5" x14ac:dyDescent="0.25">
      <c r="A47" s="8"/>
      <c r="B47" s="8"/>
    </row>
    <row r="48" spans="1:5" x14ac:dyDescent="0.25">
      <c r="A48" s="7"/>
      <c r="B48" s="7"/>
    </row>
    <row r="49" spans="1:2" x14ac:dyDescent="0.25">
      <c r="A49" s="8"/>
      <c r="B49" s="8"/>
    </row>
  </sheetData>
  <mergeCells count="3">
    <mergeCell ref="D1:E1"/>
    <mergeCell ref="D16:E16"/>
    <mergeCell ref="G1:M1"/>
  </mergeCells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CD2-C3CA-43BD-BE98-DE322FE73E80}">
  <dimension ref="A1:K64"/>
  <sheetViews>
    <sheetView workbookViewId="0">
      <selection activeCell="C6" sqref="C6"/>
    </sheetView>
  </sheetViews>
  <sheetFormatPr baseColWidth="10" defaultRowHeight="15" x14ac:dyDescent="0.25"/>
  <cols>
    <col min="1" max="1" width="26.42578125" bestFit="1" customWidth="1"/>
    <col min="3" max="3" width="13.140625" bestFit="1" customWidth="1"/>
    <col min="4" max="4" width="22" bestFit="1" customWidth="1"/>
    <col min="5" max="5" width="22" customWidth="1"/>
    <col min="6" max="6" width="21.5703125" bestFit="1" customWidth="1"/>
  </cols>
  <sheetData>
    <row r="1" spans="1:6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</v>
      </c>
    </row>
    <row r="2" spans="1:6" ht="15.75" customHeight="1" x14ac:dyDescent="0.25">
      <c r="A2" t="s">
        <v>26</v>
      </c>
      <c r="B2" s="1">
        <v>45350</v>
      </c>
      <c r="C2" s="23">
        <v>-2049.38</v>
      </c>
      <c r="D2" t="s">
        <v>146</v>
      </c>
      <c r="E2" t="str">
        <f>VLOOKUP(GastosRealizados[[#This Row],[Categoria]],TipoIngresoEgreso[#All],2,FALSE)</f>
        <v>Gastos Fijos</v>
      </c>
      <c r="F2" s="7" t="s">
        <v>18</v>
      </c>
    </row>
    <row r="3" spans="1:6" ht="15.75" customHeight="1" x14ac:dyDescent="0.25">
      <c r="A3" t="s">
        <v>71</v>
      </c>
      <c r="B3" s="1">
        <v>45350</v>
      </c>
      <c r="C3" s="23">
        <v>-113648.37333333331</v>
      </c>
      <c r="D3" t="s">
        <v>104</v>
      </c>
      <c r="E3" t="str">
        <f>VLOOKUP(GastosRealizados[[#This Row],[Categoria]],TipoIngresoEgreso[#All],2,FALSE)</f>
        <v>Gastos Variables</v>
      </c>
      <c r="F3" t="s">
        <v>18</v>
      </c>
    </row>
    <row r="4" spans="1:6" ht="15.75" customHeight="1" x14ac:dyDescent="0.25">
      <c r="A4" t="s">
        <v>27</v>
      </c>
      <c r="B4" s="1">
        <v>45350</v>
      </c>
      <c r="C4" s="4">
        <v>-12370.49</v>
      </c>
      <c r="D4" t="s">
        <v>146</v>
      </c>
      <c r="E4" t="str">
        <f>VLOOKUP(GastosRealizados[[#This Row],[Categoria]],TipoIngresoEgreso[#All],2,FALSE)</f>
        <v>Gastos Fijos</v>
      </c>
      <c r="F4" t="s">
        <v>18</v>
      </c>
    </row>
    <row r="5" spans="1:6" ht="15.75" customHeight="1" x14ac:dyDescent="0.25">
      <c r="A5" t="s">
        <v>28</v>
      </c>
      <c r="B5" s="1">
        <v>45350</v>
      </c>
      <c r="C5" s="4">
        <v>-10335</v>
      </c>
      <c r="D5" t="s">
        <v>146</v>
      </c>
      <c r="E5" t="str">
        <f>VLOOKUP(GastosRealizados[[#This Row],[Categoria]],TipoIngresoEgreso[#All],2,FALSE)</f>
        <v>Gastos Fijos</v>
      </c>
      <c r="F5" t="s">
        <v>18</v>
      </c>
    </row>
    <row r="6" spans="1:6" ht="15.75" customHeight="1" x14ac:dyDescent="0.25">
      <c r="A6" t="s">
        <v>33</v>
      </c>
      <c r="B6" s="1">
        <v>45351</v>
      </c>
      <c r="C6" s="23">
        <v>-6230</v>
      </c>
      <c r="D6" t="s">
        <v>105</v>
      </c>
      <c r="E6" t="str">
        <f>VLOOKUP(GastosRealizados[[#This Row],[Categoria]],TipoIngresoEgreso[#All],2,FALSE)</f>
        <v>Gastos Variables</v>
      </c>
      <c r="F6" t="s">
        <v>18</v>
      </c>
    </row>
    <row r="7" spans="1:6" ht="15.75" customHeight="1" x14ac:dyDescent="0.25">
      <c r="A7" t="s">
        <v>9</v>
      </c>
      <c r="B7" s="1">
        <v>45351</v>
      </c>
      <c r="C7" s="23">
        <v>-5000</v>
      </c>
      <c r="D7" t="s">
        <v>106</v>
      </c>
      <c r="E7" t="str">
        <f>VLOOKUP(GastosRealizados[[#This Row],[Categoria]],TipoIngresoEgreso[#All],2,FALSE)</f>
        <v>Gastos Variables</v>
      </c>
      <c r="F7" t="s">
        <v>18</v>
      </c>
    </row>
    <row r="8" spans="1:6" x14ac:dyDescent="0.25">
      <c r="A8" t="s">
        <v>30</v>
      </c>
      <c r="B8" s="1">
        <v>45352</v>
      </c>
      <c r="C8" s="23">
        <v>-200000</v>
      </c>
      <c r="D8" t="s">
        <v>118</v>
      </c>
      <c r="E8" t="str">
        <f>VLOOKUP(GastosRealizados[[#This Row],[Categoria]],TipoIngresoEgreso[#All],2,FALSE)</f>
        <v>Gastos Fijos</v>
      </c>
      <c r="F8" t="s">
        <v>18</v>
      </c>
    </row>
    <row r="9" spans="1:6" x14ac:dyDescent="0.25">
      <c r="A9" t="s">
        <v>8</v>
      </c>
      <c r="B9" s="1">
        <v>45352</v>
      </c>
      <c r="C9" s="23">
        <v>-6600</v>
      </c>
      <c r="D9" t="s">
        <v>6</v>
      </c>
      <c r="E9" t="str">
        <f>VLOOKUP(GastosRealizados[[#This Row],[Categoria]],TipoIngresoEgreso[#All],2,FALSE)</f>
        <v>Gastos Variables</v>
      </c>
      <c r="F9" t="s">
        <v>18</v>
      </c>
    </row>
    <row r="10" spans="1:6" x14ac:dyDescent="0.25">
      <c r="A10" t="s">
        <v>5</v>
      </c>
      <c r="B10" s="1">
        <v>45352</v>
      </c>
      <c r="C10" s="23">
        <v>-1220</v>
      </c>
      <c r="D10" t="s">
        <v>107</v>
      </c>
      <c r="E10" t="str">
        <f>VLOOKUP(GastosRealizados[[#This Row],[Categoria]],TipoIngresoEgreso[#All],2,FALSE)</f>
        <v>Gastos Variables</v>
      </c>
      <c r="F10" t="s">
        <v>18</v>
      </c>
    </row>
    <row r="11" spans="1:6" x14ac:dyDescent="0.25">
      <c r="A11" t="s">
        <v>5</v>
      </c>
      <c r="B11" s="1">
        <v>45352</v>
      </c>
      <c r="C11" s="23">
        <v>-4543</v>
      </c>
      <c r="D11" t="s">
        <v>108</v>
      </c>
      <c r="E11" t="str">
        <f>VLOOKUP(GastosRealizados[[#This Row],[Categoria]],TipoIngresoEgreso[#All],2,FALSE)</f>
        <v>Gastos Variables</v>
      </c>
      <c r="F11" t="s">
        <v>18</v>
      </c>
    </row>
    <row r="12" spans="1:6" x14ac:dyDescent="0.25">
      <c r="A12" t="s">
        <v>5</v>
      </c>
      <c r="B12" s="1">
        <v>45352</v>
      </c>
      <c r="C12" s="23">
        <v>-4700</v>
      </c>
      <c r="D12" t="s">
        <v>109</v>
      </c>
      <c r="E12" t="str">
        <f>VLOOKUP(GastosRealizados[[#This Row],[Categoria]],TipoIngresoEgreso[#All],2,FALSE)</f>
        <v>Gastos Variables</v>
      </c>
      <c r="F12" t="s">
        <v>18</v>
      </c>
    </row>
    <row r="13" spans="1:6" x14ac:dyDescent="0.25">
      <c r="A13" t="s">
        <v>33</v>
      </c>
      <c r="B13" s="1">
        <v>45352</v>
      </c>
      <c r="C13" s="23">
        <v>-20000</v>
      </c>
      <c r="D13" t="s">
        <v>110</v>
      </c>
      <c r="E13" t="str">
        <f>VLOOKUP(GastosRealizados[[#This Row],[Categoria]],TipoIngresoEgreso[#All],2,FALSE)</f>
        <v>Gastos Variables</v>
      </c>
      <c r="F13" t="s">
        <v>18</v>
      </c>
    </row>
    <row r="14" spans="1:6" x14ac:dyDescent="0.25">
      <c r="A14" t="s">
        <v>33</v>
      </c>
      <c r="B14" s="1">
        <v>45353</v>
      </c>
      <c r="C14" s="23">
        <v>-10490.41</v>
      </c>
      <c r="D14" t="s">
        <v>111</v>
      </c>
      <c r="E14" t="str">
        <f>VLOOKUP(GastosRealizados[[#This Row],[Categoria]],TipoIngresoEgreso[#All],2,FALSE)</f>
        <v>Gastos Variables</v>
      </c>
      <c r="F14" t="s">
        <v>18</v>
      </c>
    </row>
    <row r="15" spans="1:6" x14ac:dyDescent="0.25">
      <c r="A15" t="s">
        <v>5</v>
      </c>
      <c r="B15" s="1">
        <v>45353</v>
      </c>
      <c r="C15" s="23">
        <v>-1867.5</v>
      </c>
      <c r="D15" t="s">
        <v>112</v>
      </c>
      <c r="E15" t="str">
        <f>VLOOKUP(GastosRealizados[[#This Row],[Categoria]],TipoIngresoEgreso[#All],2,FALSE)</f>
        <v>Gastos Variables</v>
      </c>
      <c r="F15" t="s">
        <v>18</v>
      </c>
    </row>
    <row r="16" spans="1:6" x14ac:dyDescent="0.25">
      <c r="A16" t="s">
        <v>33</v>
      </c>
      <c r="B16" s="1">
        <v>45353</v>
      </c>
      <c r="C16" s="23">
        <v>-2790</v>
      </c>
      <c r="D16" t="s">
        <v>113</v>
      </c>
      <c r="E16" t="str">
        <f>VLOOKUP(GastosRealizados[[#This Row],[Categoria]],TipoIngresoEgreso[#All],2,FALSE)</f>
        <v>Gastos Variables</v>
      </c>
      <c r="F16" t="s">
        <v>18</v>
      </c>
    </row>
    <row r="17" spans="1:11" x14ac:dyDescent="0.25">
      <c r="A17" t="s">
        <v>33</v>
      </c>
      <c r="B17" s="1">
        <v>45354</v>
      </c>
      <c r="C17" s="2">
        <v>-7360</v>
      </c>
      <c r="D17" t="s">
        <v>114</v>
      </c>
      <c r="E17" t="str">
        <f>VLOOKUP(GastosRealizados[[#This Row],[Categoria]],TipoIngresoEgreso[#All],2,FALSE)</f>
        <v>Gastos Variables</v>
      </c>
      <c r="F17" t="s">
        <v>18</v>
      </c>
    </row>
    <row r="18" spans="1:11" x14ac:dyDescent="0.25">
      <c r="A18" t="s">
        <v>33</v>
      </c>
      <c r="B18" s="1">
        <v>45354</v>
      </c>
      <c r="C18" s="2">
        <v>-8517</v>
      </c>
      <c r="D18" t="s">
        <v>115</v>
      </c>
      <c r="E18" t="str">
        <f>VLOOKUP(GastosRealizados[[#This Row],[Categoria]],TipoIngresoEgreso[#All],2,FALSE)</f>
        <v>Gastos Variables</v>
      </c>
      <c r="F18" t="s">
        <v>18</v>
      </c>
    </row>
    <row r="19" spans="1:11" x14ac:dyDescent="0.25">
      <c r="A19" t="s">
        <v>33</v>
      </c>
      <c r="B19" s="1">
        <v>45355</v>
      </c>
      <c r="C19" s="6">
        <v>-3500</v>
      </c>
      <c r="D19" t="s">
        <v>116</v>
      </c>
      <c r="E19" t="str">
        <f>VLOOKUP(GastosRealizados[[#This Row],[Categoria]],TipoIngresoEgreso[#All],2,FALSE)</f>
        <v>Gastos Variables</v>
      </c>
      <c r="F19" t="s">
        <v>18</v>
      </c>
    </row>
    <row r="20" spans="1:11" x14ac:dyDescent="0.25">
      <c r="A20" t="s">
        <v>33</v>
      </c>
      <c r="B20" s="1">
        <v>45355</v>
      </c>
      <c r="C20" s="2">
        <v>-3000</v>
      </c>
      <c r="D20" t="s">
        <v>117</v>
      </c>
      <c r="E20" t="str">
        <f>VLOOKUP(GastosRealizados[[#This Row],[Categoria]],TipoIngresoEgreso[#All],2,FALSE)</f>
        <v>Gastos Variables</v>
      </c>
      <c r="F20" t="s">
        <v>145</v>
      </c>
    </row>
    <row r="21" spans="1:11" x14ac:dyDescent="0.25">
      <c r="A21" t="s">
        <v>31</v>
      </c>
      <c r="B21" s="1">
        <v>45356</v>
      </c>
      <c r="C21" s="2">
        <v>-12000</v>
      </c>
      <c r="D21" t="s">
        <v>13</v>
      </c>
      <c r="E21" t="str">
        <f>VLOOKUP(GastosRealizados[[#This Row],[Categoria]],TipoIngresoEgreso[#All],2,FALSE)</f>
        <v>Gastos Fijos</v>
      </c>
      <c r="F21" s="7" t="s">
        <v>19</v>
      </c>
    </row>
    <row r="22" spans="1:11" x14ac:dyDescent="0.25">
      <c r="A22" t="s">
        <v>5</v>
      </c>
      <c r="B22" s="1">
        <v>45357</v>
      </c>
      <c r="C22" s="2">
        <v>-6900</v>
      </c>
      <c r="D22" t="s">
        <v>119</v>
      </c>
      <c r="E22" t="str">
        <f>VLOOKUP(GastosRealizados[[#This Row],[Categoria]],TipoIngresoEgreso[#All],2,FALSE)</f>
        <v>Gastos Variables</v>
      </c>
      <c r="F22" s="7" t="s">
        <v>19</v>
      </c>
    </row>
    <row r="23" spans="1:11" x14ac:dyDescent="0.25">
      <c r="A23" t="s">
        <v>33</v>
      </c>
      <c r="B23" s="1">
        <v>45358</v>
      </c>
      <c r="C23" s="2">
        <v>-2930</v>
      </c>
      <c r="D23" t="s">
        <v>115</v>
      </c>
      <c r="E23" t="str">
        <f>VLOOKUP(GastosRealizados[[#This Row],[Categoria]],TipoIngresoEgreso[#All],2,FALSE)</f>
        <v>Gastos Variables</v>
      </c>
      <c r="F23" s="7" t="s">
        <v>19</v>
      </c>
    </row>
    <row r="24" spans="1:11" x14ac:dyDescent="0.25">
      <c r="A24" t="s">
        <v>142</v>
      </c>
      <c r="B24" s="1">
        <v>45358</v>
      </c>
      <c r="C24" s="2">
        <v>-80000</v>
      </c>
      <c r="D24" t="s">
        <v>137</v>
      </c>
      <c r="E24" t="str">
        <f>VLOOKUP(GastosRealizados[[#This Row],[Categoria]],TipoIngresoEgreso[#All],2,FALSE)</f>
        <v>Gastos Ahorros</v>
      </c>
      <c r="F24" s="7" t="s">
        <v>137</v>
      </c>
    </row>
    <row r="25" spans="1:11" x14ac:dyDescent="0.25">
      <c r="A25" t="s">
        <v>33</v>
      </c>
      <c r="B25" s="1">
        <v>45360</v>
      </c>
      <c r="C25" s="2">
        <v>-6235</v>
      </c>
      <c r="D25" t="s">
        <v>111</v>
      </c>
      <c r="E25" t="str">
        <f>VLOOKUP(GastosRealizados[[#This Row],[Categoria]],TipoIngresoEgreso[#All],2,FALSE)</f>
        <v>Gastos Variables</v>
      </c>
      <c r="F25" s="7" t="s">
        <v>19</v>
      </c>
    </row>
    <row r="26" spans="1:11" x14ac:dyDescent="0.25">
      <c r="A26" t="s">
        <v>5</v>
      </c>
      <c r="B26" s="1">
        <v>45360</v>
      </c>
      <c r="C26" s="23">
        <v>-3000</v>
      </c>
      <c r="D26" t="s">
        <v>123</v>
      </c>
      <c r="E26" t="str">
        <f>VLOOKUP(GastosRealizados[[#This Row],[Categoria]],TipoIngresoEgreso[#All],2,FALSE)</f>
        <v>Gastos Variables</v>
      </c>
      <c r="F26" s="7" t="s">
        <v>19</v>
      </c>
    </row>
    <row r="27" spans="1:11" x14ac:dyDescent="0.25">
      <c r="A27" s="7" t="s">
        <v>5</v>
      </c>
      <c r="B27" s="1">
        <v>45360</v>
      </c>
      <c r="C27" s="2">
        <v>-6127</v>
      </c>
      <c r="D27" t="s">
        <v>124</v>
      </c>
      <c r="E27" t="str">
        <f>VLOOKUP(GastosRealizados[[#This Row],[Categoria]],TipoIngresoEgreso[#All],2,FALSE)</f>
        <v>Gastos Variables</v>
      </c>
      <c r="F27" s="7" t="s">
        <v>19</v>
      </c>
    </row>
    <row r="28" spans="1:11" x14ac:dyDescent="0.25">
      <c r="A28" t="s">
        <v>5</v>
      </c>
      <c r="B28" s="1">
        <v>45360</v>
      </c>
      <c r="C28" s="23">
        <v>-8029</v>
      </c>
      <c r="D28" t="s">
        <v>125</v>
      </c>
      <c r="E28" t="str">
        <f>VLOOKUP(GastosRealizados[[#This Row],[Categoria]],TipoIngresoEgreso[#All],2,FALSE)</f>
        <v>Gastos Variables</v>
      </c>
      <c r="F28" s="7" t="s">
        <v>19</v>
      </c>
    </row>
    <row r="29" spans="1:11" x14ac:dyDescent="0.25">
      <c r="A29" s="7" t="s">
        <v>33</v>
      </c>
      <c r="B29" s="1">
        <v>45386</v>
      </c>
      <c r="C29" s="2">
        <v>-6127</v>
      </c>
      <c r="D29" t="s">
        <v>132</v>
      </c>
      <c r="E29" t="str">
        <f>VLOOKUP(GastosRealizados[[#This Row],[Categoria]],TipoIngresoEgreso[#All],2,FALSE)</f>
        <v>Gastos Variables</v>
      </c>
      <c r="F29" s="7" t="s">
        <v>19</v>
      </c>
    </row>
    <row r="30" spans="1:11" x14ac:dyDescent="0.25">
      <c r="A30" t="s">
        <v>8</v>
      </c>
      <c r="B30" s="1">
        <v>45361</v>
      </c>
      <c r="C30" s="23">
        <v>-11476.5</v>
      </c>
      <c r="D30" t="s">
        <v>133</v>
      </c>
      <c r="E30" t="str">
        <f>VLOOKUP(GastosRealizados[[#This Row],[Categoria]],TipoIngresoEgreso[#All],2,FALSE)</f>
        <v>Gastos Variables</v>
      </c>
      <c r="F30" s="7" t="s">
        <v>19</v>
      </c>
    </row>
    <row r="31" spans="1:11" x14ac:dyDescent="0.25">
      <c r="B31" s="1"/>
      <c r="C31" s="22"/>
    </row>
    <row r="32" spans="1:11" x14ac:dyDescent="0.25">
      <c r="B32" s="1"/>
      <c r="C32" s="2"/>
      <c r="I32" s="4"/>
      <c r="K32" s="4"/>
    </row>
    <row r="33" spans="2:8" x14ac:dyDescent="0.25">
      <c r="B33" s="1"/>
      <c r="C33" s="2"/>
    </row>
    <row r="34" spans="2:8" x14ac:dyDescent="0.25">
      <c r="B34" s="1"/>
      <c r="C34" s="2"/>
    </row>
    <row r="35" spans="2:8" x14ac:dyDescent="0.25">
      <c r="B35" s="1"/>
      <c r="C35" s="23"/>
    </row>
    <row r="36" spans="2:8" x14ac:dyDescent="0.25">
      <c r="B36" s="1"/>
      <c r="C36" s="2"/>
    </row>
    <row r="37" spans="2:8" x14ac:dyDescent="0.25">
      <c r="B37" s="1"/>
      <c r="C37" s="2"/>
    </row>
    <row r="38" spans="2:8" x14ac:dyDescent="0.25">
      <c r="B38" s="1"/>
      <c r="C38" s="2"/>
    </row>
    <row r="39" spans="2:8" x14ac:dyDescent="0.25">
      <c r="B39" s="1"/>
      <c r="C39" s="2"/>
    </row>
    <row r="40" spans="2:8" x14ac:dyDescent="0.25">
      <c r="B40" s="1"/>
      <c r="C40" s="2"/>
    </row>
    <row r="41" spans="2:8" x14ac:dyDescent="0.25">
      <c r="B41" s="1"/>
      <c r="C41" s="2"/>
    </row>
    <row r="42" spans="2:8" x14ac:dyDescent="0.25">
      <c r="B42" s="1"/>
      <c r="C42" s="2"/>
    </row>
    <row r="43" spans="2:8" x14ac:dyDescent="0.25">
      <c r="B43" s="1"/>
      <c r="C43" s="2"/>
      <c r="H43" s="4"/>
    </row>
    <row r="44" spans="2:8" x14ac:dyDescent="0.25">
      <c r="B44" s="1"/>
      <c r="C44" s="2"/>
    </row>
    <row r="45" spans="2:8" x14ac:dyDescent="0.25">
      <c r="B45" s="1"/>
      <c r="C45" s="2"/>
    </row>
    <row r="46" spans="2:8" x14ac:dyDescent="0.25">
      <c r="B46" s="1"/>
      <c r="C46" s="2"/>
    </row>
    <row r="47" spans="2:8" x14ac:dyDescent="0.25">
      <c r="B47" s="1"/>
      <c r="C47" s="2"/>
    </row>
    <row r="48" spans="2:8" x14ac:dyDescent="0.25">
      <c r="B48" s="1"/>
      <c r="C48" s="2"/>
    </row>
    <row r="49" spans="1:6" x14ac:dyDescent="0.25">
      <c r="B49" s="1"/>
      <c r="C49" s="2"/>
    </row>
    <row r="50" spans="1:6" x14ac:dyDescent="0.25">
      <c r="B50" s="1"/>
      <c r="C50" s="2"/>
    </row>
    <row r="51" spans="1:6" x14ac:dyDescent="0.25">
      <c r="B51" s="1"/>
      <c r="C51" s="2"/>
    </row>
    <row r="52" spans="1:6" x14ac:dyDescent="0.25">
      <c r="A52" s="21"/>
      <c r="B52" s="1"/>
      <c r="C52" s="2"/>
      <c r="F52" s="7"/>
    </row>
    <row r="53" spans="1:6" x14ac:dyDescent="0.25">
      <c r="B53" s="1"/>
      <c r="C53" s="2"/>
    </row>
    <row r="54" spans="1:6" x14ac:dyDescent="0.25">
      <c r="A54" s="21"/>
      <c r="B54" s="1"/>
      <c r="C54" s="2"/>
    </row>
    <row r="55" spans="1:6" x14ac:dyDescent="0.25">
      <c r="B55" s="1"/>
      <c r="C55" s="2"/>
    </row>
    <row r="56" spans="1:6" x14ac:dyDescent="0.25">
      <c r="B56" s="1"/>
      <c r="C56" s="2"/>
    </row>
    <row r="57" spans="1:6" x14ac:dyDescent="0.25">
      <c r="B57" s="1"/>
      <c r="C57" s="2"/>
    </row>
    <row r="58" spans="1:6" x14ac:dyDescent="0.25">
      <c r="B58" s="1"/>
      <c r="C58" s="2"/>
    </row>
    <row r="59" spans="1:6" x14ac:dyDescent="0.25">
      <c r="B59" s="1"/>
      <c r="C59" s="2"/>
    </row>
    <row r="60" spans="1:6" x14ac:dyDescent="0.25">
      <c r="B60" s="1"/>
      <c r="C60" s="6"/>
    </row>
    <row r="61" spans="1:6" x14ac:dyDescent="0.25">
      <c r="B61" s="1"/>
      <c r="C61" s="2"/>
    </row>
    <row r="62" spans="1:6" x14ac:dyDescent="0.25">
      <c r="B62" s="1"/>
      <c r="C62" s="2"/>
    </row>
    <row r="63" spans="1:6" x14ac:dyDescent="0.25">
      <c r="B63" s="1"/>
      <c r="C63" s="2"/>
    </row>
    <row r="64" spans="1:6" x14ac:dyDescent="0.25">
      <c r="B64" s="1"/>
      <c r="C64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1944fd-9d16-49f5-b35e-febcb40c90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70FD3C96786048BDC520A9C60DEFDB" ma:contentTypeVersion="15" ma:contentTypeDescription="Crear nuevo documento." ma:contentTypeScope="" ma:versionID="a18b1ef1ed3a0ccfd8211f26a31dd5ac">
  <xsd:schema xmlns:xsd="http://www.w3.org/2001/XMLSchema" xmlns:xs="http://www.w3.org/2001/XMLSchema" xmlns:p="http://schemas.microsoft.com/office/2006/metadata/properties" xmlns:ns3="e91944fd-9d16-49f5-b35e-febcb40c9085" targetNamespace="http://schemas.microsoft.com/office/2006/metadata/properties" ma:root="true" ma:fieldsID="fb31069a8079e9793d532ff37bcb3980" ns3:_="">
    <xsd:import namespace="e91944fd-9d16-49f5-b35e-febcb40c90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944fd-9d16-49f5-b35e-febcb40c90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8B4B25-453E-4232-ADFA-8DA7D3CD5FBF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e91944fd-9d16-49f5-b35e-febcb40c9085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E475870-A7E9-4131-AB8B-F00B8C9E5E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1159AC-DDEA-4018-B039-AC955F31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944fd-9d16-49f5-b35e-febcb40c90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Summary</vt:lpstr>
      <vt:lpstr>Grafico distr porcentual</vt:lpstr>
      <vt:lpstr>Grafico Tendencia</vt:lpstr>
      <vt:lpstr>Balance Proyectado</vt:lpstr>
      <vt:lpstr>Raw Data Balance Proyectado</vt:lpstr>
      <vt:lpstr>Inflacion </vt:lpstr>
      <vt:lpstr>Alquiler</vt:lpstr>
      <vt:lpstr>Gastos Mes Corriente</vt:lpstr>
      <vt:lpstr>Raw Data Gastos</vt:lpstr>
      <vt:lpstr>Ahorro</vt:lpstr>
      <vt:lpstr>Raw Data Ingreso -Ahorro</vt:lpstr>
      <vt:lpstr>Raw Data Gastos - Ahorro</vt:lpstr>
      <vt:lpstr>Inversiones</vt:lpstr>
      <vt:lpstr>Tipo Ingresos-Gastos</vt:lpstr>
      <vt:lpstr>Dolar Cotizacion</vt:lpstr>
      <vt:lpstr>Raw Data Ingresos Usados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ROZNICKAS GASTON</dc:creator>
  <cp:lastModifiedBy>DIAZ ROZNICKAS GASTON</cp:lastModifiedBy>
  <dcterms:created xsi:type="dcterms:W3CDTF">2024-02-11T14:54:13Z</dcterms:created>
  <dcterms:modified xsi:type="dcterms:W3CDTF">2024-03-12T12:35:23Z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0x010100D970FD3C96786048BDC520A9C60DEFDB</vt:lpwstr>
  </property>
</Properties>
</file>