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Min,Max,Sum,Count,Average" sheetId="1" r:id="rId4"/>
    <sheet state="visible" name="MoreSumifs" sheetId="2" r:id="rId5"/>
  </sheets>
  <definedNames/>
  <calcPr/>
</workbook>
</file>

<file path=xl/sharedStrings.xml><?xml version="1.0" encoding="utf-8"?>
<sst xmlns="http://schemas.openxmlformats.org/spreadsheetml/2006/main" count="241" uniqueCount="26">
  <si>
    <t>Book genre</t>
  </si>
  <si>
    <t>Month</t>
  </si>
  <si>
    <t>Sales (in Rs)</t>
  </si>
  <si>
    <t>Fiction</t>
  </si>
  <si>
    <t>January</t>
  </si>
  <si>
    <t>Min</t>
  </si>
  <si>
    <t>Max</t>
  </si>
  <si>
    <t>Sum</t>
  </si>
  <si>
    <t>Average</t>
  </si>
  <si>
    <t>Count</t>
  </si>
  <si>
    <t>Check</t>
  </si>
  <si>
    <t>Non Fiction</t>
  </si>
  <si>
    <t>Overall</t>
  </si>
  <si>
    <t>Thriller</t>
  </si>
  <si>
    <t>Self Help</t>
  </si>
  <si>
    <t>February</t>
  </si>
  <si>
    <t xml:space="preserve">Business </t>
  </si>
  <si>
    <t>March</t>
  </si>
  <si>
    <t>Business</t>
  </si>
  <si>
    <t>April</t>
  </si>
  <si>
    <t>MinIfs</t>
  </si>
  <si>
    <t>MaxIfs</t>
  </si>
  <si>
    <t>SumIfs</t>
  </si>
  <si>
    <t>AverageIfs</t>
  </si>
  <si>
    <t>CountIfs</t>
  </si>
  <si>
    <t>Minlfs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</si>
</sst>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000000"/>
      <name val="Söhne"/>
    </font>
    <font>
      <color theme="1"/>
      <name val="Arial"/>
    </font>
    <font>
      <color rgb="FF374151"/>
      <name val="Söhne"/>
    </font>
    <font>
      <b/>
      <color theme="1"/>
      <name val="Arial"/>
    </font>
    <font>
      <color theme="1"/>
      <name val="Arial"/>
      <scheme val="minor"/>
    </font>
    <font>
      <color rgb="FF374151"/>
      <name val="Arial"/>
    </font>
    <font>
      <b/>
      <color theme="1"/>
      <name val="Arial"/>
      <scheme val="minor"/>
    </font>
    <font>
      <b/>
      <color rgb="FF374151"/>
      <name val="Söhne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4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horizontal="left" readingOrder="0"/>
    </xf>
    <xf borderId="2" fillId="3" fontId="3" numFmtId="0" xfId="0" applyAlignment="1" applyBorder="1" applyFont="1">
      <alignment horizontal="center" readingOrder="0"/>
    </xf>
    <xf borderId="0" fillId="3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4" fontId="4" numFmtId="0" xfId="0" applyAlignment="1" applyFont="1">
      <alignment vertical="bottom"/>
    </xf>
    <xf borderId="0" fillId="3" fontId="5" numFmtId="0" xfId="0" applyFont="1"/>
    <xf borderId="0" fillId="3" fontId="2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3" fontId="2" numFmtId="1" xfId="0" applyAlignment="1" applyFont="1" applyNumberFormat="1">
      <alignment horizontal="right" vertical="bottom"/>
    </xf>
    <xf borderId="1" fillId="3" fontId="6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3" fillId="4" fontId="4" numFmtId="0" xfId="0" applyAlignment="1" applyBorder="1" applyFont="1">
      <alignment vertical="bottom"/>
    </xf>
    <xf borderId="3" fillId="3" fontId="2" numFmtId="0" xfId="0" applyAlignment="1" applyBorder="1" applyFont="1">
      <alignment horizontal="right" vertical="bottom"/>
    </xf>
    <xf borderId="2" fillId="3" fontId="3" numFmtId="0" xfId="0" applyAlignment="1" applyBorder="1" applyFont="1">
      <alignment horizontal="left" readingOrder="0"/>
    </xf>
    <xf borderId="0" fillId="3" fontId="2" numFmtId="0" xfId="0" applyAlignment="1" applyFont="1">
      <alignment horizontal="right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5" numFmtId="0" xfId="0" applyAlignment="1" applyFont="1">
      <alignment horizontal="center"/>
    </xf>
    <xf borderId="0" fillId="3" fontId="4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3" fontId="7" numFmtId="0" xfId="0" applyAlignment="1" applyFont="1">
      <alignment readingOrder="0"/>
    </xf>
    <xf borderId="0" fillId="3" fontId="7" numFmtId="1" xfId="0" applyAlignment="1" applyFont="1" applyNumberFormat="1">
      <alignment readingOrder="0"/>
    </xf>
    <xf borderId="0" fillId="3" fontId="5" numFmtId="1" xfId="0" applyFont="1" applyNumberFormat="1"/>
    <xf borderId="1" fillId="3" fontId="8" numFmtId="0" xfId="0" applyAlignment="1" applyBorder="1" applyFont="1">
      <alignment horizontal="left" readingOrder="0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5" width="11.5"/>
    <col customWidth="1" min="6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4</v>
      </c>
      <c r="C2" s="4">
        <v>1200.0</v>
      </c>
      <c r="D2" s="5"/>
      <c r="E2" s="6"/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4</v>
      </c>
      <c r="C3" s="4">
        <v>900.0</v>
      </c>
      <c r="D3" s="5"/>
      <c r="E3" s="9" t="s">
        <v>12</v>
      </c>
      <c r="F3" s="10">
        <f>min($C2:$C37)</f>
        <v>180</v>
      </c>
      <c r="G3" s="10">
        <f>MAX($C2:$C37)</f>
        <v>1200</v>
      </c>
      <c r="H3" s="10">
        <f>SUM($C2:$C37)</f>
        <v>20150</v>
      </c>
      <c r="I3" s="11">
        <f>AVERAGE($C2:$C37)</f>
        <v>559.7222222</v>
      </c>
      <c r="J3" s="10">
        <f>COUNT($C2:$C37)</f>
        <v>36</v>
      </c>
      <c r="K3" s="10">
        <f t="shared" ref="K3:K12" si="1">H3-I3*J3</f>
        <v>0</v>
      </c>
      <c r="L3" s="8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13</v>
      </c>
      <c r="B4" s="3" t="s">
        <v>4</v>
      </c>
      <c r="C4" s="4">
        <v>250.0</v>
      </c>
      <c r="D4" s="5"/>
      <c r="E4" s="12" t="s">
        <v>3</v>
      </c>
      <c r="F4" s="10">
        <f>min($C2,$C9:$C10,$C22,$C23,$C24,$C34)</f>
        <v>420</v>
      </c>
      <c r="G4" s="10">
        <f>MAX($C2,$C9:$C10,$C22,$C23,$C24,$C34)</f>
        <v>1200</v>
      </c>
      <c r="H4" s="10">
        <f>SUM($C2,$C9:$C10,$C22,$C23,$C24,$C34)</f>
        <v>4790</v>
      </c>
      <c r="I4" s="11">
        <f>AVERAGE($C2,$C9:$C10,$C22,$C23,$C24,$C34)</f>
        <v>684.2857143</v>
      </c>
      <c r="J4" s="10">
        <f>COUNT($C2,$C9:$C10,$C22,$C23,$C24,$C34)</f>
        <v>7</v>
      </c>
      <c r="K4" s="10">
        <f t="shared" si="1"/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14</v>
      </c>
      <c r="B5" s="3" t="s">
        <v>15</v>
      </c>
      <c r="C5" s="4">
        <v>450.0</v>
      </c>
      <c r="D5" s="5"/>
      <c r="E5" s="12" t="s">
        <v>11</v>
      </c>
      <c r="F5" s="10">
        <f>min($C3,$C11,$C17:$C18,$C25:$C26,$C32:$C33)</f>
        <v>390</v>
      </c>
      <c r="G5" s="10">
        <f>MAX($C3,$C11,$C17:$C18,$C25:$C26,$C32:$C33)</f>
        <v>900</v>
      </c>
      <c r="H5" s="10">
        <f>SUM($C3,$C11,$C17:$C18,$C25:$C26,$C32:$C33)</f>
        <v>4610</v>
      </c>
      <c r="I5" s="11">
        <f>AVERAGE($C3,$C11,$C17:$C18,$C25:$C26,$C32:$C33)</f>
        <v>576.25</v>
      </c>
      <c r="J5" s="10">
        <f>COUNT($C3,$C11,$C17:$C18,$C25:$C26,$C32:$C33)</f>
        <v>8</v>
      </c>
      <c r="K5" s="10">
        <f t="shared" si="1"/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16</v>
      </c>
      <c r="B6" s="3" t="s">
        <v>15</v>
      </c>
      <c r="C6" s="4">
        <v>800.0</v>
      </c>
      <c r="D6" s="5"/>
      <c r="E6" s="12" t="s">
        <v>13</v>
      </c>
      <c r="F6" s="10">
        <f>min($C4,$C20:$C21,$C35)</f>
        <v>200</v>
      </c>
      <c r="G6" s="10">
        <f>MAX($C4,$C20:$C21,$C35)</f>
        <v>950</v>
      </c>
      <c r="H6" s="10">
        <f>SUM($C4,$C20:$C21,$C35)</f>
        <v>1800</v>
      </c>
      <c r="I6" s="10">
        <f>AVERAGE($C4,$C20:$C21,$C35)</f>
        <v>450</v>
      </c>
      <c r="J6" s="10">
        <f>COUNT($C4,$C20:$C21,$C35)</f>
        <v>4</v>
      </c>
      <c r="K6" s="10">
        <f t="shared" si="1"/>
        <v>0</v>
      </c>
      <c r="N6" s="13"/>
      <c r="O6" s="13"/>
      <c r="P6" s="13"/>
      <c r="Q6" s="13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16</v>
      </c>
      <c r="B7" s="3" t="s">
        <v>17</v>
      </c>
      <c r="C7" s="4">
        <v>350.0</v>
      </c>
      <c r="D7" s="5"/>
      <c r="E7" s="12" t="s">
        <v>14</v>
      </c>
      <c r="F7" s="10">
        <f>min($C5,$C8,$C12:$C13,$C19,$C28:$C29,$C36)</f>
        <v>200</v>
      </c>
      <c r="G7" s="10">
        <f>MAX($C5,$C8,$C12:$C13,$C19,$C28:$C29,$C36)</f>
        <v>670</v>
      </c>
      <c r="H7" s="10">
        <f>SUM($C5,$C8,$C12:$C13,$C19,$C28:$C29,$C36)</f>
        <v>3580</v>
      </c>
      <c r="I7" s="11">
        <f>AVERAGE($C5,$C8,$C12:$C13,$C19,$C28:$C29,$C36)</f>
        <v>447.5</v>
      </c>
      <c r="J7" s="10">
        <f>COUNT($C5,$C8,$C12:$C13,$C19,$C28:$C29,$C36)</f>
        <v>8</v>
      </c>
      <c r="K7" s="10">
        <f t="shared" si="1"/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14</v>
      </c>
      <c r="B8" s="3" t="s">
        <v>4</v>
      </c>
      <c r="C8" s="4">
        <v>650.0</v>
      </c>
      <c r="D8" s="5"/>
      <c r="E8" s="12" t="s">
        <v>18</v>
      </c>
      <c r="F8" s="10">
        <f>min($C6:$C7,$C14:$C16,$C27,$C30:$C31,$C37)</f>
        <v>180</v>
      </c>
      <c r="G8" s="10">
        <f>MAX($C6:$C7,$C14:$C16,$C27,$C30:$C31,$C37)</f>
        <v>1050</v>
      </c>
      <c r="H8" s="10">
        <f>SUM($C6:$C7,$C14:$C16,$C27,$C30:$C31,$C37)</f>
        <v>5370</v>
      </c>
      <c r="I8" s="11">
        <f>AVERAGE($C6:$C7,$C14:$C16,$C27,$C30:$C31,$C37)</f>
        <v>596.6666667</v>
      </c>
      <c r="J8" s="10">
        <f>COUNT($C6:$C7,$C14:$C16,$C27,$C30:$C31,$C37)</f>
        <v>9</v>
      </c>
      <c r="K8" s="10">
        <f t="shared" si="1"/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3</v>
      </c>
      <c r="B9" s="3" t="s">
        <v>4</v>
      </c>
      <c r="C9" s="4">
        <v>600.0</v>
      </c>
      <c r="D9" s="5"/>
      <c r="E9" s="12" t="s">
        <v>4</v>
      </c>
      <c r="F9" s="10">
        <f>min($C2:$C4,$C8:$C9,$C13,$C16:$C17,$C23,$C30:$C31)</f>
        <v>220</v>
      </c>
      <c r="G9" s="10">
        <f>MAX($C2:$C4,$C8:$C9,$C13,$C16:$C17,$C23,$C30:$C31)</f>
        <v>1200</v>
      </c>
      <c r="H9" s="10">
        <f>SUM($C2:$C4,$C8:$C9,$C13,$C16:$C17,$C23,$C30:$C31)</f>
        <v>7000</v>
      </c>
      <c r="I9" s="11">
        <f>AVERAGE($C2:$C4,$C8:$C9,$C13,$C16:$C17,$C23,$C30:$C31)</f>
        <v>636.3636364</v>
      </c>
      <c r="J9" s="10">
        <f>COUNT($C2:$C4,$C8:$C9,$C13,$C16:$C17,$C23,$C30:$C31)</f>
        <v>11</v>
      </c>
      <c r="K9" s="10">
        <f t="shared" si="1"/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3</v>
      </c>
      <c r="B10" s="3" t="s">
        <v>15</v>
      </c>
      <c r="C10" s="4">
        <v>700.0</v>
      </c>
      <c r="D10" s="5"/>
      <c r="E10" s="12" t="s">
        <v>15</v>
      </c>
      <c r="F10" s="10">
        <f>min($C5:$C6,$C10,$C14,$C21:$C22,$C28:$C29,$C33)</f>
        <v>200</v>
      </c>
      <c r="G10" s="10">
        <f>MAX($C5:$C6,$C10,$C14,$C21:$C22,$C28:$C29,$C33)</f>
        <v>800</v>
      </c>
      <c r="H10" s="10">
        <f>SUM($C5:$C6,$C10,$C14,$C21:$C22,$C28:$C29,$C33)</f>
        <v>4640</v>
      </c>
      <c r="I10" s="11">
        <f>AVERAGE($C5:$C6,$C10,$C14,$C21:$C22,$C28:$C29,$C33)</f>
        <v>515.5555556</v>
      </c>
      <c r="J10" s="10">
        <f>COUNT($C5:$C6,$C10,$C14,$C21:$C22,$C28:$C29,$C33)</f>
        <v>9</v>
      </c>
      <c r="K10" s="10">
        <f t="shared" si="1"/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11</v>
      </c>
      <c r="B11" s="3" t="s">
        <v>17</v>
      </c>
      <c r="C11" s="4">
        <v>500.0</v>
      </c>
      <c r="D11" s="5"/>
      <c r="E11" s="12" t="s">
        <v>17</v>
      </c>
      <c r="F11" s="10">
        <f>min($C7,$C11:$C12,$C15,$C18:$C19,$C20,$C27,$C34)</f>
        <v>180</v>
      </c>
      <c r="G11" s="10">
        <f>MAX($C7,$C11:$C12,$C15,$C18:$C19,$C20,$C27,$C34)</f>
        <v>1050</v>
      </c>
      <c r="H11" s="10">
        <f>SUM($C7,$C11:$C12,$C15,$C18:$C19,$C20,$C27,$C34)</f>
        <v>5120</v>
      </c>
      <c r="I11" s="11">
        <f>AVERAGE($C7,$C11:$C12,$C15,$C18:$C19,$C20,$C27,$C34)</f>
        <v>568.8888889</v>
      </c>
      <c r="J11" s="10">
        <f>COUNT($C7,$C11:$C12,$C15,$C18:$C19,$C20,$C27,$C34)</f>
        <v>9</v>
      </c>
      <c r="K11" s="10">
        <f t="shared" si="1"/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14</v>
      </c>
      <c r="B12" s="3" t="s">
        <v>17</v>
      </c>
      <c r="C12" s="4">
        <v>480.0</v>
      </c>
      <c r="D12" s="5"/>
      <c r="E12" s="12" t="s">
        <v>19</v>
      </c>
      <c r="F12" s="10">
        <f>min($C24:$C26,$C32,$C35:$C37)</f>
        <v>200</v>
      </c>
      <c r="G12" s="10">
        <f>MAX($C24:$C26,$C32,$C35:$C37)</f>
        <v>800</v>
      </c>
      <c r="H12" s="10">
        <f>SUM($C24:$C26,$C32,$C35:$C37)</f>
        <v>3390</v>
      </c>
      <c r="I12" s="11">
        <f>AVERAGE($C24:$C26,$C32,$C35:$C37)</f>
        <v>484.2857143</v>
      </c>
      <c r="J12" s="10">
        <f>COUNT($C24:$C26,$C32,$C35:$C37)</f>
        <v>7</v>
      </c>
      <c r="K12" s="10">
        <f t="shared" si="1"/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14</v>
      </c>
      <c r="B13" s="3" t="s">
        <v>4</v>
      </c>
      <c r="C13" s="4">
        <v>390.0</v>
      </c>
      <c r="D13" s="5"/>
      <c r="E13" s="5"/>
      <c r="F13" s="5"/>
      <c r="G13" s="5"/>
      <c r="H13" s="5"/>
      <c r="I13" s="5"/>
      <c r="J13" s="5"/>
      <c r="K13" s="5"/>
      <c r="L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16</v>
      </c>
      <c r="B14" s="3" t="s">
        <v>15</v>
      </c>
      <c r="C14" s="4">
        <v>520.0</v>
      </c>
      <c r="D14" s="5"/>
      <c r="E14" s="6"/>
      <c r="F14" s="7" t="s">
        <v>20</v>
      </c>
      <c r="G14" s="7" t="s">
        <v>21</v>
      </c>
      <c r="H14" s="7" t="s">
        <v>22</v>
      </c>
      <c r="I14" s="7" t="s">
        <v>23</v>
      </c>
      <c r="J14" s="7" t="s">
        <v>24</v>
      </c>
      <c r="K14" s="14" t="s">
        <v>10</v>
      </c>
      <c r="L14" s="1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16</v>
      </c>
      <c r="B15" s="3" t="s">
        <v>17</v>
      </c>
      <c r="C15" s="4">
        <v>180.0</v>
      </c>
      <c r="D15" s="5"/>
      <c r="E15" s="12" t="s">
        <v>3</v>
      </c>
      <c r="F15" s="10">
        <f t="shared" ref="F15:F19" si="2">minifs(C$2:C$37,A$2:A$37,E15)</f>
        <v>420</v>
      </c>
      <c r="G15" s="10">
        <f t="shared" ref="G15:G19" si="3">maxifs(C$2:C$37,A$2:A$37,E15)</f>
        <v>1200</v>
      </c>
      <c r="H15" s="10">
        <f t="shared" ref="H15:H19" si="4">sumifs(C$2:C$37,A$2:A$37,E15)</f>
        <v>4790</v>
      </c>
      <c r="I15" s="11">
        <f t="shared" ref="I15:I19" si="5">Averageifs(C$2:C$37,A$2:A$37,E15)</f>
        <v>684.2857143</v>
      </c>
      <c r="J15" s="10">
        <f t="shared" ref="J15:J19" si="6">countifs(A$2:A$37,E15)</f>
        <v>7</v>
      </c>
      <c r="K15" s="15">
        <f t="shared" ref="K15:K23" si="7">H15-I15*J15</f>
        <v>0</v>
      </c>
      <c r="L15" s="1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16</v>
      </c>
      <c r="B16" s="3" t="s">
        <v>4</v>
      </c>
      <c r="C16" s="4">
        <v>700.0</v>
      </c>
      <c r="D16" s="5"/>
      <c r="E16" s="12" t="s">
        <v>11</v>
      </c>
      <c r="F16" s="10">
        <f t="shared" si="2"/>
        <v>390</v>
      </c>
      <c r="G16" s="10">
        <f t="shared" si="3"/>
        <v>900</v>
      </c>
      <c r="H16" s="10">
        <f t="shared" si="4"/>
        <v>4610</v>
      </c>
      <c r="I16" s="11">
        <f t="shared" si="5"/>
        <v>576.25</v>
      </c>
      <c r="J16" s="10">
        <f t="shared" si="6"/>
        <v>8</v>
      </c>
      <c r="K16" s="15">
        <f t="shared" si="7"/>
        <v>0</v>
      </c>
      <c r="L16" s="1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11</v>
      </c>
      <c r="B17" s="3" t="s">
        <v>4</v>
      </c>
      <c r="C17" s="4">
        <v>620.0</v>
      </c>
      <c r="D17" s="16"/>
      <c r="E17" s="12" t="s">
        <v>13</v>
      </c>
      <c r="F17" s="10">
        <f t="shared" si="2"/>
        <v>200</v>
      </c>
      <c r="G17" s="10">
        <f t="shared" si="3"/>
        <v>950</v>
      </c>
      <c r="H17" s="10">
        <f t="shared" si="4"/>
        <v>1800</v>
      </c>
      <c r="I17" s="11">
        <f t="shared" si="5"/>
        <v>450</v>
      </c>
      <c r="J17" s="10">
        <f t="shared" si="6"/>
        <v>4</v>
      </c>
      <c r="K17" s="10">
        <f t="shared" si="7"/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11</v>
      </c>
      <c r="B18" s="3" t="s">
        <v>17</v>
      </c>
      <c r="C18" s="4">
        <v>580.0</v>
      </c>
      <c r="D18" s="16"/>
      <c r="E18" s="12" t="s">
        <v>14</v>
      </c>
      <c r="F18" s="10">
        <f t="shared" si="2"/>
        <v>200</v>
      </c>
      <c r="G18" s="10">
        <f t="shared" si="3"/>
        <v>670</v>
      </c>
      <c r="H18" s="10">
        <f t="shared" si="4"/>
        <v>3580</v>
      </c>
      <c r="I18" s="11">
        <f t="shared" si="5"/>
        <v>447.5</v>
      </c>
      <c r="J18" s="10">
        <f t="shared" si="6"/>
        <v>8</v>
      </c>
      <c r="K18" s="10">
        <f t="shared" si="7"/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14</v>
      </c>
      <c r="B19" s="3" t="s">
        <v>17</v>
      </c>
      <c r="C19" s="4">
        <v>430.0</v>
      </c>
      <c r="D19" s="16"/>
      <c r="E19" s="12" t="s">
        <v>16</v>
      </c>
      <c r="F19" s="17">
        <f t="shared" si="2"/>
        <v>180</v>
      </c>
      <c r="G19" s="17">
        <f t="shared" si="3"/>
        <v>1050</v>
      </c>
      <c r="H19" s="17">
        <f t="shared" si="4"/>
        <v>5370</v>
      </c>
      <c r="I19" s="11">
        <f t="shared" si="5"/>
        <v>596.6666667</v>
      </c>
      <c r="J19" s="17">
        <f t="shared" si="6"/>
        <v>9</v>
      </c>
      <c r="K19" s="10">
        <f t="shared" si="7"/>
        <v>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13</v>
      </c>
      <c r="B20" s="3" t="s">
        <v>17</v>
      </c>
      <c r="C20" s="4">
        <v>950.0</v>
      </c>
      <c r="D20" s="5"/>
      <c r="E20" s="12" t="s">
        <v>4</v>
      </c>
      <c r="F20" s="10">
        <f t="shared" ref="F20:F23" si="8">minifs(C$2:C$37,B$2:B$37,E20)</f>
        <v>220</v>
      </c>
      <c r="G20" s="10">
        <f t="shared" ref="G20:G23" si="9">maxifs(C$2:C$37,B$2:B$37,E20)</f>
        <v>1200</v>
      </c>
      <c r="H20" s="10">
        <f t="shared" ref="H20:H23" si="10">sumifs(C$2:C$37,B$2:B$37,E20)</f>
        <v>7000</v>
      </c>
      <c r="I20" s="11">
        <f t="shared" ref="I20:I23" si="11">Averageifs(C$2:C$37,B$2:B$37,E20)</f>
        <v>636.3636364</v>
      </c>
      <c r="J20" s="10">
        <f t="shared" ref="J20:J23" si="12">countifs(B$2:B$37,E20)</f>
        <v>11</v>
      </c>
      <c r="K20" s="10">
        <f t="shared" si="7"/>
        <v>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13</v>
      </c>
      <c r="B21" s="3" t="s">
        <v>15</v>
      </c>
      <c r="C21" s="4">
        <v>200.0</v>
      </c>
      <c r="D21" s="5"/>
      <c r="E21" s="12" t="s">
        <v>15</v>
      </c>
      <c r="F21" s="10">
        <f t="shared" si="8"/>
        <v>200</v>
      </c>
      <c r="G21" s="10">
        <f t="shared" si="9"/>
        <v>800</v>
      </c>
      <c r="H21" s="10">
        <f t="shared" si="10"/>
        <v>4640</v>
      </c>
      <c r="I21" s="11">
        <f t="shared" si="11"/>
        <v>515.5555556</v>
      </c>
      <c r="J21" s="10">
        <f t="shared" si="12"/>
        <v>9</v>
      </c>
      <c r="K21" s="10">
        <f t="shared" si="7"/>
        <v>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 t="s">
        <v>3</v>
      </c>
      <c r="B22" s="3" t="s">
        <v>15</v>
      </c>
      <c r="C22" s="4">
        <v>420.0</v>
      </c>
      <c r="D22" s="5"/>
      <c r="E22" s="12" t="s">
        <v>17</v>
      </c>
      <c r="F22" s="10">
        <f t="shared" si="8"/>
        <v>180</v>
      </c>
      <c r="G22" s="10">
        <f t="shared" si="9"/>
        <v>1050</v>
      </c>
      <c r="H22" s="10">
        <f t="shared" si="10"/>
        <v>5120</v>
      </c>
      <c r="I22" s="11">
        <f t="shared" si="11"/>
        <v>568.8888889</v>
      </c>
      <c r="J22" s="10">
        <f t="shared" si="12"/>
        <v>9</v>
      </c>
      <c r="K22" s="10">
        <f t="shared" si="7"/>
        <v>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 t="s">
        <v>3</v>
      </c>
      <c r="B23" s="3" t="s">
        <v>4</v>
      </c>
      <c r="C23" s="4">
        <v>720.0</v>
      </c>
      <c r="D23" s="5"/>
      <c r="E23" s="12" t="s">
        <v>19</v>
      </c>
      <c r="F23" s="10">
        <f t="shared" si="8"/>
        <v>200</v>
      </c>
      <c r="G23" s="10">
        <f t="shared" si="9"/>
        <v>800</v>
      </c>
      <c r="H23" s="10">
        <f t="shared" si="10"/>
        <v>3390</v>
      </c>
      <c r="I23" s="11">
        <f t="shared" si="11"/>
        <v>484.2857143</v>
      </c>
      <c r="J23" s="10">
        <f t="shared" si="12"/>
        <v>7</v>
      </c>
      <c r="K23" s="10">
        <f t="shared" si="7"/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 t="s">
        <v>3</v>
      </c>
      <c r="B24" s="3" t="s">
        <v>19</v>
      </c>
      <c r="C24" s="4">
        <v>550.0</v>
      </c>
      <c r="D24" s="5"/>
      <c r="E24" s="5"/>
      <c r="F24" s="5"/>
      <c r="G24" s="5"/>
      <c r="H24" s="5"/>
      <c r="I24" s="5"/>
      <c r="J24" s="5"/>
      <c r="K24" s="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 t="s">
        <v>11</v>
      </c>
      <c r="B25" s="3" t="s">
        <v>19</v>
      </c>
      <c r="C25" s="4">
        <v>590.0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 t="s">
        <v>11</v>
      </c>
      <c r="B26" s="3" t="s">
        <v>19</v>
      </c>
      <c r="C26" s="4">
        <v>460.0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 t="s">
        <v>16</v>
      </c>
      <c r="B27" s="3" t="s">
        <v>17</v>
      </c>
      <c r="C27" s="4">
        <v>1050.0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 t="s">
        <v>14</v>
      </c>
      <c r="B28" s="3" t="s">
        <v>15</v>
      </c>
      <c r="C28" s="4">
        <v>310.0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 t="s">
        <v>14</v>
      </c>
      <c r="B29" s="3" t="s">
        <v>15</v>
      </c>
      <c r="C29" s="4">
        <v>670.0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 t="s">
        <v>16</v>
      </c>
      <c r="B30" s="3" t="s">
        <v>4</v>
      </c>
      <c r="C30" s="4">
        <v>220.0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 t="s">
        <v>16</v>
      </c>
      <c r="B31" s="3" t="s">
        <v>4</v>
      </c>
      <c r="C31" s="4">
        <v>750.0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 t="s">
        <v>11</v>
      </c>
      <c r="B32" s="3" t="s">
        <v>19</v>
      </c>
      <c r="C32" s="4">
        <v>390.0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 t="s">
        <v>11</v>
      </c>
      <c r="B33" s="3" t="s">
        <v>15</v>
      </c>
      <c r="C33" s="4">
        <v>570.0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 t="s">
        <v>3</v>
      </c>
      <c r="B34" s="3" t="s">
        <v>17</v>
      </c>
      <c r="C34" s="18">
        <v>600.0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 t="s">
        <v>13</v>
      </c>
      <c r="B35" s="3" t="s">
        <v>19</v>
      </c>
      <c r="C35" s="18">
        <v>400.0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 t="s">
        <v>14</v>
      </c>
      <c r="B36" s="3" t="s">
        <v>19</v>
      </c>
      <c r="C36" s="18">
        <v>200.0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 t="s">
        <v>16</v>
      </c>
      <c r="B37" s="3" t="s">
        <v>19</v>
      </c>
      <c r="C37" s="18">
        <v>800.0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1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1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1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1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1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1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1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1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1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1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1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1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1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1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1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1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1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1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1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1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1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1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1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1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1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1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1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1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1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1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1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1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1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1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1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1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1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1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1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1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1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1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1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1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1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1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1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1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1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1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1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1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1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1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1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1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1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1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1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1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1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1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1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1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1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1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1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1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1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1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1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1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1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1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1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1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1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1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1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1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1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1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1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1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1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1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1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19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19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19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19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19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19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19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19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19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19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19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19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19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19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19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19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19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19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19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19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19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19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19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19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19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19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19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19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19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19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19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19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19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19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19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19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19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19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19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19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19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19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19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19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19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19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19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19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19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19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19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19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19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19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19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19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19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19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19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19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19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19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19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19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19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19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19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19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19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19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19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19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19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19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19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19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19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19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19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19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19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19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19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19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19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19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19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19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19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19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19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19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19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19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19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19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19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19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19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19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19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19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19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19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19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19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19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19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19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19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19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19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19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19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19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19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19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19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19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19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19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19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19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19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19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19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19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19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19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19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19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19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19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19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19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19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19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19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19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19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19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19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19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19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19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19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19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19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19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19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19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19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19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19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19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19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19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19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19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19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19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19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19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19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19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19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19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19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19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19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19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19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19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19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19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19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19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19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19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19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19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19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19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19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19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19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19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19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19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19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19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19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19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19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19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19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19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19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19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19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19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19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19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19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19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19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19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19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19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19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19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19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19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19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19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19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19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19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19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19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19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19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19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19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19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19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19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19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19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19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19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19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19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19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19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19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19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19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19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19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19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19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19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19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19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19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19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19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19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19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19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19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19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19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19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19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19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19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19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19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19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19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19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19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19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19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19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19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19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19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19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19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19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19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19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19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19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19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19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19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19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19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19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19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19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19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19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19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19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19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19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19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19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19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19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19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19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19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19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19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19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19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19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19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19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19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19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19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19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19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19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19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19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19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19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19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19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19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19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19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19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19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19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19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19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19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19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19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19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19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19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19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19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19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19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19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19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19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19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19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19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19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19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19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19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19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19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19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19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19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19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19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19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19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19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19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19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19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19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19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19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19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19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19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19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19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19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19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19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19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19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19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19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19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19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19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19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19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19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19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19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19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19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19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19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19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19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19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19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19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19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19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19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19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19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19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19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19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19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19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19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19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19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19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19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19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19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19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19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19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19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19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19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19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19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19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19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19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19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19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19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19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19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19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19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19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19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19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19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19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19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19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19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19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19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19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19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19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19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19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19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19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19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19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19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19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19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19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19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19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19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19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19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19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19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19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19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19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19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19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19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19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19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19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19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19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19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19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19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19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19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19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19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19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19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19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19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19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19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19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19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19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19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19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19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19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19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19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19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19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19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19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19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19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19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19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19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19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19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19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19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19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19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19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19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19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19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19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19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19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19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19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19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19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19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19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19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19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19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19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19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19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19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19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19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19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19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19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19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19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19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19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19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19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19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19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19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19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19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19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19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19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19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19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19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19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19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19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19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19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19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19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19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19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19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19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19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19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19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19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19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19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19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19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19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19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19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19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19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19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19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19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19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19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19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19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19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19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19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19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19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19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19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19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19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19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19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19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19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19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19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19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19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19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19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19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19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19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19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19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19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19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19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19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19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19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19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19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19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19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19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19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19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19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19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19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19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19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19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19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19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19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19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19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19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19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19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19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19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19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19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19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19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19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19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19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19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19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19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19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19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19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19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19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19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19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19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19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19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19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19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19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19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19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19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19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19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19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19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19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19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19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19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19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19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19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19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19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19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19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19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19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19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19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19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19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19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19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19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19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19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19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19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19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19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19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19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19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19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19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19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19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19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19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19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19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19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19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19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19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19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19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19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19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19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19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19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19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19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19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19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19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19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19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19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19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19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19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19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19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19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19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19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19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19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19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19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19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19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19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19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19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19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19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19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19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19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19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19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19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19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19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19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19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19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19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19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19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19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19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19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19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19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19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19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19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19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19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19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19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19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19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19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19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19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19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19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19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19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19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19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19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19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19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19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19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19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19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19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19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19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19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19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19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19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19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19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19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19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19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19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19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19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19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19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19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19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19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19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19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19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19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19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19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19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19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19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19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19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19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19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19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19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19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19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19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19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19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19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19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19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19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19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19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19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19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19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19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19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19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19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19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19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19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19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19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19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19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19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19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19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19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19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19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19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19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19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19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19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19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19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19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19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19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19"/>
      <c r="D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19"/>
      <c r="D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19"/>
      <c r="D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19"/>
      <c r="D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19"/>
      <c r="D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19"/>
      <c r="D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19"/>
      <c r="D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19"/>
      <c r="D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19"/>
      <c r="D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19"/>
      <c r="D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19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19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19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19"/>
      <c r="D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19"/>
      <c r="D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19"/>
      <c r="D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19"/>
      <c r="D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C996" s="20"/>
      <c r="D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C997" s="20"/>
      <c r="D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C998" s="20"/>
      <c r="D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C999" s="20"/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C1000" s="20"/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C1001" s="20"/>
      <c r="D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C1002" s="20"/>
      <c r="D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C1003" s="20"/>
      <c r="D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C1004" s="20"/>
      <c r="D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C1005" s="20"/>
      <c r="D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C1006" s="20"/>
      <c r="D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C1007" s="20"/>
      <c r="D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5" width="11.5"/>
    <col customWidth="1" min="6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3</v>
      </c>
      <c r="B2" s="3" t="s">
        <v>4</v>
      </c>
      <c r="C2" s="4">
        <v>1200.0</v>
      </c>
      <c r="D2" s="5"/>
      <c r="E2" s="21" t="s">
        <v>25</v>
      </c>
      <c r="F2" s="21"/>
      <c r="G2" s="21"/>
      <c r="H2" s="21"/>
      <c r="I2" s="21"/>
      <c r="J2" s="21"/>
      <c r="K2" s="2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4</v>
      </c>
      <c r="C3" s="4">
        <v>900.0</v>
      </c>
      <c r="D3" s="5"/>
      <c r="E3" s="22"/>
      <c r="F3" s="23" t="s">
        <v>4</v>
      </c>
      <c r="G3" s="23" t="s">
        <v>15</v>
      </c>
      <c r="H3" s="23" t="s">
        <v>17</v>
      </c>
      <c r="I3" s="24" t="s">
        <v>19</v>
      </c>
      <c r="J3" s="8"/>
      <c r="K3" s="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13</v>
      </c>
      <c r="B4" s="3" t="s">
        <v>4</v>
      </c>
      <c r="C4" s="4">
        <v>250.0</v>
      </c>
      <c r="D4" s="5"/>
      <c r="E4" s="3" t="s">
        <v>3</v>
      </c>
      <c r="F4" s="8">
        <f t="shared" ref="F4:I4" si="1">MINIFS($C$2:$C$37,$A$2:$A$37,$E4,$B$2:$B$37,F$3)</f>
        <v>600</v>
      </c>
      <c r="G4" s="8">
        <f t="shared" si="1"/>
        <v>420</v>
      </c>
      <c r="H4" s="8">
        <f t="shared" si="1"/>
        <v>600</v>
      </c>
      <c r="I4" s="8">
        <f t="shared" si="1"/>
        <v>550</v>
      </c>
      <c r="J4" s="8"/>
      <c r="K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14</v>
      </c>
      <c r="B5" s="3" t="s">
        <v>15</v>
      </c>
      <c r="C5" s="4">
        <v>450.0</v>
      </c>
      <c r="D5" s="5"/>
      <c r="E5" s="3" t="s">
        <v>11</v>
      </c>
      <c r="F5" s="8">
        <f t="shared" ref="F5:I5" si="2">MINIFS($C$2:$C$37,$A$2:$A$37,$E5,$B$2:$B$37,F$3)</f>
        <v>620</v>
      </c>
      <c r="G5" s="8">
        <f t="shared" si="2"/>
        <v>570</v>
      </c>
      <c r="H5" s="8">
        <f t="shared" si="2"/>
        <v>500</v>
      </c>
      <c r="I5" s="8">
        <f t="shared" si="2"/>
        <v>390</v>
      </c>
      <c r="J5" s="8"/>
      <c r="K5" s="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16</v>
      </c>
      <c r="B6" s="3" t="s">
        <v>15</v>
      </c>
      <c r="C6" s="4">
        <v>800.0</v>
      </c>
      <c r="D6" s="5"/>
      <c r="E6" s="3" t="s">
        <v>13</v>
      </c>
      <c r="F6" s="8">
        <f t="shared" ref="F6:I6" si="3">MINIFS($C$2:$C$37,$A$2:$A$37,$E6,$B$2:$B$37,F$3)</f>
        <v>250</v>
      </c>
      <c r="G6" s="8">
        <f t="shared" si="3"/>
        <v>200</v>
      </c>
      <c r="H6" s="8">
        <f t="shared" si="3"/>
        <v>950</v>
      </c>
      <c r="I6" s="8">
        <f t="shared" si="3"/>
        <v>400</v>
      </c>
      <c r="J6" s="8"/>
      <c r="K6" s="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16</v>
      </c>
      <c r="B7" s="3" t="s">
        <v>17</v>
      </c>
      <c r="C7" s="4">
        <v>350.0</v>
      </c>
      <c r="D7" s="5"/>
      <c r="E7" s="3" t="s">
        <v>14</v>
      </c>
      <c r="F7" s="8">
        <f t="shared" ref="F7:I7" si="4">MINIFS($C$2:$C$37,$A$2:$A$37,$E7,$B$2:$B$37,F$3)</f>
        <v>390</v>
      </c>
      <c r="G7" s="8">
        <f t="shared" si="4"/>
        <v>310</v>
      </c>
      <c r="H7" s="8">
        <f t="shared" si="4"/>
        <v>430</v>
      </c>
      <c r="I7" s="8">
        <f t="shared" si="4"/>
        <v>200</v>
      </c>
      <c r="J7" s="8"/>
      <c r="K7" s="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14</v>
      </c>
      <c r="B8" s="3" t="s">
        <v>4</v>
      </c>
      <c r="C8" s="4">
        <v>650.0</v>
      </c>
      <c r="D8" s="5"/>
      <c r="E8" s="3" t="s">
        <v>16</v>
      </c>
      <c r="F8" s="8">
        <f t="shared" ref="F8:I8" si="5">MINIFS($C$2:$C$37,$A$2:$A$37,$E8,$B$2:$B$37,F$3)</f>
        <v>220</v>
      </c>
      <c r="G8" s="8">
        <f t="shared" si="5"/>
        <v>520</v>
      </c>
      <c r="H8" s="8">
        <f t="shared" si="5"/>
        <v>180</v>
      </c>
      <c r="I8" s="8">
        <f t="shared" si="5"/>
        <v>800</v>
      </c>
      <c r="J8" s="8"/>
      <c r="K8" s="5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3</v>
      </c>
      <c r="B9" s="3" t="s">
        <v>4</v>
      </c>
      <c r="C9" s="4">
        <v>600.0</v>
      </c>
      <c r="D9" s="5"/>
      <c r="E9" s="3"/>
      <c r="F9" s="8"/>
      <c r="G9" s="8"/>
      <c r="H9" s="8"/>
      <c r="I9" s="25"/>
      <c r="J9" s="8"/>
      <c r="K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3</v>
      </c>
      <c r="B10" s="3" t="s">
        <v>15</v>
      </c>
      <c r="C10" s="4">
        <v>700.0</v>
      </c>
      <c r="D10" s="5"/>
      <c r="E10" s="26" t="s">
        <v>21</v>
      </c>
      <c r="F10" s="8"/>
      <c r="G10" s="8"/>
      <c r="H10" s="8"/>
      <c r="I10" s="25"/>
      <c r="J10" s="8"/>
      <c r="K10" s="5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11</v>
      </c>
      <c r="B11" s="3" t="s">
        <v>17</v>
      </c>
      <c r="C11" s="4">
        <v>500.0</v>
      </c>
      <c r="D11" s="5"/>
      <c r="E11" s="3"/>
      <c r="F11" s="23" t="s">
        <v>4</v>
      </c>
      <c r="G11" s="23" t="s">
        <v>15</v>
      </c>
      <c r="H11" s="23" t="s">
        <v>17</v>
      </c>
      <c r="I11" s="24" t="s">
        <v>19</v>
      </c>
      <c r="J11" s="8"/>
      <c r="K11" s="5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14</v>
      </c>
      <c r="B12" s="3" t="s">
        <v>17</v>
      </c>
      <c r="C12" s="4">
        <v>480.0</v>
      </c>
      <c r="D12" s="5"/>
      <c r="E12" s="3" t="s">
        <v>3</v>
      </c>
      <c r="F12" s="8">
        <f t="shared" ref="F12:I12" si="6">MAXIFS($C$2:$C$37,$A$2:$A$37,$E12,$B$2:$B$37,F$11)</f>
        <v>1200</v>
      </c>
      <c r="G12" s="8">
        <f t="shared" si="6"/>
        <v>700</v>
      </c>
      <c r="H12" s="8">
        <f t="shared" si="6"/>
        <v>600</v>
      </c>
      <c r="I12" s="8">
        <f t="shared" si="6"/>
        <v>550</v>
      </c>
      <c r="J12" s="8"/>
      <c r="K12" s="5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14</v>
      </c>
      <c r="B13" s="3" t="s">
        <v>4</v>
      </c>
      <c r="C13" s="4">
        <v>390.0</v>
      </c>
      <c r="D13" s="5"/>
      <c r="E13" s="3" t="s">
        <v>11</v>
      </c>
      <c r="F13" s="8">
        <f t="shared" ref="F13:I13" si="7">MAXIFS($C$2:$C$37,$A$2:$A$37,$E13,$B$2:$B$37,F$11)</f>
        <v>900</v>
      </c>
      <c r="G13" s="8">
        <f t="shared" si="7"/>
        <v>570</v>
      </c>
      <c r="H13" s="8">
        <f t="shared" si="7"/>
        <v>580</v>
      </c>
      <c r="I13" s="8">
        <f t="shared" si="7"/>
        <v>590</v>
      </c>
      <c r="J13" s="5"/>
      <c r="K13" s="5"/>
      <c r="L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16</v>
      </c>
      <c r="B14" s="3" t="s">
        <v>15</v>
      </c>
      <c r="C14" s="4">
        <v>520.0</v>
      </c>
      <c r="D14" s="5"/>
      <c r="E14" s="3" t="s">
        <v>13</v>
      </c>
      <c r="F14" s="8">
        <f t="shared" ref="F14:I14" si="8">MAXIFS($C$2:$C$37,$A$2:$A$37,$E14,$B$2:$B$37,F$11)</f>
        <v>250</v>
      </c>
      <c r="G14" s="8">
        <f t="shared" si="8"/>
        <v>200</v>
      </c>
      <c r="H14" s="8">
        <f t="shared" si="8"/>
        <v>950</v>
      </c>
      <c r="I14" s="8">
        <f t="shared" si="8"/>
        <v>400</v>
      </c>
      <c r="J14" s="21"/>
      <c r="K14" s="21"/>
      <c r="L14" s="1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16</v>
      </c>
      <c r="B15" s="3" t="s">
        <v>17</v>
      </c>
      <c r="C15" s="4">
        <v>180.0</v>
      </c>
      <c r="D15" s="5"/>
      <c r="E15" s="3" t="s">
        <v>14</v>
      </c>
      <c r="F15" s="8">
        <f t="shared" ref="F15:I15" si="9">MAXIFS($C$2:$C$37,$A$2:$A$37,$E15,$B$2:$B$37,F$11)</f>
        <v>650</v>
      </c>
      <c r="G15" s="8">
        <f t="shared" si="9"/>
        <v>670</v>
      </c>
      <c r="H15" s="8">
        <f t="shared" si="9"/>
        <v>480</v>
      </c>
      <c r="I15" s="8">
        <f t="shared" si="9"/>
        <v>200</v>
      </c>
      <c r="J15" s="8"/>
      <c r="K15" s="5"/>
      <c r="L15" s="1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16</v>
      </c>
      <c r="B16" s="3" t="s">
        <v>4</v>
      </c>
      <c r="C16" s="4">
        <v>700.0</v>
      </c>
      <c r="D16" s="5"/>
      <c r="E16" s="3" t="s">
        <v>16</v>
      </c>
      <c r="F16" s="8">
        <f t="shared" ref="F16:I16" si="10">MAXIFS($C$2:$C$37,$A$2:$A$37,$E16,$B$2:$B$37,F$11)</f>
        <v>750</v>
      </c>
      <c r="G16" s="8">
        <f t="shared" si="10"/>
        <v>800</v>
      </c>
      <c r="H16" s="8">
        <f t="shared" si="10"/>
        <v>1050</v>
      </c>
      <c r="I16" s="8">
        <f t="shared" si="10"/>
        <v>800</v>
      </c>
      <c r="J16" s="8"/>
      <c r="K16" s="5"/>
      <c r="L16" s="1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11</v>
      </c>
      <c r="B17" s="3" t="s">
        <v>4</v>
      </c>
      <c r="C17" s="4">
        <v>620.0</v>
      </c>
      <c r="D17" s="16"/>
      <c r="E17" s="3"/>
      <c r="F17" s="8"/>
      <c r="G17" s="8"/>
      <c r="H17" s="8"/>
      <c r="I17" s="25"/>
      <c r="J17" s="8"/>
      <c r="K17" s="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11</v>
      </c>
      <c r="B18" s="3" t="s">
        <v>17</v>
      </c>
      <c r="C18" s="4">
        <v>580.0</v>
      </c>
      <c r="D18" s="16"/>
      <c r="E18" s="26" t="s">
        <v>22</v>
      </c>
      <c r="F18" s="8"/>
      <c r="G18" s="8"/>
      <c r="H18" s="8"/>
      <c r="I18" s="25"/>
      <c r="J18" s="8"/>
      <c r="K18" s="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14</v>
      </c>
      <c r="B19" s="3" t="s">
        <v>17</v>
      </c>
      <c r="C19" s="4">
        <v>430.0</v>
      </c>
      <c r="D19" s="16"/>
      <c r="E19" s="3"/>
      <c r="F19" s="23" t="s">
        <v>4</v>
      </c>
      <c r="G19" s="23" t="s">
        <v>15</v>
      </c>
      <c r="H19" s="23" t="s">
        <v>17</v>
      </c>
      <c r="I19" s="24" t="s">
        <v>19</v>
      </c>
      <c r="J19" s="8"/>
      <c r="K19" s="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13</v>
      </c>
      <c r="B20" s="3" t="s">
        <v>17</v>
      </c>
      <c r="C20" s="4">
        <v>950.0</v>
      </c>
      <c r="D20" s="5"/>
      <c r="E20" s="3" t="s">
        <v>3</v>
      </c>
      <c r="F20" s="8">
        <f t="shared" ref="F20:I20" si="11">SUMIFS($C$2:$C$37,$A$2:$A$37,$E20,$B$2:$B$37,F$19)</f>
        <v>2520</v>
      </c>
      <c r="G20" s="8">
        <f t="shared" si="11"/>
        <v>1120</v>
      </c>
      <c r="H20" s="8">
        <f t="shared" si="11"/>
        <v>600</v>
      </c>
      <c r="I20" s="8">
        <f t="shared" si="11"/>
        <v>550</v>
      </c>
      <c r="J20" s="8"/>
      <c r="K20" s="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13</v>
      </c>
      <c r="B21" s="3" t="s">
        <v>15</v>
      </c>
      <c r="C21" s="4">
        <v>200.0</v>
      </c>
      <c r="D21" s="5"/>
      <c r="E21" s="3" t="s">
        <v>11</v>
      </c>
      <c r="F21" s="8">
        <f t="shared" ref="F21:I21" si="12">SUMIFS($C$2:$C$37,$A$2:$A$37,$E21,$B$2:$B$37,F$19)</f>
        <v>1520</v>
      </c>
      <c r="G21" s="8">
        <f t="shared" si="12"/>
        <v>570</v>
      </c>
      <c r="H21" s="8">
        <f t="shared" si="12"/>
        <v>1080</v>
      </c>
      <c r="I21" s="8">
        <f t="shared" si="12"/>
        <v>1440</v>
      </c>
      <c r="J21" s="8"/>
      <c r="K21" s="5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 t="s">
        <v>3</v>
      </c>
      <c r="B22" s="3" t="s">
        <v>15</v>
      </c>
      <c r="C22" s="4">
        <v>420.0</v>
      </c>
      <c r="D22" s="5"/>
      <c r="E22" s="3" t="s">
        <v>13</v>
      </c>
      <c r="F22" s="8">
        <f t="shared" ref="F22:I22" si="13">SUMIFS($C$2:$C$37,$A$2:$A$37,$E22,$B$2:$B$37,F$19)</f>
        <v>250</v>
      </c>
      <c r="G22" s="8">
        <f t="shared" si="13"/>
        <v>200</v>
      </c>
      <c r="H22" s="8">
        <f t="shared" si="13"/>
        <v>950</v>
      </c>
      <c r="I22" s="8">
        <f t="shared" si="13"/>
        <v>400</v>
      </c>
      <c r="J22" s="8"/>
      <c r="K22" s="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 t="s">
        <v>3</v>
      </c>
      <c r="B23" s="3" t="s">
        <v>4</v>
      </c>
      <c r="C23" s="4">
        <v>720.0</v>
      </c>
      <c r="D23" s="5"/>
      <c r="E23" s="3" t="s">
        <v>14</v>
      </c>
      <c r="F23" s="8">
        <f t="shared" ref="F23:I23" si="14">SUMIFS($C$2:$C$37,$A$2:$A$37,$E23,$B$2:$B$37,F$19)</f>
        <v>1040</v>
      </c>
      <c r="G23" s="8">
        <f t="shared" si="14"/>
        <v>1430</v>
      </c>
      <c r="H23" s="8">
        <f t="shared" si="14"/>
        <v>910</v>
      </c>
      <c r="I23" s="8">
        <f t="shared" si="14"/>
        <v>200</v>
      </c>
      <c r="J23" s="8"/>
      <c r="K23" s="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 t="s">
        <v>3</v>
      </c>
      <c r="B24" s="3" t="s">
        <v>19</v>
      </c>
      <c r="C24" s="4">
        <v>550.0</v>
      </c>
      <c r="D24" s="5"/>
      <c r="E24" s="3" t="s">
        <v>16</v>
      </c>
      <c r="F24" s="8">
        <f t="shared" ref="F24:I24" si="15">SUMIFS($C$2:$C$37,$A$2:$A$37,$E24,$B$2:$B$37,F$19)</f>
        <v>1670</v>
      </c>
      <c r="G24" s="8">
        <f t="shared" si="15"/>
        <v>1320</v>
      </c>
      <c r="H24" s="8">
        <f t="shared" si="15"/>
        <v>1580</v>
      </c>
      <c r="I24" s="8">
        <f t="shared" si="15"/>
        <v>800</v>
      </c>
      <c r="J24" s="5"/>
      <c r="K24" s="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 t="s">
        <v>11</v>
      </c>
      <c r="B25" s="3" t="s">
        <v>19</v>
      </c>
      <c r="C25" s="4">
        <v>590.0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 t="s">
        <v>11</v>
      </c>
      <c r="B26" s="3" t="s">
        <v>19</v>
      </c>
      <c r="C26" s="4">
        <v>460.0</v>
      </c>
      <c r="D26" s="2"/>
      <c r="E26" s="27" t="s">
        <v>23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 t="s">
        <v>16</v>
      </c>
      <c r="B27" s="3" t="s">
        <v>17</v>
      </c>
      <c r="C27" s="4">
        <v>1050.0</v>
      </c>
      <c r="D27" s="2"/>
      <c r="E27" s="2"/>
      <c r="F27" s="23" t="s">
        <v>4</v>
      </c>
      <c r="G27" s="23" t="s">
        <v>15</v>
      </c>
      <c r="H27" s="23" t="s">
        <v>17</v>
      </c>
      <c r="I27" s="24" t="s">
        <v>19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 t="s">
        <v>14</v>
      </c>
      <c r="B28" s="3" t="s">
        <v>15</v>
      </c>
      <c r="C28" s="4">
        <v>310.0</v>
      </c>
      <c r="D28" s="2"/>
      <c r="E28" s="3" t="s">
        <v>3</v>
      </c>
      <c r="F28" s="25">
        <f t="shared" ref="F28:I28" si="16">AVERAGEIFS($C$2:$C$37,$A$2:$A$37,$E28,$B$2:$B$37,F$27)</f>
        <v>840</v>
      </c>
      <c r="G28" s="25">
        <f t="shared" si="16"/>
        <v>560</v>
      </c>
      <c r="H28" s="25">
        <f t="shared" si="16"/>
        <v>600</v>
      </c>
      <c r="I28" s="25">
        <f t="shared" si="16"/>
        <v>550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 t="s">
        <v>14</v>
      </c>
      <c r="B29" s="3" t="s">
        <v>15</v>
      </c>
      <c r="C29" s="4">
        <v>670.0</v>
      </c>
      <c r="D29" s="2"/>
      <c r="E29" s="3" t="s">
        <v>11</v>
      </c>
      <c r="F29" s="25">
        <f t="shared" ref="F29:I29" si="17">AVERAGEIFS($C$2:$C$37,$A$2:$A$37,$E29,$B$2:$B$37,F$27)</f>
        <v>760</v>
      </c>
      <c r="G29" s="25">
        <f t="shared" si="17"/>
        <v>570</v>
      </c>
      <c r="H29" s="25">
        <f t="shared" si="17"/>
        <v>540</v>
      </c>
      <c r="I29" s="25">
        <f t="shared" si="17"/>
        <v>480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 t="s">
        <v>16</v>
      </c>
      <c r="B30" s="3" t="s">
        <v>4</v>
      </c>
      <c r="C30" s="4">
        <v>220.0</v>
      </c>
      <c r="D30" s="2"/>
      <c r="E30" s="3" t="s">
        <v>13</v>
      </c>
      <c r="F30" s="25">
        <f t="shared" ref="F30:I30" si="18">AVERAGEIFS($C$2:$C$37,$A$2:$A$37,$E30,$B$2:$B$37,F$27)</f>
        <v>250</v>
      </c>
      <c r="G30" s="25">
        <f t="shared" si="18"/>
        <v>200</v>
      </c>
      <c r="H30" s="25">
        <f t="shared" si="18"/>
        <v>950</v>
      </c>
      <c r="I30" s="25">
        <f t="shared" si="18"/>
        <v>400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 t="s">
        <v>16</v>
      </c>
      <c r="B31" s="3" t="s">
        <v>4</v>
      </c>
      <c r="C31" s="4">
        <v>750.0</v>
      </c>
      <c r="D31" s="2"/>
      <c r="E31" s="3" t="s">
        <v>14</v>
      </c>
      <c r="F31" s="25">
        <f t="shared" ref="F31:I31" si="19">AVERAGEIFS($C$2:$C$37,$A$2:$A$37,$E31,$B$2:$B$37,F$27)</f>
        <v>520</v>
      </c>
      <c r="G31" s="25">
        <f t="shared" si="19"/>
        <v>476.6666667</v>
      </c>
      <c r="H31" s="25">
        <f t="shared" si="19"/>
        <v>455</v>
      </c>
      <c r="I31" s="25">
        <f t="shared" si="19"/>
        <v>200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 t="s">
        <v>11</v>
      </c>
      <c r="B32" s="3" t="s">
        <v>19</v>
      </c>
      <c r="C32" s="4">
        <v>390.0</v>
      </c>
      <c r="D32" s="2"/>
      <c r="E32" s="3" t="s">
        <v>16</v>
      </c>
      <c r="F32" s="25">
        <f t="shared" ref="F32:I32" si="20">AVERAGEIFS($C$2:$C$37,$A$2:$A$37,$E32,$B$2:$B$37,F$27)</f>
        <v>556.6666667</v>
      </c>
      <c r="G32" s="25">
        <f t="shared" si="20"/>
        <v>660</v>
      </c>
      <c r="H32" s="25">
        <f t="shared" si="20"/>
        <v>526.6666667</v>
      </c>
      <c r="I32" s="25">
        <f t="shared" si="20"/>
        <v>800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 t="s">
        <v>11</v>
      </c>
      <c r="B33" s="3" t="s">
        <v>15</v>
      </c>
      <c r="C33" s="4">
        <v>570.0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 t="s">
        <v>3</v>
      </c>
      <c r="B34" s="3" t="s">
        <v>17</v>
      </c>
      <c r="C34" s="18">
        <v>600.0</v>
      </c>
      <c r="D34" s="2"/>
      <c r="E34" s="27" t="s">
        <v>24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 t="s">
        <v>13</v>
      </c>
      <c r="B35" s="3" t="s">
        <v>19</v>
      </c>
      <c r="C35" s="18">
        <v>400.0</v>
      </c>
      <c r="D35" s="2"/>
      <c r="E35" s="2"/>
      <c r="F35" s="23" t="s">
        <v>4</v>
      </c>
      <c r="G35" s="23" t="s">
        <v>15</v>
      </c>
      <c r="H35" s="23" t="s">
        <v>17</v>
      </c>
      <c r="I35" s="24" t="s">
        <v>19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 t="s">
        <v>14</v>
      </c>
      <c r="B36" s="3" t="s">
        <v>19</v>
      </c>
      <c r="C36" s="18">
        <v>200.0</v>
      </c>
      <c r="D36" s="2"/>
      <c r="E36" s="3" t="s">
        <v>3</v>
      </c>
      <c r="F36" s="25">
        <f t="shared" ref="F36:I36" si="21">COUNTIFS($A$2:$A$37,$E36,$B$2:$B$37,F$35)</f>
        <v>3</v>
      </c>
      <c r="G36" s="25">
        <f t="shared" si="21"/>
        <v>2</v>
      </c>
      <c r="H36" s="25">
        <f t="shared" si="21"/>
        <v>1</v>
      </c>
      <c r="I36" s="25">
        <f t="shared" si="21"/>
        <v>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 t="s">
        <v>16</v>
      </c>
      <c r="B37" s="3" t="s">
        <v>19</v>
      </c>
      <c r="C37" s="18">
        <v>800.0</v>
      </c>
      <c r="D37" s="2"/>
      <c r="E37" s="3" t="s">
        <v>11</v>
      </c>
      <c r="F37" s="25">
        <f t="shared" ref="F37:I37" si="22">COUNTIFS($A$2:$A$37,$E37,$B$2:$B$37,F$35)</f>
        <v>2</v>
      </c>
      <c r="G37" s="25">
        <f t="shared" si="22"/>
        <v>1</v>
      </c>
      <c r="H37" s="25">
        <f t="shared" si="22"/>
        <v>2</v>
      </c>
      <c r="I37" s="25">
        <f t="shared" si="22"/>
        <v>3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19"/>
      <c r="D38" s="2"/>
      <c r="E38" s="3" t="s">
        <v>13</v>
      </c>
      <c r="F38" s="25">
        <f t="shared" ref="F38:I38" si="23">COUNTIFS($A$2:$A$37,$E38,$B$2:$B$37,F$35)</f>
        <v>1</v>
      </c>
      <c r="G38" s="25">
        <f t="shared" si="23"/>
        <v>1</v>
      </c>
      <c r="H38" s="25">
        <f t="shared" si="23"/>
        <v>1</v>
      </c>
      <c r="I38" s="25">
        <f t="shared" si="23"/>
        <v>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19"/>
      <c r="D39" s="2"/>
      <c r="E39" s="3" t="s">
        <v>14</v>
      </c>
      <c r="F39" s="25">
        <f t="shared" ref="F39:I39" si="24">COUNTIFS($A$2:$A$37,$E39,$B$2:$B$37,F$35)</f>
        <v>2</v>
      </c>
      <c r="G39" s="25">
        <f t="shared" si="24"/>
        <v>3</v>
      </c>
      <c r="H39" s="25">
        <f t="shared" si="24"/>
        <v>2</v>
      </c>
      <c r="I39" s="25">
        <f t="shared" si="24"/>
        <v>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19"/>
      <c r="D40" s="2"/>
      <c r="E40" s="3" t="s">
        <v>16</v>
      </c>
      <c r="F40" s="25">
        <f t="shared" ref="F40:I40" si="25">COUNTIFS($A$2:$A$37,$E40,$B$2:$B$37,F$35)</f>
        <v>3</v>
      </c>
      <c r="G40" s="25">
        <f t="shared" si="25"/>
        <v>2</v>
      </c>
      <c r="H40" s="25">
        <f t="shared" si="25"/>
        <v>3</v>
      </c>
      <c r="I40" s="25">
        <f t="shared" si="25"/>
        <v>1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1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19"/>
      <c r="D42" s="2"/>
      <c r="E42" s="27" t="s">
        <v>10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19"/>
      <c r="D43" s="2"/>
      <c r="E43" s="2"/>
      <c r="F43" s="23" t="s">
        <v>4</v>
      </c>
      <c r="G43" s="23" t="s">
        <v>15</v>
      </c>
      <c r="H43" s="23" t="s">
        <v>17</v>
      </c>
      <c r="I43" s="24" t="s">
        <v>19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19"/>
      <c r="D44" s="2"/>
      <c r="E44" s="3" t="s">
        <v>3</v>
      </c>
      <c r="F44" s="2">
        <f t="shared" ref="F44:I44" si="26">F20-F28*F36</f>
        <v>0</v>
      </c>
      <c r="G44" s="2">
        <f t="shared" si="26"/>
        <v>0</v>
      </c>
      <c r="H44" s="2">
        <f t="shared" si="26"/>
        <v>0</v>
      </c>
      <c r="I44" s="2">
        <f t="shared" si="26"/>
        <v>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19"/>
      <c r="D45" s="2"/>
      <c r="E45" s="3" t="s">
        <v>11</v>
      </c>
      <c r="F45" s="2">
        <f t="shared" ref="F45:I45" si="27">F21-F29*F37</f>
        <v>0</v>
      </c>
      <c r="G45" s="2">
        <f t="shared" si="27"/>
        <v>0</v>
      </c>
      <c r="H45" s="2">
        <f t="shared" si="27"/>
        <v>0</v>
      </c>
      <c r="I45" s="2">
        <f t="shared" si="27"/>
        <v>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19"/>
      <c r="D46" s="2"/>
      <c r="E46" s="3" t="s">
        <v>13</v>
      </c>
      <c r="F46" s="2">
        <f t="shared" ref="F46:I46" si="28">F22-F30*F38</f>
        <v>0</v>
      </c>
      <c r="G46" s="2">
        <f t="shared" si="28"/>
        <v>0</v>
      </c>
      <c r="H46" s="2">
        <f t="shared" si="28"/>
        <v>0</v>
      </c>
      <c r="I46" s="2">
        <f t="shared" si="28"/>
        <v>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19"/>
      <c r="D47" s="2"/>
      <c r="E47" s="3" t="s">
        <v>14</v>
      </c>
      <c r="F47" s="2">
        <f t="shared" ref="F47:I47" si="29">F23-F31*F39</f>
        <v>0</v>
      </c>
      <c r="G47" s="2">
        <f t="shared" si="29"/>
        <v>0</v>
      </c>
      <c r="H47" s="2">
        <f t="shared" si="29"/>
        <v>0</v>
      </c>
      <c r="I47" s="2">
        <f t="shared" si="29"/>
        <v>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19"/>
      <c r="D48" s="2"/>
      <c r="E48" s="3" t="s">
        <v>16</v>
      </c>
      <c r="F48" s="2">
        <f t="shared" ref="F48:I48" si="30">F24-F32*F40</f>
        <v>0</v>
      </c>
      <c r="G48" s="2">
        <f t="shared" si="30"/>
        <v>0</v>
      </c>
      <c r="H48" s="2">
        <f t="shared" si="30"/>
        <v>0</v>
      </c>
      <c r="I48" s="2">
        <f t="shared" si="30"/>
        <v>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1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1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1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1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1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1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1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1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1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1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1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1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1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1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1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1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1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1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1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1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1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1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1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1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1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1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1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1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1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1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1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1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1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1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1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1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1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1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1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1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1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1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1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1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1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1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1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1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1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1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1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1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1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1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1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1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1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1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1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1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1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1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1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1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1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1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1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1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1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1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1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1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1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1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1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1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19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19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19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19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19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19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19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19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19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19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19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19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19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19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19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19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19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19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19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19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19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19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19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19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19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19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19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19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19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19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19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19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19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19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19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19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19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19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19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19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19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19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19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19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19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19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19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19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19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19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19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19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19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19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19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19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19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19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19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19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19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19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19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19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19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19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19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19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19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19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19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19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19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19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19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19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19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19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19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19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19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19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19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19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19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19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19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19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19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19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19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19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19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19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19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19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19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19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19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19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19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19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19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19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19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19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19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19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19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19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19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19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19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19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19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19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19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19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19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19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19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19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19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19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19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19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19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19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19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19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19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19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19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19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19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19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19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19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19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19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19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19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19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19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19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19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19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19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19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19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19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19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19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19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19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19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19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19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19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19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19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19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19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19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19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19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19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19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19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19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19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19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19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19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19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19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19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19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19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19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19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19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19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19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19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19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19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19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19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19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19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19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19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19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19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19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19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19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19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19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19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19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19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19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19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19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19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19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19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19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19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19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19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19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19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19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19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19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19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19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19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19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19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19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19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19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19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19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19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19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19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19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19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19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19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19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19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19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19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19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19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19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19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19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19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19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19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19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19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19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19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19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19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19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19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19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19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19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19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19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19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19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19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19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19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19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19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19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19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19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19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19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19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19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19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19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19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19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19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19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19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19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19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19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19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19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19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19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19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19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19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19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19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19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19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19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19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19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19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19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19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19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19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19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19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19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19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19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19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19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19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19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19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19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19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19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19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19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19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19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19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19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19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19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19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19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19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19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19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19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19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19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19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19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19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19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19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19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19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19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19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19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19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19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19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19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19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19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19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19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19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19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19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19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19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19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19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19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19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19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19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19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19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19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19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19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19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19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19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19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19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19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19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19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19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19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19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19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19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19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19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19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19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19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19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19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19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19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19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19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19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19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19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19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19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19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19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19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19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19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19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19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19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19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19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19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19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19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19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19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19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19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19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19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19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19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19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19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19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19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19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19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19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19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19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19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19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19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19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19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19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19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19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19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19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19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19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19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19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19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19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19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19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19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19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19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19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19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19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19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19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19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19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19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19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19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19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19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19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19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19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19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19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19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19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19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19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19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19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19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19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19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19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19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19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19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19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19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19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19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19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19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19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19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19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19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19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19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19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19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19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19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19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19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19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19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19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19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19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19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19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19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19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19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19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19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19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19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19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19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19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19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19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19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19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19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19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19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19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19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19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19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19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19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19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19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19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19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19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19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19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19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19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19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19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19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19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19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19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19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19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19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19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19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19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19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19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19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19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19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19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19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19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19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19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19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19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19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19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19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19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19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19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19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19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19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19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19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19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19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19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19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19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19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19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19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19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19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19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19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19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19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19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19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19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19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19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19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19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19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19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19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19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19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19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19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19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19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19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19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19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19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19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19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19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19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19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19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19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19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19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19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19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19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19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19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19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19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19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19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19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19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19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19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19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19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19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19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19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19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19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19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19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19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19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19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19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19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19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19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19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19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19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19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19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19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19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19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19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19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19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19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19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19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19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19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19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19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19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19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19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19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19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19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19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19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19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19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19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19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19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19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19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19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19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19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19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19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19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19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19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19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19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19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19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19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19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19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19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19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19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19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19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19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19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19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19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19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19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19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19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19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19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19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19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19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19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19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19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19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19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19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19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19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19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19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19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19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19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19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19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19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19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19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19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19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19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19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19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19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19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19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19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19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19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19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19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19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19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19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19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19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19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19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19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19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19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19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19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19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19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19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19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19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19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19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19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19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19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19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19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19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19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19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19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19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19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19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19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19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19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19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19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19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19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19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19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19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19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19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19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19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19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19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19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19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19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19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19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19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19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19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19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19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19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19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19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19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19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19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19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19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19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19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19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19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19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19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19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19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19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19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19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19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19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19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19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19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19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19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19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19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19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19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19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19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19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19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19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19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19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19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19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19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19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19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19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19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19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19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19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19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19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19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19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19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19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19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19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19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19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19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19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19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19"/>
      <c r="D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19"/>
      <c r="D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19"/>
      <c r="D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19"/>
      <c r="D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19"/>
      <c r="D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19"/>
      <c r="D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19"/>
      <c r="D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19"/>
      <c r="D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19"/>
      <c r="D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19"/>
      <c r="D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19"/>
      <c r="D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19"/>
      <c r="D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19"/>
      <c r="D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19"/>
      <c r="D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19"/>
      <c r="D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19"/>
      <c r="D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19"/>
      <c r="D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C996" s="20"/>
      <c r="D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C997" s="20"/>
      <c r="D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C998" s="20"/>
      <c r="D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C999" s="20"/>
      <c r="D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C1000" s="20"/>
      <c r="D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C1001" s="20"/>
      <c r="D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C1002" s="20"/>
      <c r="D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C1003" s="20"/>
      <c r="D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C1004" s="20"/>
      <c r="D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C1005" s="20"/>
      <c r="D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C1006" s="20"/>
      <c r="D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C1007" s="20"/>
      <c r="D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drawing r:id="rId1"/>
</worksheet>
</file>