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ker" sheetId="1" r:id="rId4"/>
    <sheet state="visible" name="Trackerok" sheetId="2" r:id="rId5"/>
    <sheet state="visible" name="World" sheetId="3" r:id="rId6"/>
    <sheet state="visible" name="Countries" sheetId="4" r:id="rId7"/>
    <sheet state="visible" name="Continents" sheetId="5" r:id="rId8"/>
    <sheet state="visible" name="About" sheetId="6" r:id="rId9"/>
    <sheet state="hidden" name="App Metadata" sheetId="7" r:id="rId10"/>
    <sheet state="visible" name="App Logins" sheetId="8" r:id="rId11"/>
  </sheets>
  <definedNames/>
  <calcPr/>
</workbook>
</file>

<file path=xl/sharedStrings.xml><?xml version="1.0" encoding="utf-8"?>
<sst xmlns="http://schemas.openxmlformats.org/spreadsheetml/2006/main" count="51" uniqueCount="50">
  <si>
    <t>Countries</t>
  </si>
  <si>
    <t>Goal</t>
  </si>
  <si>
    <t>Take Care</t>
  </si>
  <si>
    <t>design</t>
  </si>
  <si>
    <t>Stay Home,Stay Safe</t>
  </si>
  <si>
    <t>It is important that we do not think of these as just tiny boxes, numbers, or just another part of statistics - among these are our neighbors, our teachers, our healthcare workers, our supermarket vendors, our friends, our co-workers, our children or our grandparents.
Among these are our people.</t>
  </si>
  <si>
    <r>
      <t xml:space="preserve">developed by </t>
    </r>
    <r>
      <rPr>
        <color rgb="FF1155CC"/>
        <u/>
      </rPr>
      <t>gauravwadhwa</t>
    </r>
    <r>
      <t xml:space="preserve"> with ❤️</t>
    </r>
  </si>
  <si>
    <t>Last Automatic Refresh Initiated</t>
  </si>
  <si>
    <t>Last Manual Refresh Requested</t>
  </si>
  <si>
    <t>Time</t>
  </si>
  <si>
    <t>Email</t>
  </si>
  <si>
    <t>2020-05-27T07:27:38.957Z</t>
  </si>
  <si>
    <t>babyistruloveofficial@gmail.com</t>
  </si>
  <si>
    <t>2020-05-27T07:29:29.984Z</t>
  </si>
  <si>
    <t>harshilaneja@gmail.com</t>
  </si>
  <si>
    <t>2020-05-27T07:32:11.573Z</t>
  </si>
  <si>
    <t>shubhamroy7999@gmail.com</t>
  </si>
  <si>
    <t>2020-05-27T08:44:41.873Z</t>
  </si>
  <si>
    <t>sureshwadhwa973@gmail.com</t>
  </si>
  <si>
    <t>2020-05-27T09:24:18.901Z</t>
  </si>
  <si>
    <t>sarojw79@gmail.com</t>
  </si>
  <si>
    <t>2020-05-27T09:51:29.452Z</t>
  </si>
  <si>
    <t>iamvasukataria@gmail.com</t>
  </si>
  <si>
    <t>2020-05-27T10:17:14.953Z</t>
  </si>
  <si>
    <t>sharvi.laddha07@gmail.com</t>
  </si>
  <si>
    <t>2020-05-27T10:24:09.410Z</t>
  </si>
  <si>
    <t>navibhullar4444@gmail.com</t>
  </si>
  <si>
    <t>2020-05-27T12:11:33.421Z</t>
  </si>
  <si>
    <t>harshamehra028@gmail.com</t>
  </si>
  <si>
    <t>2020-05-27T13:37:05.741Z</t>
  </si>
  <si>
    <t>bimasalahjaipur@gmail.com</t>
  </si>
  <si>
    <t>2020-05-27T17:04:13.551Z</t>
  </si>
  <si>
    <t>jayantw12@gmail.com</t>
  </si>
  <si>
    <t>2020-05-27T18:44:25.136Z</t>
  </si>
  <si>
    <t>aadinath08@gmail.com</t>
  </si>
  <si>
    <t>2020-05-28T13:27:00.061Z</t>
  </si>
  <si>
    <t>saksham7441@gmail.com</t>
  </si>
  <si>
    <t>2020-05-28T13:27:21.311Z</t>
  </si>
  <si>
    <t>manishbaswal14@gmail.com</t>
  </si>
  <si>
    <t>2020-05-28T13:37:41.818Z</t>
  </si>
  <si>
    <t>ahuja.raja4@gmail.com</t>
  </si>
  <si>
    <t>2020-05-28T13:46:02.314Z</t>
  </si>
  <si>
    <t>mailtokajalbhardwaj@gmail.com</t>
  </si>
  <si>
    <t>2020-05-28T13:48:40.134Z</t>
  </si>
  <si>
    <t>2020-05-28T14:06:35.235Z</t>
  </si>
  <si>
    <t>1999kamalsaini@gmail.com</t>
  </si>
  <si>
    <t>2020-05-28T14:40:44.830Z</t>
  </si>
  <si>
    <t>saprahimanshi@gmail.com</t>
  </si>
  <si>
    <t>2020-05-28T16:52:02.989Z</t>
  </si>
  <si>
    <t>katariatanish5727@gmail.com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</si>
</sst>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-mm-ddThh:mm:ss.000Z"/>
  </numFmts>
  <fonts count="5">
    <font>
      <sz val="10.0"/>
      <color rgb="FF000000"/>
      <name val="Arial"/>
    </font>
    <font>
      <color theme="1"/>
      <name val="Arial"/>
    </font>
    <font>
      <sz val="11.0"/>
      <color rgb="FFF7981D"/>
      <name val="Inconsolata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auravwadhwa.ga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4.86"/>
  </cols>
  <sheetData>
    <row r="1">
      <c r="A1" s="1" t="str">
        <f>IFERROR(__xludf.DUMMYFUNCTION("IMPORTDATA(""https://api.covid19india.org/csv/latest/state_wise.csv"")"),"State")</f>
        <v>State</v>
      </c>
      <c r="B1" s="1" t="str">
        <f>IFERROR(__xludf.DUMMYFUNCTION("""COMPUTED_VALUE"""),"Confirmed")</f>
        <v>Confirmed</v>
      </c>
      <c r="C1" s="1" t="str">
        <f>IFERROR(__xludf.DUMMYFUNCTION("""COMPUTED_VALUE"""),"Recovered")</f>
        <v>Recovered</v>
      </c>
      <c r="D1" s="1" t="str">
        <f>IFERROR(__xludf.DUMMYFUNCTION("""COMPUTED_VALUE"""),"Deaths")</f>
        <v>Deaths</v>
      </c>
      <c r="E1" s="1" t="str">
        <f>IFERROR(__xludf.DUMMYFUNCTION("""COMPUTED_VALUE"""),"Active")</f>
        <v>Active</v>
      </c>
      <c r="F1" s="1" t="str">
        <f>IFERROR(__xludf.DUMMYFUNCTION("""COMPUTED_VALUE"""),"Last_Updated_Time")</f>
        <v>Last_Updated_Time</v>
      </c>
      <c r="G1" s="1" t="str">
        <f>IFERROR(__xludf.DUMMYFUNCTION("""COMPUTED_VALUE"""),"State_code")</f>
        <v>State_code</v>
      </c>
      <c r="H1" s="1" t="str">
        <f>IFERROR(__xludf.DUMMYFUNCTION("""COMPUTED_VALUE"""),"Delta_Confirmed")</f>
        <v>Delta_Confirmed</v>
      </c>
      <c r="I1" s="1" t="str">
        <f>IFERROR(__xludf.DUMMYFUNCTION("""COMPUTED_VALUE"""),"Delta_Recovered")</f>
        <v>Delta_Recovered</v>
      </c>
      <c r="J1" s="1" t="str">
        <f>IFERROR(__xludf.DUMMYFUNCTION("""COMPUTED_VALUE"""),"Delta_Deaths")</f>
        <v>Delta_Deaths</v>
      </c>
      <c r="K1" s="1" t="str">
        <f>IFERROR(__xludf.DUMMYFUNCTION("""COMPUTED_VALUE"""),"State_Notes")</f>
        <v>State_Notes</v>
      </c>
    </row>
    <row r="2">
      <c r="A2" s="1" t="str">
        <f>IFERROR(__xludf.DUMMYFUNCTION("""COMPUTED_VALUE"""),"Total")</f>
        <v>Total</v>
      </c>
      <c r="B2" s="1">
        <f>IFERROR(__xludf.DUMMYFUNCTION("""COMPUTED_VALUE"""),165387.0)</f>
        <v>165387</v>
      </c>
      <c r="C2" s="1">
        <f>IFERROR(__xludf.DUMMYFUNCTION("""COMPUTED_VALUE"""),70920.0)</f>
        <v>70920</v>
      </c>
      <c r="D2" s="1">
        <f>IFERROR(__xludf.DUMMYFUNCTION("""COMPUTED_VALUE"""),4711.0)</f>
        <v>4711</v>
      </c>
      <c r="E2" s="1">
        <f>IFERROR(__xludf.DUMMYFUNCTION("""COMPUTED_VALUE"""),89745.0)</f>
        <v>89745</v>
      </c>
      <c r="F2" s="1" t="str">
        <f>IFERROR(__xludf.DUMMYFUNCTION("""COMPUTED_VALUE"""),"29/05/2020 06:13:03")</f>
        <v>29/05/2020 06:13:03</v>
      </c>
      <c r="G2" s="1" t="str">
        <f>IFERROR(__xludf.DUMMYFUNCTION("""COMPUTED_VALUE"""),"TT")</f>
        <v>TT</v>
      </c>
      <c r="H2" s="1">
        <f>IFERROR(__xludf.DUMMYFUNCTION("""COMPUTED_VALUE"""),0.0)</f>
        <v>0</v>
      </c>
      <c r="I2" s="1">
        <f>IFERROR(__xludf.DUMMYFUNCTION("""COMPUTED_VALUE"""),0.0)</f>
        <v>0</v>
      </c>
      <c r="J2" s="1">
        <f>IFERROR(__xludf.DUMMYFUNCTION("""COMPUTED_VALUE"""),0.0)</f>
        <v>0</v>
      </c>
      <c r="K2" s="1" t="str">
        <f>IFERROR(__xludf.DUMMYFUNCTION("""COMPUTED_VALUE"""),"")</f>
        <v/>
      </c>
    </row>
    <row r="3">
      <c r="A3" s="1" t="str">
        <f>IFERROR(__xludf.DUMMYFUNCTION("""COMPUTED_VALUE"""),"Maharashtra")</f>
        <v>Maharashtra</v>
      </c>
      <c r="B3" s="1">
        <f>IFERROR(__xludf.DUMMYFUNCTION("""COMPUTED_VALUE"""),59546.0)</f>
        <v>59546</v>
      </c>
      <c r="C3" s="1">
        <f>IFERROR(__xludf.DUMMYFUNCTION("""COMPUTED_VALUE"""),18616.0)</f>
        <v>18616</v>
      </c>
      <c r="D3" s="1">
        <f>IFERROR(__xludf.DUMMYFUNCTION("""COMPUTED_VALUE"""),1982.0)</f>
        <v>1982</v>
      </c>
      <c r="E3" s="1">
        <f>IFERROR(__xludf.DUMMYFUNCTION("""COMPUTED_VALUE"""),38948.0)</f>
        <v>38948</v>
      </c>
      <c r="F3" s="1" t="str">
        <f>IFERROR(__xludf.DUMMYFUNCTION("""COMPUTED_VALUE"""),"28/05/2020 20:24:07")</f>
        <v>28/05/2020 20:24:07</v>
      </c>
      <c r="G3" s="1" t="str">
        <f>IFERROR(__xludf.DUMMYFUNCTION("""COMPUTED_VALUE"""),"MH")</f>
        <v>MH</v>
      </c>
      <c r="H3" s="1">
        <f>IFERROR(__xludf.DUMMYFUNCTION("""COMPUTED_VALUE"""),0.0)</f>
        <v>0</v>
      </c>
      <c r="I3" s="1">
        <f>IFERROR(__xludf.DUMMYFUNCTION("""COMPUTED_VALUE"""),0.0)</f>
        <v>0</v>
      </c>
      <c r="J3" s="1">
        <f>IFERROR(__xludf.DUMMYFUNCTION("""COMPUTED_VALUE"""),0.0)</f>
        <v>0</v>
      </c>
      <c r="K3" s="1" t="str">
        <f>IFERROR(__xludf.DUMMYFUNCTION("""COMPUTED_VALUE"""),"")</f>
        <v/>
      </c>
    </row>
    <row r="4">
      <c r="A4" s="1" t="str">
        <f>IFERROR(__xludf.DUMMYFUNCTION("""COMPUTED_VALUE"""),"Tamil Nadu")</f>
        <v>Tamil Nadu</v>
      </c>
      <c r="B4" s="1">
        <f>IFERROR(__xludf.DUMMYFUNCTION("""COMPUTED_VALUE"""),19372.0)</f>
        <v>19372</v>
      </c>
      <c r="C4" s="1">
        <f>IFERROR(__xludf.DUMMYFUNCTION("""COMPUTED_VALUE"""),10548.0)</f>
        <v>10548</v>
      </c>
      <c r="D4" s="1">
        <f>IFERROR(__xludf.DUMMYFUNCTION("""COMPUTED_VALUE"""),148.0)</f>
        <v>148</v>
      </c>
      <c r="E4" s="1">
        <f>IFERROR(__xludf.DUMMYFUNCTION("""COMPUTED_VALUE"""),8676.0)</f>
        <v>8676</v>
      </c>
      <c r="F4" s="1" t="str">
        <f>IFERROR(__xludf.DUMMYFUNCTION("""COMPUTED_VALUE"""),"28/05/2020 19:24:13")</f>
        <v>28/05/2020 19:24:13</v>
      </c>
      <c r="G4" s="1" t="str">
        <f>IFERROR(__xludf.DUMMYFUNCTION("""COMPUTED_VALUE"""),"TN")</f>
        <v>TN</v>
      </c>
      <c r="H4" s="1">
        <f>IFERROR(__xludf.DUMMYFUNCTION("""COMPUTED_VALUE"""),0.0)</f>
        <v>0</v>
      </c>
      <c r="I4" s="1">
        <f>IFERROR(__xludf.DUMMYFUNCTION("""COMPUTED_VALUE"""),0.0)</f>
        <v>0</v>
      </c>
      <c r="J4" s="1">
        <f>IFERROR(__xludf.DUMMYFUNCTION("""COMPUTED_VALUE"""),0.0)</f>
        <v>0</v>
      </c>
      <c r="K4" s="1" t="str">
        <f>IFERROR(__xludf.DUMMYFUNCTION("""COMPUTED_VALUE"""),"2 deaths cross notified to other states from Chennai and Coimbatore. 1 patient died after turning negative for infection in Chengalpattu")</f>
        <v>2 deaths cross notified to other states from Chennai and Coimbatore. 1 patient died after turning negative for infection in Chengalpattu</v>
      </c>
    </row>
    <row r="5">
      <c r="A5" s="1" t="str">
        <f>IFERROR(__xludf.DUMMYFUNCTION("""COMPUTED_VALUE"""),"Delhi")</f>
        <v>Delhi</v>
      </c>
      <c r="B5" s="1">
        <f>IFERROR(__xludf.DUMMYFUNCTION("""COMPUTED_VALUE"""),16281.0)</f>
        <v>16281</v>
      </c>
      <c r="C5" s="1">
        <f>IFERROR(__xludf.DUMMYFUNCTION("""COMPUTED_VALUE"""),7495.0)</f>
        <v>7495</v>
      </c>
      <c r="D5" s="1">
        <f>IFERROR(__xludf.DUMMYFUNCTION("""COMPUTED_VALUE"""),316.0)</f>
        <v>316</v>
      </c>
      <c r="E5" s="1">
        <f>IFERROR(__xludf.DUMMYFUNCTION("""COMPUTED_VALUE"""),8470.0)</f>
        <v>8470</v>
      </c>
      <c r="F5" s="1" t="str">
        <f>IFERROR(__xludf.DUMMYFUNCTION("""COMPUTED_VALUE"""),"28/05/2020 21:12:06")</f>
        <v>28/05/2020 21:12:06</v>
      </c>
      <c r="G5" s="1" t="str">
        <f>IFERROR(__xludf.DUMMYFUNCTION("""COMPUTED_VALUE"""),"DL")</f>
        <v>DL</v>
      </c>
      <c r="H5" s="1">
        <f>IFERROR(__xludf.DUMMYFUNCTION("""COMPUTED_VALUE"""),0.0)</f>
        <v>0</v>
      </c>
      <c r="I5" s="1">
        <f>IFERROR(__xludf.DUMMYFUNCTION("""COMPUTED_VALUE"""),0.0)</f>
        <v>0</v>
      </c>
      <c r="J5" s="1">
        <f>IFERROR(__xludf.DUMMYFUNCTION("""COMPUTED_VALUE"""),0.0)</f>
        <v>0</v>
      </c>
      <c r="K5" s="1" t="str">
        <f>IFERROR(__xludf.DUMMYFUNCTION("""COMPUTED_VALUE"""),"[10-May]&lt;br&gt;
Delhi bulletins in the morning, containing data of the previous day. We will add that data to the date on which the report is released, rather than the previous day.")</f>
        <v>[10-May]&lt;br&gt;
Delhi bulletins in the morning, containing data of the previous day. We will add that data to the date on which the report is released, rather than the previous day.</v>
      </c>
    </row>
    <row r="6">
      <c r="A6" s="1" t="str">
        <f>IFERROR(__xludf.DUMMYFUNCTION("""COMPUTED_VALUE"""),"Gujarat")</f>
        <v>Gujarat</v>
      </c>
      <c r="B6" s="1">
        <f>IFERROR(__xludf.DUMMYFUNCTION("""COMPUTED_VALUE"""),15572.0)</f>
        <v>15572</v>
      </c>
      <c r="C6" s="1">
        <f>IFERROR(__xludf.DUMMYFUNCTION("""COMPUTED_VALUE"""),8003.0)</f>
        <v>8003</v>
      </c>
      <c r="D6" s="1">
        <f>IFERROR(__xludf.DUMMYFUNCTION("""COMPUTED_VALUE"""),960.0)</f>
        <v>960</v>
      </c>
      <c r="E6" s="1">
        <f>IFERROR(__xludf.DUMMYFUNCTION("""COMPUTED_VALUE"""),6609.0)</f>
        <v>6609</v>
      </c>
      <c r="F6" s="1" t="str">
        <f>IFERROR(__xludf.DUMMYFUNCTION("""COMPUTED_VALUE"""),"28/05/2020 21:46:05")</f>
        <v>28/05/2020 21:46:05</v>
      </c>
      <c r="G6" s="1" t="str">
        <f>IFERROR(__xludf.DUMMYFUNCTION("""COMPUTED_VALUE"""),"GJ")</f>
        <v>GJ</v>
      </c>
      <c r="H6" s="1">
        <f>IFERROR(__xludf.DUMMYFUNCTION("""COMPUTED_VALUE"""),0.0)</f>
        <v>0</v>
      </c>
      <c r="I6" s="1">
        <f>IFERROR(__xludf.DUMMYFUNCTION("""COMPUTED_VALUE"""),0.0)</f>
        <v>0</v>
      </c>
      <c r="J6" s="1">
        <f>IFERROR(__xludf.DUMMYFUNCTION("""COMPUTED_VALUE"""),0.0)</f>
        <v>0</v>
      </c>
      <c r="K6" s="1" t="str">
        <f>IFERROR(__xludf.DUMMYFUNCTION("""COMPUTED_VALUE"""),"")</f>
        <v/>
      </c>
    </row>
    <row r="7">
      <c r="A7" s="1" t="str">
        <f>IFERROR(__xludf.DUMMYFUNCTION("""COMPUTED_VALUE"""),"Rajasthan")</f>
        <v>Rajasthan</v>
      </c>
      <c r="B7" s="1">
        <f>IFERROR(__xludf.DUMMYFUNCTION("""COMPUTED_VALUE"""),8067.0)</f>
        <v>8067</v>
      </c>
      <c r="C7" s="1">
        <f>IFERROR(__xludf.DUMMYFUNCTION("""COMPUTED_VALUE"""),4815.0)</f>
        <v>4815</v>
      </c>
      <c r="D7" s="1">
        <f>IFERROR(__xludf.DUMMYFUNCTION("""COMPUTED_VALUE"""),180.0)</f>
        <v>180</v>
      </c>
      <c r="E7" s="1">
        <f>IFERROR(__xludf.DUMMYFUNCTION("""COMPUTED_VALUE"""),3072.0)</f>
        <v>3072</v>
      </c>
      <c r="F7" s="1" t="str">
        <f>IFERROR(__xludf.DUMMYFUNCTION("""COMPUTED_VALUE"""),"28/05/2020 23:53:04")</f>
        <v>28/05/2020 23:53:04</v>
      </c>
      <c r="G7" s="1" t="str">
        <f>IFERROR(__xludf.DUMMYFUNCTION("""COMPUTED_VALUE"""),"RJ")</f>
        <v>RJ</v>
      </c>
      <c r="H7" s="1">
        <f>IFERROR(__xludf.DUMMYFUNCTION("""COMPUTED_VALUE"""),0.0)</f>
        <v>0</v>
      </c>
      <c r="I7" s="1">
        <f>IFERROR(__xludf.DUMMYFUNCTION("""COMPUTED_VALUE"""),0.0)</f>
        <v>0</v>
      </c>
      <c r="J7" s="1">
        <f>IFERROR(__xludf.DUMMYFUNCTION("""COMPUTED_VALUE"""),0.0)</f>
        <v>0</v>
      </c>
      <c r="K7" s="1" t="str">
        <f>IFERROR(__xludf.DUMMYFUNCTION("""COMPUTED_VALUE"""),"")</f>
        <v/>
      </c>
    </row>
    <row r="8">
      <c r="A8" s="1" t="str">
        <f>IFERROR(__xludf.DUMMYFUNCTION("""COMPUTED_VALUE"""),"Madhya Pradesh")</f>
        <v>Madhya Pradesh</v>
      </c>
      <c r="B8" s="1">
        <f>IFERROR(__xludf.DUMMYFUNCTION("""COMPUTED_VALUE"""),7453.0)</f>
        <v>7453</v>
      </c>
      <c r="C8" s="1">
        <f>IFERROR(__xludf.DUMMYFUNCTION("""COMPUTED_VALUE"""),4050.0)</f>
        <v>4050</v>
      </c>
      <c r="D8" s="1">
        <f>IFERROR(__xludf.DUMMYFUNCTION("""COMPUTED_VALUE"""),321.0)</f>
        <v>321</v>
      </c>
      <c r="E8" s="1">
        <f>IFERROR(__xludf.DUMMYFUNCTION("""COMPUTED_VALUE"""),3082.0)</f>
        <v>3082</v>
      </c>
      <c r="F8" s="1" t="str">
        <f>IFERROR(__xludf.DUMMYFUNCTION("""COMPUTED_VALUE"""),"28/05/2020 19:53:05")</f>
        <v>28/05/2020 19:53:05</v>
      </c>
      <c r="G8" s="1" t="str">
        <f>IFERROR(__xludf.DUMMYFUNCTION("""COMPUTED_VALUE"""),"MP")</f>
        <v>MP</v>
      </c>
      <c r="H8" s="1">
        <f>IFERROR(__xludf.DUMMYFUNCTION("""COMPUTED_VALUE"""),0.0)</f>
        <v>0</v>
      </c>
      <c r="I8" s="1">
        <f>IFERROR(__xludf.DUMMYFUNCTION("""COMPUTED_VALUE"""),0.0)</f>
        <v>0</v>
      </c>
      <c r="J8" s="1">
        <f>IFERROR(__xludf.DUMMYFUNCTION("""COMPUTED_VALUE"""),0.0)</f>
        <v>0</v>
      </c>
      <c r="K8" s="1" t="str">
        <f>IFERROR(__xludf.DUMMYFUNCTION("""COMPUTED_VALUE"""),"")</f>
        <v/>
      </c>
    </row>
    <row r="9">
      <c r="A9" s="1" t="str">
        <f>IFERROR(__xludf.DUMMYFUNCTION("""COMPUTED_VALUE"""),"Uttar Pradesh")</f>
        <v>Uttar Pradesh</v>
      </c>
      <c r="B9" s="1">
        <f>IFERROR(__xludf.DUMMYFUNCTION("""COMPUTED_VALUE"""),7170.0)</f>
        <v>7170</v>
      </c>
      <c r="C9" s="1">
        <f>IFERROR(__xludf.DUMMYFUNCTION("""COMPUTED_VALUE"""),4215.0)</f>
        <v>4215</v>
      </c>
      <c r="D9" s="1">
        <f>IFERROR(__xludf.DUMMYFUNCTION("""COMPUTED_VALUE"""),197.0)</f>
        <v>197</v>
      </c>
      <c r="E9" s="1">
        <f>IFERROR(__xludf.DUMMYFUNCTION("""COMPUTED_VALUE"""),2758.0)</f>
        <v>2758</v>
      </c>
      <c r="F9" s="1" t="str">
        <f>IFERROR(__xludf.DUMMYFUNCTION("""COMPUTED_VALUE"""),"28/05/2020 22:21:04")</f>
        <v>28/05/2020 22:21:04</v>
      </c>
      <c r="G9" s="1" t="str">
        <f>IFERROR(__xludf.DUMMYFUNCTION("""COMPUTED_VALUE"""),"UP")</f>
        <v>UP</v>
      </c>
      <c r="H9" s="1">
        <f>IFERROR(__xludf.DUMMYFUNCTION("""COMPUTED_VALUE"""),0.0)</f>
        <v>0</v>
      </c>
      <c r="I9" s="1">
        <f>IFERROR(__xludf.DUMMYFUNCTION("""COMPUTED_VALUE"""),0.0)</f>
        <v>0</v>
      </c>
      <c r="J9" s="1">
        <f>IFERROR(__xludf.DUMMYFUNCTION("""COMPUTED_VALUE"""),0.0)</f>
        <v>0</v>
      </c>
      <c r="K9" s="1" t="str">
        <f>IFERROR(__xludf.DUMMYFUNCTION("""COMPUTED_VALUE"""),"")</f>
        <v/>
      </c>
    </row>
    <row r="10">
      <c r="A10" s="1" t="str">
        <f>IFERROR(__xludf.DUMMYFUNCTION("""COMPUTED_VALUE"""),"West Bengal")</f>
        <v>West Bengal</v>
      </c>
      <c r="B10" s="1">
        <f>IFERROR(__xludf.DUMMYFUNCTION("""COMPUTED_VALUE"""),4536.0)</f>
        <v>4536</v>
      </c>
      <c r="C10" s="1">
        <f>IFERROR(__xludf.DUMMYFUNCTION("""COMPUTED_VALUE"""),1668.0)</f>
        <v>1668</v>
      </c>
      <c r="D10" s="1">
        <f>IFERROR(__xludf.DUMMYFUNCTION("""COMPUTED_VALUE"""),295.0)</f>
        <v>295</v>
      </c>
      <c r="E10" s="1">
        <f>IFERROR(__xludf.DUMMYFUNCTION("""COMPUTED_VALUE"""),2573.0)</f>
        <v>2573</v>
      </c>
      <c r="F10" s="1" t="str">
        <f>IFERROR(__xludf.DUMMYFUNCTION("""COMPUTED_VALUE"""),"28/05/2020 19:35:04")</f>
        <v>28/05/2020 19:35:04</v>
      </c>
      <c r="G10" s="1" t="str">
        <f>IFERROR(__xludf.DUMMYFUNCTION("""COMPUTED_VALUE"""),"WB")</f>
        <v>WB</v>
      </c>
      <c r="H10" s="1">
        <f>IFERROR(__xludf.DUMMYFUNCTION("""COMPUTED_VALUE"""),0.0)</f>
        <v>0</v>
      </c>
      <c r="I10" s="1">
        <f>IFERROR(__xludf.DUMMYFUNCTION("""COMPUTED_VALUE"""),0.0)</f>
        <v>0</v>
      </c>
      <c r="J10" s="1">
        <f>IFERROR(__xludf.DUMMYFUNCTION("""COMPUTED_VALUE"""),0.0)</f>
        <v>0</v>
      </c>
      <c r="K10" s="1" t="str">
        <f>IFERROR(__xludf.DUMMYFUNCTION("""COMPUTED_VALUE"""),"- Cases updated as per WB bulletin.&lt;br&gt;
- Deaths due to comorbidities added to total deceased&lt;br&gt;
- Zones updated as per WB bulletin&lt;br&gt;")</f>
        <v>- Cases updated as per WB bulletin.&lt;br&gt;
- Deaths due to comorbidities added to total deceased&lt;br&gt;
- Zones updated as per WB bulletin&lt;br&gt;</v>
      </c>
    </row>
    <row r="11">
      <c r="A11" s="1" t="str">
        <f>IFERROR(__xludf.DUMMYFUNCTION("""COMPUTED_VALUE"""),"State Unassigned")</f>
        <v>State Unassigned</v>
      </c>
      <c r="B11" s="1">
        <f>IFERROR(__xludf.DUMMYFUNCTION("""COMPUTED_VALUE"""),4332.0)</f>
        <v>4332</v>
      </c>
      <c r="C11" s="1">
        <f>IFERROR(__xludf.DUMMYFUNCTION("""COMPUTED_VALUE"""),0.0)</f>
        <v>0</v>
      </c>
      <c r="D11" s="1">
        <f>IFERROR(__xludf.DUMMYFUNCTION("""COMPUTED_VALUE"""),0.0)</f>
        <v>0</v>
      </c>
      <c r="E11" s="1">
        <f>IFERROR(__xludf.DUMMYFUNCTION("""COMPUTED_VALUE"""),4332.0)</f>
        <v>4332</v>
      </c>
      <c r="F11" s="1" t="str">
        <f>IFERROR(__xludf.DUMMYFUNCTION("""COMPUTED_VALUE"""),"28/05/2020 09:18:05")</f>
        <v>28/05/2020 09:18:05</v>
      </c>
      <c r="G11" s="1" t="str">
        <f>IFERROR(__xludf.DUMMYFUNCTION("""COMPUTED_VALUE"""),"UN")</f>
        <v>UN</v>
      </c>
      <c r="H11" s="1">
        <f>IFERROR(__xludf.DUMMYFUNCTION("""COMPUTED_VALUE"""),0.0)</f>
        <v>0</v>
      </c>
      <c r="I11" s="1">
        <f>IFERROR(__xludf.DUMMYFUNCTION("""COMPUTED_VALUE"""),0.0)</f>
        <v>0</v>
      </c>
      <c r="J11" s="1">
        <f>IFERROR(__xludf.DUMMYFUNCTION("""COMPUTED_VALUE"""),0.0)</f>
        <v>0</v>
      </c>
      <c r="K11" s="1" t="str">
        <f>IFERROR(__xludf.DUMMYFUNCTION("""COMPUTED_VALUE"""),"MoHFW website reports that these are the ""cases that are being reassigned to states""")</f>
        <v>MoHFW website reports that these are the "cases that are being reassigned to states"</v>
      </c>
    </row>
    <row r="12">
      <c r="A12" s="1" t="str">
        <f>IFERROR(__xludf.DUMMYFUNCTION("""COMPUTED_VALUE"""),"Andhra Pradesh")</f>
        <v>Andhra Pradesh</v>
      </c>
      <c r="B12" s="1">
        <f>IFERROR(__xludf.DUMMYFUNCTION("""COMPUTED_VALUE"""),3245.0)</f>
        <v>3245</v>
      </c>
      <c r="C12" s="1">
        <f>IFERROR(__xludf.DUMMYFUNCTION("""COMPUTED_VALUE"""),2133.0)</f>
        <v>2133</v>
      </c>
      <c r="D12" s="1">
        <f>IFERROR(__xludf.DUMMYFUNCTION("""COMPUTED_VALUE"""),59.0)</f>
        <v>59</v>
      </c>
      <c r="E12" s="1">
        <f>IFERROR(__xludf.DUMMYFUNCTION("""COMPUTED_VALUE"""),1053.0)</f>
        <v>1053</v>
      </c>
      <c r="F12" s="1" t="str">
        <f>IFERROR(__xludf.DUMMYFUNCTION("""COMPUTED_VALUE"""),"28/05/2020 16:44:04")</f>
        <v>28/05/2020 16:44:04</v>
      </c>
      <c r="G12" s="1" t="str">
        <f>IFERROR(__xludf.DUMMYFUNCTION("""COMPUTED_VALUE"""),"AP")</f>
        <v>AP</v>
      </c>
      <c r="H12" s="1">
        <f>IFERROR(__xludf.DUMMYFUNCTION("""COMPUTED_VALUE"""),0.0)</f>
        <v>0</v>
      </c>
      <c r="I12" s="1">
        <f>IFERROR(__xludf.DUMMYFUNCTION("""COMPUTED_VALUE"""),0.0)</f>
        <v>0</v>
      </c>
      <c r="J12" s="1">
        <f>IFERROR(__xludf.DUMMYFUNCTION("""COMPUTED_VALUE"""),0.0)</f>
        <v>0</v>
      </c>
      <c r="K12" s="1" t="str">
        <f>IFERROR(__xludf.DUMMYFUNCTION("""COMPUTED_VALUE"""),"Total includes patients from other states and a new category ""Foreign Evacuees"" which is now reported in AP bulletin. &lt;br&gt;
AP district data updated to match state dashboard as of 27th May. ")</f>
        <v>Total includes patients from other states and a new category "Foreign Evacuees" which is now reported in AP bulletin. &lt;br&gt;
AP district data updated to match state dashboard as of 27th May. </v>
      </c>
    </row>
    <row r="13">
      <c r="A13" s="1" t="str">
        <f>IFERROR(__xludf.DUMMYFUNCTION("""COMPUTED_VALUE"""),"Bihar")</f>
        <v>Bihar</v>
      </c>
      <c r="B13" s="1">
        <f>IFERROR(__xludf.DUMMYFUNCTION("""COMPUTED_VALUE"""),3185.0)</f>
        <v>3185</v>
      </c>
      <c r="C13" s="1">
        <f>IFERROR(__xludf.DUMMYFUNCTION("""COMPUTED_VALUE"""),1050.0)</f>
        <v>1050</v>
      </c>
      <c r="D13" s="1">
        <f>IFERROR(__xludf.DUMMYFUNCTION("""COMPUTED_VALUE"""),15.0)</f>
        <v>15</v>
      </c>
      <c r="E13" s="1">
        <f>IFERROR(__xludf.DUMMYFUNCTION("""COMPUTED_VALUE"""),2120.0)</f>
        <v>2120</v>
      </c>
      <c r="F13" s="1" t="str">
        <f>IFERROR(__xludf.DUMMYFUNCTION("""COMPUTED_VALUE"""),"29/05/2020 00:20:04")</f>
        <v>29/05/2020 00:20:04</v>
      </c>
      <c r="G13" s="1" t="str">
        <f>IFERROR(__xludf.DUMMYFUNCTION("""COMPUTED_VALUE"""),"BR")</f>
        <v>BR</v>
      </c>
      <c r="H13" s="1">
        <f>IFERROR(__xludf.DUMMYFUNCTION("""COMPUTED_VALUE"""),0.0)</f>
        <v>0</v>
      </c>
      <c r="I13" s="1">
        <f>IFERROR(__xludf.DUMMYFUNCTION("""COMPUTED_VALUE"""),0.0)</f>
        <v>0</v>
      </c>
      <c r="J13" s="1">
        <f>IFERROR(__xludf.DUMMYFUNCTION("""COMPUTED_VALUE"""),0.0)</f>
        <v>0</v>
      </c>
      <c r="K13" s="1" t="str">
        <f>IFERROR(__xludf.DUMMYFUNCTION("""COMPUTED_VALUE"""),"")</f>
        <v/>
      </c>
    </row>
    <row r="14">
      <c r="A14" s="1" t="str">
        <f>IFERROR(__xludf.DUMMYFUNCTION("""COMPUTED_VALUE"""),"Karnataka")</f>
        <v>Karnataka</v>
      </c>
      <c r="B14" s="1">
        <f>IFERROR(__xludf.DUMMYFUNCTION("""COMPUTED_VALUE"""),2533.0)</f>
        <v>2533</v>
      </c>
      <c r="C14" s="1">
        <f>IFERROR(__xludf.DUMMYFUNCTION("""COMPUTED_VALUE"""),818.0)</f>
        <v>818</v>
      </c>
      <c r="D14" s="1">
        <f>IFERROR(__xludf.DUMMYFUNCTION("""COMPUTED_VALUE"""),47.0)</f>
        <v>47</v>
      </c>
      <c r="E14" s="1">
        <f>IFERROR(__xludf.DUMMYFUNCTION("""COMPUTED_VALUE"""),1666.0)</f>
        <v>1666</v>
      </c>
      <c r="F14" s="1" t="str">
        <f>IFERROR(__xludf.DUMMYFUNCTION("""COMPUTED_VALUE"""),"28/05/2020 18:44:09")</f>
        <v>28/05/2020 18:44:09</v>
      </c>
      <c r="G14" s="1" t="str">
        <f>IFERROR(__xludf.DUMMYFUNCTION("""COMPUTED_VALUE"""),"KA")</f>
        <v>KA</v>
      </c>
      <c r="H14" s="1">
        <f>IFERROR(__xludf.DUMMYFUNCTION("""COMPUTED_VALUE"""),0.0)</f>
        <v>0</v>
      </c>
      <c r="I14" s="1">
        <f>IFERROR(__xludf.DUMMYFUNCTION("""COMPUTED_VALUE"""),0.0)</f>
        <v>0</v>
      </c>
      <c r="J14" s="1">
        <f>IFERROR(__xludf.DUMMYFUNCTION("""COMPUTED_VALUE"""),0.0)</f>
        <v>0</v>
      </c>
      <c r="K14" s="1" t="str">
        <f>IFERROR(__xludf.DUMMYFUNCTION("""COMPUTED_VALUE"""),"Two active cases in KA reduced as a confirmed patient died of non-CoViD19 related reasons")</f>
        <v>Two active cases in KA reduced as a confirmed patient died of non-CoViD19 related reasons</v>
      </c>
    </row>
    <row r="15">
      <c r="A15" s="1" t="str">
        <f>IFERROR(__xludf.DUMMYFUNCTION("""COMPUTED_VALUE"""),"Punjab")</f>
        <v>Punjab</v>
      </c>
      <c r="B15" s="1">
        <f>IFERROR(__xludf.DUMMYFUNCTION("""COMPUTED_VALUE"""),2158.0)</f>
        <v>2158</v>
      </c>
      <c r="C15" s="1">
        <f>IFERROR(__xludf.DUMMYFUNCTION("""COMPUTED_VALUE"""),1946.0)</f>
        <v>1946</v>
      </c>
      <c r="D15" s="1">
        <f>IFERROR(__xludf.DUMMYFUNCTION("""COMPUTED_VALUE"""),40.0)</f>
        <v>40</v>
      </c>
      <c r="E15" s="1">
        <f>IFERROR(__xludf.DUMMYFUNCTION("""COMPUTED_VALUE"""),172.0)</f>
        <v>172</v>
      </c>
      <c r="F15" s="1" t="str">
        <f>IFERROR(__xludf.DUMMYFUNCTION("""COMPUTED_VALUE"""),"28/05/2020 18:33:05")</f>
        <v>28/05/2020 18:33:05</v>
      </c>
      <c r="G15" s="1" t="str">
        <f>IFERROR(__xludf.DUMMYFUNCTION("""COMPUTED_VALUE"""),"PB")</f>
        <v>PB</v>
      </c>
      <c r="H15" s="1">
        <f>IFERROR(__xludf.DUMMYFUNCTION("""COMPUTED_VALUE"""),0.0)</f>
        <v>0</v>
      </c>
      <c r="I15" s="1">
        <f>IFERROR(__xludf.DUMMYFUNCTION("""COMPUTED_VALUE"""),0.0)</f>
        <v>0</v>
      </c>
      <c r="J15" s="1">
        <f>IFERROR(__xludf.DUMMYFUNCTION("""COMPUTED_VALUE"""),0.0)</f>
        <v>0</v>
      </c>
      <c r="K15" s="1" t="str">
        <f>IFERROR(__xludf.DUMMYFUNCTION("""COMPUTED_VALUE"""),"Cases in Punjab were effectively reduced as some cases were added to 'central pool' as per the bulletin")</f>
        <v>Cases in Punjab were effectively reduced as some cases were added to 'central pool' as per the bulletin</v>
      </c>
    </row>
    <row r="16">
      <c r="A16" s="1" t="str">
        <f>IFERROR(__xludf.DUMMYFUNCTION("""COMPUTED_VALUE"""),"Telangana")</f>
        <v>Telangana</v>
      </c>
      <c r="B16" s="1">
        <f>IFERROR(__xludf.DUMMYFUNCTION("""COMPUTED_VALUE"""),2256.0)</f>
        <v>2256</v>
      </c>
      <c r="C16" s="1">
        <f>IFERROR(__xludf.DUMMYFUNCTION("""COMPUTED_VALUE"""),1345.0)</f>
        <v>1345</v>
      </c>
      <c r="D16" s="1">
        <f>IFERROR(__xludf.DUMMYFUNCTION("""COMPUTED_VALUE"""),67.0)</f>
        <v>67</v>
      </c>
      <c r="E16" s="1">
        <f>IFERROR(__xludf.DUMMYFUNCTION("""COMPUTED_VALUE"""),844.0)</f>
        <v>844</v>
      </c>
      <c r="F16" s="1" t="str">
        <f>IFERROR(__xludf.DUMMYFUNCTION("""COMPUTED_VALUE"""),"28/05/2020 21:53:05")</f>
        <v>28/05/2020 21:53:05</v>
      </c>
      <c r="G16" s="1" t="str">
        <f>IFERROR(__xludf.DUMMYFUNCTION("""COMPUTED_VALUE"""),"TG")</f>
        <v>TG</v>
      </c>
      <c r="H16" s="1">
        <f>IFERROR(__xludf.DUMMYFUNCTION("""COMPUTED_VALUE"""),0.0)</f>
        <v>0</v>
      </c>
      <c r="I16" s="1">
        <f>IFERROR(__xludf.DUMMYFUNCTION("""COMPUTED_VALUE"""),0.0)</f>
        <v>0</v>
      </c>
      <c r="J16" s="1">
        <f>IFERROR(__xludf.DUMMYFUNCTION("""COMPUTED_VALUE"""),0.0)</f>
        <v>0</v>
      </c>
      <c r="K16" s="1" t="str">
        <f>IFERROR(__xludf.DUMMYFUNCTION("""COMPUTED_VALUE"""),"")</f>
        <v/>
      </c>
    </row>
    <row r="17">
      <c r="A17" s="1" t="str">
        <f>IFERROR(__xludf.DUMMYFUNCTION("""COMPUTED_VALUE"""),"Jammu and Kashmir")</f>
        <v>Jammu and Kashmir</v>
      </c>
      <c r="B17" s="1">
        <f>IFERROR(__xludf.DUMMYFUNCTION("""COMPUTED_VALUE"""),2036.0)</f>
        <v>2036</v>
      </c>
      <c r="C17" s="1">
        <f>IFERROR(__xludf.DUMMYFUNCTION("""COMPUTED_VALUE"""),859.0)</f>
        <v>859</v>
      </c>
      <c r="D17" s="1">
        <f>IFERROR(__xludf.DUMMYFUNCTION("""COMPUTED_VALUE"""),27.0)</f>
        <v>27</v>
      </c>
      <c r="E17" s="1">
        <f>IFERROR(__xludf.DUMMYFUNCTION("""COMPUTED_VALUE"""),1150.0)</f>
        <v>1150</v>
      </c>
      <c r="F17" s="1" t="str">
        <f>IFERROR(__xludf.DUMMYFUNCTION("""COMPUTED_VALUE"""),"28/05/2020 20:45:07")</f>
        <v>28/05/2020 20:45:07</v>
      </c>
      <c r="G17" s="1" t="str">
        <f>IFERROR(__xludf.DUMMYFUNCTION("""COMPUTED_VALUE"""),"JK")</f>
        <v>JK</v>
      </c>
      <c r="H17" s="1">
        <f>IFERROR(__xludf.DUMMYFUNCTION("""COMPUTED_VALUE"""),0.0)</f>
        <v>0</v>
      </c>
      <c r="I17" s="1">
        <f>IFERROR(__xludf.DUMMYFUNCTION("""COMPUTED_VALUE"""),0.0)</f>
        <v>0</v>
      </c>
      <c r="J17" s="1">
        <f>IFERROR(__xludf.DUMMYFUNCTION("""COMPUTED_VALUE"""),0.0)</f>
        <v>0</v>
      </c>
      <c r="K17" s="1" t="str">
        <f>IFERROR(__xludf.DUMMYFUNCTION("""COMPUTED_VALUE"""),"")</f>
        <v/>
      </c>
    </row>
    <row r="18">
      <c r="A18" s="1" t="str">
        <f>IFERROR(__xludf.DUMMYFUNCTION("""COMPUTED_VALUE"""),"Odisha")</f>
        <v>Odisha</v>
      </c>
      <c r="B18" s="1">
        <f>IFERROR(__xludf.DUMMYFUNCTION("""COMPUTED_VALUE"""),1660.0)</f>
        <v>1660</v>
      </c>
      <c r="C18" s="1">
        <f>IFERROR(__xludf.DUMMYFUNCTION("""COMPUTED_VALUE"""),887.0)</f>
        <v>887</v>
      </c>
      <c r="D18" s="1">
        <f>IFERROR(__xludf.DUMMYFUNCTION("""COMPUTED_VALUE"""),7.0)</f>
        <v>7</v>
      </c>
      <c r="E18" s="1">
        <f>IFERROR(__xludf.DUMMYFUNCTION("""COMPUTED_VALUE"""),766.0)</f>
        <v>766</v>
      </c>
      <c r="F18" s="1" t="str">
        <f>IFERROR(__xludf.DUMMYFUNCTION("""COMPUTED_VALUE"""),"28/05/2020 15:25:04")</f>
        <v>28/05/2020 15:25:04</v>
      </c>
      <c r="G18" s="1" t="str">
        <f>IFERROR(__xludf.DUMMYFUNCTION("""COMPUTED_VALUE"""),"OR")</f>
        <v>OR</v>
      </c>
      <c r="H18" s="1">
        <f>IFERROR(__xludf.DUMMYFUNCTION("""COMPUTED_VALUE"""),0.0)</f>
        <v>0</v>
      </c>
      <c r="I18" s="1">
        <f>IFERROR(__xludf.DUMMYFUNCTION("""COMPUTED_VALUE"""),0.0)</f>
        <v>0</v>
      </c>
      <c r="J18" s="1">
        <f>IFERROR(__xludf.DUMMYFUNCTION("""COMPUTED_VALUE"""),0.0)</f>
        <v>0</v>
      </c>
      <c r="K18" s="1" t="str">
        <f>IFERROR(__xludf.DUMMYFUNCTION("""COMPUTED_VALUE"""),"")</f>
        <v/>
      </c>
    </row>
    <row r="19">
      <c r="A19" s="1" t="str">
        <f>IFERROR(__xludf.DUMMYFUNCTION("""COMPUTED_VALUE"""),"Haryana")</f>
        <v>Haryana</v>
      </c>
      <c r="B19" s="1">
        <f>IFERROR(__xludf.DUMMYFUNCTION("""COMPUTED_VALUE"""),1504.0)</f>
        <v>1504</v>
      </c>
      <c r="C19" s="1">
        <f>IFERROR(__xludf.DUMMYFUNCTION("""COMPUTED_VALUE"""),881.0)</f>
        <v>881</v>
      </c>
      <c r="D19" s="1">
        <f>IFERROR(__xludf.DUMMYFUNCTION("""COMPUTED_VALUE"""),19.0)</f>
        <v>19</v>
      </c>
      <c r="E19" s="1">
        <f>IFERROR(__xludf.DUMMYFUNCTION("""COMPUTED_VALUE"""),604.0)</f>
        <v>604</v>
      </c>
      <c r="F19" s="1" t="str">
        <f>IFERROR(__xludf.DUMMYFUNCTION("""COMPUTED_VALUE"""),"28/05/2020 20:53:09")</f>
        <v>28/05/2020 20:53:09</v>
      </c>
      <c r="G19" s="1" t="str">
        <f>IFERROR(__xludf.DUMMYFUNCTION("""COMPUTED_VALUE"""),"HR")</f>
        <v>HR</v>
      </c>
      <c r="H19" s="1">
        <f>IFERROR(__xludf.DUMMYFUNCTION("""COMPUTED_VALUE"""),0.0)</f>
        <v>0</v>
      </c>
      <c r="I19" s="1">
        <f>IFERROR(__xludf.DUMMYFUNCTION("""COMPUTED_VALUE"""),0.0)</f>
        <v>0</v>
      </c>
      <c r="J19" s="1">
        <f>IFERROR(__xludf.DUMMYFUNCTION("""COMPUTED_VALUE"""),0.0)</f>
        <v>0</v>
      </c>
      <c r="K19" s="1" t="str">
        <f>IFERROR(__xludf.DUMMYFUNCTION("""COMPUTED_VALUE"""),"")</f>
        <v/>
      </c>
    </row>
    <row r="20">
      <c r="A20" s="1" t="str">
        <f>IFERROR(__xludf.DUMMYFUNCTION("""COMPUTED_VALUE"""),"Kerala")</f>
        <v>Kerala</v>
      </c>
      <c r="B20" s="1">
        <f>IFERROR(__xludf.DUMMYFUNCTION("""COMPUTED_VALUE"""),1089.0)</f>
        <v>1089</v>
      </c>
      <c r="C20" s="1">
        <f>IFERROR(__xludf.DUMMYFUNCTION("""COMPUTED_VALUE"""),555.0)</f>
        <v>555</v>
      </c>
      <c r="D20" s="1">
        <f>IFERROR(__xludf.DUMMYFUNCTION("""COMPUTED_VALUE"""),8.0)</f>
        <v>8</v>
      </c>
      <c r="E20" s="1">
        <f>IFERROR(__xludf.DUMMYFUNCTION("""COMPUTED_VALUE"""),526.0)</f>
        <v>526</v>
      </c>
      <c r="F20" s="1" t="str">
        <f>IFERROR(__xludf.DUMMYFUNCTION("""COMPUTED_VALUE"""),"29/05/2020 06:13:05")</f>
        <v>29/05/2020 06:13:05</v>
      </c>
      <c r="G20" s="1" t="str">
        <f>IFERROR(__xludf.DUMMYFUNCTION("""COMPUTED_VALUE"""),"KL")</f>
        <v>KL</v>
      </c>
      <c r="H20" s="1">
        <f>IFERROR(__xludf.DUMMYFUNCTION("""COMPUTED_VALUE"""),0.0)</f>
        <v>0</v>
      </c>
      <c r="I20" s="1">
        <f>IFERROR(__xludf.DUMMYFUNCTION("""COMPUTED_VALUE"""),0.0)</f>
        <v>0</v>
      </c>
      <c r="J20" s="1">
        <f>IFERROR(__xludf.DUMMYFUNCTION("""COMPUTED_VALUE"""),0.0)</f>
        <v>0</v>
      </c>
      <c r="K20" s="1" t="str">
        <f>IFERROR(__xludf.DUMMYFUNCTION("""COMPUTED_VALUE"""),"Mahe native who expired in Kannur included in Kerala's tally")</f>
        <v>Mahe native who expired in Kannur included in Kerala's tally</v>
      </c>
    </row>
    <row r="21">
      <c r="A21" s="1" t="str">
        <f>IFERROR(__xludf.DUMMYFUNCTION("""COMPUTED_VALUE"""),"Assam")</f>
        <v>Assam</v>
      </c>
      <c r="B21" s="1">
        <f>IFERROR(__xludf.DUMMYFUNCTION("""COMPUTED_VALUE"""),880.0)</f>
        <v>880</v>
      </c>
      <c r="C21" s="1">
        <f>IFERROR(__xludf.DUMMYFUNCTION("""COMPUTED_VALUE"""),104.0)</f>
        <v>104</v>
      </c>
      <c r="D21" s="1">
        <f>IFERROR(__xludf.DUMMYFUNCTION("""COMPUTED_VALUE"""),4.0)</f>
        <v>4</v>
      </c>
      <c r="E21" s="1">
        <f>IFERROR(__xludf.DUMMYFUNCTION("""COMPUTED_VALUE"""),769.0)</f>
        <v>769</v>
      </c>
      <c r="F21" s="1" t="str">
        <f>IFERROR(__xludf.DUMMYFUNCTION("""COMPUTED_VALUE"""),"29/05/2020 00:33:05")</f>
        <v>29/05/2020 00:33:05</v>
      </c>
      <c r="G21" s="1" t="str">
        <f>IFERROR(__xludf.DUMMYFUNCTION("""COMPUTED_VALUE"""),"AS")</f>
        <v>AS</v>
      </c>
      <c r="H21" s="1">
        <f>IFERROR(__xludf.DUMMYFUNCTION("""COMPUTED_VALUE"""),0.0)</f>
        <v>0</v>
      </c>
      <c r="I21" s="1">
        <f>IFERROR(__xludf.DUMMYFUNCTION("""COMPUTED_VALUE"""),0.0)</f>
        <v>0</v>
      </c>
      <c r="J21" s="1">
        <f>IFERROR(__xludf.DUMMYFUNCTION("""COMPUTED_VALUE"""),0.0)</f>
        <v>0</v>
      </c>
      <c r="K21" s="1" t="str">
        <f>IFERROR(__xludf.DUMMYFUNCTION("""COMPUTED_VALUE"""),"Includes one case from Nagaland &lt;br&gt;
Total of Three* patients who migrated to other states has been reduced from Active count")</f>
        <v>Includes one case from Nagaland &lt;br&gt;
Total of Three* patients who migrated to other states has been reduced from Active count</v>
      </c>
    </row>
    <row r="22">
      <c r="A22" s="1" t="str">
        <f>IFERROR(__xludf.DUMMYFUNCTION("""COMPUTED_VALUE"""),"Uttarakhand")</f>
        <v>Uttarakhand</v>
      </c>
      <c r="B22" s="1">
        <f>IFERROR(__xludf.DUMMYFUNCTION("""COMPUTED_VALUE"""),500.0)</f>
        <v>500</v>
      </c>
      <c r="C22" s="1">
        <f>IFERROR(__xludf.DUMMYFUNCTION("""COMPUTED_VALUE"""),79.0)</f>
        <v>79</v>
      </c>
      <c r="D22" s="1">
        <f>IFERROR(__xludf.DUMMYFUNCTION("""COMPUTED_VALUE"""),4.0)</f>
        <v>4</v>
      </c>
      <c r="E22" s="1">
        <f>IFERROR(__xludf.DUMMYFUNCTION("""COMPUTED_VALUE"""),414.0)</f>
        <v>414</v>
      </c>
      <c r="F22" s="1" t="str">
        <f>IFERROR(__xludf.DUMMYFUNCTION("""COMPUTED_VALUE"""),"28/05/2020 20:34:07")</f>
        <v>28/05/2020 20:34:07</v>
      </c>
      <c r="G22" s="1" t="str">
        <f>IFERROR(__xludf.DUMMYFUNCTION("""COMPUTED_VALUE"""),"UT")</f>
        <v>UT</v>
      </c>
      <c r="H22" s="1">
        <f>IFERROR(__xludf.DUMMYFUNCTION("""COMPUTED_VALUE"""),0.0)</f>
        <v>0</v>
      </c>
      <c r="I22" s="1">
        <f>IFERROR(__xludf.DUMMYFUNCTION("""COMPUTED_VALUE"""),0.0)</f>
        <v>0</v>
      </c>
      <c r="J22" s="1">
        <f>IFERROR(__xludf.DUMMYFUNCTION("""COMPUTED_VALUE"""),0.0)</f>
        <v>0</v>
      </c>
      <c r="K22" s="1" t="str">
        <f>IFERROR(__xludf.DUMMYFUNCTION("""COMPUTED_VALUE"""),"Three migrated cases reduced from Active count")</f>
        <v>Three migrated cases reduced from Active count</v>
      </c>
    </row>
    <row r="23">
      <c r="A23" s="1" t="str">
        <f>IFERROR(__xludf.DUMMYFUNCTION("""COMPUTED_VALUE"""),"Jharkhand")</f>
        <v>Jharkhand</v>
      </c>
      <c r="B23" s="1">
        <f>IFERROR(__xludf.DUMMYFUNCTION("""COMPUTED_VALUE"""),470.0)</f>
        <v>470</v>
      </c>
      <c r="C23" s="1">
        <f>IFERROR(__xludf.DUMMYFUNCTION("""COMPUTED_VALUE"""),191.0)</f>
        <v>191</v>
      </c>
      <c r="D23" s="1">
        <f>IFERROR(__xludf.DUMMYFUNCTION("""COMPUTED_VALUE"""),4.0)</f>
        <v>4</v>
      </c>
      <c r="E23" s="1">
        <f>IFERROR(__xludf.DUMMYFUNCTION("""COMPUTED_VALUE"""),275.0)</f>
        <v>275</v>
      </c>
      <c r="F23" s="1" t="str">
        <f>IFERROR(__xludf.DUMMYFUNCTION("""COMPUTED_VALUE"""),"28/05/2020 22:53:05")</f>
        <v>28/05/2020 22:53:05</v>
      </c>
      <c r="G23" s="1" t="str">
        <f>IFERROR(__xludf.DUMMYFUNCTION("""COMPUTED_VALUE"""),"JH")</f>
        <v>JH</v>
      </c>
      <c r="H23" s="1">
        <f>IFERROR(__xludf.DUMMYFUNCTION("""COMPUTED_VALUE"""),0.0)</f>
        <v>0</v>
      </c>
      <c r="I23" s="1">
        <f>IFERROR(__xludf.DUMMYFUNCTION("""COMPUTED_VALUE"""),0.0)</f>
        <v>0</v>
      </c>
      <c r="J23" s="1">
        <f>IFERROR(__xludf.DUMMYFUNCTION("""COMPUTED_VALUE"""),0.0)</f>
        <v>0</v>
      </c>
      <c r="K23" s="1" t="str">
        <f>IFERROR(__xludf.DUMMYFUNCTION("""COMPUTED_VALUE"""),"")</f>
        <v/>
      </c>
    </row>
    <row r="24">
      <c r="A24" s="1" t="str">
        <f>IFERROR(__xludf.DUMMYFUNCTION("""COMPUTED_VALUE"""),"Chhattisgarh")</f>
        <v>Chhattisgarh</v>
      </c>
      <c r="B24" s="1">
        <f>IFERROR(__xludf.DUMMYFUNCTION("""COMPUTED_VALUE"""),398.0)</f>
        <v>398</v>
      </c>
      <c r="C24" s="1">
        <f>IFERROR(__xludf.DUMMYFUNCTION("""COMPUTED_VALUE"""),83.0)</f>
        <v>83</v>
      </c>
      <c r="D24" s="1">
        <f>IFERROR(__xludf.DUMMYFUNCTION("""COMPUTED_VALUE"""),0.0)</f>
        <v>0</v>
      </c>
      <c r="E24" s="1">
        <f>IFERROR(__xludf.DUMMYFUNCTION("""COMPUTED_VALUE"""),315.0)</f>
        <v>315</v>
      </c>
      <c r="F24" s="1" t="str">
        <f>IFERROR(__xludf.DUMMYFUNCTION("""COMPUTED_VALUE"""),"28/05/2020 21:24:08")</f>
        <v>28/05/2020 21:24:08</v>
      </c>
      <c r="G24" s="1" t="str">
        <f>IFERROR(__xludf.DUMMYFUNCTION("""COMPUTED_VALUE"""),"CT")</f>
        <v>CT</v>
      </c>
      <c r="H24" s="1">
        <f>IFERROR(__xludf.DUMMYFUNCTION("""COMPUTED_VALUE"""),0.0)</f>
        <v>0</v>
      </c>
      <c r="I24" s="1">
        <f>IFERROR(__xludf.DUMMYFUNCTION("""COMPUTED_VALUE"""),0.0)</f>
        <v>0</v>
      </c>
      <c r="J24" s="1">
        <f>IFERROR(__xludf.DUMMYFUNCTION("""COMPUTED_VALUE"""),0.0)</f>
        <v>0</v>
      </c>
      <c r="K24" s="1" t="str">
        <f>IFERROR(__xludf.DUMMYFUNCTION("""COMPUTED_VALUE"""),"")</f>
        <v/>
      </c>
    </row>
    <row r="25">
      <c r="A25" s="1" t="str">
        <f>IFERROR(__xludf.DUMMYFUNCTION("""COMPUTED_VALUE"""),"Chandigarh")</f>
        <v>Chandigarh</v>
      </c>
      <c r="B25" s="1">
        <f>IFERROR(__xludf.DUMMYFUNCTION("""COMPUTED_VALUE"""),289.0)</f>
        <v>289</v>
      </c>
      <c r="C25" s="1">
        <f>IFERROR(__xludf.DUMMYFUNCTION("""COMPUTED_VALUE"""),189.0)</f>
        <v>189</v>
      </c>
      <c r="D25" s="1">
        <f>IFERROR(__xludf.DUMMYFUNCTION("""COMPUTED_VALUE"""),4.0)</f>
        <v>4</v>
      </c>
      <c r="E25" s="1">
        <f>IFERROR(__xludf.DUMMYFUNCTION("""COMPUTED_VALUE"""),96.0)</f>
        <v>96</v>
      </c>
      <c r="F25" s="1" t="str">
        <f>IFERROR(__xludf.DUMMYFUNCTION("""COMPUTED_VALUE"""),"28/05/2020 16:11:07")</f>
        <v>28/05/2020 16:11:07</v>
      </c>
      <c r="G25" s="1" t="str">
        <f>IFERROR(__xludf.DUMMYFUNCTION("""COMPUTED_VALUE"""),"CH")</f>
        <v>CH</v>
      </c>
      <c r="H25" s="1">
        <f>IFERROR(__xludf.DUMMYFUNCTION("""COMPUTED_VALUE"""),0.0)</f>
        <v>0</v>
      </c>
      <c r="I25" s="1">
        <f>IFERROR(__xludf.DUMMYFUNCTION("""COMPUTED_VALUE"""),0.0)</f>
        <v>0</v>
      </c>
      <c r="J25" s="1">
        <f>IFERROR(__xludf.DUMMYFUNCTION("""COMPUTED_VALUE"""),0.0)</f>
        <v>0</v>
      </c>
      <c r="K25" s="1" t="str">
        <f>IFERROR(__xludf.DUMMYFUNCTION("""COMPUTED_VALUE"""),"")</f>
        <v/>
      </c>
    </row>
    <row r="26">
      <c r="A26" s="1" t="str">
        <f>IFERROR(__xludf.DUMMYFUNCTION("""COMPUTED_VALUE"""),"Himachal Pradesh")</f>
        <v>Himachal Pradesh</v>
      </c>
      <c r="B26" s="1">
        <f>IFERROR(__xludf.DUMMYFUNCTION("""COMPUTED_VALUE"""),281.0)</f>
        <v>281</v>
      </c>
      <c r="C26" s="1">
        <f>IFERROR(__xludf.DUMMYFUNCTION("""COMPUTED_VALUE"""),73.0)</f>
        <v>73</v>
      </c>
      <c r="D26" s="1">
        <f>IFERROR(__xludf.DUMMYFUNCTION("""COMPUTED_VALUE"""),6.0)</f>
        <v>6</v>
      </c>
      <c r="E26" s="1">
        <f>IFERROR(__xludf.DUMMYFUNCTION("""COMPUTED_VALUE"""),199.0)</f>
        <v>199</v>
      </c>
      <c r="F26" s="1" t="str">
        <f>IFERROR(__xludf.DUMMYFUNCTION("""COMPUTED_VALUE"""),"28/05/2020 22:14:07")</f>
        <v>28/05/2020 22:14:07</v>
      </c>
      <c r="G26" s="1" t="str">
        <f>IFERROR(__xludf.DUMMYFUNCTION("""COMPUTED_VALUE"""),"HP")</f>
        <v>HP</v>
      </c>
      <c r="H26" s="1">
        <f>IFERROR(__xludf.DUMMYFUNCTION("""COMPUTED_VALUE"""),0.0)</f>
        <v>0</v>
      </c>
      <c r="I26" s="1">
        <f>IFERROR(__xludf.DUMMYFUNCTION("""COMPUTED_VALUE"""),0.0)</f>
        <v>0</v>
      </c>
      <c r="J26" s="1">
        <f>IFERROR(__xludf.DUMMYFUNCTION("""COMPUTED_VALUE"""),0.0)</f>
        <v>0</v>
      </c>
      <c r="K26" s="1" t="str">
        <f>IFERROR(__xludf.DUMMYFUNCTION("""COMPUTED_VALUE"""),"HP has 4 Migrated cases which are reduced from Active #. Also, death of Tibetan refugee is included in deceased numbers, but not in confirmed")</f>
        <v>HP has 4 Migrated cases which are reduced from Active #. Also, death of Tibetan refugee is included in deceased numbers, but not in confirmed</v>
      </c>
    </row>
    <row r="27">
      <c r="A27" s="1" t="str">
        <f>IFERROR(__xludf.DUMMYFUNCTION("""COMPUTED_VALUE"""),"Tripura")</f>
        <v>Tripura</v>
      </c>
      <c r="B27" s="1">
        <f>IFERROR(__xludf.DUMMYFUNCTION("""COMPUTED_VALUE"""),244.0)</f>
        <v>244</v>
      </c>
      <c r="C27" s="1">
        <f>IFERROR(__xludf.DUMMYFUNCTION("""COMPUTED_VALUE"""),167.0)</f>
        <v>167</v>
      </c>
      <c r="D27" s="1">
        <f>IFERROR(__xludf.DUMMYFUNCTION("""COMPUTED_VALUE"""),0.0)</f>
        <v>0</v>
      </c>
      <c r="E27" s="1">
        <f>IFERROR(__xludf.DUMMYFUNCTION("""COMPUTED_VALUE"""),77.0)</f>
        <v>77</v>
      </c>
      <c r="F27" s="1" t="str">
        <f>IFERROR(__xludf.DUMMYFUNCTION("""COMPUTED_VALUE"""),"28/05/2020 23:02:04")</f>
        <v>28/05/2020 23:02:04</v>
      </c>
      <c r="G27" s="1" t="str">
        <f>IFERROR(__xludf.DUMMYFUNCTION("""COMPUTED_VALUE"""),"TR")</f>
        <v>TR</v>
      </c>
      <c r="H27" s="1">
        <f>IFERROR(__xludf.DUMMYFUNCTION("""COMPUTED_VALUE"""),0.0)</f>
        <v>0</v>
      </c>
      <c r="I27" s="1">
        <f>IFERROR(__xludf.DUMMYFUNCTION("""COMPUTED_VALUE"""),0.0)</f>
        <v>0</v>
      </c>
      <c r="J27" s="1">
        <f>IFERROR(__xludf.DUMMYFUNCTION("""COMPUTED_VALUE"""),0.0)</f>
        <v>0</v>
      </c>
      <c r="K27" s="1" t="str">
        <f>IFERROR(__xludf.DUMMYFUNCTION("""COMPUTED_VALUE"""),"Two cases are migrated out of Tripura.")</f>
        <v>Two cases are migrated out of Tripura.</v>
      </c>
    </row>
    <row r="28">
      <c r="A28" s="1" t="str">
        <f>IFERROR(__xludf.DUMMYFUNCTION("""COMPUTED_VALUE"""),"Goa")</f>
        <v>Goa</v>
      </c>
      <c r="B28" s="1">
        <f>IFERROR(__xludf.DUMMYFUNCTION("""COMPUTED_VALUE"""),69.0)</f>
        <v>69</v>
      </c>
      <c r="C28" s="1">
        <f>IFERROR(__xludf.DUMMYFUNCTION("""COMPUTED_VALUE"""),38.0)</f>
        <v>38</v>
      </c>
      <c r="D28" s="1">
        <f>IFERROR(__xludf.DUMMYFUNCTION("""COMPUTED_VALUE"""),0.0)</f>
        <v>0</v>
      </c>
      <c r="E28" s="1">
        <f>IFERROR(__xludf.DUMMYFUNCTION("""COMPUTED_VALUE"""),31.0)</f>
        <v>31</v>
      </c>
      <c r="F28" s="1" t="str">
        <f>IFERROR(__xludf.DUMMYFUNCTION("""COMPUTED_VALUE"""),"27/05/2020 20:34:08")</f>
        <v>27/05/2020 20:34:08</v>
      </c>
      <c r="G28" s="1" t="str">
        <f>IFERROR(__xludf.DUMMYFUNCTION("""COMPUTED_VALUE"""),"GA")</f>
        <v>GA</v>
      </c>
      <c r="H28" s="1">
        <f>IFERROR(__xludf.DUMMYFUNCTION("""COMPUTED_VALUE"""),0.0)</f>
        <v>0</v>
      </c>
      <c r="I28" s="1">
        <f>IFERROR(__xludf.DUMMYFUNCTION("""COMPUTED_VALUE"""),0.0)</f>
        <v>0</v>
      </c>
      <c r="J28" s="1">
        <f>IFERROR(__xludf.DUMMYFUNCTION("""COMPUTED_VALUE"""),0.0)</f>
        <v>0</v>
      </c>
      <c r="K28" s="1" t="str">
        <f>IFERROR(__xludf.DUMMYFUNCTION("""COMPUTED_VALUE"""),"")</f>
        <v/>
      </c>
    </row>
    <row r="29">
      <c r="A29" s="1" t="str">
        <f>IFERROR(__xludf.DUMMYFUNCTION("""COMPUTED_VALUE"""),"Ladakh")</f>
        <v>Ladakh</v>
      </c>
      <c r="B29" s="1">
        <f>IFERROR(__xludf.DUMMYFUNCTION("""COMPUTED_VALUE"""),74.0)</f>
        <v>74</v>
      </c>
      <c r="C29" s="1">
        <f>IFERROR(__xludf.DUMMYFUNCTION("""COMPUTED_VALUE"""),43.0)</f>
        <v>43</v>
      </c>
      <c r="D29" s="1">
        <f>IFERROR(__xludf.DUMMYFUNCTION("""COMPUTED_VALUE"""),0.0)</f>
        <v>0</v>
      </c>
      <c r="E29" s="1">
        <f>IFERROR(__xludf.DUMMYFUNCTION("""COMPUTED_VALUE"""),31.0)</f>
        <v>31</v>
      </c>
      <c r="F29" s="1" t="str">
        <f>IFERROR(__xludf.DUMMYFUNCTION("""COMPUTED_VALUE"""),"28/05/2020 20:12:06")</f>
        <v>28/05/2020 20:12:06</v>
      </c>
      <c r="G29" s="1" t="str">
        <f>IFERROR(__xludf.DUMMYFUNCTION("""COMPUTED_VALUE"""),"LA")</f>
        <v>LA</v>
      </c>
      <c r="H29" s="1">
        <f>IFERROR(__xludf.DUMMYFUNCTION("""COMPUTED_VALUE"""),0.0)</f>
        <v>0</v>
      </c>
      <c r="I29" s="1">
        <f>IFERROR(__xludf.DUMMYFUNCTION("""COMPUTED_VALUE"""),0.0)</f>
        <v>0</v>
      </c>
      <c r="J29" s="1">
        <f>IFERROR(__xludf.DUMMYFUNCTION("""COMPUTED_VALUE"""),0.0)</f>
        <v>0</v>
      </c>
      <c r="K29" s="1" t="str">
        <f>IFERROR(__xludf.DUMMYFUNCTION("""COMPUTED_VALUE"""),"")</f>
        <v/>
      </c>
    </row>
    <row r="30">
      <c r="A30" s="1" t="str">
        <f>IFERROR(__xludf.DUMMYFUNCTION("""COMPUTED_VALUE"""),"Puducherry")</f>
        <v>Puducherry</v>
      </c>
      <c r="B30" s="1">
        <f>IFERROR(__xludf.DUMMYFUNCTION("""COMPUTED_VALUE"""),53.0)</f>
        <v>53</v>
      </c>
      <c r="C30" s="1">
        <f>IFERROR(__xludf.DUMMYFUNCTION("""COMPUTED_VALUE"""),17.0)</f>
        <v>17</v>
      </c>
      <c r="D30" s="1">
        <f>IFERROR(__xludf.DUMMYFUNCTION("""COMPUTED_VALUE"""),0.0)</f>
        <v>0</v>
      </c>
      <c r="E30" s="1">
        <f>IFERROR(__xludf.DUMMYFUNCTION("""COMPUTED_VALUE"""),36.0)</f>
        <v>36</v>
      </c>
      <c r="F30" s="1" t="str">
        <f>IFERROR(__xludf.DUMMYFUNCTION("""COMPUTED_VALUE"""),"28/05/2020 23:20:05")</f>
        <v>28/05/2020 23:20:05</v>
      </c>
      <c r="G30" s="1" t="str">
        <f>IFERROR(__xludf.DUMMYFUNCTION("""COMPUTED_VALUE"""),"PY")</f>
        <v>PY</v>
      </c>
      <c r="H30" s="1">
        <f>IFERROR(__xludf.DUMMYFUNCTION("""COMPUTED_VALUE"""),0.0)</f>
        <v>0</v>
      </c>
      <c r="I30" s="1">
        <f>IFERROR(__xludf.DUMMYFUNCTION("""COMPUTED_VALUE"""),0.0)</f>
        <v>0</v>
      </c>
      <c r="J30" s="1">
        <f>IFERROR(__xludf.DUMMYFUNCTION("""COMPUTED_VALUE"""),0.0)</f>
        <v>0</v>
      </c>
      <c r="K30" s="1" t="str">
        <f>IFERROR(__xludf.DUMMYFUNCTION("""COMPUTED_VALUE"""),"")</f>
        <v/>
      </c>
    </row>
    <row r="31">
      <c r="A31" s="1" t="str">
        <f>IFERROR(__xludf.DUMMYFUNCTION("""COMPUTED_VALUE"""),"Manipur")</f>
        <v>Manipur</v>
      </c>
      <c r="B31" s="1">
        <f>IFERROR(__xludf.DUMMYFUNCTION("""COMPUTED_VALUE"""),55.0)</f>
        <v>55</v>
      </c>
      <c r="C31" s="1">
        <f>IFERROR(__xludf.DUMMYFUNCTION("""COMPUTED_VALUE"""),4.0)</f>
        <v>4</v>
      </c>
      <c r="D31" s="1">
        <f>IFERROR(__xludf.DUMMYFUNCTION("""COMPUTED_VALUE"""),0.0)</f>
        <v>0</v>
      </c>
      <c r="E31" s="1">
        <f>IFERROR(__xludf.DUMMYFUNCTION("""COMPUTED_VALUE"""),51.0)</f>
        <v>51</v>
      </c>
      <c r="F31" s="1" t="str">
        <f>IFERROR(__xludf.DUMMYFUNCTION("""COMPUTED_VALUE"""),"28/05/2020 17:03:05")</f>
        <v>28/05/2020 17:03:05</v>
      </c>
      <c r="G31" s="1" t="str">
        <f>IFERROR(__xludf.DUMMYFUNCTION("""COMPUTED_VALUE"""),"MN")</f>
        <v>MN</v>
      </c>
      <c r="H31" s="1">
        <f>IFERROR(__xludf.DUMMYFUNCTION("""COMPUTED_VALUE"""),0.0)</f>
        <v>0</v>
      </c>
      <c r="I31" s="1">
        <f>IFERROR(__xludf.DUMMYFUNCTION("""COMPUTED_VALUE"""),0.0)</f>
        <v>0</v>
      </c>
      <c r="J31" s="1">
        <f>IFERROR(__xludf.DUMMYFUNCTION("""COMPUTED_VALUE"""),0.0)</f>
        <v>0</v>
      </c>
      <c r="K31" s="1" t="str">
        <f>IFERROR(__xludf.DUMMYFUNCTION("""COMPUTED_VALUE"""),"")</f>
        <v/>
      </c>
    </row>
    <row r="32">
      <c r="A32" s="1" t="str">
        <f>IFERROR(__xludf.DUMMYFUNCTION("""COMPUTED_VALUE"""),"Andaman and Nicobar Islands")</f>
        <v>Andaman and Nicobar Islands</v>
      </c>
      <c r="B32" s="1">
        <f>IFERROR(__xludf.DUMMYFUNCTION("""COMPUTED_VALUE"""),33.0)</f>
        <v>33</v>
      </c>
      <c r="C32" s="1">
        <f>IFERROR(__xludf.DUMMYFUNCTION("""COMPUTED_VALUE"""),33.0)</f>
        <v>33</v>
      </c>
      <c r="D32" s="1">
        <f>IFERROR(__xludf.DUMMYFUNCTION("""COMPUTED_VALUE"""),0.0)</f>
        <v>0</v>
      </c>
      <c r="E32" s="1">
        <f>IFERROR(__xludf.DUMMYFUNCTION("""COMPUTED_VALUE"""),0.0)</f>
        <v>0</v>
      </c>
      <c r="F32" s="1">
        <f>IFERROR(__xludf.DUMMYFUNCTION("""COMPUTED_VALUE"""),44017.93399305556)</f>
        <v>44017.93399</v>
      </c>
      <c r="G32" s="1" t="str">
        <f>IFERROR(__xludf.DUMMYFUNCTION("""COMPUTED_VALUE"""),"AN")</f>
        <v>AN</v>
      </c>
      <c r="H32" s="1">
        <f>IFERROR(__xludf.DUMMYFUNCTION("""COMPUTED_VALUE"""),0.0)</f>
        <v>0</v>
      </c>
      <c r="I32" s="1">
        <f>IFERROR(__xludf.DUMMYFUNCTION("""COMPUTED_VALUE"""),0.0)</f>
        <v>0</v>
      </c>
      <c r="J32" s="1">
        <f>IFERROR(__xludf.DUMMYFUNCTION("""COMPUTED_VALUE"""),0.0)</f>
        <v>0</v>
      </c>
      <c r="K32" s="1" t="str">
        <f>IFERROR(__xludf.DUMMYFUNCTION("""COMPUTED_VALUE"""),"")</f>
        <v/>
      </c>
    </row>
    <row r="33">
      <c r="A33" s="1" t="str">
        <f>IFERROR(__xludf.DUMMYFUNCTION("""COMPUTED_VALUE"""),"Meghalaya")</f>
        <v>Meghalaya</v>
      </c>
      <c r="B33" s="1">
        <f>IFERROR(__xludf.DUMMYFUNCTION("""COMPUTED_VALUE"""),21.0)</f>
        <v>21</v>
      </c>
      <c r="C33" s="1">
        <f>IFERROR(__xludf.DUMMYFUNCTION("""COMPUTED_VALUE"""),12.0)</f>
        <v>12</v>
      </c>
      <c r="D33" s="1">
        <f>IFERROR(__xludf.DUMMYFUNCTION("""COMPUTED_VALUE"""),1.0)</f>
        <v>1</v>
      </c>
      <c r="E33" s="1">
        <f>IFERROR(__xludf.DUMMYFUNCTION("""COMPUTED_VALUE"""),8.0)</f>
        <v>8</v>
      </c>
      <c r="F33" s="1" t="str">
        <f>IFERROR(__xludf.DUMMYFUNCTION("""COMPUTED_VALUE"""),"28/05/2020 21:34:07")</f>
        <v>28/05/2020 21:34:07</v>
      </c>
      <c r="G33" s="1" t="str">
        <f>IFERROR(__xludf.DUMMYFUNCTION("""COMPUTED_VALUE"""),"ML")</f>
        <v>ML</v>
      </c>
      <c r="H33" s="1">
        <f>IFERROR(__xludf.DUMMYFUNCTION("""COMPUTED_VALUE"""),0.0)</f>
        <v>0</v>
      </c>
      <c r="I33" s="1">
        <f>IFERROR(__xludf.DUMMYFUNCTION("""COMPUTED_VALUE"""),0.0)</f>
        <v>0</v>
      </c>
      <c r="J33" s="1">
        <f>IFERROR(__xludf.DUMMYFUNCTION("""COMPUTED_VALUE"""),0.0)</f>
        <v>0</v>
      </c>
      <c r="K33" s="1" t="str">
        <f>IFERROR(__xludf.DUMMYFUNCTION("""COMPUTED_VALUE"""),"")</f>
        <v/>
      </c>
    </row>
    <row r="34">
      <c r="A34" s="1" t="str">
        <f>IFERROR(__xludf.DUMMYFUNCTION("""COMPUTED_VALUE"""),"Nagaland")</f>
        <v>Nagaland</v>
      </c>
      <c r="B34" s="1">
        <f>IFERROR(__xludf.DUMMYFUNCTION("""COMPUTED_VALUE"""),18.0)</f>
        <v>18</v>
      </c>
      <c r="C34" s="1">
        <f>IFERROR(__xludf.DUMMYFUNCTION("""COMPUTED_VALUE"""),0.0)</f>
        <v>0</v>
      </c>
      <c r="D34" s="1">
        <f>IFERROR(__xludf.DUMMYFUNCTION("""COMPUTED_VALUE"""),0.0)</f>
        <v>0</v>
      </c>
      <c r="E34" s="1">
        <f>IFERROR(__xludf.DUMMYFUNCTION("""COMPUTED_VALUE"""),18.0)</f>
        <v>18</v>
      </c>
      <c r="F34" s="1" t="str">
        <f>IFERROR(__xludf.DUMMYFUNCTION("""COMPUTED_VALUE"""),"28/05/2020 16:38:08")</f>
        <v>28/05/2020 16:38:08</v>
      </c>
      <c r="G34" s="1" t="str">
        <f>IFERROR(__xludf.DUMMYFUNCTION("""COMPUTED_VALUE"""),"NL")</f>
        <v>NL</v>
      </c>
      <c r="H34" s="1">
        <f>IFERROR(__xludf.DUMMYFUNCTION("""COMPUTED_VALUE"""),0.0)</f>
        <v>0</v>
      </c>
      <c r="I34" s="1">
        <f>IFERROR(__xludf.DUMMYFUNCTION("""COMPUTED_VALUE"""),0.0)</f>
        <v>0</v>
      </c>
      <c r="J34" s="1">
        <f>IFERROR(__xludf.DUMMYFUNCTION("""COMPUTED_VALUE"""),0.0)</f>
        <v>0</v>
      </c>
      <c r="K34" s="1" t="str">
        <f>IFERROR(__xludf.DUMMYFUNCTION("""COMPUTED_VALUE"""),"")</f>
        <v/>
      </c>
    </row>
    <row r="35">
      <c r="A35" s="1" t="str">
        <f>IFERROR(__xludf.DUMMYFUNCTION("""COMPUTED_VALUE"""),"Dadra and Nagar Haveli and Daman and Diu")</f>
        <v>Dadra and Nagar Haveli and Daman and Diu</v>
      </c>
      <c r="B35" s="1">
        <f>IFERROR(__xludf.DUMMYFUNCTION("""COMPUTED_VALUE"""),2.0)</f>
        <v>2</v>
      </c>
      <c r="C35" s="1">
        <f>IFERROR(__xludf.DUMMYFUNCTION("""COMPUTED_VALUE"""),1.0)</f>
        <v>1</v>
      </c>
      <c r="D35" s="1">
        <f>IFERROR(__xludf.DUMMYFUNCTION("""COMPUTED_VALUE"""),0.0)</f>
        <v>0</v>
      </c>
      <c r="E35" s="1">
        <f>IFERROR(__xludf.DUMMYFUNCTION("""COMPUTED_VALUE"""),1.0)</f>
        <v>1</v>
      </c>
      <c r="F35" s="1" t="str">
        <f>IFERROR(__xludf.DUMMYFUNCTION("""COMPUTED_VALUE"""),"23/05/2020 23:47:25")</f>
        <v>23/05/2020 23:47:25</v>
      </c>
      <c r="G35" s="1" t="str">
        <f>IFERROR(__xludf.DUMMYFUNCTION("""COMPUTED_VALUE"""),"DN")</f>
        <v>DN</v>
      </c>
      <c r="H35" s="1">
        <f>IFERROR(__xludf.DUMMYFUNCTION("""COMPUTED_VALUE"""),0.0)</f>
        <v>0</v>
      </c>
      <c r="I35" s="1">
        <f>IFERROR(__xludf.DUMMYFUNCTION("""COMPUTED_VALUE"""),0.0)</f>
        <v>0</v>
      </c>
      <c r="J35" s="1">
        <f>IFERROR(__xludf.DUMMYFUNCTION("""COMPUTED_VALUE"""),0.0)</f>
        <v>0</v>
      </c>
      <c r="K35" s="1" t="str">
        <f>IFERROR(__xludf.DUMMYFUNCTION("""COMPUTED_VALUE"""),"")</f>
        <v/>
      </c>
    </row>
    <row r="36">
      <c r="A36" s="1" t="str">
        <f>IFERROR(__xludf.DUMMYFUNCTION("""COMPUTED_VALUE"""),"Arunachal Pradesh")</f>
        <v>Arunachal Pradesh</v>
      </c>
      <c r="B36" s="1">
        <f>IFERROR(__xludf.DUMMYFUNCTION("""COMPUTED_VALUE"""),3.0)</f>
        <v>3</v>
      </c>
      <c r="C36" s="1">
        <f>IFERROR(__xludf.DUMMYFUNCTION("""COMPUTED_VALUE"""),1.0)</f>
        <v>1</v>
      </c>
      <c r="D36" s="1">
        <f>IFERROR(__xludf.DUMMYFUNCTION("""COMPUTED_VALUE"""),0.0)</f>
        <v>0</v>
      </c>
      <c r="E36" s="1">
        <f>IFERROR(__xludf.DUMMYFUNCTION("""COMPUTED_VALUE"""),2.0)</f>
        <v>2</v>
      </c>
      <c r="F36" s="1" t="str">
        <f>IFERROR(__xludf.DUMMYFUNCTION("""COMPUTED_VALUE"""),"29/05/2020 00:33:07")</f>
        <v>29/05/2020 00:33:07</v>
      </c>
      <c r="G36" s="1" t="str">
        <f>IFERROR(__xludf.DUMMYFUNCTION("""COMPUTED_VALUE"""),"AR")</f>
        <v>AR</v>
      </c>
      <c r="H36" s="1">
        <f>IFERROR(__xludf.DUMMYFUNCTION("""COMPUTED_VALUE"""),0.0)</f>
        <v>0</v>
      </c>
      <c r="I36" s="1">
        <f>IFERROR(__xludf.DUMMYFUNCTION("""COMPUTED_VALUE"""),0.0)</f>
        <v>0</v>
      </c>
      <c r="J36" s="1">
        <f>IFERROR(__xludf.DUMMYFUNCTION("""COMPUTED_VALUE"""),0.0)</f>
        <v>0</v>
      </c>
      <c r="K36" s="1" t="str">
        <f>IFERROR(__xludf.DUMMYFUNCTION("""COMPUTED_VALUE"""),"")</f>
        <v/>
      </c>
    </row>
    <row r="37">
      <c r="A37" s="1" t="str">
        <f>IFERROR(__xludf.DUMMYFUNCTION("""COMPUTED_VALUE"""),"Mizoram")</f>
        <v>Mizoram</v>
      </c>
      <c r="B37" s="1">
        <f>IFERROR(__xludf.DUMMYFUNCTION("""COMPUTED_VALUE"""),1.0)</f>
        <v>1</v>
      </c>
      <c r="C37" s="1">
        <f>IFERROR(__xludf.DUMMYFUNCTION("""COMPUTED_VALUE"""),1.0)</f>
        <v>1</v>
      </c>
      <c r="D37" s="1">
        <f>IFERROR(__xludf.DUMMYFUNCTION("""COMPUTED_VALUE"""),0.0)</f>
        <v>0</v>
      </c>
      <c r="E37" s="1">
        <f>IFERROR(__xludf.DUMMYFUNCTION("""COMPUTED_VALUE"""),0.0)</f>
        <v>0</v>
      </c>
      <c r="F37" s="1">
        <f>IFERROR(__xludf.DUMMYFUNCTION("""COMPUTED_VALUE"""),43956.93943287037)</f>
        <v>43956.93943</v>
      </c>
      <c r="G37" s="1" t="str">
        <f>IFERROR(__xludf.DUMMYFUNCTION("""COMPUTED_VALUE"""),"MZ")</f>
        <v>MZ</v>
      </c>
      <c r="H37" s="1">
        <f>IFERROR(__xludf.DUMMYFUNCTION("""COMPUTED_VALUE"""),0.0)</f>
        <v>0</v>
      </c>
      <c r="I37" s="1">
        <f>IFERROR(__xludf.DUMMYFUNCTION("""COMPUTED_VALUE"""),0.0)</f>
        <v>0</v>
      </c>
      <c r="J37" s="1">
        <f>IFERROR(__xludf.DUMMYFUNCTION("""COMPUTED_VALUE"""),0.0)</f>
        <v>0</v>
      </c>
      <c r="K37" s="1" t="str">
        <f>IFERROR(__xludf.DUMMYFUNCTION("""COMPUTED_VALUE"""),"")</f>
        <v/>
      </c>
    </row>
    <row r="38">
      <c r="A38" s="1" t="str">
        <f>IFERROR(__xludf.DUMMYFUNCTION("""COMPUTED_VALUE"""),"Sikkim")</f>
        <v>Sikkim</v>
      </c>
      <c r="B38" s="1">
        <f>IFERROR(__xludf.DUMMYFUNCTION("""COMPUTED_VALUE"""),1.0)</f>
        <v>1</v>
      </c>
      <c r="C38" s="1">
        <f>IFERROR(__xludf.DUMMYFUNCTION("""COMPUTED_VALUE"""),0.0)</f>
        <v>0</v>
      </c>
      <c r="D38" s="1">
        <f>IFERROR(__xludf.DUMMYFUNCTION("""COMPUTED_VALUE"""),0.0)</f>
        <v>0</v>
      </c>
      <c r="E38" s="1">
        <f>IFERROR(__xludf.DUMMYFUNCTION("""COMPUTED_VALUE"""),1.0)</f>
        <v>1</v>
      </c>
      <c r="F38" s="1" t="str">
        <f>IFERROR(__xludf.DUMMYFUNCTION("""COMPUTED_VALUE"""),"23/05/2020 19:42:35")</f>
        <v>23/05/2020 19:42:35</v>
      </c>
      <c r="G38" s="1" t="str">
        <f>IFERROR(__xludf.DUMMYFUNCTION("""COMPUTED_VALUE"""),"SK")</f>
        <v>SK</v>
      </c>
      <c r="H38" s="1">
        <f>IFERROR(__xludf.DUMMYFUNCTION("""COMPUTED_VALUE"""),0.0)</f>
        <v>0</v>
      </c>
      <c r="I38" s="1">
        <f>IFERROR(__xludf.DUMMYFUNCTION("""COMPUTED_VALUE"""),0.0)</f>
        <v>0</v>
      </c>
      <c r="J38" s="1">
        <f>IFERROR(__xludf.DUMMYFUNCTION("""COMPUTED_VALUE"""),0.0)</f>
        <v>0</v>
      </c>
      <c r="K38" s="1" t="str">
        <f>IFERROR(__xludf.DUMMYFUNCTION("""COMPUTED_VALUE"""),"")</f>
        <v/>
      </c>
    </row>
    <row r="39">
      <c r="A39" s="1" t="str">
        <f>IFERROR(__xludf.DUMMYFUNCTION("""COMPUTED_VALUE"""),"Lakshadweep")</f>
        <v>Lakshadweep</v>
      </c>
      <c r="B39" s="1">
        <f>IFERROR(__xludf.DUMMYFUNCTION("""COMPUTED_VALUE"""),0.0)</f>
        <v>0</v>
      </c>
      <c r="C39" s="1">
        <f>IFERROR(__xludf.DUMMYFUNCTION("""COMPUTED_VALUE"""),0.0)</f>
        <v>0</v>
      </c>
      <c r="D39" s="1">
        <f>IFERROR(__xludf.DUMMYFUNCTION("""COMPUTED_VALUE"""),0.0)</f>
        <v>0</v>
      </c>
      <c r="E39" s="1">
        <f>IFERROR(__xludf.DUMMYFUNCTION("""COMPUTED_VALUE"""),0.0)</f>
        <v>0</v>
      </c>
      <c r="F39" s="1" t="str">
        <f>IFERROR(__xludf.DUMMYFUNCTION("""COMPUTED_VALUE"""),"26/03/2020 07:19:29")</f>
        <v>26/03/2020 07:19:29</v>
      </c>
      <c r="G39" s="1" t="str">
        <f>IFERROR(__xludf.DUMMYFUNCTION("""COMPUTED_VALUE"""),"LD")</f>
        <v>LD</v>
      </c>
      <c r="H39" s="1">
        <f>IFERROR(__xludf.DUMMYFUNCTION("""COMPUTED_VALUE"""),0.0)</f>
        <v>0</v>
      </c>
      <c r="I39" s="1">
        <f>IFERROR(__xludf.DUMMYFUNCTION("""COMPUTED_VALUE"""),0.0)</f>
        <v>0</v>
      </c>
      <c r="J39" s="1">
        <f>IFERROR(__xludf.DUMMYFUNCTION("""COMPUTED_VALUE"""),0.0)</f>
        <v>0</v>
      </c>
      <c r="K39" s="1" t="str">
        <f>IFERROR(__xludf.DUMMYFUNCTION("""COMPUTED_VALUE"""),"")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14"/>
    <col customWidth="1" min="6" max="6" width="21.57"/>
  </cols>
  <sheetData>
    <row r="1">
      <c r="A1" s="1" t="str">
        <f>Tracker!A1</f>
        <v>State</v>
      </c>
      <c r="B1" s="1" t="str">
        <f>Tracker!B1</f>
        <v>Confirmed</v>
      </c>
      <c r="C1" s="2" t="str">
        <f>Tracker!C1</f>
        <v>Recovered</v>
      </c>
      <c r="D1" s="2" t="str">
        <f>Tracker!D1</f>
        <v>Deaths</v>
      </c>
      <c r="E1" s="2" t="str">
        <f>Tracker!E1</f>
        <v>Active</v>
      </c>
      <c r="F1" s="2" t="str">
        <f>Tracker!F1</f>
        <v>Last_Updated_Time</v>
      </c>
      <c r="G1" s="2" t="str">
        <f>Tracker!G1</f>
        <v>State_code</v>
      </c>
      <c r="H1" s="2" t="str">
        <f>Tracker!H1</f>
        <v>Delta_Confirmed</v>
      </c>
      <c r="I1" s="2" t="str">
        <f>Tracker!I1</f>
        <v>Delta_Recovered</v>
      </c>
      <c r="J1" s="2" t="str">
        <f>Tracker!J1</f>
        <v>Delta_Deaths</v>
      </c>
    </row>
    <row r="2">
      <c r="A2" s="1" t="str">
        <f>Tracker!A2</f>
        <v>Total</v>
      </c>
      <c r="B2" s="1">
        <f>Tracker!B2</f>
        <v>165387</v>
      </c>
      <c r="C2" s="1">
        <f>Tracker!C2</f>
        <v>70920</v>
      </c>
      <c r="D2" s="1">
        <f>Tracker!D2</f>
        <v>4711</v>
      </c>
      <c r="E2" s="1">
        <f>Tracker!E2</f>
        <v>89745</v>
      </c>
      <c r="F2" s="1" t="str">
        <f>Tracker!F2</f>
        <v>29/05/2020 06:13:03</v>
      </c>
      <c r="G2" s="1" t="str">
        <f>Tracker!G2</f>
        <v>TT</v>
      </c>
      <c r="H2" s="2">
        <f>Tracker!H2</f>
        <v>0</v>
      </c>
      <c r="I2" s="2">
        <f>Tracker!I2</f>
        <v>0</v>
      </c>
      <c r="J2" s="2">
        <f>Tracker!J2</f>
        <v>0</v>
      </c>
    </row>
    <row r="3">
      <c r="A3" s="1" t="str">
        <f>Tracker!A3</f>
        <v>Maharashtra</v>
      </c>
      <c r="B3" s="1">
        <f>Tracker!B3</f>
        <v>59546</v>
      </c>
      <c r="C3" s="1">
        <f>Tracker!C3</f>
        <v>18616</v>
      </c>
      <c r="D3" s="1">
        <f>Tracker!D3</f>
        <v>1982</v>
      </c>
      <c r="E3" s="1">
        <f>Tracker!E3</f>
        <v>38948</v>
      </c>
      <c r="F3" s="1" t="str">
        <f>Tracker!F3</f>
        <v>28/05/2020 20:24:07</v>
      </c>
      <c r="G3" s="1" t="str">
        <f>Tracker!G3</f>
        <v>MH</v>
      </c>
      <c r="H3" s="2">
        <f>Tracker!H3</f>
        <v>0</v>
      </c>
      <c r="I3" s="2">
        <f>Tracker!I3</f>
        <v>0</v>
      </c>
      <c r="J3" s="2">
        <f>Tracker!J3</f>
        <v>0</v>
      </c>
    </row>
    <row r="4">
      <c r="A4" s="1" t="str">
        <f>Tracker!A4</f>
        <v>Tamil Nadu</v>
      </c>
      <c r="B4" s="1">
        <f>Tracker!B4</f>
        <v>19372</v>
      </c>
      <c r="C4" s="1">
        <f>Tracker!C4</f>
        <v>10548</v>
      </c>
      <c r="D4" s="1">
        <f>Tracker!D4</f>
        <v>148</v>
      </c>
      <c r="E4" s="1">
        <f>Tracker!E4</f>
        <v>8676</v>
      </c>
      <c r="F4" s="1" t="str">
        <f>Tracker!F4</f>
        <v>28/05/2020 19:24:13</v>
      </c>
      <c r="G4" s="1" t="str">
        <f>Tracker!G4</f>
        <v>TN</v>
      </c>
      <c r="H4" s="2">
        <f>Tracker!H4</f>
        <v>0</v>
      </c>
      <c r="I4" s="2">
        <f>Tracker!I4</f>
        <v>0</v>
      </c>
      <c r="J4" s="2">
        <f>Tracker!J4</f>
        <v>0</v>
      </c>
    </row>
    <row r="5">
      <c r="A5" s="1" t="str">
        <f>Tracker!A5</f>
        <v>Delhi</v>
      </c>
      <c r="B5" s="1">
        <f>Tracker!B5</f>
        <v>16281</v>
      </c>
      <c r="C5" s="1">
        <f>Tracker!C5</f>
        <v>7495</v>
      </c>
      <c r="D5" s="1">
        <f>Tracker!D5</f>
        <v>316</v>
      </c>
      <c r="E5" s="1">
        <f>Tracker!E5</f>
        <v>8470</v>
      </c>
      <c r="F5" s="1" t="str">
        <f>Tracker!F5</f>
        <v>28/05/2020 21:12:06</v>
      </c>
      <c r="G5" s="1" t="str">
        <f>Tracker!G5</f>
        <v>DL</v>
      </c>
      <c r="H5" s="2">
        <f>Tracker!H5</f>
        <v>0</v>
      </c>
      <c r="I5" s="2">
        <f>Tracker!I5</f>
        <v>0</v>
      </c>
      <c r="J5" s="2">
        <f>Tracker!J5</f>
        <v>0</v>
      </c>
    </row>
    <row r="6">
      <c r="A6" s="1" t="str">
        <f>Tracker!A6</f>
        <v>Gujarat</v>
      </c>
      <c r="B6" s="1">
        <f>Tracker!B6</f>
        <v>15572</v>
      </c>
      <c r="C6" s="1">
        <f>Tracker!C6</f>
        <v>8003</v>
      </c>
      <c r="D6" s="1">
        <f>Tracker!D6</f>
        <v>960</v>
      </c>
      <c r="E6" s="1">
        <f>Tracker!E6</f>
        <v>6609</v>
      </c>
      <c r="F6" s="1" t="str">
        <f>Tracker!F6</f>
        <v>28/05/2020 21:46:05</v>
      </c>
      <c r="G6" s="1" t="str">
        <f>Tracker!G6</f>
        <v>GJ</v>
      </c>
      <c r="H6" s="2">
        <f>Tracker!H6</f>
        <v>0</v>
      </c>
      <c r="I6" s="2">
        <f>Tracker!I6</f>
        <v>0</v>
      </c>
      <c r="J6" s="2">
        <f>Tracker!J6</f>
        <v>0</v>
      </c>
    </row>
    <row r="7">
      <c r="A7" s="1" t="str">
        <f>Tracker!A7</f>
        <v>Rajasthan</v>
      </c>
      <c r="B7" s="1">
        <f>Tracker!B7</f>
        <v>8067</v>
      </c>
      <c r="C7" s="1">
        <f>Tracker!C7</f>
        <v>4815</v>
      </c>
      <c r="D7" s="1">
        <f>Tracker!D7</f>
        <v>180</v>
      </c>
      <c r="E7" s="1">
        <f>Tracker!E7</f>
        <v>3072</v>
      </c>
      <c r="F7" s="1" t="str">
        <f>Tracker!F7</f>
        <v>28/05/2020 23:53:04</v>
      </c>
      <c r="G7" s="1" t="str">
        <f>Tracker!G7</f>
        <v>RJ</v>
      </c>
      <c r="H7" s="2">
        <f>Tracker!H7</f>
        <v>0</v>
      </c>
      <c r="I7" s="2">
        <f>Tracker!I7</f>
        <v>0</v>
      </c>
      <c r="J7" s="2">
        <f>Tracker!J7</f>
        <v>0</v>
      </c>
    </row>
    <row r="8">
      <c r="A8" s="1" t="str">
        <f>Tracker!A8</f>
        <v>Madhya Pradesh</v>
      </c>
      <c r="B8" s="1">
        <f>Tracker!B8</f>
        <v>7453</v>
      </c>
      <c r="C8" s="1">
        <f>Tracker!C8</f>
        <v>4050</v>
      </c>
      <c r="D8" s="1">
        <f>Tracker!D8</f>
        <v>321</v>
      </c>
      <c r="E8" s="1">
        <f>Tracker!E8</f>
        <v>3082</v>
      </c>
      <c r="F8" s="1" t="str">
        <f>Tracker!F8</f>
        <v>28/05/2020 19:53:05</v>
      </c>
      <c r="G8" s="1" t="str">
        <f>Tracker!G8</f>
        <v>MP</v>
      </c>
      <c r="H8" s="2">
        <f>Tracker!H8</f>
        <v>0</v>
      </c>
      <c r="I8" s="2">
        <f>Tracker!I8</f>
        <v>0</v>
      </c>
      <c r="J8" s="2">
        <f>Tracker!J8</f>
        <v>0</v>
      </c>
    </row>
    <row r="9">
      <c r="A9" s="1" t="str">
        <f>Tracker!A9</f>
        <v>Uttar Pradesh</v>
      </c>
      <c r="B9" s="1">
        <f>Tracker!B9</f>
        <v>7170</v>
      </c>
      <c r="C9" s="1">
        <f>Tracker!C9</f>
        <v>4215</v>
      </c>
      <c r="D9" s="1">
        <f>Tracker!D9</f>
        <v>197</v>
      </c>
      <c r="E9" s="1">
        <f>Tracker!E9</f>
        <v>2758</v>
      </c>
      <c r="F9" s="1" t="str">
        <f>Tracker!F9</f>
        <v>28/05/2020 22:21:04</v>
      </c>
      <c r="G9" s="1" t="str">
        <f>Tracker!G9</f>
        <v>UP</v>
      </c>
      <c r="H9" s="2">
        <f>Tracker!H9</f>
        <v>0</v>
      </c>
      <c r="I9" s="2">
        <f>Tracker!I9</f>
        <v>0</v>
      </c>
      <c r="J9" s="2">
        <f>Tracker!J9</f>
        <v>0</v>
      </c>
    </row>
    <row r="10">
      <c r="A10" s="1" t="str">
        <f>Tracker!A10</f>
        <v>West Bengal</v>
      </c>
      <c r="B10" s="1">
        <f>Tracker!B10</f>
        <v>4536</v>
      </c>
      <c r="C10" s="1">
        <f>Tracker!C10</f>
        <v>1668</v>
      </c>
      <c r="D10" s="1">
        <f>Tracker!D10</f>
        <v>295</v>
      </c>
      <c r="E10" s="1">
        <f>Tracker!E10</f>
        <v>2573</v>
      </c>
      <c r="F10" s="1" t="str">
        <f>Tracker!F10</f>
        <v>28/05/2020 19:35:04</v>
      </c>
      <c r="G10" s="1" t="str">
        <f>Tracker!G10</f>
        <v>WB</v>
      </c>
      <c r="H10" s="2">
        <f>Tracker!H10</f>
        <v>0</v>
      </c>
      <c r="I10" s="2">
        <f>Tracker!I10</f>
        <v>0</v>
      </c>
      <c r="J10" s="2">
        <f>Tracker!J10</f>
        <v>0</v>
      </c>
    </row>
    <row r="11">
      <c r="A11" s="1" t="str">
        <f>Tracker!A11</f>
        <v>State Unassigned</v>
      </c>
      <c r="B11" s="1">
        <f>Tracker!B11</f>
        <v>4332</v>
      </c>
      <c r="C11" s="1">
        <f>Tracker!C11</f>
        <v>0</v>
      </c>
      <c r="D11" s="1">
        <f>Tracker!D11</f>
        <v>0</v>
      </c>
      <c r="E11" s="1">
        <f>Tracker!E11</f>
        <v>4332</v>
      </c>
      <c r="F11" s="1" t="str">
        <f>Tracker!F11</f>
        <v>28/05/2020 09:18:05</v>
      </c>
      <c r="G11" s="1" t="str">
        <f>Tracker!G11</f>
        <v>UN</v>
      </c>
      <c r="H11" s="2">
        <f>Tracker!H11</f>
        <v>0</v>
      </c>
      <c r="I11" s="2">
        <f>Tracker!I11</f>
        <v>0</v>
      </c>
      <c r="J11" s="2">
        <f>Tracker!J11</f>
        <v>0</v>
      </c>
    </row>
    <row r="12">
      <c r="A12" s="1" t="str">
        <f>Tracker!A12</f>
        <v>Andhra Pradesh</v>
      </c>
      <c r="B12" s="1">
        <f>Tracker!B12</f>
        <v>3245</v>
      </c>
      <c r="C12" s="1">
        <f>Tracker!C12</f>
        <v>2133</v>
      </c>
      <c r="D12" s="1">
        <f>Tracker!D12</f>
        <v>59</v>
      </c>
      <c r="E12" s="1">
        <f>Tracker!E12</f>
        <v>1053</v>
      </c>
      <c r="F12" s="1" t="str">
        <f>Tracker!F12</f>
        <v>28/05/2020 16:44:04</v>
      </c>
      <c r="G12" s="1" t="str">
        <f>Tracker!G12</f>
        <v>AP</v>
      </c>
      <c r="H12" s="2">
        <f>Tracker!H12</f>
        <v>0</v>
      </c>
      <c r="I12" s="2">
        <f>Tracker!I12</f>
        <v>0</v>
      </c>
      <c r="J12" s="2">
        <f>Tracker!J12</f>
        <v>0</v>
      </c>
    </row>
    <row r="13">
      <c r="A13" s="1" t="str">
        <f>Tracker!A13</f>
        <v>Bihar</v>
      </c>
      <c r="B13" s="1">
        <f>Tracker!B13</f>
        <v>3185</v>
      </c>
      <c r="C13" s="1">
        <f>Tracker!C13</f>
        <v>1050</v>
      </c>
      <c r="D13" s="1">
        <f>Tracker!D13</f>
        <v>15</v>
      </c>
      <c r="E13" s="1">
        <f>Tracker!E13</f>
        <v>2120</v>
      </c>
      <c r="F13" s="1" t="str">
        <f>Tracker!F13</f>
        <v>29/05/2020 00:20:04</v>
      </c>
      <c r="G13" s="1" t="str">
        <f>Tracker!G13</f>
        <v>BR</v>
      </c>
      <c r="H13" s="2">
        <f>Tracker!H13</f>
        <v>0</v>
      </c>
      <c r="I13" s="2">
        <f>Tracker!I13</f>
        <v>0</v>
      </c>
      <c r="J13" s="2">
        <f>Tracker!J13</f>
        <v>0</v>
      </c>
    </row>
    <row r="14">
      <c r="A14" s="1" t="str">
        <f>Tracker!A14</f>
        <v>Karnataka</v>
      </c>
      <c r="B14" s="1">
        <f>Tracker!B14</f>
        <v>2533</v>
      </c>
      <c r="C14" s="1">
        <f>Tracker!C14</f>
        <v>818</v>
      </c>
      <c r="D14" s="1">
        <f>Tracker!D14</f>
        <v>47</v>
      </c>
      <c r="E14" s="1">
        <f>Tracker!E14</f>
        <v>1666</v>
      </c>
      <c r="F14" s="1" t="str">
        <f>Tracker!F14</f>
        <v>28/05/2020 18:44:09</v>
      </c>
      <c r="G14" s="1" t="str">
        <f>Tracker!G14</f>
        <v>KA</v>
      </c>
      <c r="H14" s="2">
        <f>Tracker!H14</f>
        <v>0</v>
      </c>
      <c r="I14" s="2">
        <f>Tracker!I14</f>
        <v>0</v>
      </c>
      <c r="J14" s="2">
        <f>Tracker!J14</f>
        <v>0</v>
      </c>
    </row>
    <row r="15">
      <c r="A15" s="1" t="str">
        <f>Tracker!A15</f>
        <v>Punjab</v>
      </c>
      <c r="B15" s="1">
        <f>Tracker!B15</f>
        <v>2158</v>
      </c>
      <c r="C15" s="1">
        <f>Tracker!C15</f>
        <v>1946</v>
      </c>
      <c r="D15" s="1">
        <f>Tracker!D15</f>
        <v>40</v>
      </c>
      <c r="E15" s="1">
        <f>Tracker!E15</f>
        <v>172</v>
      </c>
      <c r="F15" s="1" t="str">
        <f>Tracker!F15</f>
        <v>28/05/2020 18:33:05</v>
      </c>
      <c r="G15" s="1" t="str">
        <f>Tracker!G15</f>
        <v>PB</v>
      </c>
      <c r="H15" s="2">
        <f>Tracker!H15</f>
        <v>0</v>
      </c>
      <c r="I15" s="2">
        <f>Tracker!I15</f>
        <v>0</v>
      </c>
      <c r="J15" s="2">
        <f>Tracker!J15</f>
        <v>0</v>
      </c>
    </row>
    <row r="16">
      <c r="A16" s="1" t="str">
        <f>Tracker!A16</f>
        <v>Telangana</v>
      </c>
      <c r="B16" s="1">
        <f>Tracker!B16</f>
        <v>2256</v>
      </c>
      <c r="C16" s="1">
        <f>Tracker!C16</f>
        <v>1345</v>
      </c>
      <c r="D16" s="1">
        <f>Tracker!D16</f>
        <v>67</v>
      </c>
      <c r="E16" s="1">
        <f>Tracker!E16</f>
        <v>844</v>
      </c>
      <c r="F16" s="1" t="str">
        <f>Tracker!F16</f>
        <v>28/05/2020 21:53:05</v>
      </c>
      <c r="G16" s="1" t="str">
        <f>Tracker!G16</f>
        <v>TG</v>
      </c>
      <c r="H16" s="2">
        <f>Tracker!H16</f>
        <v>0</v>
      </c>
      <c r="I16" s="2">
        <f>Tracker!I16</f>
        <v>0</v>
      </c>
      <c r="J16" s="2">
        <f>Tracker!J16</f>
        <v>0</v>
      </c>
    </row>
    <row r="17">
      <c r="A17" s="1" t="str">
        <f>Tracker!A17</f>
        <v>Jammu and Kashmir</v>
      </c>
      <c r="B17" s="1">
        <f>Tracker!B17</f>
        <v>2036</v>
      </c>
      <c r="C17" s="1">
        <f>Tracker!C17</f>
        <v>859</v>
      </c>
      <c r="D17" s="1">
        <f>Tracker!D17</f>
        <v>27</v>
      </c>
      <c r="E17" s="1">
        <f>Tracker!E17</f>
        <v>1150</v>
      </c>
      <c r="F17" s="1" t="str">
        <f>Tracker!F17</f>
        <v>28/05/2020 20:45:07</v>
      </c>
      <c r="G17" s="1" t="str">
        <f>Tracker!G17</f>
        <v>JK</v>
      </c>
      <c r="H17" s="2">
        <f>Tracker!H17</f>
        <v>0</v>
      </c>
      <c r="I17" s="2">
        <f>Tracker!I17</f>
        <v>0</v>
      </c>
      <c r="J17" s="2">
        <f>Tracker!J17</f>
        <v>0</v>
      </c>
    </row>
    <row r="18">
      <c r="A18" s="1" t="str">
        <f>Tracker!A18</f>
        <v>Odisha</v>
      </c>
      <c r="B18" s="1">
        <f>Tracker!B18</f>
        <v>1660</v>
      </c>
      <c r="C18" s="1">
        <f>Tracker!C18</f>
        <v>887</v>
      </c>
      <c r="D18" s="1">
        <f>Tracker!D18</f>
        <v>7</v>
      </c>
      <c r="E18" s="1">
        <f>Tracker!E18</f>
        <v>766</v>
      </c>
      <c r="F18" s="1" t="str">
        <f>Tracker!F18</f>
        <v>28/05/2020 15:25:04</v>
      </c>
      <c r="G18" s="1" t="str">
        <f>Tracker!G18</f>
        <v>OR</v>
      </c>
      <c r="H18" s="2">
        <f>Tracker!H18</f>
        <v>0</v>
      </c>
      <c r="I18" s="2">
        <f>Tracker!I18</f>
        <v>0</v>
      </c>
      <c r="J18" s="2">
        <f>Tracker!J18</f>
        <v>0</v>
      </c>
    </row>
    <row r="19">
      <c r="A19" s="1" t="str">
        <f>Tracker!A19</f>
        <v>Haryana</v>
      </c>
      <c r="B19" s="1">
        <f>Tracker!B19</f>
        <v>1504</v>
      </c>
      <c r="C19" s="1">
        <f>Tracker!C19</f>
        <v>881</v>
      </c>
      <c r="D19" s="1">
        <f>Tracker!D19</f>
        <v>19</v>
      </c>
      <c r="E19" s="1">
        <f>Tracker!E19</f>
        <v>604</v>
      </c>
      <c r="F19" s="1" t="str">
        <f>Tracker!F19</f>
        <v>28/05/2020 20:53:09</v>
      </c>
      <c r="G19" s="1" t="str">
        <f>Tracker!G19</f>
        <v>HR</v>
      </c>
      <c r="H19" s="2">
        <f>Tracker!H19</f>
        <v>0</v>
      </c>
      <c r="I19" s="2">
        <f>Tracker!I19</f>
        <v>0</v>
      </c>
      <c r="J19" s="2">
        <f>Tracker!J19</f>
        <v>0</v>
      </c>
    </row>
    <row r="20">
      <c r="A20" s="1" t="str">
        <f>Tracker!A20</f>
        <v>Kerala</v>
      </c>
      <c r="B20" s="1">
        <f>Tracker!B20</f>
        <v>1089</v>
      </c>
      <c r="C20" s="1">
        <f>Tracker!C20</f>
        <v>555</v>
      </c>
      <c r="D20" s="1">
        <f>Tracker!D20</f>
        <v>8</v>
      </c>
      <c r="E20" s="1">
        <f>Tracker!E20</f>
        <v>526</v>
      </c>
      <c r="F20" s="1" t="str">
        <f>Tracker!F20</f>
        <v>29/05/2020 06:13:05</v>
      </c>
      <c r="G20" s="1" t="str">
        <f>Tracker!G20</f>
        <v>KL</v>
      </c>
      <c r="H20" s="2">
        <f>Tracker!H20</f>
        <v>0</v>
      </c>
      <c r="I20" s="2">
        <f>Tracker!I20</f>
        <v>0</v>
      </c>
      <c r="J20" s="2">
        <f>Tracker!J20</f>
        <v>0</v>
      </c>
    </row>
    <row r="21">
      <c r="A21" s="1" t="str">
        <f>Tracker!A21</f>
        <v>Assam</v>
      </c>
      <c r="B21" s="1">
        <f>Tracker!B21</f>
        <v>880</v>
      </c>
      <c r="C21" s="1">
        <f>Tracker!C21</f>
        <v>104</v>
      </c>
      <c r="D21" s="1">
        <f>Tracker!D21</f>
        <v>4</v>
      </c>
      <c r="E21" s="1">
        <f>Tracker!E21</f>
        <v>769</v>
      </c>
      <c r="F21" s="1" t="str">
        <f>Tracker!F21</f>
        <v>29/05/2020 00:33:05</v>
      </c>
      <c r="G21" s="1" t="str">
        <f>Tracker!G21</f>
        <v>AS</v>
      </c>
      <c r="H21" s="2">
        <f>Tracker!H21</f>
        <v>0</v>
      </c>
      <c r="I21" s="2">
        <f>Tracker!I21</f>
        <v>0</v>
      </c>
      <c r="J21" s="2">
        <f>Tracker!J21</f>
        <v>0</v>
      </c>
    </row>
    <row r="22">
      <c r="A22" s="1" t="str">
        <f>Tracker!A22</f>
        <v>Uttarakhand</v>
      </c>
      <c r="B22" s="1">
        <f>Tracker!B22</f>
        <v>500</v>
      </c>
      <c r="C22" s="1">
        <f>Tracker!C22</f>
        <v>79</v>
      </c>
      <c r="D22" s="1">
        <f>Tracker!D22</f>
        <v>4</v>
      </c>
      <c r="E22" s="1">
        <f>Tracker!E22</f>
        <v>414</v>
      </c>
      <c r="F22" s="1" t="str">
        <f>Tracker!F22</f>
        <v>28/05/2020 20:34:07</v>
      </c>
      <c r="G22" s="1" t="str">
        <f>Tracker!G22</f>
        <v>UT</v>
      </c>
      <c r="H22" s="2">
        <f>Tracker!H22</f>
        <v>0</v>
      </c>
      <c r="I22" s="2">
        <f>Tracker!I22</f>
        <v>0</v>
      </c>
      <c r="J22" s="2">
        <f>Tracker!J22</f>
        <v>0</v>
      </c>
    </row>
    <row r="23">
      <c r="A23" s="1" t="str">
        <f>Tracker!A23</f>
        <v>Jharkhand</v>
      </c>
      <c r="B23" s="1">
        <f>Tracker!B23</f>
        <v>470</v>
      </c>
      <c r="C23" s="1">
        <f>Tracker!C23</f>
        <v>191</v>
      </c>
      <c r="D23" s="1">
        <f>Tracker!D23</f>
        <v>4</v>
      </c>
      <c r="E23" s="1">
        <f>Tracker!E23</f>
        <v>275</v>
      </c>
      <c r="F23" s="1" t="str">
        <f>Tracker!F23</f>
        <v>28/05/2020 22:53:05</v>
      </c>
      <c r="G23" s="1" t="str">
        <f>Tracker!G23</f>
        <v>JH</v>
      </c>
      <c r="H23" s="2">
        <f>Tracker!H23</f>
        <v>0</v>
      </c>
      <c r="I23" s="2">
        <f>Tracker!I23</f>
        <v>0</v>
      </c>
      <c r="J23" s="2">
        <f>Tracker!J23</f>
        <v>0</v>
      </c>
    </row>
    <row r="24">
      <c r="A24" s="1" t="str">
        <f>Tracker!A24</f>
        <v>Chhattisgarh</v>
      </c>
      <c r="B24" s="1">
        <f>Tracker!B24</f>
        <v>398</v>
      </c>
      <c r="C24" s="1">
        <f>Tracker!C24</f>
        <v>83</v>
      </c>
      <c r="D24" s="1">
        <f>Tracker!D24</f>
        <v>0</v>
      </c>
      <c r="E24" s="1">
        <f>Tracker!E24</f>
        <v>315</v>
      </c>
      <c r="F24" s="1" t="str">
        <f>Tracker!F24</f>
        <v>28/05/2020 21:24:08</v>
      </c>
      <c r="G24" s="1" t="str">
        <f>Tracker!G24</f>
        <v>CT</v>
      </c>
      <c r="H24" s="2">
        <f>Tracker!H24</f>
        <v>0</v>
      </c>
      <c r="I24" s="2">
        <f>Tracker!I24</f>
        <v>0</v>
      </c>
      <c r="J24" s="2">
        <f>Tracker!J24</f>
        <v>0</v>
      </c>
    </row>
    <row r="25">
      <c r="A25" s="1" t="str">
        <f>Tracker!A25</f>
        <v>Chandigarh</v>
      </c>
      <c r="B25" s="1">
        <f>Tracker!B25</f>
        <v>289</v>
      </c>
      <c r="C25" s="2">
        <f>Tracker!C25</f>
        <v>189</v>
      </c>
      <c r="D25" s="2">
        <f>Tracker!D25</f>
        <v>4</v>
      </c>
      <c r="E25" s="2">
        <f>Tracker!E25</f>
        <v>96</v>
      </c>
      <c r="F25" s="2" t="str">
        <f>Tracker!F25</f>
        <v>28/05/2020 16:11:07</v>
      </c>
      <c r="G25" s="2" t="str">
        <f>Tracker!G25</f>
        <v>CH</v>
      </c>
      <c r="H25" s="2">
        <f>Tracker!H25</f>
        <v>0</v>
      </c>
      <c r="I25" s="2">
        <f>Tracker!I25</f>
        <v>0</v>
      </c>
      <c r="J25" s="2">
        <f>Tracker!J25</f>
        <v>0</v>
      </c>
    </row>
    <row r="26">
      <c r="A26" s="1" t="str">
        <f>Tracker!A26</f>
        <v>Himachal Pradesh</v>
      </c>
      <c r="B26" s="1">
        <f>Tracker!B26</f>
        <v>281</v>
      </c>
      <c r="C26" s="2">
        <f>Tracker!C26</f>
        <v>73</v>
      </c>
      <c r="D26" s="2">
        <f>Tracker!D26</f>
        <v>6</v>
      </c>
      <c r="E26" s="2">
        <f>Tracker!E26</f>
        <v>199</v>
      </c>
      <c r="F26" s="2" t="str">
        <f>Tracker!F26</f>
        <v>28/05/2020 22:14:07</v>
      </c>
      <c r="G26" s="2" t="str">
        <f>Tracker!G26</f>
        <v>HP</v>
      </c>
      <c r="H26" s="2">
        <f>Tracker!H26</f>
        <v>0</v>
      </c>
      <c r="I26" s="2">
        <f>Tracker!I26</f>
        <v>0</v>
      </c>
      <c r="J26" s="2">
        <f>Tracker!J26</f>
        <v>0</v>
      </c>
    </row>
    <row r="27">
      <c r="A27" s="1" t="str">
        <f>Tracker!A27</f>
        <v>Tripura</v>
      </c>
      <c r="B27" s="1">
        <f>Tracker!B27</f>
        <v>244</v>
      </c>
      <c r="C27" s="2">
        <f>Tracker!C27</f>
        <v>167</v>
      </c>
      <c r="D27" s="2">
        <f>Tracker!D27</f>
        <v>0</v>
      </c>
      <c r="E27" s="2">
        <f>Tracker!E27</f>
        <v>77</v>
      </c>
      <c r="F27" s="2" t="str">
        <f>Tracker!F27</f>
        <v>28/05/2020 23:02:04</v>
      </c>
      <c r="G27" s="2" t="str">
        <f>Tracker!G27</f>
        <v>TR</v>
      </c>
      <c r="H27" s="2">
        <f>Tracker!H27</f>
        <v>0</v>
      </c>
      <c r="I27" s="2">
        <f>Tracker!I27</f>
        <v>0</v>
      </c>
      <c r="J27" s="2">
        <f>Tracker!J27</f>
        <v>0</v>
      </c>
    </row>
    <row r="28">
      <c r="A28" s="1" t="str">
        <f>Tracker!A28</f>
        <v>Goa</v>
      </c>
      <c r="B28" s="1">
        <f>Tracker!B28</f>
        <v>69</v>
      </c>
      <c r="C28" s="2">
        <f>Tracker!C28</f>
        <v>38</v>
      </c>
      <c r="D28" s="2">
        <f>Tracker!D28</f>
        <v>0</v>
      </c>
      <c r="E28" s="2">
        <f>Tracker!E28</f>
        <v>31</v>
      </c>
      <c r="F28" s="2" t="str">
        <f>Tracker!F28</f>
        <v>27/05/2020 20:34:08</v>
      </c>
      <c r="G28" s="2" t="str">
        <f>Tracker!G28</f>
        <v>GA</v>
      </c>
      <c r="H28" s="2">
        <f>Tracker!H28</f>
        <v>0</v>
      </c>
      <c r="I28" s="2">
        <f>Tracker!I28</f>
        <v>0</v>
      </c>
      <c r="J28" s="2">
        <f>Tracker!J28</f>
        <v>0</v>
      </c>
    </row>
    <row r="29">
      <c r="A29" s="1" t="str">
        <f>Tracker!A29</f>
        <v>Ladakh</v>
      </c>
      <c r="B29" s="1">
        <f>Tracker!B29</f>
        <v>74</v>
      </c>
      <c r="C29" s="2">
        <f>Tracker!C29</f>
        <v>43</v>
      </c>
      <c r="D29" s="2">
        <f>Tracker!D29</f>
        <v>0</v>
      </c>
      <c r="E29" s="2">
        <f>Tracker!E29</f>
        <v>31</v>
      </c>
      <c r="F29" s="2" t="str">
        <f>Tracker!F29</f>
        <v>28/05/2020 20:12:06</v>
      </c>
      <c r="G29" s="2" t="str">
        <f>Tracker!G29</f>
        <v>LA</v>
      </c>
      <c r="H29" s="2">
        <f>Tracker!H29</f>
        <v>0</v>
      </c>
      <c r="I29" s="2">
        <f>Tracker!I29</f>
        <v>0</v>
      </c>
      <c r="J29" s="2">
        <f>Tracker!J29</f>
        <v>0</v>
      </c>
    </row>
    <row r="30">
      <c r="A30" s="1" t="str">
        <f>Tracker!A30</f>
        <v>Puducherry</v>
      </c>
      <c r="B30" s="1">
        <f>Tracker!B30</f>
        <v>53</v>
      </c>
      <c r="C30" s="2">
        <f>Tracker!C30</f>
        <v>17</v>
      </c>
      <c r="D30" s="2">
        <f>Tracker!D30</f>
        <v>0</v>
      </c>
      <c r="E30" s="2">
        <f>Tracker!E30</f>
        <v>36</v>
      </c>
      <c r="F30" s="2" t="str">
        <f>Tracker!F30</f>
        <v>28/05/2020 23:20:05</v>
      </c>
      <c r="G30" s="2" t="str">
        <f>Tracker!G30</f>
        <v>PY</v>
      </c>
      <c r="H30" s="2">
        <f>Tracker!H30</f>
        <v>0</v>
      </c>
      <c r="I30" s="2">
        <f>Tracker!I30</f>
        <v>0</v>
      </c>
      <c r="J30" s="2">
        <f>Tracker!J30</f>
        <v>0</v>
      </c>
    </row>
    <row r="31">
      <c r="A31" s="1" t="str">
        <f>Tracker!A31</f>
        <v>Manipur</v>
      </c>
      <c r="B31" s="1">
        <f>Tracker!B31</f>
        <v>55</v>
      </c>
      <c r="C31" s="2">
        <f>Tracker!C31</f>
        <v>4</v>
      </c>
      <c r="D31" s="2">
        <f>Tracker!D31</f>
        <v>0</v>
      </c>
      <c r="E31" s="2">
        <f>Tracker!E31</f>
        <v>51</v>
      </c>
      <c r="F31" s="2" t="str">
        <f>Tracker!F31</f>
        <v>28/05/2020 17:03:05</v>
      </c>
      <c r="G31" s="2" t="str">
        <f>Tracker!G31</f>
        <v>MN</v>
      </c>
      <c r="H31" s="2">
        <f>Tracker!H31</f>
        <v>0</v>
      </c>
      <c r="I31" s="2">
        <f>Tracker!I31</f>
        <v>0</v>
      </c>
      <c r="J31" s="2">
        <f>Tracker!J31</f>
        <v>0</v>
      </c>
    </row>
    <row r="32">
      <c r="A32" s="1" t="str">
        <f>Tracker!A32</f>
        <v>Andaman and Nicobar Islands</v>
      </c>
      <c r="B32" s="1">
        <f>Tracker!B32</f>
        <v>33</v>
      </c>
      <c r="C32" s="2">
        <f>Tracker!C32</f>
        <v>33</v>
      </c>
      <c r="D32" s="2">
        <f>Tracker!D32</f>
        <v>0</v>
      </c>
      <c r="E32" s="2">
        <f>Tracker!E32</f>
        <v>0</v>
      </c>
      <c r="F32" s="2">
        <f>Tracker!F32</f>
        <v>44017.93399</v>
      </c>
      <c r="G32" s="2" t="str">
        <f>Tracker!G32</f>
        <v>AN</v>
      </c>
      <c r="H32" s="2">
        <f>Tracker!H32</f>
        <v>0</v>
      </c>
      <c r="I32" s="2">
        <f>Tracker!I32</f>
        <v>0</v>
      </c>
      <c r="J32" s="2">
        <f>Tracker!J32</f>
        <v>0</v>
      </c>
    </row>
    <row r="33">
      <c r="A33" s="1" t="str">
        <f>Tracker!A33</f>
        <v>Meghalaya</v>
      </c>
      <c r="B33" s="1">
        <f>Tracker!B33</f>
        <v>21</v>
      </c>
      <c r="C33" s="2">
        <f>Tracker!C33</f>
        <v>12</v>
      </c>
      <c r="D33" s="2">
        <f>Tracker!D33</f>
        <v>1</v>
      </c>
      <c r="E33" s="2">
        <f>Tracker!E33</f>
        <v>8</v>
      </c>
      <c r="F33" s="2" t="str">
        <f>Tracker!F33</f>
        <v>28/05/2020 21:34:07</v>
      </c>
      <c r="G33" s="2" t="str">
        <f>Tracker!G33</f>
        <v>ML</v>
      </c>
      <c r="H33" s="2">
        <f>Tracker!H33</f>
        <v>0</v>
      </c>
      <c r="I33" s="2">
        <f>Tracker!I33</f>
        <v>0</v>
      </c>
      <c r="J33" s="2">
        <f>Tracker!J33</f>
        <v>0</v>
      </c>
    </row>
    <row r="34">
      <c r="A34" s="1" t="str">
        <f>Tracker!A34</f>
        <v>Nagaland</v>
      </c>
      <c r="B34" s="1">
        <f>Tracker!B34</f>
        <v>18</v>
      </c>
      <c r="C34" s="2">
        <f>Tracker!C34</f>
        <v>0</v>
      </c>
      <c r="D34" s="2">
        <f>Tracker!D34</f>
        <v>0</v>
      </c>
      <c r="E34" s="2">
        <f>Tracker!E34</f>
        <v>18</v>
      </c>
      <c r="F34" s="2" t="str">
        <f>Tracker!F34</f>
        <v>28/05/2020 16:38:08</v>
      </c>
      <c r="G34" s="2" t="str">
        <f>Tracker!G34</f>
        <v>NL</v>
      </c>
      <c r="H34" s="2">
        <f>Tracker!H34</f>
        <v>0</v>
      </c>
      <c r="I34" s="2">
        <f>Tracker!I34</f>
        <v>0</v>
      </c>
      <c r="J34" s="2">
        <f>Tracker!J34</f>
        <v>0</v>
      </c>
    </row>
    <row r="35">
      <c r="A35" s="1" t="str">
        <f>Tracker!A35</f>
        <v>Dadra and Nagar Haveli and Daman and Diu</v>
      </c>
      <c r="B35" s="1">
        <f>Tracker!B35</f>
        <v>2</v>
      </c>
      <c r="C35" s="2">
        <f>Tracker!C35</f>
        <v>1</v>
      </c>
      <c r="D35" s="2">
        <f>Tracker!D35</f>
        <v>0</v>
      </c>
      <c r="E35" s="2">
        <f>Tracker!E35</f>
        <v>1</v>
      </c>
      <c r="F35" s="2" t="str">
        <f>Tracker!F35</f>
        <v>23/05/2020 23:47:25</v>
      </c>
      <c r="G35" s="2" t="str">
        <f>Tracker!G35</f>
        <v>DN</v>
      </c>
      <c r="H35" s="2">
        <f>Tracker!H35</f>
        <v>0</v>
      </c>
      <c r="I35" s="2">
        <f>Tracker!I35</f>
        <v>0</v>
      </c>
      <c r="J35" s="2">
        <f>Tracker!J35</f>
        <v>0</v>
      </c>
    </row>
    <row r="36">
      <c r="A36" s="1" t="str">
        <f>Tracker!A36</f>
        <v>Arunachal Pradesh</v>
      </c>
      <c r="B36" s="1">
        <f>Tracker!B36</f>
        <v>3</v>
      </c>
      <c r="C36" s="2">
        <f>Tracker!C36</f>
        <v>1</v>
      </c>
      <c r="D36" s="2">
        <f>Tracker!D36</f>
        <v>0</v>
      </c>
      <c r="E36" s="2">
        <f>Tracker!E36</f>
        <v>2</v>
      </c>
      <c r="F36" s="2" t="str">
        <f>Tracker!F36</f>
        <v>29/05/2020 00:33:07</v>
      </c>
      <c r="G36" s="2" t="str">
        <f>Tracker!G36</f>
        <v>AR</v>
      </c>
      <c r="H36" s="2">
        <f>Tracker!H36</f>
        <v>0</v>
      </c>
      <c r="I36" s="2">
        <f>Tracker!I36</f>
        <v>0</v>
      </c>
      <c r="J36" s="2">
        <f>Tracker!J36</f>
        <v>0</v>
      </c>
    </row>
    <row r="37">
      <c r="A37" s="1" t="str">
        <f>Tracker!A37</f>
        <v>Mizoram</v>
      </c>
      <c r="B37" s="1">
        <f>Tracker!B37</f>
        <v>1</v>
      </c>
      <c r="C37" s="2">
        <f>Tracker!C37</f>
        <v>1</v>
      </c>
      <c r="D37" s="2">
        <f>Tracker!D37</f>
        <v>0</v>
      </c>
      <c r="E37" s="2">
        <f>Tracker!E37</f>
        <v>0</v>
      </c>
      <c r="F37" s="2">
        <f>Tracker!F37</f>
        <v>43956.93943</v>
      </c>
      <c r="G37" s="2" t="str">
        <f>Tracker!G37</f>
        <v>MZ</v>
      </c>
      <c r="H37" s="2">
        <f>Tracker!H37</f>
        <v>0</v>
      </c>
      <c r="I37" s="2">
        <f>Tracker!I37</f>
        <v>0</v>
      </c>
      <c r="J37" s="2">
        <f>Tracker!J37</f>
        <v>0</v>
      </c>
    </row>
    <row r="38">
      <c r="A38" s="1" t="str">
        <f>Tracker!A38</f>
        <v>Sikkim</v>
      </c>
      <c r="B38" s="1">
        <f>Tracker!B38</f>
        <v>1</v>
      </c>
      <c r="C38" s="2">
        <f>Tracker!C38</f>
        <v>0</v>
      </c>
      <c r="D38" s="2">
        <f>Tracker!D38</f>
        <v>0</v>
      </c>
      <c r="E38" s="2">
        <f>Tracker!E38</f>
        <v>1</v>
      </c>
      <c r="F38" s="2" t="str">
        <f>Tracker!F38</f>
        <v>23/05/2020 19:42:35</v>
      </c>
      <c r="G38" s="2" t="str">
        <f>Tracker!G38</f>
        <v>SK</v>
      </c>
      <c r="H38" s="2">
        <f>Tracker!H38</f>
        <v>0</v>
      </c>
      <c r="I38" s="2">
        <f>Tracker!I38</f>
        <v>0</v>
      </c>
      <c r="J38" s="2">
        <f>Tracker!J38</f>
        <v>0</v>
      </c>
    </row>
    <row r="39">
      <c r="A39" s="1" t="str">
        <f>Tracker!A39</f>
        <v>Lakshadweep</v>
      </c>
      <c r="B39" s="1">
        <f>Tracker!B39</f>
        <v>0</v>
      </c>
      <c r="C39" s="2">
        <f>Tracker!C39</f>
        <v>0</v>
      </c>
      <c r="D39" s="2">
        <f>Tracker!D39</f>
        <v>0</v>
      </c>
      <c r="E39" s="2">
        <f>Tracker!E39</f>
        <v>0</v>
      </c>
      <c r="F39" s="2" t="str">
        <f>Tracker!F39</f>
        <v>26/03/2020 07:19:29</v>
      </c>
      <c r="G39" s="2" t="str">
        <f>Tracker!G39</f>
        <v>LD</v>
      </c>
      <c r="H39" s="2">
        <f>Tracker!H39</f>
        <v>0</v>
      </c>
      <c r="I39" s="2">
        <f>Tracker!I39</f>
        <v>0</v>
      </c>
      <c r="J39" s="2">
        <f>Tracker!J39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IFERROR(__xludf.DUMMYFUNCTION("IMPORTHTML(""https://www.worldometers.info/coronavirus/"",""TABLE"")"),"#")</f>
        <v>#</v>
      </c>
      <c r="B1" s="1" t="str">
        <f>IFERROR(__xludf.DUMMYFUNCTION("""COMPUTED_VALUE"""),"Country,
Other")</f>
        <v>Country,
Other</v>
      </c>
      <c r="C1" s="1" t="str">
        <f>IFERROR(__xludf.DUMMYFUNCTION("""COMPUTED_VALUE"""),"Total
Cases")</f>
        <v>Total
Cases</v>
      </c>
      <c r="D1" s="1" t="str">
        <f>IFERROR(__xludf.DUMMYFUNCTION("""COMPUTED_VALUE"""),"New
Cases")</f>
        <v>New
Cases</v>
      </c>
      <c r="E1" s="1" t="str">
        <f>IFERROR(__xludf.DUMMYFUNCTION("""COMPUTED_VALUE"""),"Total
Deaths")</f>
        <v>Total
Deaths</v>
      </c>
      <c r="F1" s="1" t="str">
        <f>IFERROR(__xludf.DUMMYFUNCTION("""COMPUTED_VALUE"""),"New
Deaths")</f>
        <v>New
Deaths</v>
      </c>
      <c r="G1" s="1" t="str">
        <f>IFERROR(__xludf.DUMMYFUNCTION("""COMPUTED_VALUE"""),"Total
Recovered")</f>
        <v>Total
Recovered</v>
      </c>
      <c r="H1" s="1" t="str">
        <f>IFERROR(__xludf.DUMMYFUNCTION("""COMPUTED_VALUE"""),"New
Recovered")</f>
        <v>New
Recovered</v>
      </c>
      <c r="I1" s="1" t="str">
        <f>IFERROR(__xludf.DUMMYFUNCTION("""COMPUTED_VALUE"""),"Active
Cases")</f>
        <v>Active
Cases</v>
      </c>
      <c r="J1" s="1" t="str">
        <f>IFERROR(__xludf.DUMMYFUNCTION("""COMPUTED_VALUE"""),"Serious,
Critical")</f>
        <v>Serious,
Critical</v>
      </c>
      <c r="K1" s="1" t="str">
        <f>IFERROR(__xludf.DUMMYFUNCTION("""COMPUTED_VALUE"""),"Tot Cases/
1M pop")</f>
        <v>Tot Cases/
1M pop</v>
      </c>
      <c r="L1" s="1" t="str">
        <f>IFERROR(__xludf.DUMMYFUNCTION("""COMPUTED_VALUE"""),"Deaths/
1M pop")</f>
        <v>Deaths/
1M pop</v>
      </c>
      <c r="M1" s="1" t="str">
        <f>IFERROR(__xludf.DUMMYFUNCTION("""COMPUTED_VALUE"""),"Total
Tests")</f>
        <v>Total
Tests</v>
      </c>
      <c r="N1" s="1" t="str">
        <f>IFERROR(__xludf.DUMMYFUNCTION("""COMPUTED_VALUE"""),"Tests/
1M pop")</f>
        <v>Tests/
1M pop</v>
      </c>
      <c r="O1" s="1" t="str">
        <f>IFERROR(__xludf.DUMMYFUNCTION("""COMPUTED_VALUE"""),"Population")</f>
        <v>Population</v>
      </c>
      <c r="P1" s="1" t="str">
        <f>IFERROR(__xludf.DUMMYFUNCTION("""COMPUTED_VALUE"""),"Continent")</f>
        <v>Continent</v>
      </c>
      <c r="Q1" s="1" t="str">
        <f>IFERROR(__xludf.DUMMYFUNCTION("""COMPUTED_VALUE"""),"1 Case
every X ppl")</f>
        <v>1 Case
every X ppl</v>
      </c>
      <c r="R1" s="1" t="str">
        <f>IFERROR(__xludf.DUMMYFUNCTION("""COMPUTED_VALUE"""),"1 Death
every X ppl")</f>
        <v>1 Death
every X ppl</v>
      </c>
      <c r="S1" s="1" t="str">
        <f>IFERROR(__xludf.DUMMYFUNCTION("""COMPUTED_VALUE"""),"1 Test
every X ppl")</f>
        <v>1 Test
every X ppl</v>
      </c>
    </row>
    <row r="2">
      <c r="A2" s="1" t="str">
        <f>IFERROR(__xludf.DUMMYFUNCTION("""COMPUTED_VALUE"""),"")</f>
        <v/>
      </c>
      <c r="B2" s="1" t="str">
        <f>IFERROR(__xludf.DUMMYFUNCTION("""COMPUTED_VALUE"""),"North America")</f>
        <v>North America</v>
      </c>
      <c r="C2" s="3">
        <f>IFERROR(__xludf.DUMMYFUNCTION("""COMPUTED_VALUE"""),1985003.0)</f>
        <v>1985003</v>
      </c>
      <c r="D2" s="1" t="str">
        <f>IFERROR(__xludf.DUMMYFUNCTION("""COMPUTED_VALUE"""),"+3,816")</f>
        <v>+3,816</v>
      </c>
      <c r="E2" s="3">
        <f>IFERROR(__xludf.DUMMYFUNCTION("""COMPUTED_VALUE"""),120636.0)</f>
        <v>120636</v>
      </c>
      <c r="F2" s="1" t="str">
        <f>IFERROR(__xludf.DUMMYFUNCTION("""COMPUTED_VALUE"""),"+462")</f>
        <v>+462</v>
      </c>
      <c r="G2" s="3">
        <f>IFERROR(__xludf.DUMMYFUNCTION("""COMPUTED_VALUE"""),624660.0)</f>
        <v>624660</v>
      </c>
      <c r="H2" s="1" t="str">
        <f>IFERROR(__xludf.DUMMYFUNCTION("""COMPUTED_VALUE"""),"+2,359")</f>
        <v>+2,359</v>
      </c>
      <c r="I2" s="3">
        <f>IFERROR(__xludf.DUMMYFUNCTION("""COMPUTED_VALUE"""),1239707.0)</f>
        <v>1239707</v>
      </c>
      <c r="J2" s="3">
        <f>IFERROR(__xludf.DUMMYFUNCTION("""COMPUTED_VALUE"""),19458.0)</f>
        <v>19458</v>
      </c>
      <c r="K2" s="1" t="str">
        <f>IFERROR(__xludf.DUMMYFUNCTION("""COMPUTED_VALUE"""),"")</f>
        <v/>
      </c>
      <c r="L2" s="1" t="str">
        <f>IFERROR(__xludf.DUMMYFUNCTION("""COMPUTED_VALUE"""),"")</f>
        <v/>
      </c>
      <c r="M2" s="1" t="str">
        <f>IFERROR(__xludf.DUMMYFUNCTION("""COMPUTED_VALUE"""),"")</f>
        <v/>
      </c>
      <c r="N2" s="1" t="str">
        <f>IFERROR(__xludf.DUMMYFUNCTION("""COMPUTED_VALUE"""),"")</f>
        <v/>
      </c>
      <c r="O2" s="1" t="str">
        <f>IFERROR(__xludf.DUMMYFUNCTION("""COMPUTED_VALUE"""),"")</f>
        <v/>
      </c>
      <c r="P2" s="1" t="str">
        <f>IFERROR(__xludf.DUMMYFUNCTION("""COMPUTED_VALUE"""),"North America")</f>
        <v>North America</v>
      </c>
      <c r="Q2" s="1" t="str">
        <f>IFERROR(__xludf.DUMMYFUNCTION("""COMPUTED_VALUE"""),"")</f>
        <v/>
      </c>
      <c r="R2" s="1" t="str">
        <f>IFERROR(__xludf.DUMMYFUNCTION("""COMPUTED_VALUE"""),"")</f>
        <v/>
      </c>
      <c r="S2" s="1" t="str">
        <f>IFERROR(__xludf.DUMMYFUNCTION("""COMPUTED_VALUE"""),"")</f>
        <v/>
      </c>
    </row>
    <row r="3">
      <c r="A3" s="1" t="str">
        <f>IFERROR(__xludf.DUMMYFUNCTION("""COMPUTED_VALUE"""),"")</f>
        <v/>
      </c>
      <c r="B3" s="1" t="str">
        <f>IFERROR(__xludf.DUMMYFUNCTION("""COMPUTED_VALUE"""),"South America")</f>
        <v>South America</v>
      </c>
      <c r="C3" s="3">
        <f>IFERROR(__xludf.DUMMYFUNCTION("""COMPUTED_VALUE"""),758107.0)</f>
        <v>758107</v>
      </c>
      <c r="D3" s="1" t="str">
        <f>IFERROR(__xludf.DUMMYFUNCTION("""COMPUTED_VALUE"""),"+619")</f>
        <v>+619</v>
      </c>
      <c r="E3" s="3">
        <f>IFERROR(__xludf.DUMMYFUNCTION("""COMPUTED_VALUE"""),36746.0)</f>
        <v>36746</v>
      </c>
      <c r="F3" s="1" t="str">
        <f>IFERROR(__xludf.DUMMYFUNCTION("""COMPUTED_VALUE"""),"+13")</f>
        <v>+13</v>
      </c>
      <c r="G3" s="3">
        <f>IFERROR(__xludf.DUMMYFUNCTION("""COMPUTED_VALUE"""),320826.0)</f>
        <v>320826</v>
      </c>
      <c r="H3" s="1" t="str">
        <f>IFERROR(__xludf.DUMMYFUNCTION("""COMPUTED_VALUE"""),"+49")</f>
        <v>+49</v>
      </c>
      <c r="I3" s="3">
        <f>IFERROR(__xludf.DUMMYFUNCTION("""COMPUTED_VALUE"""),400535.0)</f>
        <v>400535</v>
      </c>
      <c r="J3" s="3">
        <f>IFERROR(__xludf.DUMMYFUNCTION("""COMPUTED_VALUE"""),11077.0)</f>
        <v>11077</v>
      </c>
      <c r="K3" s="1" t="str">
        <f>IFERROR(__xludf.DUMMYFUNCTION("""COMPUTED_VALUE"""),"")</f>
        <v/>
      </c>
      <c r="L3" s="1" t="str">
        <f>IFERROR(__xludf.DUMMYFUNCTION("""COMPUTED_VALUE"""),"")</f>
        <v/>
      </c>
      <c r="M3" s="1" t="str">
        <f>IFERROR(__xludf.DUMMYFUNCTION("""COMPUTED_VALUE"""),"")</f>
        <v/>
      </c>
      <c r="N3" s="1" t="str">
        <f>IFERROR(__xludf.DUMMYFUNCTION("""COMPUTED_VALUE"""),"")</f>
        <v/>
      </c>
      <c r="O3" s="1" t="str">
        <f>IFERROR(__xludf.DUMMYFUNCTION("""COMPUTED_VALUE"""),"")</f>
        <v/>
      </c>
      <c r="P3" s="1" t="str">
        <f>IFERROR(__xludf.DUMMYFUNCTION("""COMPUTED_VALUE"""),"South America")</f>
        <v>South America</v>
      </c>
      <c r="Q3" s="1" t="str">
        <f>IFERROR(__xludf.DUMMYFUNCTION("""COMPUTED_VALUE"""),"")</f>
        <v/>
      </c>
      <c r="R3" s="1" t="str">
        <f>IFERROR(__xludf.DUMMYFUNCTION("""COMPUTED_VALUE"""),"")</f>
        <v/>
      </c>
      <c r="S3" s="1" t="str">
        <f>IFERROR(__xludf.DUMMYFUNCTION("""COMPUTED_VALUE"""),"")</f>
        <v/>
      </c>
    </row>
    <row r="4">
      <c r="A4" s="1" t="str">
        <f>IFERROR(__xludf.DUMMYFUNCTION("""COMPUTED_VALUE"""),"")</f>
        <v/>
      </c>
      <c r="B4" s="1" t="str">
        <f>IFERROR(__xludf.DUMMYFUNCTION("""COMPUTED_VALUE"""),"Europe")</f>
        <v>Europe</v>
      </c>
      <c r="C4" s="3">
        <f>IFERROR(__xludf.DUMMYFUNCTION("""COMPUTED_VALUE"""),1969899.0)</f>
        <v>1969899</v>
      </c>
      <c r="D4" s="1" t="str">
        <f>IFERROR(__xludf.DUMMYFUNCTION("""COMPUTED_VALUE"""),"")</f>
        <v/>
      </c>
      <c r="E4" s="3">
        <f>IFERROR(__xludf.DUMMYFUNCTION("""COMPUTED_VALUE"""),171568.0)</f>
        <v>171568</v>
      </c>
      <c r="F4" s="1" t="str">
        <f>IFERROR(__xludf.DUMMYFUNCTION("""COMPUTED_VALUE"""),"")</f>
        <v/>
      </c>
      <c r="G4" s="3">
        <f>IFERROR(__xludf.DUMMYFUNCTION("""COMPUTED_VALUE"""),948496.0)</f>
        <v>948496</v>
      </c>
      <c r="H4" s="1" t="str">
        <f>IFERROR(__xludf.DUMMYFUNCTION("""COMPUTED_VALUE"""),"")</f>
        <v/>
      </c>
      <c r="I4" s="3">
        <f>IFERROR(__xludf.DUMMYFUNCTION("""COMPUTED_VALUE"""),849835.0)</f>
        <v>849835</v>
      </c>
      <c r="J4" s="3">
        <f>IFERROR(__xludf.DUMMYFUNCTION("""COMPUTED_VALUE"""),9377.0)</f>
        <v>9377</v>
      </c>
      <c r="K4" s="1" t="str">
        <f>IFERROR(__xludf.DUMMYFUNCTION("""COMPUTED_VALUE"""),"")</f>
        <v/>
      </c>
      <c r="L4" s="1" t="str">
        <f>IFERROR(__xludf.DUMMYFUNCTION("""COMPUTED_VALUE"""),"")</f>
        <v/>
      </c>
      <c r="M4" s="1" t="str">
        <f>IFERROR(__xludf.DUMMYFUNCTION("""COMPUTED_VALUE"""),"")</f>
        <v/>
      </c>
      <c r="N4" s="1" t="str">
        <f>IFERROR(__xludf.DUMMYFUNCTION("""COMPUTED_VALUE"""),"")</f>
        <v/>
      </c>
      <c r="O4" s="1" t="str">
        <f>IFERROR(__xludf.DUMMYFUNCTION("""COMPUTED_VALUE"""),"")</f>
        <v/>
      </c>
      <c r="P4" s="1" t="str">
        <f>IFERROR(__xludf.DUMMYFUNCTION("""COMPUTED_VALUE"""),"Europe")</f>
        <v>Europe</v>
      </c>
      <c r="Q4" s="1" t="str">
        <f>IFERROR(__xludf.DUMMYFUNCTION("""COMPUTED_VALUE"""),"")</f>
        <v/>
      </c>
      <c r="R4" s="1" t="str">
        <f>IFERROR(__xludf.DUMMYFUNCTION("""COMPUTED_VALUE"""),"")</f>
        <v/>
      </c>
      <c r="S4" s="1" t="str">
        <f>IFERROR(__xludf.DUMMYFUNCTION("""COMPUTED_VALUE"""),"")</f>
        <v/>
      </c>
    </row>
    <row r="5">
      <c r="A5" s="1" t="str">
        <f>IFERROR(__xludf.DUMMYFUNCTION("""COMPUTED_VALUE"""),"")</f>
        <v/>
      </c>
      <c r="B5" s="1" t="str">
        <f>IFERROR(__xludf.DUMMYFUNCTION("""COMPUTED_VALUE"""),"Asia")</f>
        <v>Asia</v>
      </c>
      <c r="C5" s="3">
        <f>IFERROR(__xludf.DUMMYFUNCTION("""COMPUTED_VALUE"""),1051755.0)</f>
        <v>1051755</v>
      </c>
      <c r="D5" s="1" t="str">
        <f>IFERROR(__xludf.DUMMYFUNCTION("""COMPUTED_VALUE"""),"+489")</f>
        <v>+489</v>
      </c>
      <c r="E5" s="3">
        <f>IFERROR(__xludf.DUMMYFUNCTION("""COMPUTED_VALUE"""),29120.0)</f>
        <v>29120</v>
      </c>
      <c r="F5" s="1" t="str">
        <f>IFERROR(__xludf.DUMMYFUNCTION("""COMPUTED_VALUE"""),"")</f>
        <v/>
      </c>
      <c r="G5" s="3">
        <f>IFERROR(__xludf.DUMMYFUNCTION("""COMPUTED_VALUE"""),621956.0)</f>
        <v>621956</v>
      </c>
      <c r="H5" s="1" t="str">
        <f>IFERROR(__xludf.DUMMYFUNCTION("""COMPUTED_VALUE"""),"+212")</f>
        <v>+212</v>
      </c>
      <c r="I5" s="3">
        <f>IFERROR(__xludf.DUMMYFUNCTION("""COMPUTED_VALUE"""),400679.0)</f>
        <v>400679</v>
      </c>
      <c r="J5" s="3">
        <f>IFERROR(__xludf.DUMMYFUNCTION("""COMPUTED_VALUE"""),13699.0)</f>
        <v>13699</v>
      </c>
      <c r="K5" s="1" t="str">
        <f>IFERROR(__xludf.DUMMYFUNCTION("""COMPUTED_VALUE"""),"")</f>
        <v/>
      </c>
      <c r="L5" s="1" t="str">
        <f>IFERROR(__xludf.DUMMYFUNCTION("""COMPUTED_VALUE"""),"")</f>
        <v/>
      </c>
      <c r="M5" s="1" t="str">
        <f>IFERROR(__xludf.DUMMYFUNCTION("""COMPUTED_VALUE"""),"")</f>
        <v/>
      </c>
      <c r="N5" s="1" t="str">
        <f>IFERROR(__xludf.DUMMYFUNCTION("""COMPUTED_VALUE"""),"")</f>
        <v/>
      </c>
      <c r="O5" s="1" t="str">
        <f>IFERROR(__xludf.DUMMYFUNCTION("""COMPUTED_VALUE"""),"")</f>
        <v/>
      </c>
      <c r="P5" s="1" t="str">
        <f>IFERROR(__xludf.DUMMYFUNCTION("""COMPUTED_VALUE"""),"Asia")</f>
        <v>Asia</v>
      </c>
      <c r="Q5" s="1" t="str">
        <f>IFERROR(__xludf.DUMMYFUNCTION("""COMPUTED_VALUE"""),"")</f>
        <v/>
      </c>
      <c r="R5" s="1" t="str">
        <f>IFERROR(__xludf.DUMMYFUNCTION("""COMPUTED_VALUE"""),"")</f>
        <v/>
      </c>
      <c r="S5" s="1" t="str">
        <f>IFERROR(__xludf.DUMMYFUNCTION("""COMPUTED_VALUE"""),"")</f>
        <v/>
      </c>
    </row>
    <row r="6">
      <c r="A6" s="1" t="str">
        <f>IFERROR(__xludf.DUMMYFUNCTION("""COMPUTED_VALUE"""),"")</f>
        <v/>
      </c>
      <c r="B6" s="1" t="str">
        <f>IFERROR(__xludf.DUMMYFUNCTION("""COMPUTED_VALUE"""),"Africa")</f>
        <v>Africa</v>
      </c>
      <c r="C6" s="3">
        <f>IFERROR(__xludf.DUMMYFUNCTION("""COMPUTED_VALUE"""),131587.0)</f>
        <v>131587</v>
      </c>
      <c r="D6" s="1" t="str">
        <f>IFERROR(__xludf.DUMMYFUNCTION("""COMPUTED_VALUE"""),"")</f>
        <v/>
      </c>
      <c r="E6" s="3">
        <f>IFERROR(__xludf.DUMMYFUNCTION("""COMPUTED_VALUE"""),3814.0)</f>
        <v>3814</v>
      </c>
      <c r="F6" s="1" t="str">
        <f>IFERROR(__xludf.DUMMYFUNCTION("""COMPUTED_VALUE"""),"")</f>
        <v/>
      </c>
      <c r="G6" s="3">
        <f>IFERROR(__xludf.DUMMYFUNCTION("""COMPUTED_VALUE"""),55126.0)</f>
        <v>55126</v>
      </c>
      <c r="H6" s="1" t="str">
        <f>IFERROR(__xludf.DUMMYFUNCTION("""COMPUTED_VALUE"""),"")</f>
        <v/>
      </c>
      <c r="I6" s="3">
        <f>IFERROR(__xludf.DUMMYFUNCTION("""COMPUTED_VALUE"""),72647.0)</f>
        <v>72647</v>
      </c>
      <c r="J6" s="1">
        <f>IFERROR(__xludf.DUMMYFUNCTION("""COMPUTED_VALUE"""),352.0)</f>
        <v>352</v>
      </c>
      <c r="K6" s="1" t="str">
        <f>IFERROR(__xludf.DUMMYFUNCTION("""COMPUTED_VALUE"""),"")</f>
        <v/>
      </c>
      <c r="L6" s="1" t="str">
        <f>IFERROR(__xludf.DUMMYFUNCTION("""COMPUTED_VALUE"""),"")</f>
        <v/>
      </c>
      <c r="M6" s="1" t="str">
        <f>IFERROR(__xludf.DUMMYFUNCTION("""COMPUTED_VALUE"""),"")</f>
        <v/>
      </c>
      <c r="N6" s="1" t="str">
        <f>IFERROR(__xludf.DUMMYFUNCTION("""COMPUTED_VALUE"""),"")</f>
        <v/>
      </c>
      <c r="O6" s="1" t="str">
        <f>IFERROR(__xludf.DUMMYFUNCTION("""COMPUTED_VALUE"""),"")</f>
        <v/>
      </c>
      <c r="P6" s="1" t="str">
        <f>IFERROR(__xludf.DUMMYFUNCTION("""COMPUTED_VALUE"""),"Africa")</f>
        <v>Africa</v>
      </c>
      <c r="Q6" s="1" t="str">
        <f>IFERROR(__xludf.DUMMYFUNCTION("""COMPUTED_VALUE"""),"")</f>
        <v/>
      </c>
      <c r="R6" s="1" t="str">
        <f>IFERROR(__xludf.DUMMYFUNCTION("""COMPUTED_VALUE"""),"")</f>
        <v/>
      </c>
      <c r="S6" s="1" t="str">
        <f>IFERROR(__xludf.DUMMYFUNCTION("""COMPUTED_VALUE"""),"")</f>
        <v/>
      </c>
    </row>
    <row r="7">
      <c r="A7" s="1" t="str">
        <f>IFERROR(__xludf.DUMMYFUNCTION("""COMPUTED_VALUE"""),"")</f>
        <v/>
      </c>
      <c r="B7" s="1" t="str">
        <f>IFERROR(__xludf.DUMMYFUNCTION("""COMPUTED_VALUE"""),"Oceania")</f>
        <v>Oceania</v>
      </c>
      <c r="C7" s="3">
        <f>IFERROR(__xludf.DUMMYFUNCTION("""COMPUTED_VALUE"""),8774.0)</f>
        <v>8774</v>
      </c>
      <c r="D7" s="1" t="str">
        <f>IFERROR(__xludf.DUMMYFUNCTION("""COMPUTED_VALUE"""),"+15")</f>
        <v>+15</v>
      </c>
      <c r="E7" s="1">
        <f>IFERROR(__xludf.DUMMYFUNCTION("""COMPUTED_VALUE"""),125.0)</f>
        <v>125</v>
      </c>
      <c r="F7" s="1" t="str">
        <f>IFERROR(__xludf.DUMMYFUNCTION("""COMPUTED_VALUE"""),"")</f>
        <v/>
      </c>
      <c r="G7" s="3">
        <f>IFERROR(__xludf.DUMMYFUNCTION("""COMPUTED_VALUE"""),8162.0)</f>
        <v>8162</v>
      </c>
      <c r="H7" s="1" t="str">
        <f>IFERROR(__xludf.DUMMYFUNCTION("""COMPUTED_VALUE"""),"+7")</f>
        <v>+7</v>
      </c>
      <c r="I7" s="1">
        <f>IFERROR(__xludf.DUMMYFUNCTION("""COMPUTED_VALUE"""),487.0)</f>
        <v>487</v>
      </c>
      <c r="J7" s="1">
        <f>IFERROR(__xludf.DUMMYFUNCTION("""COMPUTED_VALUE"""),5.0)</f>
        <v>5</v>
      </c>
      <c r="K7" s="1" t="str">
        <f>IFERROR(__xludf.DUMMYFUNCTION("""COMPUTED_VALUE"""),"")</f>
        <v/>
      </c>
      <c r="L7" s="1" t="str">
        <f>IFERROR(__xludf.DUMMYFUNCTION("""COMPUTED_VALUE"""),"")</f>
        <v/>
      </c>
      <c r="M7" s="1" t="str">
        <f>IFERROR(__xludf.DUMMYFUNCTION("""COMPUTED_VALUE"""),"")</f>
        <v/>
      </c>
      <c r="N7" s="1" t="str">
        <f>IFERROR(__xludf.DUMMYFUNCTION("""COMPUTED_VALUE"""),"")</f>
        <v/>
      </c>
      <c r="O7" s="1" t="str">
        <f>IFERROR(__xludf.DUMMYFUNCTION("""COMPUTED_VALUE"""),"")</f>
        <v/>
      </c>
      <c r="P7" s="1" t="str">
        <f>IFERROR(__xludf.DUMMYFUNCTION("""COMPUTED_VALUE"""),"Australia/Oceania")</f>
        <v>Australia/Oceania</v>
      </c>
      <c r="Q7" s="1" t="str">
        <f>IFERROR(__xludf.DUMMYFUNCTION("""COMPUTED_VALUE"""),"")</f>
        <v/>
      </c>
      <c r="R7" s="1" t="str">
        <f>IFERROR(__xludf.DUMMYFUNCTION("""COMPUTED_VALUE"""),"")</f>
        <v/>
      </c>
      <c r="S7" s="1" t="str">
        <f>IFERROR(__xludf.DUMMYFUNCTION("""COMPUTED_VALUE"""),"")</f>
        <v/>
      </c>
    </row>
    <row r="8">
      <c r="A8" s="1" t="str">
        <f>IFERROR(__xludf.DUMMYFUNCTION("""COMPUTED_VALUE"""),"")</f>
        <v/>
      </c>
      <c r="B8" s="1" t="str">
        <f>IFERROR(__xludf.DUMMYFUNCTION("""COMPUTED_VALUE"""),"")</f>
        <v/>
      </c>
      <c r="C8" s="1">
        <f>IFERROR(__xludf.DUMMYFUNCTION("""COMPUTED_VALUE"""),721.0)</f>
        <v>721</v>
      </c>
      <c r="D8" s="1" t="str">
        <f>IFERROR(__xludf.DUMMYFUNCTION("""COMPUTED_VALUE"""),"")</f>
        <v/>
      </c>
      <c r="E8" s="1">
        <f>IFERROR(__xludf.DUMMYFUNCTION("""COMPUTED_VALUE"""),15.0)</f>
        <v>15</v>
      </c>
      <c r="F8" s="1" t="str">
        <f>IFERROR(__xludf.DUMMYFUNCTION("""COMPUTED_VALUE"""),"")</f>
        <v/>
      </c>
      <c r="G8" s="1">
        <f>IFERROR(__xludf.DUMMYFUNCTION("""COMPUTED_VALUE"""),651.0)</f>
        <v>651</v>
      </c>
      <c r="H8" s="1" t="str">
        <f>IFERROR(__xludf.DUMMYFUNCTION("""COMPUTED_VALUE"""),"")</f>
        <v/>
      </c>
      <c r="I8" s="1">
        <f>IFERROR(__xludf.DUMMYFUNCTION("""COMPUTED_VALUE"""),55.0)</f>
        <v>55</v>
      </c>
      <c r="J8" s="1">
        <f>IFERROR(__xludf.DUMMYFUNCTION("""COMPUTED_VALUE"""),4.0)</f>
        <v>4</v>
      </c>
      <c r="K8" s="1" t="str">
        <f>IFERROR(__xludf.DUMMYFUNCTION("""COMPUTED_VALUE"""),"")</f>
        <v/>
      </c>
      <c r="L8" s="1" t="str">
        <f>IFERROR(__xludf.DUMMYFUNCTION("""COMPUTED_VALUE"""),"")</f>
        <v/>
      </c>
      <c r="M8" s="1" t="str">
        <f>IFERROR(__xludf.DUMMYFUNCTION("""COMPUTED_VALUE"""),"")</f>
        <v/>
      </c>
      <c r="N8" s="1" t="str">
        <f>IFERROR(__xludf.DUMMYFUNCTION("""COMPUTED_VALUE"""),"")</f>
        <v/>
      </c>
      <c r="O8" s="1" t="str">
        <f>IFERROR(__xludf.DUMMYFUNCTION("""COMPUTED_VALUE"""),"")</f>
        <v/>
      </c>
      <c r="P8" s="1" t="str">
        <f>IFERROR(__xludf.DUMMYFUNCTION("""COMPUTED_VALUE"""),"")</f>
        <v/>
      </c>
      <c r="Q8" s="1" t="str">
        <f>IFERROR(__xludf.DUMMYFUNCTION("""COMPUTED_VALUE"""),"")</f>
        <v/>
      </c>
      <c r="R8" s="1" t="str">
        <f>IFERROR(__xludf.DUMMYFUNCTION("""COMPUTED_VALUE"""),"")</f>
        <v/>
      </c>
      <c r="S8" s="1" t="str">
        <f>IFERROR(__xludf.DUMMYFUNCTION("""COMPUTED_VALUE"""),"")</f>
        <v/>
      </c>
    </row>
    <row r="9">
      <c r="A9" s="1" t="str">
        <f>IFERROR(__xludf.DUMMYFUNCTION("""COMPUTED_VALUE"""),"")</f>
        <v/>
      </c>
      <c r="B9" s="1" t="str">
        <f>IFERROR(__xludf.DUMMYFUNCTION("""COMPUTED_VALUE"""),"World")</f>
        <v>World</v>
      </c>
      <c r="C9" s="3">
        <f>IFERROR(__xludf.DUMMYFUNCTION("""COMPUTED_VALUE"""),5905846.0)</f>
        <v>5905846</v>
      </c>
      <c r="D9" s="1" t="str">
        <f>IFERROR(__xludf.DUMMYFUNCTION("""COMPUTED_VALUE"""),"+4,939")</f>
        <v>+4,939</v>
      </c>
      <c r="E9" s="3">
        <f>IFERROR(__xludf.DUMMYFUNCTION("""COMPUTED_VALUE"""),362024.0)</f>
        <v>362024</v>
      </c>
      <c r="F9" s="1" t="str">
        <f>IFERROR(__xludf.DUMMYFUNCTION("""COMPUTED_VALUE"""),"+475")</f>
        <v>+475</v>
      </c>
      <c r="G9" s="3">
        <f>IFERROR(__xludf.DUMMYFUNCTION("""COMPUTED_VALUE"""),2579877.0)</f>
        <v>2579877</v>
      </c>
      <c r="H9" s="1" t="str">
        <f>IFERROR(__xludf.DUMMYFUNCTION("""COMPUTED_VALUE"""),"+2,627")</f>
        <v>+2,627</v>
      </c>
      <c r="I9" s="3">
        <f>IFERROR(__xludf.DUMMYFUNCTION("""COMPUTED_VALUE"""),2963945.0)</f>
        <v>2963945</v>
      </c>
      <c r="J9" s="3">
        <f>IFERROR(__xludf.DUMMYFUNCTION("""COMPUTED_VALUE"""),53972.0)</f>
        <v>53972</v>
      </c>
      <c r="K9" s="1">
        <f>IFERROR(__xludf.DUMMYFUNCTION("""COMPUTED_VALUE"""),758.0)</f>
        <v>758</v>
      </c>
      <c r="L9" s="1">
        <f>IFERROR(__xludf.DUMMYFUNCTION("""COMPUTED_VALUE"""),46.4)</f>
        <v>46.4</v>
      </c>
      <c r="M9" s="1" t="str">
        <f>IFERROR(__xludf.DUMMYFUNCTION("""COMPUTED_VALUE"""),"")</f>
        <v/>
      </c>
      <c r="N9" s="1" t="str">
        <f>IFERROR(__xludf.DUMMYFUNCTION("""COMPUTED_VALUE"""),"")</f>
        <v/>
      </c>
      <c r="O9" s="1" t="str">
        <f>IFERROR(__xludf.DUMMYFUNCTION("""COMPUTED_VALUE"""),"")</f>
        <v/>
      </c>
      <c r="P9" s="1" t="str">
        <f>IFERROR(__xludf.DUMMYFUNCTION("""COMPUTED_VALUE"""),"All")</f>
        <v>All</v>
      </c>
      <c r="Q9" s="1" t="str">
        <f>IFERROR(__xludf.DUMMYFUNCTION("""COMPUTED_VALUE"""),"")</f>
        <v/>
      </c>
      <c r="R9" s="1" t="str">
        <f>IFERROR(__xludf.DUMMYFUNCTION("""COMPUTED_VALUE"""),"")</f>
        <v/>
      </c>
      <c r="S9" s="1" t="str">
        <f>IFERROR(__xludf.DUMMYFUNCTION("""COMPUTED_VALUE"""),"")</f>
        <v/>
      </c>
    </row>
    <row r="10">
      <c r="A10" s="1">
        <f>IFERROR(__xludf.DUMMYFUNCTION("""COMPUTED_VALUE"""),1.0)</f>
        <v>1</v>
      </c>
      <c r="B10" s="1" t="str">
        <f>IFERROR(__xludf.DUMMYFUNCTION("""COMPUTED_VALUE"""),"USA")</f>
        <v>USA</v>
      </c>
      <c r="C10" s="3">
        <f>IFERROR(__xludf.DUMMYFUNCTION("""COMPUTED_VALUE"""),1768461.0)</f>
        <v>1768461</v>
      </c>
      <c r="D10" s="1" t="str">
        <f>IFERROR(__xludf.DUMMYFUNCTION("""COMPUTED_VALUE"""),"")</f>
        <v/>
      </c>
      <c r="E10" s="3">
        <f>IFERROR(__xludf.DUMMYFUNCTION("""COMPUTED_VALUE"""),103330.0)</f>
        <v>103330</v>
      </c>
      <c r="F10" s="1" t="str">
        <f>IFERROR(__xludf.DUMMYFUNCTION("""COMPUTED_VALUE"""),"")</f>
        <v/>
      </c>
      <c r="G10" s="3">
        <f>IFERROR(__xludf.DUMMYFUNCTION("""COMPUTED_VALUE"""),498725.0)</f>
        <v>498725</v>
      </c>
      <c r="H10" s="1" t="str">
        <f>IFERROR(__xludf.DUMMYFUNCTION("""COMPUTED_VALUE"""),"")</f>
        <v/>
      </c>
      <c r="I10" s="3">
        <f>IFERROR(__xludf.DUMMYFUNCTION("""COMPUTED_VALUE"""),1166406.0)</f>
        <v>1166406</v>
      </c>
      <c r="J10" s="3">
        <f>IFERROR(__xludf.DUMMYFUNCTION("""COMPUTED_VALUE"""),17202.0)</f>
        <v>17202</v>
      </c>
      <c r="K10" s="3">
        <f>IFERROR(__xludf.DUMMYFUNCTION("""COMPUTED_VALUE"""),5346.0)</f>
        <v>5346</v>
      </c>
      <c r="L10" s="1">
        <f>IFERROR(__xludf.DUMMYFUNCTION("""COMPUTED_VALUE"""),312.0)</f>
        <v>312</v>
      </c>
      <c r="M10" s="3">
        <f>IFERROR(__xludf.DUMMYFUNCTION("""COMPUTED_VALUE"""),1.6331312E7)</f>
        <v>16331312</v>
      </c>
      <c r="N10" s="3">
        <f>IFERROR(__xludf.DUMMYFUNCTION("""COMPUTED_VALUE"""),49365.0)</f>
        <v>49365</v>
      </c>
      <c r="O10" s="3">
        <f>IFERROR(__xludf.DUMMYFUNCTION("""COMPUTED_VALUE"""),3.30827597E8)</f>
        <v>330827597</v>
      </c>
      <c r="P10" s="1" t="str">
        <f>IFERROR(__xludf.DUMMYFUNCTION("""COMPUTED_VALUE"""),"North America")</f>
        <v>North America</v>
      </c>
      <c r="Q10" s="1">
        <f>IFERROR(__xludf.DUMMYFUNCTION("""COMPUTED_VALUE"""),187.0)</f>
        <v>187</v>
      </c>
      <c r="R10" s="3">
        <f>IFERROR(__xludf.DUMMYFUNCTION("""COMPUTED_VALUE"""),3202.0)</f>
        <v>3202</v>
      </c>
      <c r="S10" s="1">
        <f>IFERROR(__xludf.DUMMYFUNCTION("""COMPUTED_VALUE"""),20.0)</f>
        <v>20</v>
      </c>
    </row>
    <row r="11">
      <c r="A11" s="1">
        <f>IFERROR(__xludf.DUMMYFUNCTION("""COMPUTED_VALUE"""),2.0)</f>
        <v>2</v>
      </c>
      <c r="B11" s="1" t="str">
        <f>IFERROR(__xludf.DUMMYFUNCTION("""COMPUTED_VALUE"""),"Brazil")</f>
        <v>Brazil</v>
      </c>
      <c r="C11" s="3">
        <f>IFERROR(__xludf.DUMMYFUNCTION("""COMPUTED_VALUE"""),438812.0)</f>
        <v>438812</v>
      </c>
      <c r="D11" s="1" t="str">
        <f>IFERROR(__xludf.DUMMYFUNCTION("""COMPUTED_VALUE"""),"")</f>
        <v/>
      </c>
      <c r="E11" s="3">
        <f>IFERROR(__xludf.DUMMYFUNCTION("""COMPUTED_VALUE"""),26764.0)</f>
        <v>26764</v>
      </c>
      <c r="F11" s="1" t="str">
        <f>IFERROR(__xludf.DUMMYFUNCTION("""COMPUTED_VALUE"""),"")</f>
        <v/>
      </c>
      <c r="G11" s="3">
        <f>IFERROR(__xludf.DUMMYFUNCTION("""COMPUTED_VALUE"""),193181.0)</f>
        <v>193181</v>
      </c>
      <c r="H11" s="1" t="str">
        <f>IFERROR(__xludf.DUMMYFUNCTION("""COMPUTED_VALUE"""),"")</f>
        <v/>
      </c>
      <c r="I11" s="3">
        <f>IFERROR(__xludf.DUMMYFUNCTION("""COMPUTED_VALUE"""),218867.0)</f>
        <v>218867</v>
      </c>
      <c r="J11" s="3">
        <f>IFERROR(__xludf.DUMMYFUNCTION("""COMPUTED_VALUE"""),8318.0)</f>
        <v>8318</v>
      </c>
      <c r="K11" s="3">
        <f>IFERROR(__xludf.DUMMYFUNCTION("""COMPUTED_VALUE"""),2066.0)</f>
        <v>2066</v>
      </c>
      <c r="L11" s="1">
        <f>IFERROR(__xludf.DUMMYFUNCTION("""COMPUTED_VALUE"""),126.0)</f>
        <v>126</v>
      </c>
      <c r="M11" s="3">
        <f>IFERROR(__xludf.DUMMYFUNCTION("""COMPUTED_VALUE"""),871839.0)</f>
        <v>871839</v>
      </c>
      <c r="N11" s="3">
        <f>IFERROR(__xludf.DUMMYFUNCTION("""COMPUTED_VALUE"""),4104.0)</f>
        <v>4104</v>
      </c>
      <c r="O11" s="3">
        <f>IFERROR(__xludf.DUMMYFUNCTION("""COMPUTED_VALUE"""),2.12422152E8)</f>
        <v>212422152</v>
      </c>
      <c r="P11" s="1" t="str">
        <f>IFERROR(__xludf.DUMMYFUNCTION("""COMPUTED_VALUE"""),"South America")</f>
        <v>South America</v>
      </c>
      <c r="Q11" s="1">
        <f>IFERROR(__xludf.DUMMYFUNCTION("""COMPUTED_VALUE"""),484.0)</f>
        <v>484</v>
      </c>
      <c r="R11" s="3">
        <f>IFERROR(__xludf.DUMMYFUNCTION("""COMPUTED_VALUE"""),7937.0)</f>
        <v>7937</v>
      </c>
      <c r="S11" s="1">
        <f>IFERROR(__xludf.DUMMYFUNCTION("""COMPUTED_VALUE"""),244.0)</f>
        <v>244</v>
      </c>
    </row>
    <row r="12">
      <c r="A12" s="1">
        <f>IFERROR(__xludf.DUMMYFUNCTION("""COMPUTED_VALUE"""),3.0)</f>
        <v>3</v>
      </c>
      <c r="B12" s="1" t="str">
        <f>IFERROR(__xludf.DUMMYFUNCTION("""COMPUTED_VALUE"""),"Russia")</f>
        <v>Russia</v>
      </c>
      <c r="C12" s="3">
        <f>IFERROR(__xludf.DUMMYFUNCTION("""COMPUTED_VALUE"""),379051.0)</f>
        <v>379051</v>
      </c>
      <c r="D12" s="1" t="str">
        <f>IFERROR(__xludf.DUMMYFUNCTION("""COMPUTED_VALUE"""),"")</f>
        <v/>
      </c>
      <c r="E12" s="3">
        <f>IFERROR(__xludf.DUMMYFUNCTION("""COMPUTED_VALUE"""),4142.0)</f>
        <v>4142</v>
      </c>
      <c r="F12" s="1" t="str">
        <f>IFERROR(__xludf.DUMMYFUNCTION("""COMPUTED_VALUE"""),"")</f>
        <v/>
      </c>
      <c r="G12" s="3">
        <f>IFERROR(__xludf.DUMMYFUNCTION("""COMPUTED_VALUE"""),150993.0)</f>
        <v>150993</v>
      </c>
      <c r="H12" s="1" t="str">
        <f>IFERROR(__xludf.DUMMYFUNCTION("""COMPUTED_VALUE"""),"")</f>
        <v/>
      </c>
      <c r="I12" s="3">
        <f>IFERROR(__xludf.DUMMYFUNCTION("""COMPUTED_VALUE"""),223916.0)</f>
        <v>223916</v>
      </c>
      <c r="J12" s="3">
        <f>IFERROR(__xludf.DUMMYFUNCTION("""COMPUTED_VALUE"""),2300.0)</f>
        <v>2300</v>
      </c>
      <c r="K12" s="3">
        <f>IFERROR(__xludf.DUMMYFUNCTION("""COMPUTED_VALUE"""),2598.0)</f>
        <v>2598</v>
      </c>
      <c r="L12" s="1">
        <f>IFERROR(__xludf.DUMMYFUNCTION("""COMPUTED_VALUE"""),28.0)</f>
        <v>28</v>
      </c>
      <c r="M12" s="3">
        <f>IFERROR(__xludf.DUMMYFUNCTION("""COMPUTED_VALUE"""),9701280.0)</f>
        <v>9701280</v>
      </c>
      <c r="N12" s="3">
        <f>IFERROR(__xludf.DUMMYFUNCTION("""COMPUTED_VALUE"""),66479.0)</f>
        <v>66479</v>
      </c>
      <c r="O12" s="3">
        <f>IFERROR(__xludf.DUMMYFUNCTION("""COMPUTED_VALUE"""),1.45928996E8)</f>
        <v>145928996</v>
      </c>
      <c r="P12" s="1" t="str">
        <f>IFERROR(__xludf.DUMMYFUNCTION("""COMPUTED_VALUE"""),"Europe")</f>
        <v>Europe</v>
      </c>
      <c r="Q12" s="1">
        <f>IFERROR(__xludf.DUMMYFUNCTION("""COMPUTED_VALUE"""),385.0)</f>
        <v>385</v>
      </c>
      <c r="R12" s="3">
        <f>IFERROR(__xludf.DUMMYFUNCTION("""COMPUTED_VALUE"""),35232.0)</f>
        <v>35232</v>
      </c>
      <c r="S12" s="1">
        <f>IFERROR(__xludf.DUMMYFUNCTION("""COMPUTED_VALUE"""),15.0)</f>
        <v>15</v>
      </c>
    </row>
    <row r="13">
      <c r="A13" s="1">
        <f>IFERROR(__xludf.DUMMYFUNCTION("""COMPUTED_VALUE"""),4.0)</f>
        <v>4</v>
      </c>
      <c r="B13" s="1" t="str">
        <f>IFERROR(__xludf.DUMMYFUNCTION("""COMPUTED_VALUE"""),"Spain")</f>
        <v>Spain</v>
      </c>
      <c r="C13" s="3">
        <f>IFERROR(__xludf.DUMMYFUNCTION("""COMPUTED_VALUE"""),284986.0)</f>
        <v>284986</v>
      </c>
      <c r="D13" s="1" t="str">
        <f>IFERROR(__xludf.DUMMYFUNCTION("""COMPUTED_VALUE"""),"")</f>
        <v/>
      </c>
      <c r="E13" s="3">
        <f>IFERROR(__xludf.DUMMYFUNCTION("""COMPUTED_VALUE"""),27119.0)</f>
        <v>27119</v>
      </c>
      <c r="F13" s="1" t="str">
        <f>IFERROR(__xludf.DUMMYFUNCTION("""COMPUTED_VALUE"""),"")</f>
        <v/>
      </c>
      <c r="G13" s="3">
        <f>IFERROR(__xludf.DUMMYFUNCTION("""COMPUTED_VALUE"""),196958.0)</f>
        <v>196958</v>
      </c>
      <c r="H13" s="1" t="str">
        <f>IFERROR(__xludf.DUMMYFUNCTION("""COMPUTED_VALUE"""),"")</f>
        <v/>
      </c>
      <c r="I13" s="3">
        <f>IFERROR(__xludf.DUMMYFUNCTION("""COMPUTED_VALUE"""),60909.0)</f>
        <v>60909</v>
      </c>
      <c r="J13" s="1">
        <f>IFERROR(__xludf.DUMMYFUNCTION("""COMPUTED_VALUE"""),854.0)</f>
        <v>854</v>
      </c>
      <c r="K13" s="3">
        <f>IFERROR(__xludf.DUMMYFUNCTION("""COMPUTED_VALUE"""),6096.0)</f>
        <v>6096</v>
      </c>
      <c r="L13" s="1">
        <f>IFERROR(__xludf.DUMMYFUNCTION("""COMPUTED_VALUE"""),580.0)</f>
        <v>580</v>
      </c>
      <c r="M13" s="3">
        <f>IFERROR(__xludf.DUMMYFUNCTION("""COMPUTED_VALUE"""),3556567.0)</f>
        <v>3556567</v>
      </c>
      <c r="N13" s="3">
        <f>IFERROR(__xludf.DUMMYFUNCTION("""COMPUTED_VALUE"""),76071.0)</f>
        <v>76071</v>
      </c>
      <c r="O13" s="3">
        <f>IFERROR(__xludf.DUMMYFUNCTION("""COMPUTED_VALUE"""),4.6753197E7)</f>
        <v>46753197</v>
      </c>
      <c r="P13" s="1" t="str">
        <f>IFERROR(__xludf.DUMMYFUNCTION("""COMPUTED_VALUE"""),"Europe")</f>
        <v>Europe</v>
      </c>
      <c r="Q13" s="1">
        <f>IFERROR(__xludf.DUMMYFUNCTION("""COMPUTED_VALUE"""),164.0)</f>
        <v>164</v>
      </c>
      <c r="R13" s="3">
        <f>IFERROR(__xludf.DUMMYFUNCTION("""COMPUTED_VALUE"""),1724.0)</f>
        <v>1724</v>
      </c>
      <c r="S13" s="1">
        <f>IFERROR(__xludf.DUMMYFUNCTION("""COMPUTED_VALUE"""),13.0)</f>
        <v>13</v>
      </c>
    </row>
    <row r="14">
      <c r="A14" s="1">
        <f>IFERROR(__xludf.DUMMYFUNCTION("""COMPUTED_VALUE"""),5.0)</f>
        <v>5</v>
      </c>
      <c r="B14" s="1" t="str">
        <f>IFERROR(__xludf.DUMMYFUNCTION("""COMPUTED_VALUE"""),"UK")</f>
        <v>UK</v>
      </c>
      <c r="C14" s="3">
        <f>IFERROR(__xludf.DUMMYFUNCTION("""COMPUTED_VALUE"""),269127.0)</f>
        <v>269127</v>
      </c>
      <c r="D14" s="1" t="str">
        <f>IFERROR(__xludf.DUMMYFUNCTION("""COMPUTED_VALUE"""),"")</f>
        <v/>
      </c>
      <c r="E14" s="3">
        <f>IFERROR(__xludf.DUMMYFUNCTION("""COMPUTED_VALUE"""),37837.0)</f>
        <v>37837</v>
      </c>
      <c r="F14" s="1" t="str">
        <f>IFERROR(__xludf.DUMMYFUNCTION("""COMPUTED_VALUE"""),"")</f>
        <v/>
      </c>
      <c r="G14" s="1" t="str">
        <f>IFERROR(__xludf.DUMMYFUNCTION("""COMPUTED_VALUE"""),"N/A")</f>
        <v>N/A</v>
      </c>
      <c r="H14" s="1" t="str">
        <f>IFERROR(__xludf.DUMMYFUNCTION("""COMPUTED_VALUE"""),"N/A")</f>
        <v>N/A</v>
      </c>
      <c r="I14" s="1" t="str">
        <f>IFERROR(__xludf.DUMMYFUNCTION("""COMPUTED_VALUE"""),"N/A")</f>
        <v>N/A</v>
      </c>
      <c r="J14" s="3">
        <f>IFERROR(__xludf.DUMMYFUNCTION("""COMPUTED_VALUE"""),1559.0)</f>
        <v>1559</v>
      </c>
      <c r="K14" s="3">
        <f>IFERROR(__xludf.DUMMYFUNCTION("""COMPUTED_VALUE"""),3966.0)</f>
        <v>3966</v>
      </c>
      <c r="L14" s="1">
        <f>IFERROR(__xludf.DUMMYFUNCTION("""COMPUTED_VALUE"""),558.0)</f>
        <v>558</v>
      </c>
      <c r="M14" s="3">
        <f>IFERROR(__xludf.DUMMYFUNCTION("""COMPUTED_VALUE"""),3918079.0)</f>
        <v>3918079</v>
      </c>
      <c r="N14" s="3">
        <f>IFERROR(__xludf.DUMMYFUNCTION("""COMPUTED_VALUE"""),57743.0)</f>
        <v>57743</v>
      </c>
      <c r="O14" s="3">
        <f>IFERROR(__xludf.DUMMYFUNCTION("""COMPUTED_VALUE"""),6.7853964E7)</f>
        <v>67853964</v>
      </c>
      <c r="P14" s="1" t="str">
        <f>IFERROR(__xludf.DUMMYFUNCTION("""COMPUTED_VALUE"""),"Europe")</f>
        <v>Europe</v>
      </c>
      <c r="Q14" s="1">
        <f>IFERROR(__xludf.DUMMYFUNCTION("""COMPUTED_VALUE"""),252.0)</f>
        <v>252</v>
      </c>
      <c r="R14" s="3">
        <f>IFERROR(__xludf.DUMMYFUNCTION("""COMPUTED_VALUE"""),1793.0)</f>
        <v>1793</v>
      </c>
      <c r="S14" s="1">
        <f>IFERROR(__xludf.DUMMYFUNCTION("""COMPUTED_VALUE"""),17.0)</f>
        <v>17</v>
      </c>
    </row>
    <row r="15">
      <c r="A15" s="1">
        <f>IFERROR(__xludf.DUMMYFUNCTION("""COMPUTED_VALUE"""),6.0)</f>
        <v>6</v>
      </c>
      <c r="B15" s="1" t="str">
        <f>IFERROR(__xludf.DUMMYFUNCTION("""COMPUTED_VALUE"""),"Italy")</f>
        <v>Italy</v>
      </c>
      <c r="C15" s="3">
        <f>IFERROR(__xludf.DUMMYFUNCTION("""COMPUTED_VALUE"""),231732.0)</f>
        <v>231732</v>
      </c>
      <c r="D15" s="1" t="str">
        <f>IFERROR(__xludf.DUMMYFUNCTION("""COMPUTED_VALUE"""),"")</f>
        <v/>
      </c>
      <c r="E15" s="3">
        <f>IFERROR(__xludf.DUMMYFUNCTION("""COMPUTED_VALUE"""),33142.0)</f>
        <v>33142</v>
      </c>
      <c r="F15" s="1" t="str">
        <f>IFERROR(__xludf.DUMMYFUNCTION("""COMPUTED_VALUE"""),"")</f>
        <v/>
      </c>
      <c r="G15" s="3">
        <f>IFERROR(__xludf.DUMMYFUNCTION("""COMPUTED_VALUE"""),150604.0)</f>
        <v>150604</v>
      </c>
      <c r="H15" s="1" t="str">
        <f>IFERROR(__xludf.DUMMYFUNCTION("""COMPUTED_VALUE"""),"")</f>
        <v/>
      </c>
      <c r="I15" s="3">
        <f>IFERROR(__xludf.DUMMYFUNCTION("""COMPUTED_VALUE"""),47986.0)</f>
        <v>47986</v>
      </c>
      <c r="J15" s="1">
        <f>IFERROR(__xludf.DUMMYFUNCTION("""COMPUTED_VALUE"""),489.0)</f>
        <v>489</v>
      </c>
      <c r="K15" s="3">
        <f>IFERROR(__xludf.DUMMYFUNCTION("""COMPUTED_VALUE"""),3832.0)</f>
        <v>3832</v>
      </c>
      <c r="L15" s="1">
        <f>IFERROR(__xludf.DUMMYFUNCTION("""COMPUTED_VALUE"""),548.0)</f>
        <v>548</v>
      </c>
      <c r="M15" s="3">
        <f>IFERROR(__xludf.DUMMYFUNCTION("""COMPUTED_VALUE"""),3683144.0)</f>
        <v>3683144</v>
      </c>
      <c r="N15" s="3">
        <f>IFERROR(__xludf.DUMMYFUNCTION("""COMPUTED_VALUE"""),60909.0)</f>
        <v>60909</v>
      </c>
      <c r="O15" s="3">
        <f>IFERROR(__xludf.DUMMYFUNCTION("""COMPUTED_VALUE"""),6.0469504E7)</f>
        <v>60469504</v>
      </c>
      <c r="P15" s="1" t="str">
        <f>IFERROR(__xludf.DUMMYFUNCTION("""COMPUTED_VALUE"""),"Europe")</f>
        <v>Europe</v>
      </c>
      <c r="Q15" s="1">
        <f>IFERROR(__xludf.DUMMYFUNCTION("""COMPUTED_VALUE"""),261.0)</f>
        <v>261</v>
      </c>
      <c r="R15" s="3">
        <f>IFERROR(__xludf.DUMMYFUNCTION("""COMPUTED_VALUE"""),1825.0)</f>
        <v>1825</v>
      </c>
      <c r="S15" s="1">
        <f>IFERROR(__xludf.DUMMYFUNCTION("""COMPUTED_VALUE"""),16.0)</f>
        <v>16</v>
      </c>
    </row>
    <row r="16">
      <c r="A16" s="1">
        <f>IFERROR(__xludf.DUMMYFUNCTION("""COMPUTED_VALUE"""),7.0)</f>
        <v>7</v>
      </c>
      <c r="B16" s="1" t="str">
        <f>IFERROR(__xludf.DUMMYFUNCTION("""COMPUTED_VALUE"""),"France")</f>
        <v>France</v>
      </c>
      <c r="C16" s="3">
        <f>IFERROR(__xludf.DUMMYFUNCTION("""COMPUTED_VALUE"""),186238.0)</f>
        <v>186238</v>
      </c>
      <c r="D16" s="1" t="str">
        <f>IFERROR(__xludf.DUMMYFUNCTION("""COMPUTED_VALUE"""),"")</f>
        <v/>
      </c>
      <c r="E16" s="3">
        <f>IFERROR(__xludf.DUMMYFUNCTION("""COMPUTED_VALUE"""),28662.0)</f>
        <v>28662</v>
      </c>
      <c r="F16" s="1" t="str">
        <f>IFERROR(__xludf.DUMMYFUNCTION("""COMPUTED_VALUE"""),"")</f>
        <v/>
      </c>
      <c r="G16" s="3">
        <f>IFERROR(__xludf.DUMMYFUNCTION("""COMPUTED_VALUE"""),67191.0)</f>
        <v>67191</v>
      </c>
      <c r="H16" s="1" t="str">
        <f>IFERROR(__xludf.DUMMYFUNCTION("""COMPUTED_VALUE"""),"")</f>
        <v/>
      </c>
      <c r="I16" s="3">
        <f>IFERROR(__xludf.DUMMYFUNCTION("""COMPUTED_VALUE"""),90385.0)</f>
        <v>90385</v>
      </c>
      <c r="J16" s="3">
        <f>IFERROR(__xludf.DUMMYFUNCTION("""COMPUTED_VALUE"""),1429.0)</f>
        <v>1429</v>
      </c>
      <c r="K16" s="3">
        <f>IFERROR(__xludf.DUMMYFUNCTION("""COMPUTED_VALUE"""),2854.0)</f>
        <v>2854</v>
      </c>
      <c r="L16" s="1">
        <f>IFERROR(__xludf.DUMMYFUNCTION("""COMPUTED_VALUE"""),439.0)</f>
        <v>439</v>
      </c>
      <c r="M16" s="3">
        <f>IFERROR(__xludf.DUMMYFUNCTION("""COMPUTED_VALUE"""),1384633.0)</f>
        <v>1384633</v>
      </c>
      <c r="N16" s="3">
        <f>IFERROR(__xludf.DUMMYFUNCTION("""COMPUTED_VALUE"""),21217.0)</f>
        <v>21217</v>
      </c>
      <c r="O16" s="3">
        <f>IFERROR(__xludf.DUMMYFUNCTION("""COMPUTED_VALUE"""),6.5260761E7)</f>
        <v>65260761</v>
      </c>
      <c r="P16" s="1" t="str">
        <f>IFERROR(__xludf.DUMMYFUNCTION("""COMPUTED_VALUE"""),"Europe")</f>
        <v>Europe</v>
      </c>
      <c r="Q16" s="1">
        <f>IFERROR(__xludf.DUMMYFUNCTION("""COMPUTED_VALUE"""),350.0)</f>
        <v>350</v>
      </c>
      <c r="R16" s="3">
        <f>IFERROR(__xludf.DUMMYFUNCTION("""COMPUTED_VALUE"""),2277.0)</f>
        <v>2277</v>
      </c>
      <c r="S16" s="1">
        <f>IFERROR(__xludf.DUMMYFUNCTION("""COMPUTED_VALUE"""),47.0)</f>
        <v>47</v>
      </c>
    </row>
    <row r="17">
      <c r="A17" s="1">
        <f>IFERROR(__xludf.DUMMYFUNCTION("""COMPUTED_VALUE"""),8.0)</f>
        <v>8</v>
      </c>
      <c r="B17" s="1" t="str">
        <f>IFERROR(__xludf.DUMMYFUNCTION("""COMPUTED_VALUE"""),"Germany")</f>
        <v>Germany</v>
      </c>
      <c r="C17" s="3">
        <f>IFERROR(__xludf.DUMMYFUNCTION("""COMPUTED_VALUE"""),182452.0)</f>
        <v>182452</v>
      </c>
      <c r="D17" s="1" t="str">
        <f>IFERROR(__xludf.DUMMYFUNCTION("""COMPUTED_VALUE"""),"")</f>
        <v/>
      </c>
      <c r="E17" s="3">
        <f>IFERROR(__xludf.DUMMYFUNCTION("""COMPUTED_VALUE"""),8570.0)</f>
        <v>8570</v>
      </c>
      <c r="F17" s="1" t="str">
        <f>IFERROR(__xludf.DUMMYFUNCTION("""COMPUTED_VALUE"""),"")</f>
        <v/>
      </c>
      <c r="G17" s="3">
        <f>IFERROR(__xludf.DUMMYFUNCTION("""COMPUTED_VALUE"""),163200.0)</f>
        <v>163200</v>
      </c>
      <c r="H17" s="1" t="str">
        <f>IFERROR(__xludf.DUMMYFUNCTION("""COMPUTED_VALUE"""),"")</f>
        <v/>
      </c>
      <c r="I17" s="3">
        <f>IFERROR(__xludf.DUMMYFUNCTION("""COMPUTED_VALUE"""),10682.0)</f>
        <v>10682</v>
      </c>
      <c r="J17" s="1">
        <f>IFERROR(__xludf.DUMMYFUNCTION("""COMPUTED_VALUE"""),744.0)</f>
        <v>744</v>
      </c>
      <c r="K17" s="3">
        <f>IFERROR(__xludf.DUMMYFUNCTION("""COMPUTED_VALUE"""),2178.0)</f>
        <v>2178</v>
      </c>
      <c r="L17" s="1">
        <f>IFERROR(__xludf.DUMMYFUNCTION("""COMPUTED_VALUE"""),102.0)</f>
        <v>102</v>
      </c>
      <c r="M17" s="3">
        <f>IFERROR(__xludf.DUMMYFUNCTION("""COMPUTED_VALUE"""),3952971.0)</f>
        <v>3952971</v>
      </c>
      <c r="N17" s="3">
        <f>IFERROR(__xludf.DUMMYFUNCTION("""COMPUTED_VALUE"""),47194.0)</f>
        <v>47194</v>
      </c>
      <c r="O17" s="3">
        <f>IFERROR(__xludf.DUMMYFUNCTION("""COMPUTED_VALUE"""),8.3760156E7)</f>
        <v>83760156</v>
      </c>
      <c r="P17" s="1" t="str">
        <f>IFERROR(__xludf.DUMMYFUNCTION("""COMPUTED_VALUE"""),"Europe")</f>
        <v>Europe</v>
      </c>
      <c r="Q17" s="1">
        <f>IFERROR(__xludf.DUMMYFUNCTION("""COMPUTED_VALUE"""),459.0)</f>
        <v>459</v>
      </c>
      <c r="R17" s="3">
        <f>IFERROR(__xludf.DUMMYFUNCTION("""COMPUTED_VALUE"""),9774.0)</f>
        <v>9774</v>
      </c>
      <c r="S17" s="1">
        <f>IFERROR(__xludf.DUMMYFUNCTION("""COMPUTED_VALUE"""),21.0)</f>
        <v>21</v>
      </c>
    </row>
    <row r="18">
      <c r="A18" s="1">
        <f>IFERROR(__xludf.DUMMYFUNCTION("""COMPUTED_VALUE"""),9.0)</f>
        <v>9</v>
      </c>
      <c r="B18" s="1" t="str">
        <f>IFERROR(__xludf.DUMMYFUNCTION("""COMPUTED_VALUE"""),"India")</f>
        <v>India</v>
      </c>
      <c r="C18" s="3">
        <f>IFERROR(__xludf.DUMMYFUNCTION("""COMPUTED_VALUE"""),165799.0)</f>
        <v>165799</v>
      </c>
      <c r="D18" s="1" t="str">
        <f>IFERROR(__xludf.DUMMYFUNCTION("""COMPUTED_VALUE"""),"+413")</f>
        <v>+413</v>
      </c>
      <c r="E18" s="3">
        <f>IFERROR(__xludf.DUMMYFUNCTION("""COMPUTED_VALUE"""),4711.0)</f>
        <v>4711</v>
      </c>
      <c r="F18" s="1" t="str">
        <f>IFERROR(__xludf.DUMMYFUNCTION("""COMPUTED_VALUE"""),"")</f>
        <v/>
      </c>
      <c r="G18" s="3">
        <f>IFERROR(__xludf.DUMMYFUNCTION("""COMPUTED_VALUE"""),71106.0)</f>
        <v>71106</v>
      </c>
      <c r="H18" s="1" t="str">
        <f>IFERROR(__xludf.DUMMYFUNCTION("""COMPUTED_VALUE"""),"+186")</f>
        <v>+186</v>
      </c>
      <c r="I18" s="3">
        <f>IFERROR(__xludf.DUMMYFUNCTION("""COMPUTED_VALUE"""),89982.0)</f>
        <v>89982</v>
      </c>
      <c r="J18" s="3">
        <f>IFERROR(__xludf.DUMMYFUNCTION("""COMPUTED_VALUE"""),8944.0)</f>
        <v>8944</v>
      </c>
      <c r="K18" s="1">
        <f>IFERROR(__xludf.DUMMYFUNCTION("""COMPUTED_VALUE"""),120.0)</f>
        <v>120</v>
      </c>
      <c r="L18" s="1">
        <f>IFERROR(__xludf.DUMMYFUNCTION("""COMPUTED_VALUE"""),3.0)</f>
        <v>3</v>
      </c>
      <c r="M18" s="3">
        <f>IFERROR(__xludf.DUMMYFUNCTION("""COMPUTED_VALUE"""),3362136.0)</f>
        <v>3362136</v>
      </c>
      <c r="N18" s="3">
        <f>IFERROR(__xludf.DUMMYFUNCTION("""COMPUTED_VALUE"""),2439.0)</f>
        <v>2439</v>
      </c>
      <c r="O18" s="3">
        <f>IFERROR(__xludf.DUMMYFUNCTION("""COMPUTED_VALUE"""),1.378752175E9)</f>
        <v>1378752175</v>
      </c>
      <c r="P18" s="1" t="str">
        <f>IFERROR(__xludf.DUMMYFUNCTION("""COMPUTED_VALUE"""),"Asia")</f>
        <v>Asia</v>
      </c>
      <c r="Q18" s="3">
        <f>IFERROR(__xludf.DUMMYFUNCTION("""COMPUTED_VALUE"""),8316.0)</f>
        <v>8316</v>
      </c>
      <c r="R18" s="3">
        <f>IFERROR(__xludf.DUMMYFUNCTION("""COMPUTED_VALUE"""),292667.0)</f>
        <v>292667</v>
      </c>
      <c r="S18" s="1">
        <f>IFERROR(__xludf.DUMMYFUNCTION("""COMPUTED_VALUE"""),410.0)</f>
        <v>410</v>
      </c>
    </row>
    <row r="19">
      <c r="A19" s="1">
        <f>IFERROR(__xludf.DUMMYFUNCTION("""COMPUTED_VALUE"""),10.0)</f>
        <v>10</v>
      </c>
      <c r="B19" s="1" t="str">
        <f>IFERROR(__xludf.DUMMYFUNCTION("""COMPUTED_VALUE"""),"Turkey")</f>
        <v>Turkey</v>
      </c>
      <c r="C19" s="3">
        <f>IFERROR(__xludf.DUMMYFUNCTION("""COMPUTED_VALUE"""),160979.0)</f>
        <v>160979</v>
      </c>
      <c r="D19" s="1" t="str">
        <f>IFERROR(__xludf.DUMMYFUNCTION("""COMPUTED_VALUE"""),"")</f>
        <v/>
      </c>
      <c r="E19" s="3">
        <f>IFERROR(__xludf.DUMMYFUNCTION("""COMPUTED_VALUE"""),4461.0)</f>
        <v>4461</v>
      </c>
      <c r="F19" s="1" t="str">
        <f>IFERROR(__xludf.DUMMYFUNCTION("""COMPUTED_VALUE"""),"")</f>
        <v/>
      </c>
      <c r="G19" s="3">
        <f>IFERROR(__xludf.DUMMYFUNCTION("""COMPUTED_VALUE"""),124369.0)</f>
        <v>124369</v>
      </c>
      <c r="H19" s="1" t="str">
        <f>IFERROR(__xludf.DUMMYFUNCTION("""COMPUTED_VALUE"""),"")</f>
        <v/>
      </c>
      <c r="I19" s="3">
        <f>IFERROR(__xludf.DUMMYFUNCTION("""COMPUTED_VALUE"""),32149.0)</f>
        <v>32149</v>
      </c>
      <c r="J19" s="1">
        <f>IFERROR(__xludf.DUMMYFUNCTION("""COMPUTED_VALUE"""),683.0)</f>
        <v>683</v>
      </c>
      <c r="K19" s="3">
        <f>IFERROR(__xludf.DUMMYFUNCTION("""COMPUTED_VALUE"""),1911.0)</f>
        <v>1911</v>
      </c>
      <c r="L19" s="1">
        <f>IFERROR(__xludf.DUMMYFUNCTION("""COMPUTED_VALUE"""),53.0)</f>
        <v>53</v>
      </c>
      <c r="M19" s="3">
        <f>IFERROR(__xludf.DUMMYFUNCTION("""COMPUTED_VALUE"""),1928209.0)</f>
        <v>1928209</v>
      </c>
      <c r="N19" s="3">
        <f>IFERROR(__xludf.DUMMYFUNCTION("""COMPUTED_VALUE"""),22885.0)</f>
        <v>22885</v>
      </c>
      <c r="O19" s="3">
        <f>IFERROR(__xludf.DUMMYFUNCTION("""COMPUTED_VALUE"""),8.4254857E7)</f>
        <v>84254857</v>
      </c>
      <c r="P19" s="1" t="str">
        <f>IFERROR(__xludf.DUMMYFUNCTION("""COMPUTED_VALUE"""),"Asia")</f>
        <v>Asia</v>
      </c>
      <c r="Q19" s="1">
        <f>IFERROR(__xludf.DUMMYFUNCTION("""COMPUTED_VALUE"""),523.0)</f>
        <v>523</v>
      </c>
      <c r="R19" s="3">
        <f>IFERROR(__xludf.DUMMYFUNCTION("""COMPUTED_VALUE"""),18887.0)</f>
        <v>18887</v>
      </c>
      <c r="S19" s="1">
        <f>IFERROR(__xludf.DUMMYFUNCTION("""COMPUTED_VALUE"""),44.0)</f>
        <v>44</v>
      </c>
    </row>
    <row r="20">
      <c r="A20" s="1">
        <f>IFERROR(__xludf.DUMMYFUNCTION("""COMPUTED_VALUE"""),11.0)</f>
        <v>11</v>
      </c>
      <c r="B20" s="1" t="str">
        <f>IFERROR(__xludf.DUMMYFUNCTION("""COMPUTED_VALUE"""),"Iran")</f>
        <v>Iran</v>
      </c>
      <c r="C20" s="3">
        <f>IFERROR(__xludf.DUMMYFUNCTION("""COMPUTED_VALUE"""),143849.0)</f>
        <v>143849</v>
      </c>
      <c r="D20" s="1" t="str">
        <f>IFERROR(__xludf.DUMMYFUNCTION("""COMPUTED_VALUE"""),"")</f>
        <v/>
      </c>
      <c r="E20" s="3">
        <f>IFERROR(__xludf.DUMMYFUNCTION("""COMPUTED_VALUE"""),7627.0)</f>
        <v>7627</v>
      </c>
      <c r="F20" s="1" t="str">
        <f>IFERROR(__xludf.DUMMYFUNCTION("""COMPUTED_VALUE"""),"")</f>
        <v/>
      </c>
      <c r="G20" s="3">
        <f>IFERROR(__xludf.DUMMYFUNCTION("""COMPUTED_VALUE"""),112988.0)</f>
        <v>112988</v>
      </c>
      <c r="H20" s="1" t="str">
        <f>IFERROR(__xludf.DUMMYFUNCTION("""COMPUTED_VALUE"""),"")</f>
        <v/>
      </c>
      <c r="I20" s="3">
        <f>IFERROR(__xludf.DUMMYFUNCTION("""COMPUTED_VALUE"""),23234.0)</f>
        <v>23234</v>
      </c>
      <c r="J20" s="3">
        <f>IFERROR(__xludf.DUMMYFUNCTION("""COMPUTED_VALUE"""),2543.0)</f>
        <v>2543</v>
      </c>
      <c r="K20" s="3">
        <f>IFERROR(__xludf.DUMMYFUNCTION("""COMPUTED_VALUE"""),1715.0)</f>
        <v>1715</v>
      </c>
      <c r="L20" s="1">
        <f>IFERROR(__xludf.DUMMYFUNCTION("""COMPUTED_VALUE"""),91.0)</f>
        <v>91</v>
      </c>
      <c r="M20" s="3">
        <f>IFERROR(__xludf.DUMMYFUNCTION("""COMPUTED_VALUE"""),876492.0)</f>
        <v>876492</v>
      </c>
      <c r="N20" s="3">
        <f>IFERROR(__xludf.DUMMYFUNCTION("""COMPUTED_VALUE"""),10448.0)</f>
        <v>10448</v>
      </c>
      <c r="O20" s="3">
        <f>IFERROR(__xludf.DUMMYFUNCTION("""COMPUTED_VALUE"""),8.3892015E7)</f>
        <v>83892015</v>
      </c>
      <c r="P20" s="1" t="str">
        <f>IFERROR(__xludf.DUMMYFUNCTION("""COMPUTED_VALUE"""),"Asia")</f>
        <v>Asia</v>
      </c>
      <c r="Q20" s="1">
        <f>IFERROR(__xludf.DUMMYFUNCTION("""COMPUTED_VALUE"""),583.0)</f>
        <v>583</v>
      </c>
      <c r="R20" s="3">
        <f>IFERROR(__xludf.DUMMYFUNCTION("""COMPUTED_VALUE"""),10999.0)</f>
        <v>10999</v>
      </c>
      <c r="S20" s="1">
        <f>IFERROR(__xludf.DUMMYFUNCTION("""COMPUTED_VALUE"""),96.0)</f>
        <v>96</v>
      </c>
    </row>
    <row r="21">
      <c r="A21" s="1">
        <f>IFERROR(__xludf.DUMMYFUNCTION("""COMPUTED_VALUE"""),12.0)</f>
        <v>12</v>
      </c>
      <c r="B21" s="1" t="str">
        <f>IFERROR(__xludf.DUMMYFUNCTION("""COMPUTED_VALUE"""),"Peru")</f>
        <v>Peru</v>
      </c>
      <c r="C21" s="3">
        <f>IFERROR(__xludf.DUMMYFUNCTION("""COMPUTED_VALUE"""),141779.0)</f>
        <v>141779</v>
      </c>
      <c r="D21" s="1" t="str">
        <f>IFERROR(__xludf.DUMMYFUNCTION("""COMPUTED_VALUE"""),"")</f>
        <v/>
      </c>
      <c r="E21" s="3">
        <f>IFERROR(__xludf.DUMMYFUNCTION("""COMPUTED_VALUE"""),4099.0)</f>
        <v>4099</v>
      </c>
      <c r="F21" s="1" t="str">
        <f>IFERROR(__xludf.DUMMYFUNCTION("""COMPUTED_VALUE"""),"")</f>
        <v/>
      </c>
      <c r="G21" s="3">
        <f>IFERROR(__xludf.DUMMYFUNCTION("""COMPUTED_VALUE"""),59442.0)</f>
        <v>59442</v>
      </c>
      <c r="H21" s="1" t="str">
        <f>IFERROR(__xludf.DUMMYFUNCTION("""COMPUTED_VALUE"""),"")</f>
        <v/>
      </c>
      <c r="I21" s="3">
        <f>IFERROR(__xludf.DUMMYFUNCTION("""COMPUTED_VALUE"""),78238.0)</f>
        <v>78238</v>
      </c>
      <c r="J21" s="1">
        <f>IFERROR(__xludf.DUMMYFUNCTION("""COMPUTED_VALUE"""),926.0)</f>
        <v>926</v>
      </c>
      <c r="K21" s="3">
        <f>IFERROR(__xludf.DUMMYFUNCTION("""COMPUTED_VALUE"""),4306.0)</f>
        <v>4306</v>
      </c>
      <c r="L21" s="1">
        <f>IFERROR(__xludf.DUMMYFUNCTION("""COMPUTED_VALUE"""),124.0)</f>
        <v>124</v>
      </c>
      <c r="M21" s="3">
        <f>IFERROR(__xludf.DUMMYFUNCTION("""COMPUTED_VALUE"""),928797.0)</f>
        <v>928797</v>
      </c>
      <c r="N21" s="3">
        <f>IFERROR(__xludf.DUMMYFUNCTION("""COMPUTED_VALUE"""),28207.0)</f>
        <v>28207</v>
      </c>
      <c r="O21" s="3">
        <f>IFERROR(__xludf.DUMMYFUNCTION("""COMPUTED_VALUE"""),3.2928451E7)</f>
        <v>32928451</v>
      </c>
      <c r="P21" s="1" t="str">
        <f>IFERROR(__xludf.DUMMYFUNCTION("""COMPUTED_VALUE"""),"South America")</f>
        <v>South America</v>
      </c>
      <c r="Q21" s="1">
        <f>IFERROR(__xludf.DUMMYFUNCTION("""COMPUTED_VALUE"""),232.0)</f>
        <v>232</v>
      </c>
      <c r="R21" s="3">
        <f>IFERROR(__xludf.DUMMYFUNCTION("""COMPUTED_VALUE"""),8033.0)</f>
        <v>8033</v>
      </c>
      <c r="S21" s="1">
        <f>IFERROR(__xludf.DUMMYFUNCTION("""COMPUTED_VALUE"""),35.0)</f>
        <v>35</v>
      </c>
    </row>
    <row r="22">
      <c r="A22" s="1">
        <f>IFERROR(__xludf.DUMMYFUNCTION("""COMPUTED_VALUE"""),13.0)</f>
        <v>13</v>
      </c>
      <c r="B22" s="1" t="str">
        <f>IFERROR(__xludf.DUMMYFUNCTION("""COMPUTED_VALUE"""),"Canada")</f>
        <v>Canada</v>
      </c>
      <c r="C22" s="3">
        <f>IFERROR(__xludf.DUMMYFUNCTION("""COMPUTED_VALUE"""),88512.0)</f>
        <v>88512</v>
      </c>
      <c r="D22" s="1" t="str">
        <f>IFERROR(__xludf.DUMMYFUNCTION("""COMPUTED_VALUE"""),"")</f>
        <v/>
      </c>
      <c r="E22" s="3">
        <f>IFERROR(__xludf.DUMMYFUNCTION("""COMPUTED_VALUE"""),6877.0)</f>
        <v>6877</v>
      </c>
      <c r="F22" s="1" t="str">
        <f>IFERROR(__xludf.DUMMYFUNCTION("""COMPUTED_VALUE"""),"")</f>
        <v/>
      </c>
      <c r="G22" s="3">
        <f>IFERROR(__xludf.DUMMYFUNCTION("""COMPUTED_VALUE"""),46840.0)</f>
        <v>46840</v>
      </c>
      <c r="H22" s="1" t="str">
        <f>IFERROR(__xludf.DUMMYFUNCTION("""COMPUTED_VALUE"""),"")</f>
        <v/>
      </c>
      <c r="I22" s="3">
        <f>IFERROR(__xludf.DUMMYFUNCTION("""COMPUTED_VALUE"""),34795.0)</f>
        <v>34795</v>
      </c>
      <c r="J22" s="3">
        <f>IFERROR(__xludf.DUMMYFUNCTION("""COMPUTED_VALUE"""),1613.0)</f>
        <v>1613</v>
      </c>
      <c r="K22" s="3">
        <f>IFERROR(__xludf.DUMMYFUNCTION("""COMPUTED_VALUE"""),2347.0)</f>
        <v>2347</v>
      </c>
      <c r="L22" s="1">
        <f>IFERROR(__xludf.DUMMYFUNCTION("""COMPUTED_VALUE"""),182.0)</f>
        <v>182</v>
      </c>
      <c r="M22" s="3">
        <f>IFERROR(__xludf.DUMMYFUNCTION("""COMPUTED_VALUE"""),1585235.0)</f>
        <v>1585235</v>
      </c>
      <c r="N22" s="3">
        <f>IFERROR(__xludf.DUMMYFUNCTION("""COMPUTED_VALUE"""),42036.0)</f>
        <v>42036</v>
      </c>
      <c r="O22" s="3">
        <f>IFERROR(__xludf.DUMMYFUNCTION("""COMPUTED_VALUE"""),3.77118E7)</f>
        <v>37711800</v>
      </c>
      <c r="P22" s="1" t="str">
        <f>IFERROR(__xludf.DUMMYFUNCTION("""COMPUTED_VALUE"""),"North America")</f>
        <v>North America</v>
      </c>
      <c r="Q22" s="1">
        <f>IFERROR(__xludf.DUMMYFUNCTION("""COMPUTED_VALUE"""),426.0)</f>
        <v>426</v>
      </c>
      <c r="R22" s="3">
        <f>IFERROR(__xludf.DUMMYFUNCTION("""COMPUTED_VALUE"""),5484.0)</f>
        <v>5484</v>
      </c>
      <c r="S22" s="1">
        <f>IFERROR(__xludf.DUMMYFUNCTION("""COMPUTED_VALUE"""),24.0)</f>
        <v>24</v>
      </c>
    </row>
    <row r="23">
      <c r="A23" s="1">
        <f>IFERROR(__xludf.DUMMYFUNCTION("""COMPUTED_VALUE"""),14.0)</f>
        <v>14</v>
      </c>
      <c r="B23" s="1" t="str">
        <f>IFERROR(__xludf.DUMMYFUNCTION("""COMPUTED_VALUE"""),"Chile")</f>
        <v>Chile</v>
      </c>
      <c r="C23" s="3">
        <f>IFERROR(__xludf.DUMMYFUNCTION("""COMPUTED_VALUE"""),86943.0)</f>
        <v>86943</v>
      </c>
      <c r="D23" s="1" t="str">
        <f>IFERROR(__xludf.DUMMYFUNCTION("""COMPUTED_VALUE"""),"")</f>
        <v/>
      </c>
      <c r="E23" s="1">
        <f>IFERROR(__xludf.DUMMYFUNCTION("""COMPUTED_VALUE"""),890.0)</f>
        <v>890</v>
      </c>
      <c r="F23" s="1" t="str">
        <f>IFERROR(__xludf.DUMMYFUNCTION("""COMPUTED_VALUE"""),"")</f>
        <v/>
      </c>
      <c r="G23" s="3">
        <f>IFERROR(__xludf.DUMMYFUNCTION("""COMPUTED_VALUE"""),36150.0)</f>
        <v>36150</v>
      </c>
      <c r="H23" s="1" t="str">
        <f>IFERROR(__xludf.DUMMYFUNCTION("""COMPUTED_VALUE"""),"")</f>
        <v/>
      </c>
      <c r="I23" s="3">
        <f>IFERROR(__xludf.DUMMYFUNCTION("""COMPUTED_VALUE"""),49903.0)</f>
        <v>49903</v>
      </c>
      <c r="J23" s="3">
        <f>IFERROR(__xludf.DUMMYFUNCTION("""COMPUTED_VALUE"""),1289.0)</f>
        <v>1289</v>
      </c>
      <c r="K23" s="3">
        <f>IFERROR(__xludf.DUMMYFUNCTION("""COMPUTED_VALUE"""),4552.0)</f>
        <v>4552</v>
      </c>
      <c r="L23" s="1">
        <f>IFERROR(__xludf.DUMMYFUNCTION("""COMPUTED_VALUE"""),47.0)</f>
        <v>47</v>
      </c>
      <c r="M23" s="3">
        <f>IFERROR(__xludf.DUMMYFUNCTION("""COMPUTED_VALUE"""),530173.0)</f>
        <v>530173</v>
      </c>
      <c r="N23" s="3">
        <f>IFERROR(__xludf.DUMMYFUNCTION("""COMPUTED_VALUE"""),27756.0)</f>
        <v>27756</v>
      </c>
      <c r="O23" s="3">
        <f>IFERROR(__xludf.DUMMYFUNCTION("""COMPUTED_VALUE"""),1.9101165E7)</f>
        <v>19101165</v>
      </c>
      <c r="P23" s="1" t="str">
        <f>IFERROR(__xludf.DUMMYFUNCTION("""COMPUTED_VALUE"""),"South America")</f>
        <v>South America</v>
      </c>
      <c r="Q23" s="1">
        <f>IFERROR(__xludf.DUMMYFUNCTION("""COMPUTED_VALUE"""),220.0)</f>
        <v>220</v>
      </c>
      <c r="R23" s="3">
        <f>IFERROR(__xludf.DUMMYFUNCTION("""COMPUTED_VALUE"""),21462.0)</f>
        <v>21462</v>
      </c>
      <c r="S23" s="1">
        <f>IFERROR(__xludf.DUMMYFUNCTION("""COMPUTED_VALUE"""),36.0)</f>
        <v>36</v>
      </c>
    </row>
    <row r="24">
      <c r="A24" s="1">
        <f>IFERROR(__xludf.DUMMYFUNCTION("""COMPUTED_VALUE"""),15.0)</f>
        <v>15</v>
      </c>
      <c r="B24" s="1" t="str">
        <f>IFERROR(__xludf.DUMMYFUNCTION("""COMPUTED_VALUE"""),"Mexico")</f>
        <v>Mexico</v>
      </c>
      <c r="C24" s="3">
        <f>IFERROR(__xludf.DUMMYFUNCTION("""COMPUTED_VALUE"""),81400.0)</f>
        <v>81400</v>
      </c>
      <c r="D24" s="1" t="str">
        <f>IFERROR(__xludf.DUMMYFUNCTION("""COMPUTED_VALUE"""),"+3,377")</f>
        <v>+3,377</v>
      </c>
      <c r="E24" s="3">
        <f>IFERROR(__xludf.DUMMYFUNCTION("""COMPUTED_VALUE"""),9044.0)</f>
        <v>9044</v>
      </c>
      <c r="F24" s="1" t="str">
        <f>IFERROR(__xludf.DUMMYFUNCTION("""COMPUTED_VALUE"""),"+447")</f>
        <v>+447</v>
      </c>
      <c r="G24" s="3">
        <f>IFERROR(__xludf.DUMMYFUNCTION("""COMPUTED_VALUE"""),56638.0)</f>
        <v>56638</v>
      </c>
      <c r="H24" s="1" t="str">
        <f>IFERROR(__xludf.DUMMYFUNCTION("""COMPUTED_VALUE"""),"+2,255")</f>
        <v>+2,255</v>
      </c>
      <c r="I24" s="3">
        <f>IFERROR(__xludf.DUMMYFUNCTION("""COMPUTED_VALUE"""),15718.0)</f>
        <v>15718</v>
      </c>
      <c r="J24" s="1">
        <f>IFERROR(__xludf.DUMMYFUNCTION("""COMPUTED_VALUE"""),378.0)</f>
        <v>378</v>
      </c>
      <c r="K24" s="1">
        <f>IFERROR(__xludf.DUMMYFUNCTION("""COMPUTED_VALUE"""),632.0)</f>
        <v>632</v>
      </c>
      <c r="L24" s="1">
        <f>IFERROR(__xludf.DUMMYFUNCTION("""COMPUTED_VALUE"""),70.0)</f>
        <v>70</v>
      </c>
      <c r="M24" s="3">
        <f>IFERROR(__xludf.DUMMYFUNCTION("""COMPUTED_VALUE"""),244858.0)</f>
        <v>244858</v>
      </c>
      <c r="N24" s="3">
        <f>IFERROR(__xludf.DUMMYFUNCTION("""COMPUTED_VALUE"""),1901.0)</f>
        <v>1901</v>
      </c>
      <c r="O24" s="3">
        <f>IFERROR(__xludf.DUMMYFUNCTION("""COMPUTED_VALUE"""),1.28807241E8)</f>
        <v>128807241</v>
      </c>
      <c r="P24" s="1" t="str">
        <f>IFERROR(__xludf.DUMMYFUNCTION("""COMPUTED_VALUE"""),"North America")</f>
        <v>North America</v>
      </c>
      <c r="Q24" s="3">
        <f>IFERROR(__xludf.DUMMYFUNCTION("""COMPUTED_VALUE"""),1582.0)</f>
        <v>1582</v>
      </c>
      <c r="R24" s="3">
        <f>IFERROR(__xludf.DUMMYFUNCTION("""COMPUTED_VALUE"""),14242.0)</f>
        <v>14242</v>
      </c>
      <c r="S24" s="1">
        <f>IFERROR(__xludf.DUMMYFUNCTION("""COMPUTED_VALUE"""),526.0)</f>
        <v>526</v>
      </c>
    </row>
    <row r="25">
      <c r="A25" s="1">
        <f>IFERROR(__xludf.DUMMYFUNCTION("""COMPUTED_VALUE"""),16.0)</f>
        <v>16</v>
      </c>
      <c r="B25" s="1" t="str">
        <f>IFERROR(__xludf.DUMMYFUNCTION("""COMPUTED_VALUE"""),"Saudi Arabia")</f>
        <v>Saudi Arabia</v>
      </c>
      <c r="C25" s="3">
        <f>IFERROR(__xludf.DUMMYFUNCTION("""COMPUTED_VALUE"""),80185.0)</f>
        <v>80185</v>
      </c>
      <c r="D25" s="1" t="str">
        <f>IFERROR(__xludf.DUMMYFUNCTION("""COMPUTED_VALUE"""),"")</f>
        <v/>
      </c>
      <c r="E25" s="1">
        <f>IFERROR(__xludf.DUMMYFUNCTION("""COMPUTED_VALUE"""),441.0)</f>
        <v>441</v>
      </c>
      <c r="F25" s="1" t="str">
        <f>IFERROR(__xludf.DUMMYFUNCTION("""COMPUTED_VALUE"""),"")</f>
        <v/>
      </c>
      <c r="G25" s="3">
        <f>IFERROR(__xludf.DUMMYFUNCTION("""COMPUTED_VALUE"""),54553.0)</f>
        <v>54553</v>
      </c>
      <c r="H25" s="1" t="str">
        <f>IFERROR(__xludf.DUMMYFUNCTION("""COMPUTED_VALUE"""),"")</f>
        <v/>
      </c>
      <c r="I25" s="3">
        <f>IFERROR(__xludf.DUMMYFUNCTION("""COMPUTED_VALUE"""),25191.0)</f>
        <v>25191</v>
      </c>
      <c r="J25" s="1">
        <f>IFERROR(__xludf.DUMMYFUNCTION("""COMPUTED_VALUE"""),384.0)</f>
        <v>384</v>
      </c>
      <c r="K25" s="3">
        <f>IFERROR(__xludf.DUMMYFUNCTION("""COMPUTED_VALUE"""),2307.0)</f>
        <v>2307</v>
      </c>
      <c r="L25" s="1">
        <f>IFERROR(__xludf.DUMMYFUNCTION("""COMPUTED_VALUE"""),13.0)</f>
        <v>13</v>
      </c>
      <c r="M25" s="3">
        <f>IFERROR(__xludf.DUMMYFUNCTION("""COMPUTED_VALUE"""),770696.0)</f>
        <v>770696</v>
      </c>
      <c r="N25" s="3">
        <f>IFERROR(__xludf.DUMMYFUNCTION("""COMPUTED_VALUE"""),22171.0)</f>
        <v>22171</v>
      </c>
      <c r="O25" s="3">
        <f>IFERROR(__xludf.DUMMYFUNCTION("""COMPUTED_VALUE"""),3.4762153E7)</f>
        <v>34762153</v>
      </c>
      <c r="P25" s="1" t="str">
        <f>IFERROR(__xludf.DUMMYFUNCTION("""COMPUTED_VALUE"""),"Asia")</f>
        <v>Asia</v>
      </c>
      <c r="Q25" s="1">
        <f>IFERROR(__xludf.DUMMYFUNCTION("""COMPUTED_VALUE"""),434.0)</f>
        <v>434</v>
      </c>
      <c r="R25" s="3">
        <f>IFERROR(__xludf.DUMMYFUNCTION("""COMPUTED_VALUE"""),78826.0)</f>
        <v>78826</v>
      </c>
      <c r="S25" s="1">
        <f>IFERROR(__xludf.DUMMYFUNCTION("""COMPUTED_VALUE"""),45.0)</f>
        <v>45</v>
      </c>
    </row>
    <row r="26">
      <c r="A26" s="1">
        <f>IFERROR(__xludf.DUMMYFUNCTION("""COMPUTED_VALUE"""),17.0)</f>
        <v>17</v>
      </c>
      <c r="B26" s="1" t="str">
        <f>IFERROR(__xludf.DUMMYFUNCTION("""COMPUTED_VALUE"""),"Pakistan")</f>
        <v>Pakistan</v>
      </c>
      <c r="C26" s="3">
        <f>IFERROR(__xludf.DUMMYFUNCTION("""COMPUTED_VALUE"""),61227.0)</f>
        <v>61227</v>
      </c>
      <c r="D26" s="1" t="str">
        <f>IFERROR(__xludf.DUMMYFUNCTION("""COMPUTED_VALUE"""),"")</f>
        <v/>
      </c>
      <c r="E26" s="3">
        <f>IFERROR(__xludf.DUMMYFUNCTION("""COMPUTED_VALUE"""),1260.0)</f>
        <v>1260</v>
      </c>
      <c r="F26" s="1" t="str">
        <f>IFERROR(__xludf.DUMMYFUNCTION("""COMPUTED_VALUE"""),"")</f>
        <v/>
      </c>
      <c r="G26" s="3">
        <f>IFERROR(__xludf.DUMMYFUNCTION("""COMPUTED_VALUE"""),20231.0)</f>
        <v>20231</v>
      </c>
      <c r="H26" s="1" t="str">
        <f>IFERROR(__xludf.DUMMYFUNCTION("""COMPUTED_VALUE"""),"")</f>
        <v/>
      </c>
      <c r="I26" s="3">
        <f>IFERROR(__xludf.DUMMYFUNCTION("""COMPUTED_VALUE"""),39736.0)</f>
        <v>39736</v>
      </c>
      <c r="J26" s="1">
        <f>IFERROR(__xludf.DUMMYFUNCTION("""COMPUTED_VALUE"""),111.0)</f>
        <v>111</v>
      </c>
      <c r="K26" s="1">
        <f>IFERROR(__xludf.DUMMYFUNCTION("""COMPUTED_VALUE"""),278.0)</f>
        <v>278</v>
      </c>
      <c r="L26" s="1">
        <f>IFERROR(__xludf.DUMMYFUNCTION("""COMPUTED_VALUE"""),6.0)</f>
        <v>6</v>
      </c>
      <c r="M26" s="3">
        <f>IFERROR(__xludf.DUMMYFUNCTION("""COMPUTED_VALUE"""),508086.0)</f>
        <v>508086</v>
      </c>
      <c r="N26" s="3">
        <f>IFERROR(__xludf.DUMMYFUNCTION("""COMPUTED_VALUE"""),2305.0)</f>
        <v>2305</v>
      </c>
      <c r="O26" s="3">
        <f>IFERROR(__xludf.DUMMYFUNCTION("""COMPUTED_VALUE"""),2.20474171E8)</f>
        <v>220474171</v>
      </c>
      <c r="P26" s="1" t="str">
        <f>IFERROR(__xludf.DUMMYFUNCTION("""COMPUTED_VALUE"""),"Asia")</f>
        <v>Asia</v>
      </c>
      <c r="Q26" s="3">
        <f>IFERROR(__xludf.DUMMYFUNCTION("""COMPUTED_VALUE"""),3601.0)</f>
        <v>3601</v>
      </c>
      <c r="R26" s="3">
        <f>IFERROR(__xludf.DUMMYFUNCTION("""COMPUTED_VALUE"""),174980.0)</f>
        <v>174980</v>
      </c>
      <c r="S26" s="1">
        <f>IFERROR(__xludf.DUMMYFUNCTION("""COMPUTED_VALUE"""),434.0)</f>
        <v>434</v>
      </c>
    </row>
    <row r="27">
      <c r="A27" s="1">
        <f>IFERROR(__xludf.DUMMYFUNCTION("""COMPUTED_VALUE"""),18.0)</f>
        <v>18</v>
      </c>
      <c r="B27" s="1" t="str">
        <f>IFERROR(__xludf.DUMMYFUNCTION("""COMPUTED_VALUE"""),"Belgium")</f>
        <v>Belgium</v>
      </c>
      <c r="C27" s="3">
        <f>IFERROR(__xludf.DUMMYFUNCTION("""COMPUTED_VALUE"""),57849.0)</f>
        <v>57849</v>
      </c>
      <c r="D27" s="1" t="str">
        <f>IFERROR(__xludf.DUMMYFUNCTION("""COMPUTED_VALUE"""),"")</f>
        <v/>
      </c>
      <c r="E27" s="3">
        <f>IFERROR(__xludf.DUMMYFUNCTION("""COMPUTED_VALUE"""),9388.0)</f>
        <v>9388</v>
      </c>
      <c r="F27" s="1" t="str">
        <f>IFERROR(__xludf.DUMMYFUNCTION("""COMPUTED_VALUE"""),"")</f>
        <v/>
      </c>
      <c r="G27" s="3">
        <f>IFERROR(__xludf.DUMMYFUNCTION("""COMPUTED_VALUE"""),15572.0)</f>
        <v>15572</v>
      </c>
      <c r="H27" s="1" t="str">
        <f>IFERROR(__xludf.DUMMYFUNCTION("""COMPUTED_VALUE"""),"")</f>
        <v/>
      </c>
      <c r="I27" s="3">
        <f>IFERROR(__xludf.DUMMYFUNCTION("""COMPUTED_VALUE"""),32889.0)</f>
        <v>32889</v>
      </c>
      <c r="J27" s="1">
        <f>IFERROR(__xludf.DUMMYFUNCTION("""COMPUTED_VALUE"""),208.0)</f>
        <v>208</v>
      </c>
      <c r="K27" s="3">
        <f>IFERROR(__xludf.DUMMYFUNCTION("""COMPUTED_VALUE"""),4993.0)</f>
        <v>4993</v>
      </c>
      <c r="L27" s="1">
        <f>IFERROR(__xludf.DUMMYFUNCTION("""COMPUTED_VALUE"""),810.0)</f>
        <v>810</v>
      </c>
      <c r="M27" s="3">
        <f>IFERROR(__xludf.DUMMYFUNCTION("""COMPUTED_VALUE"""),818807.0)</f>
        <v>818807</v>
      </c>
      <c r="N27" s="3">
        <f>IFERROR(__xludf.DUMMYFUNCTION("""COMPUTED_VALUE"""),70678.0)</f>
        <v>70678</v>
      </c>
      <c r="O27" s="3">
        <f>IFERROR(__xludf.DUMMYFUNCTION("""COMPUTED_VALUE"""),1.1585114E7)</f>
        <v>11585114</v>
      </c>
      <c r="P27" s="1" t="str">
        <f>IFERROR(__xludf.DUMMYFUNCTION("""COMPUTED_VALUE"""),"Europe")</f>
        <v>Europe</v>
      </c>
      <c r="Q27" s="1">
        <f>IFERROR(__xludf.DUMMYFUNCTION("""COMPUTED_VALUE"""),200.0)</f>
        <v>200</v>
      </c>
      <c r="R27" s="3">
        <f>IFERROR(__xludf.DUMMYFUNCTION("""COMPUTED_VALUE"""),1234.0)</f>
        <v>1234</v>
      </c>
      <c r="S27" s="1">
        <f>IFERROR(__xludf.DUMMYFUNCTION("""COMPUTED_VALUE"""),14.0)</f>
        <v>14</v>
      </c>
    </row>
    <row r="28">
      <c r="A28" s="1">
        <f>IFERROR(__xludf.DUMMYFUNCTION("""COMPUTED_VALUE"""),19.0)</f>
        <v>19</v>
      </c>
      <c r="B28" s="1" t="str">
        <f>IFERROR(__xludf.DUMMYFUNCTION("""COMPUTED_VALUE"""),"Qatar")</f>
        <v>Qatar</v>
      </c>
      <c r="C28" s="3">
        <f>IFERROR(__xludf.DUMMYFUNCTION("""COMPUTED_VALUE"""),50914.0)</f>
        <v>50914</v>
      </c>
      <c r="D28" s="1" t="str">
        <f>IFERROR(__xludf.DUMMYFUNCTION("""COMPUTED_VALUE"""),"")</f>
        <v/>
      </c>
      <c r="E28" s="1">
        <f>IFERROR(__xludf.DUMMYFUNCTION("""COMPUTED_VALUE"""),33.0)</f>
        <v>33</v>
      </c>
      <c r="F28" s="1" t="str">
        <f>IFERROR(__xludf.DUMMYFUNCTION("""COMPUTED_VALUE"""),"")</f>
        <v/>
      </c>
      <c r="G28" s="3">
        <f>IFERROR(__xludf.DUMMYFUNCTION("""COMPUTED_VALUE"""),15399.0)</f>
        <v>15399</v>
      </c>
      <c r="H28" s="1" t="str">
        <f>IFERROR(__xludf.DUMMYFUNCTION("""COMPUTED_VALUE"""),"")</f>
        <v/>
      </c>
      <c r="I28" s="3">
        <f>IFERROR(__xludf.DUMMYFUNCTION("""COMPUTED_VALUE"""),35482.0)</f>
        <v>35482</v>
      </c>
      <c r="J28" s="1">
        <f>IFERROR(__xludf.DUMMYFUNCTION("""COMPUTED_VALUE"""),214.0)</f>
        <v>214</v>
      </c>
      <c r="K28" s="3">
        <f>IFERROR(__xludf.DUMMYFUNCTION("""COMPUTED_VALUE"""),17701.0)</f>
        <v>17701</v>
      </c>
      <c r="L28" s="1">
        <f>IFERROR(__xludf.DUMMYFUNCTION("""COMPUTED_VALUE"""),11.0)</f>
        <v>11</v>
      </c>
      <c r="M28" s="3">
        <f>IFERROR(__xludf.DUMMYFUNCTION("""COMPUTED_VALUE"""),207033.0)</f>
        <v>207033</v>
      </c>
      <c r="N28" s="3">
        <f>IFERROR(__xludf.DUMMYFUNCTION("""COMPUTED_VALUE"""),71977.0)</f>
        <v>71977</v>
      </c>
      <c r="O28" s="3">
        <f>IFERROR(__xludf.DUMMYFUNCTION("""COMPUTED_VALUE"""),2876377.0)</f>
        <v>2876377</v>
      </c>
      <c r="P28" s="1" t="str">
        <f>IFERROR(__xludf.DUMMYFUNCTION("""COMPUTED_VALUE"""),"Asia")</f>
        <v>Asia</v>
      </c>
      <c r="Q28" s="1">
        <f>IFERROR(__xludf.DUMMYFUNCTION("""COMPUTED_VALUE"""),56.0)</f>
        <v>56</v>
      </c>
      <c r="R28" s="3">
        <f>IFERROR(__xludf.DUMMYFUNCTION("""COMPUTED_VALUE"""),87163.0)</f>
        <v>87163</v>
      </c>
      <c r="S28" s="1">
        <f>IFERROR(__xludf.DUMMYFUNCTION("""COMPUTED_VALUE"""),14.0)</f>
        <v>14</v>
      </c>
    </row>
    <row r="29">
      <c r="A29" s="1">
        <f>IFERROR(__xludf.DUMMYFUNCTION("""COMPUTED_VALUE"""),20.0)</f>
        <v>20</v>
      </c>
      <c r="B29" s="1" t="str">
        <f>IFERROR(__xludf.DUMMYFUNCTION("""COMPUTED_VALUE"""),"Netherlands")</f>
        <v>Netherlands</v>
      </c>
      <c r="C29" s="3">
        <f>IFERROR(__xludf.DUMMYFUNCTION("""COMPUTED_VALUE"""),45950.0)</f>
        <v>45950</v>
      </c>
      <c r="D29" s="1" t="str">
        <f>IFERROR(__xludf.DUMMYFUNCTION("""COMPUTED_VALUE"""),"")</f>
        <v/>
      </c>
      <c r="E29" s="3">
        <f>IFERROR(__xludf.DUMMYFUNCTION("""COMPUTED_VALUE"""),5903.0)</f>
        <v>5903</v>
      </c>
      <c r="F29" s="1" t="str">
        <f>IFERROR(__xludf.DUMMYFUNCTION("""COMPUTED_VALUE"""),"")</f>
        <v/>
      </c>
      <c r="G29" s="1" t="str">
        <f>IFERROR(__xludf.DUMMYFUNCTION("""COMPUTED_VALUE"""),"N/A")</f>
        <v>N/A</v>
      </c>
      <c r="H29" s="1" t="str">
        <f>IFERROR(__xludf.DUMMYFUNCTION("""COMPUTED_VALUE"""),"N/A")</f>
        <v>N/A</v>
      </c>
      <c r="I29" s="1" t="str">
        <f>IFERROR(__xludf.DUMMYFUNCTION("""COMPUTED_VALUE"""),"N/A")</f>
        <v>N/A</v>
      </c>
      <c r="J29" s="1">
        <f>IFERROR(__xludf.DUMMYFUNCTION("""COMPUTED_VALUE"""),182.0)</f>
        <v>182</v>
      </c>
      <c r="K29" s="3">
        <f>IFERROR(__xludf.DUMMYFUNCTION("""COMPUTED_VALUE"""),2682.0)</f>
        <v>2682</v>
      </c>
      <c r="L29" s="1">
        <f>IFERROR(__xludf.DUMMYFUNCTION("""COMPUTED_VALUE"""),345.0)</f>
        <v>345</v>
      </c>
      <c r="M29" s="3">
        <f>IFERROR(__xludf.DUMMYFUNCTION("""COMPUTED_VALUE"""),342681.0)</f>
        <v>342681</v>
      </c>
      <c r="N29" s="3">
        <f>IFERROR(__xludf.DUMMYFUNCTION("""COMPUTED_VALUE"""),20003.0)</f>
        <v>20003</v>
      </c>
      <c r="O29" s="3">
        <f>IFERROR(__xludf.DUMMYFUNCTION("""COMPUTED_VALUE"""),1.7131525E7)</f>
        <v>17131525</v>
      </c>
      <c r="P29" s="1" t="str">
        <f>IFERROR(__xludf.DUMMYFUNCTION("""COMPUTED_VALUE"""),"Europe")</f>
        <v>Europe</v>
      </c>
      <c r="Q29" s="1">
        <f>IFERROR(__xludf.DUMMYFUNCTION("""COMPUTED_VALUE"""),373.0)</f>
        <v>373</v>
      </c>
      <c r="R29" s="3">
        <f>IFERROR(__xludf.DUMMYFUNCTION("""COMPUTED_VALUE"""),2902.0)</f>
        <v>2902</v>
      </c>
      <c r="S29" s="1">
        <f>IFERROR(__xludf.DUMMYFUNCTION("""COMPUTED_VALUE"""),50.0)</f>
        <v>50</v>
      </c>
    </row>
    <row r="30">
      <c r="A30" s="1">
        <f>IFERROR(__xludf.DUMMYFUNCTION("""COMPUTED_VALUE"""),21.0)</f>
        <v>21</v>
      </c>
      <c r="B30" s="1" t="str">
        <f>IFERROR(__xludf.DUMMYFUNCTION("""COMPUTED_VALUE"""),"Bangladesh")</f>
        <v>Bangladesh</v>
      </c>
      <c r="C30" s="3">
        <f>IFERROR(__xludf.DUMMYFUNCTION("""COMPUTED_VALUE"""),40321.0)</f>
        <v>40321</v>
      </c>
      <c r="D30" s="1" t="str">
        <f>IFERROR(__xludf.DUMMYFUNCTION("""COMPUTED_VALUE"""),"")</f>
        <v/>
      </c>
      <c r="E30" s="1">
        <f>IFERROR(__xludf.DUMMYFUNCTION("""COMPUTED_VALUE"""),559.0)</f>
        <v>559</v>
      </c>
      <c r="F30" s="1" t="str">
        <f>IFERROR(__xludf.DUMMYFUNCTION("""COMPUTED_VALUE"""),"")</f>
        <v/>
      </c>
      <c r="G30" s="3">
        <f>IFERROR(__xludf.DUMMYFUNCTION("""COMPUTED_VALUE"""),8425.0)</f>
        <v>8425</v>
      </c>
      <c r="H30" s="1" t="str">
        <f>IFERROR(__xludf.DUMMYFUNCTION("""COMPUTED_VALUE"""),"")</f>
        <v/>
      </c>
      <c r="I30" s="3">
        <f>IFERROR(__xludf.DUMMYFUNCTION("""COMPUTED_VALUE"""),31337.0)</f>
        <v>31337</v>
      </c>
      <c r="J30" s="1">
        <f>IFERROR(__xludf.DUMMYFUNCTION("""COMPUTED_VALUE"""),1.0)</f>
        <v>1</v>
      </c>
      <c r="K30" s="1">
        <f>IFERROR(__xludf.DUMMYFUNCTION("""COMPUTED_VALUE"""),245.0)</f>
        <v>245</v>
      </c>
      <c r="L30" s="1">
        <f>IFERROR(__xludf.DUMMYFUNCTION("""COMPUTED_VALUE"""),3.0)</f>
        <v>3</v>
      </c>
      <c r="M30" s="3">
        <f>IFERROR(__xludf.DUMMYFUNCTION("""COMPUTED_VALUE"""),275776.0)</f>
        <v>275776</v>
      </c>
      <c r="N30" s="3">
        <f>IFERROR(__xludf.DUMMYFUNCTION("""COMPUTED_VALUE"""),1676.0)</f>
        <v>1676</v>
      </c>
      <c r="O30" s="3">
        <f>IFERROR(__xludf.DUMMYFUNCTION("""COMPUTED_VALUE"""),1.64537836E8)</f>
        <v>164537836</v>
      </c>
      <c r="P30" s="1" t="str">
        <f>IFERROR(__xludf.DUMMYFUNCTION("""COMPUTED_VALUE"""),"Asia")</f>
        <v>Asia</v>
      </c>
      <c r="Q30" s="3">
        <f>IFERROR(__xludf.DUMMYFUNCTION("""COMPUTED_VALUE"""),4081.0)</f>
        <v>4081</v>
      </c>
      <c r="R30" s="3">
        <f>IFERROR(__xludf.DUMMYFUNCTION("""COMPUTED_VALUE"""),294343.0)</f>
        <v>294343</v>
      </c>
      <c r="S30" s="1">
        <f>IFERROR(__xludf.DUMMYFUNCTION("""COMPUTED_VALUE"""),597.0)</f>
        <v>597</v>
      </c>
    </row>
    <row r="31">
      <c r="A31" s="1">
        <f>IFERROR(__xludf.DUMMYFUNCTION("""COMPUTED_VALUE"""),22.0)</f>
        <v>22</v>
      </c>
      <c r="B31" s="1" t="str">
        <f>IFERROR(__xludf.DUMMYFUNCTION("""COMPUTED_VALUE"""),"Belarus")</f>
        <v>Belarus</v>
      </c>
      <c r="C31" s="3">
        <f>IFERROR(__xludf.DUMMYFUNCTION("""COMPUTED_VALUE"""),39858.0)</f>
        <v>39858</v>
      </c>
      <c r="D31" s="1" t="str">
        <f>IFERROR(__xludf.DUMMYFUNCTION("""COMPUTED_VALUE"""),"")</f>
        <v/>
      </c>
      <c r="E31" s="1">
        <f>IFERROR(__xludf.DUMMYFUNCTION("""COMPUTED_VALUE"""),219.0)</f>
        <v>219</v>
      </c>
      <c r="F31" s="1" t="str">
        <f>IFERROR(__xludf.DUMMYFUNCTION("""COMPUTED_VALUE"""),"")</f>
        <v/>
      </c>
      <c r="G31" s="3">
        <f>IFERROR(__xludf.DUMMYFUNCTION("""COMPUTED_VALUE"""),16660.0)</f>
        <v>16660</v>
      </c>
      <c r="H31" s="1" t="str">
        <f>IFERROR(__xludf.DUMMYFUNCTION("""COMPUTED_VALUE"""),"")</f>
        <v/>
      </c>
      <c r="I31" s="3">
        <f>IFERROR(__xludf.DUMMYFUNCTION("""COMPUTED_VALUE"""),22979.0)</f>
        <v>22979</v>
      </c>
      <c r="J31" s="1">
        <f>IFERROR(__xludf.DUMMYFUNCTION("""COMPUTED_VALUE"""),92.0)</f>
        <v>92</v>
      </c>
      <c r="K31" s="3">
        <f>IFERROR(__xludf.DUMMYFUNCTION("""COMPUTED_VALUE"""),4218.0)</f>
        <v>4218</v>
      </c>
      <c r="L31" s="1">
        <f>IFERROR(__xludf.DUMMYFUNCTION("""COMPUTED_VALUE"""),23.0)</f>
        <v>23</v>
      </c>
      <c r="M31" s="3">
        <f>IFERROR(__xludf.DUMMYFUNCTION("""COMPUTED_VALUE"""),499249.0)</f>
        <v>499249</v>
      </c>
      <c r="N31" s="3">
        <f>IFERROR(__xludf.DUMMYFUNCTION("""COMPUTED_VALUE"""),52833.0)</f>
        <v>52833</v>
      </c>
      <c r="O31" s="3">
        <f>IFERROR(__xludf.DUMMYFUNCTION("""COMPUTED_VALUE"""),9449593.0)</f>
        <v>9449593</v>
      </c>
      <c r="P31" s="1" t="str">
        <f>IFERROR(__xludf.DUMMYFUNCTION("""COMPUTED_VALUE"""),"Europe")</f>
        <v>Europe</v>
      </c>
      <c r="Q31" s="1">
        <f>IFERROR(__xludf.DUMMYFUNCTION("""COMPUTED_VALUE"""),237.0)</f>
        <v>237</v>
      </c>
      <c r="R31" s="3">
        <f>IFERROR(__xludf.DUMMYFUNCTION("""COMPUTED_VALUE"""),43149.0)</f>
        <v>43149</v>
      </c>
      <c r="S31" s="1">
        <f>IFERROR(__xludf.DUMMYFUNCTION("""COMPUTED_VALUE"""),19.0)</f>
        <v>19</v>
      </c>
    </row>
    <row r="32">
      <c r="A32" s="1">
        <f>IFERROR(__xludf.DUMMYFUNCTION("""COMPUTED_VALUE"""),23.0)</f>
        <v>23</v>
      </c>
      <c r="B32" s="1" t="str">
        <f>IFERROR(__xludf.DUMMYFUNCTION("""COMPUTED_VALUE"""),"Ecuador")</f>
        <v>Ecuador</v>
      </c>
      <c r="C32" s="3">
        <f>IFERROR(__xludf.DUMMYFUNCTION("""COMPUTED_VALUE"""),38471.0)</f>
        <v>38471</v>
      </c>
      <c r="D32" s="1" t="str">
        <f>IFERROR(__xludf.DUMMYFUNCTION("""COMPUTED_VALUE"""),"")</f>
        <v/>
      </c>
      <c r="E32" s="3">
        <f>IFERROR(__xludf.DUMMYFUNCTION("""COMPUTED_VALUE"""),3313.0)</f>
        <v>3313</v>
      </c>
      <c r="F32" s="1" t="str">
        <f>IFERROR(__xludf.DUMMYFUNCTION("""COMPUTED_VALUE"""),"")</f>
        <v/>
      </c>
      <c r="G32" s="3">
        <f>IFERROR(__xludf.DUMMYFUNCTION("""COMPUTED_VALUE"""),18425.0)</f>
        <v>18425</v>
      </c>
      <c r="H32" s="1" t="str">
        <f>IFERROR(__xludf.DUMMYFUNCTION("""COMPUTED_VALUE"""),"")</f>
        <v/>
      </c>
      <c r="I32" s="3">
        <f>IFERROR(__xludf.DUMMYFUNCTION("""COMPUTED_VALUE"""),16733.0)</f>
        <v>16733</v>
      </c>
      <c r="J32" s="1">
        <f>IFERROR(__xludf.DUMMYFUNCTION("""COMPUTED_VALUE"""),220.0)</f>
        <v>220</v>
      </c>
      <c r="K32" s="3">
        <f>IFERROR(__xludf.DUMMYFUNCTION("""COMPUTED_VALUE"""),2184.0)</f>
        <v>2184</v>
      </c>
      <c r="L32" s="1">
        <f>IFERROR(__xludf.DUMMYFUNCTION("""COMPUTED_VALUE"""),188.0)</f>
        <v>188</v>
      </c>
      <c r="M32" s="3">
        <f>IFERROR(__xludf.DUMMYFUNCTION("""COMPUTED_VALUE"""),110812.0)</f>
        <v>110812</v>
      </c>
      <c r="N32" s="3">
        <f>IFERROR(__xludf.DUMMYFUNCTION("""COMPUTED_VALUE"""),6290.0)</f>
        <v>6290</v>
      </c>
      <c r="O32" s="3">
        <f>IFERROR(__xludf.DUMMYFUNCTION("""COMPUTED_VALUE"""),1.7617555E7)</f>
        <v>17617555</v>
      </c>
      <c r="P32" s="1" t="str">
        <f>IFERROR(__xludf.DUMMYFUNCTION("""COMPUTED_VALUE"""),"South America")</f>
        <v>South America</v>
      </c>
      <c r="Q32" s="1">
        <f>IFERROR(__xludf.DUMMYFUNCTION("""COMPUTED_VALUE"""),458.0)</f>
        <v>458</v>
      </c>
      <c r="R32" s="3">
        <f>IFERROR(__xludf.DUMMYFUNCTION("""COMPUTED_VALUE"""),5318.0)</f>
        <v>5318</v>
      </c>
      <c r="S32" s="1">
        <f>IFERROR(__xludf.DUMMYFUNCTION("""COMPUTED_VALUE"""),159.0)</f>
        <v>159</v>
      </c>
    </row>
    <row r="33">
      <c r="A33" s="1">
        <f>IFERROR(__xludf.DUMMYFUNCTION("""COMPUTED_VALUE"""),24.0)</f>
        <v>24</v>
      </c>
      <c r="B33" s="1" t="str">
        <f>IFERROR(__xludf.DUMMYFUNCTION("""COMPUTED_VALUE"""),"Sweden")</f>
        <v>Sweden</v>
      </c>
      <c r="C33" s="3">
        <f>IFERROR(__xludf.DUMMYFUNCTION("""COMPUTED_VALUE"""),35727.0)</f>
        <v>35727</v>
      </c>
      <c r="D33" s="1" t="str">
        <f>IFERROR(__xludf.DUMMYFUNCTION("""COMPUTED_VALUE"""),"")</f>
        <v/>
      </c>
      <c r="E33" s="3">
        <f>IFERROR(__xludf.DUMMYFUNCTION("""COMPUTED_VALUE"""),4266.0)</f>
        <v>4266</v>
      </c>
      <c r="F33" s="1" t="str">
        <f>IFERROR(__xludf.DUMMYFUNCTION("""COMPUTED_VALUE"""),"")</f>
        <v/>
      </c>
      <c r="G33" s="3">
        <f>IFERROR(__xludf.DUMMYFUNCTION("""COMPUTED_VALUE"""),4971.0)</f>
        <v>4971</v>
      </c>
      <c r="H33" s="1" t="str">
        <f>IFERROR(__xludf.DUMMYFUNCTION("""COMPUTED_VALUE"""),"")</f>
        <v/>
      </c>
      <c r="I33" s="3">
        <f>IFERROR(__xludf.DUMMYFUNCTION("""COMPUTED_VALUE"""),26490.0)</f>
        <v>26490</v>
      </c>
      <c r="J33" s="1">
        <f>IFERROR(__xludf.DUMMYFUNCTION("""COMPUTED_VALUE"""),280.0)</f>
        <v>280</v>
      </c>
      <c r="K33" s="3">
        <f>IFERROR(__xludf.DUMMYFUNCTION("""COMPUTED_VALUE"""),3540.0)</f>
        <v>3540</v>
      </c>
      <c r="L33" s="1">
        <f>IFERROR(__xludf.DUMMYFUNCTION("""COMPUTED_VALUE"""),423.0)</f>
        <v>423</v>
      </c>
      <c r="M33" s="3">
        <f>IFERROR(__xludf.DUMMYFUNCTION("""COMPUTED_VALUE"""),238800.0)</f>
        <v>238800</v>
      </c>
      <c r="N33" s="3">
        <f>IFERROR(__xludf.DUMMYFUNCTION("""COMPUTED_VALUE"""),23659.0)</f>
        <v>23659</v>
      </c>
      <c r="O33" s="3">
        <f>IFERROR(__xludf.DUMMYFUNCTION("""COMPUTED_VALUE"""),1.0093573E7)</f>
        <v>10093573</v>
      </c>
      <c r="P33" s="1" t="str">
        <f>IFERROR(__xludf.DUMMYFUNCTION("""COMPUTED_VALUE"""),"Europe")</f>
        <v>Europe</v>
      </c>
      <c r="Q33" s="1">
        <f>IFERROR(__xludf.DUMMYFUNCTION("""COMPUTED_VALUE"""),283.0)</f>
        <v>283</v>
      </c>
      <c r="R33" s="3">
        <f>IFERROR(__xludf.DUMMYFUNCTION("""COMPUTED_VALUE"""),2366.0)</f>
        <v>2366</v>
      </c>
      <c r="S33" s="1">
        <f>IFERROR(__xludf.DUMMYFUNCTION("""COMPUTED_VALUE"""),42.0)</f>
        <v>42</v>
      </c>
    </row>
    <row r="34">
      <c r="A34" s="1">
        <f>IFERROR(__xludf.DUMMYFUNCTION("""COMPUTED_VALUE"""),25.0)</f>
        <v>25</v>
      </c>
      <c r="B34" s="1" t="str">
        <f>IFERROR(__xludf.DUMMYFUNCTION("""COMPUTED_VALUE"""),"Singapore")</f>
        <v>Singapore</v>
      </c>
      <c r="C34" s="3">
        <f>IFERROR(__xludf.DUMMYFUNCTION("""COMPUTED_VALUE"""),33249.0)</f>
        <v>33249</v>
      </c>
      <c r="D34" s="1" t="str">
        <f>IFERROR(__xludf.DUMMYFUNCTION("""COMPUTED_VALUE"""),"")</f>
        <v/>
      </c>
      <c r="E34" s="1">
        <f>IFERROR(__xludf.DUMMYFUNCTION("""COMPUTED_VALUE"""),23.0)</f>
        <v>23</v>
      </c>
      <c r="F34" s="1" t="str">
        <f>IFERROR(__xludf.DUMMYFUNCTION("""COMPUTED_VALUE"""),"")</f>
        <v/>
      </c>
      <c r="G34" s="3">
        <f>IFERROR(__xludf.DUMMYFUNCTION("""COMPUTED_VALUE"""),18294.0)</f>
        <v>18294</v>
      </c>
      <c r="H34" s="1" t="str">
        <f>IFERROR(__xludf.DUMMYFUNCTION("""COMPUTED_VALUE"""),"")</f>
        <v/>
      </c>
      <c r="I34" s="3">
        <f>IFERROR(__xludf.DUMMYFUNCTION("""COMPUTED_VALUE"""),14932.0)</f>
        <v>14932</v>
      </c>
      <c r="J34" s="1">
        <f>IFERROR(__xludf.DUMMYFUNCTION("""COMPUTED_VALUE"""),7.0)</f>
        <v>7</v>
      </c>
      <c r="K34" s="3">
        <f>IFERROR(__xludf.DUMMYFUNCTION("""COMPUTED_VALUE"""),5687.0)</f>
        <v>5687</v>
      </c>
      <c r="L34" s="1">
        <f>IFERROR(__xludf.DUMMYFUNCTION("""COMPUTED_VALUE"""),4.0)</f>
        <v>4</v>
      </c>
      <c r="M34" s="3">
        <f>IFERROR(__xludf.DUMMYFUNCTION("""COMPUTED_VALUE"""),334691.0)</f>
        <v>334691</v>
      </c>
      <c r="N34" s="3">
        <f>IFERROR(__xludf.DUMMYFUNCTION("""COMPUTED_VALUE"""),57250.0)</f>
        <v>57250</v>
      </c>
      <c r="O34" s="3">
        <f>IFERROR(__xludf.DUMMYFUNCTION("""COMPUTED_VALUE"""),5846144.0)</f>
        <v>5846144</v>
      </c>
      <c r="P34" s="1" t="str">
        <f>IFERROR(__xludf.DUMMYFUNCTION("""COMPUTED_VALUE"""),"Asia")</f>
        <v>Asia</v>
      </c>
      <c r="Q34" s="1">
        <f>IFERROR(__xludf.DUMMYFUNCTION("""COMPUTED_VALUE"""),176.0)</f>
        <v>176</v>
      </c>
      <c r="R34" s="3">
        <f>IFERROR(__xludf.DUMMYFUNCTION("""COMPUTED_VALUE"""),254180.0)</f>
        <v>254180</v>
      </c>
      <c r="S34" s="1">
        <f>IFERROR(__xludf.DUMMYFUNCTION("""COMPUTED_VALUE"""),17.0)</f>
        <v>17</v>
      </c>
    </row>
    <row r="35">
      <c r="A35" s="1">
        <f>IFERROR(__xludf.DUMMYFUNCTION("""COMPUTED_VALUE"""),26.0)</f>
        <v>26</v>
      </c>
      <c r="B35" s="1" t="str">
        <f>IFERROR(__xludf.DUMMYFUNCTION("""COMPUTED_VALUE"""),"UAE")</f>
        <v>UAE</v>
      </c>
      <c r="C35" s="3">
        <f>IFERROR(__xludf.DUMMYFUNCTION("""COMPUTED_VALUE"""),32532.0)</f>
        <v>32532</v>
      </c>
      <c r="D35" s="1" t="str">
        <f>IFERROR(__xludf.DUMMYFUNCTION("""COMPUTED_VALUE"""),"")</f>
        <v/>
      </c>
      <c r="E35" s="1">
        <f>IFERROR(__xludf.DUMMYFUNCTION("""COMPUTED_VALUE"""),258.0)</f>
        <v>258</v>
      </c>
      <c r="F35" s="1" t="str">
        <f>IFERROR(__xludf.DUMMYFUNCTION("""COMPUTED_VALUE"""),"")</f>
        <v/>
      </c>
      <c r="G35" s="3">
        <f>IFERROR(__xludf.DUMMYFUNCTION("""COMPUTED_VALUE"""),16685.0)</f>
        <v>16685</v>
      </c>
      <c r="H35" s="1" t="str">
        <f>IFERROR(__xludf.DUMMYFUNCTION("""COMPUTED_VALUE"""),"")</f>
        <v/>
      </c>
      <c r="I35" s="3">
        <f>IFERROR(__xludf.DUMMYFUNCTION("""COMPUTED_VALUE"""),15589.0)</f>
        <v>15589</v>
      </c>
      <c r="J35" s="1">
        <f>IFERROR(__xludf.DUMMYFUNCTION("""COMPUTED_VALUE"""),1.0)</f>
        <v>1</v>
      </c>
      <c r="K35" s="3">
        <f>IFERROR(__xludf.DUMMYFUNCTION("""COMPUTED_VALUE"""),3293.0)</f>
        <v>3293</v>
      </c>
      <c r="L35" s="1">
        <f>IFERROR(__xludf.DUMMYFUNCTION("""COMPUTED_VALUE"""),26.0)</f>
        <v>26</v>
      </c>
      <c r="M35" s="3">
        <f>IFERROR(__xludf.DUMMYFUNCTION("""COMPUTED_VALUE"""),2110493.0)</f>
        <v>2110493</v>
      </c>
      <c r="N35" s="3">
        <f>IFERROR(__xludf.DUMMYFUNCTION("""COMPUTED_VALUE"""),213629.0)</f>
        <v>213629</v>
      </c>
      <c r="O35" s="3">
        <f>IFERROR(__xludf.DUMMYFUNCTION("""COMPUTED_VALUE"""),9879229.0)</f>
        <v>9879229</v>
      </c>
      <c r="P35" s="1" t="str">
        <f>IFERROR(__xludf.DUMMYFUNCTION("""COMPUTED_VALUE"""),"Asia")</f>
        <v>Asia</v>
      </c>
      <c r="Q35" s="1">
        <f>IFERROR(__xludf.DUMMYFUNCTION("""COMPUTED_VALUE"""),304.0)</f>
        <v>304</v>
      </c>
      <c r="R35" s="3">
        <f>IFERROR(__xludf.DUMMYFUNCTION("""COMPUTED_VALUE"""),38292.0)</f>
        <v>38292</v>
      </c>
      <c r="S35" s="1">
        <f>IFERROR(__xludf.DUMMYFUNCTION("""COMPUTED_VALUE"""),5.0)</f>
        <v>5</v>
      </c>
    </row>
    <row r="36">
      <c r="A36" s="1">
        <f>IFERROR(__xludf.DUMMYFUNCTION("""COMPUTED_VALUE"""),27.0)</f>
        <v>27</v>
      </c>
      <c r="B36" s="1" t="str">
        <f>IFERROR(__xludf.DUMMYFUNCTION("""COMPUTED_VALUE"""),"Portugal")</f>
        <v>Portugal</v>
      </c>
      <c r="C36" s="3">
        <f>IFERROR(__xludf.DUMMYFUNCTION("""COMPUTED_VALUE"""),31596.0)</f>
        <v>31596</v>
      </c>
      <c r="D36" s="1" t="str">
        <f>IFERROR(__xludf.DUMMYFUNCTION("""COMPUTED_VALUE"""),"")</f>
        <v/>
      </c>
      <c r="E36" s="3">
        <f>IFERROR(__xludf.DUMMYFUNCTION("""COMPUTED_VALUE"""),1369.0)</f>
        <v>1369</v>
      </c>
      <c r="F36" s="1" t="str">
        <f>IFERROR(__xludf.DUMMYFUNCTION("""COMPUTED_VALUE"""),"")</f>
        <v/>
      </c>
      <c r="G36" s="3">
        <f>IFERROR(__xludf.DUMMYFUNCTION("""COMPUTED_VALUE"""),18637.0)</f>
        <v>18637</v>
      </c>
      <c r="H36" s="1" t="str">
        <f>IFERROR(__xludf.DUMMYFUNCTION("""COMPUTED_VALUE"""),"")</f>
        <v/>
      </c>
      <c r="I36" s="3">
        <f>IFERROR(__xludf.DUMMYFUNCTION("""COMPUTED_VALUE"""),11590.0)</f>
        <v>11590</v>
      </c>
      <c r="J36" s="1">
        <f>IFERROR(__xludf.DUMMYFUNCTION("""COMPUTED_VALUE"""),65.0)</f>
        <v>65</v>
      </c>
      <c r="K36" s="3">
        <f>IFERROR(__xludf.DUMMYFUNCTION("""COMPUTED_VALUE"""),3098.0)</f>
        <v>3098</v>
      </c>
      <c r="L36" s="1">
        <f>IFERROR(__xludf.DUMMYFUNCTION("""COMPUTED_VALUE"""),134.0)</f>
        <v>134</v>
      </c>
      <c r="M36" s="3">
        <f>IFERROR(__xludf.DUMMYFUNCTION("""COMPUTED_VALUE"""),778698.0)</f>
        <v>778698</v>
      </c>
      <c r="N36" s="3">
        <f>IFERROR(__xludf.DUMMYFUNCTION("""COMPUTED_VALUE"""),76349.0)</f>
        <v>76349</v>
      </c>
      <c r="O36" s="3">
        <f>IFERROR(__xludf.DUMMYFUNCTION("""COMPUTED_VALUE"""),1.0199255E7)</f>
        <v>10199255</v>
      </c>
      <c r="P36" s="1" t="str">
        <f>IFERROR(__xludf.DUMMYFUNCTION("""COMPUTED_VALUE"""),"Europe")</f>
        <v>Europe</v>
      </c>
      <c r="Q36" s="1">
        <f>IFERROR(__xludf.DUMMYFUNCTION("""COMPUTED_VALUE"""),323.0)</f>
        <v>323</v>
      </c>
      <c r="R36" s="3">
        <f>IFERROR(__xludf.DUMMYFUNCTION("""COMPUTED_VALUE"""),7450.0)</f>
        <v>7450</v>
      </c>
      <c r="S36" s="1">
        <f>IFERROR(__xludf.DUMMYFUNCTION("""COMPUTED_VALUE"""),13.0)</f>
        <v>13</v>
      </c>
    </row>
    <row r="37">
      <c r="A37" s="1">
        <f>IFERROR(__xludf.DUMMYFUNCTION("""COMPUTED_VALUE"""),28.0)</f>
        <v>28</v>
      </c>
      <c r="B37" s="1" t="str">
        <f>IFERROR(__xludf.DUMMYFUNCTION("""COMPUTED_VALUE"""),"Switzerland")</f>
        <v>Switzerland</v>
      </c>
      <c r="C37" s="3">
        <f>IFERROR(__xludf.DUMMYFUNCTION("""COMPUTED_VALUE"""),30796.0)</f>
        <v>30796</v>
      </c>
      <c r="D37" s="1" t="str">
        <f>IFERROR(__xludf.DUMMYFUNCTION("""COMPUTED_VALUE"""),"")</f>
        <v/>
      </c>
      <c r="E37" s="3">
        <f>IFERROR(__xludf.DUMMYFUNCTION("""COMPUTED_VALUE"""),1919.0)</f>
        <v>1919</v>
      </c>
      <c r="F37" s="1" t="str">
        <f>IFERROR(__xludf.DUMMYFUNCTION("""COMPUTED_VALUE"""),"")</f>
        <v/>
      </c>
      <c r="G37" s="3">
        <f>IFERROR(__xludf.DUMMYFUNCTION("""COMPUTED_VALUE"""),28300.0)</f>
        <v>28300</v>
      </c>
      <c r="H37" s="1" t="str">
        <f>IFERROR(__xludf.DUMMYFUNCTION("""COMPUTED_VALUE"""),"")</f>
        <v/>
      </c>
      <c r="I37" s="1">
        <f>IFERROR(__xludf.DUMMYFUNCTION("""COMPUTED_VALUE"""),577.0)</f>
        <v>577</v>
      </c>
      <c r="J37" s="1">
        <f>IFERROR(__xludf.DUMMYFUNCTION("""COMPUTED_VALUE"""),36.0)</f>
        <v>36</v>
      </c>
      <c r="K37" s="3">
        <f>IFERROR(__xludf.DUMMYFUNCTION("""COMPUTED_VALUE"""),3561.0)</f>
        <v>3561</v>
      </c>
      <c r="L37" s="1">
        <f>IFERROR(__xludf.DUMMYFUNCTION("""COMPUTED_VALUE"""),222.0)</f>
        <v>222</v>
      </c>
      <c r="M37" s="3">
        <f>IFERROR(__xludf.DUMMYFUNCTION("""COMPUTED_VALUE"""),385822.0)</f>
        <v>385822</v>
      </c>
      <c r="N37" s="3">
        <f>IFERROR(__xludf.DUMMYFUNCTION("""COMPUTED_VALUE"""),44610.0)</f>
        <v>44610</v>
      </c>
      <c r="O37" s="3">
        <f>IFERROR(__xludf.DUMMYFUNCTION("""COMPUTED_VALUE"""),8648865.0)</f>
        <v>8648865</v>
      </c>
      <c r="P37" s="1" t="str">
        <f>IFERROR(__xludf.DUMMYFUNCTION("""COMPUTED_VALUE"""),"Europe")</f>
        <v>Europe</v>
      </c>
      <c r="Q37" s="1">
        <f>IFERROR(__xludf.DUMMYFUNCTION("""COMPUTED_VALUE"""),281.0)</f>
        <v>281</v>
      </c>
      <c r="R37" s="3">
        <f>IFERROR(__xludf.DUMMYFUNCTION("""COMPUTED_VALUE"""),4507.0)</f>
        <v>4507</v>
      </c>
      <c r="S37" s="1">
        <f>IFERROR(__xludf.DUMMYFUNCTION("""COMPUTED_VALUE"""),22.0)</f>
        <v>22</v>
      </c>
    </row>
    <row r="38">
      <c r="A38" s="1">
        <f>IFERROR(__xludf.DUMMYFUNCTION("""COMPUTED_VALUE"""),29.0)</f>
        <v>29</v>
      </c>
      <c r="B38" s="1" t="str">
        <f>IFERROR(__xludf.DUMMYFUNCTION("""COMPUTED_VALUE"""),"South Africa")</f>
        <v>South Africa</v>
      </c>
      <c r="C38" s="3">
        <f>IFERROR(__xludf.DUMMYFUNCTION("""COMPUTED_VALUE"""),27403.0)</f>
        <v>27403</v>
      </c>
      <c r="D38" s="1" t="str">
        <f>IFERROR(__xludf.DUMMYFUNCTION("""COMPUTED_VALUE"""),"")</f>
        <v/>
      </c>
      <c r="E38" s="1">
        <f>IFERROR(__xludf.DUMMYFUNCTION("""COMPUTED_VALUE"""),577.0)</f>
        <v>577</v>
      </c>
      <c r="F38" s="1" t="str">
        <f>IFERROR(__xludf.DUMMYFUNCTION("""COMPUTED_VALUE"""),"")</f>
        <v/>
      </c>
      <c r="G38" s="3">
        <f>IFERROR(__xludf.DUMMYFUNCTION("""COMPUTED_VALUE"""),14370.0)</f>
        <v>14370</v>
      </c>
      <c r="H38" s="1" t="str">
        <f>IFERROR(__xludf.DUMMYFUNCTION("""COMPUTED_VALUE"""),"")</f>
        <v/>
      </c>
      <c r="I38" s="3">
        <f>IFERROR(__xludf.DUMMYFUNCTION("""COMPUTED_VALUE"""),12456.0)</f>
        <v>12456</v>
      </c>
      <c r="J38" s="1">
        <f>IFERROR(__xludf.DUMMYFUNCTION("""COMPUTED_VALUE"""),128.0)</f>
        <v>128</v>
      </c>
      <c r="K38" s="1">
        <f>IFERROR(__xludf.DUMMYFUNCTION("""COMPUTED_VALUE"""),463.0)</f>
        <v>463</v>
      </c>
      <c r="L38" s="1">
        <f>IFERROR(__xludf.DUMMYFUNCTION("""COMPUTED_VALUE"""),10.0)</f>
        <v>10</v>
      </c>
      <c r="M38" s="3">
        <f>IFERROR(__xludf.DUMMYFUNCTION("""COMPUTED_VALUE"""),655723.0)</f>
        <v>655723</v>
      </c>
      <c r="N38" s="3">
        <f>IFERROR(__xludf.DUMMYFUNCTION("""COMPUTED_VALUE"""),11069.0)</f>
        <v>11069</v>
      </c>
      <c r="O38" s="3">
        <f>IFERROR(__xludf.DUMMYFUNCTION("""COMPUTED_VALUE"""),5.9238562E7)</f>
        <v>59238562</v>
      </c>
      <c r="P38" s="1" t="str">
        <f>IFERROR(__xludf.DUMMYFUNCTION("""COMPUTED_VALUE"""),"Africa")</f>
        <v>Africa</v>
      </c>
      <c r="Q38" s="3">
        <f>IFERROR(__xludf.DUMMYFUNCTION("""COMPUTED_VALUE"""),2162.0)</f>
        <v>2162</v>
      </c>
      <c r="R38" s="3">
        <f>IFERROR(__xludf.DUMMYFUNCTION("""COMPUTED_VALUE"""),102666.0)</f>
        <v>102666</v>
      </c>
      <c r="S38" s="1">
        <f>IFERROR(__xludf.DUMMYFUNCTION("""COMPUTED_VALUE"""),90.0)</f>
        <v>90</v>
      </c>
    </row>
    <row r="39">
      <c r="A39" s="1">
        <f>IFERROR(__xludf.DUMMYFUNCTION("""COMPUTED_VALUE"""),30.0)</f>
        <v>30</v>
      </c>
      <c r="B39" s="1" t="str">
        <f>IFERROR(__xludf.DUMMYFUNCTION("""COMPUTED_VALUE"""),"Colombia")</f>
        <v>Colombia</v>
      </c>
      <c r="C39" s="3">
        <f>IFERROR(__xludf.DUMMYFUNCTION("""COMPUTED_VALUE"""),25366.0)</f>
        <v>25366</v>
      </c>
      <c r="D39" s="1" t="str">
        <f>IFERROR(__xludf.DUMMYFUNCTION("""COMPUTED_VALUE"""),"")</f>
        <v/>
      </c>
      <c r="E39" s="1">
        <f>IFERROR(__xludf.DUMMYFUNCTION("""COMPUTED_VALUE"""),822.0)</f>
        <v>822</v>
      </c>
      <c r="F39" s="1" t="str">
        <f>IFERROR(__xludf.DUMMYFUNCTION("""COMPUTED_VALUE"""),"")</f>
        <v/>
      </c>
      <c r="G39" s="3">
        <f>IFERROR(__xludf.DUMMYFUNCTION("""COMPUTED_VALUE"""),6665.0)</f>
        <v>6665</v>
      </c>
      <c r="H39" s="1" t="str">
        <f>IFERROR(__xludf.DUMMYFUNCTION("""COMPUTED_VALUE"""),"")</f>
        <v/>
      </c>
      <c r="I39" s="3">
        <f>IFERROR(__xludf.DUMMYFUNCTION("""COMPUTED_VALUE"""),17879.0)</f>
        <v>17879</v>
      </c>
      <c r="J39" s="1">
        <f>IFERROR(__xludf.DUMMYFUNCTION("""COMPUTED_VALUE"""),136.0)</f>
        <v>136</v>
      </c>
      <c r="K39" s="1">
        <f>IFERROR(__xludf.DUMMYFUNCTION("""COMPUTED_VALUE"""),499.0)</f>
        <v>499</v>
      </c>
      <c r="L39" s="1">
        <f>IFERROR(__xludf.DUMMYFUNCTION("""COMPUTED_VALUE"""),16.0)</f>
        <v>16</v>
      </c>
      <c r="M39" s="3">
        <f>IFERROR(__xludf.DUMMYFUNCTION("""COMPUTED_VALUE"""),283346.0)</f>
        <v>283346</v>
      </c>
      <c r="N39" s="3">
        <f>IFERROR(__xludf.DUMMYFUNCTION("""COMPUTED_VALUE"""),5574.0)</f>
        <v>5574</v>
      </c>
      <c r="O39" s="3">
        <f>IFERROR(__xludf.DUMMYFUNCTION("""COMPUTED_VALUE"""),5.0832596E7)</f>
        <v>50832596</v>
      </c>
      <c r="P39" s="1" t="str">
        <f>IFERROR(__xludf.DUMMYFUNCTION("""COMPUTED_VALUE"""),"South America")</f>
        <v>South America</v>
      </c>
      <c r="Q39" s="3">
        <f>IFERROR(__xludf.DUMMYFUNCTION("""COMPUTED_VALUE"""),2004.0)</f>
        <v>2004</v>
      </c>
      <c r="R39" s="3">
        <f>IFERROR(__xludf.DUMMYFUNCTION("""COMPUTED_VALUE"""),61840.0)</f>
        <v>61840</v>
      </c>
      <c r="S39" s="1">
        <f>IFERROR(__xludf.DUMMYFUNCTION("""COMPUTED_VALUE"""),179.0)</f>
        <v>179</v>
      </c>
    </row>
    <row r="40">
      <c r="A40" s="1">
        <f>IFERROR(__xludf.DUMMYFUNCTION("""COMPUTED_VALUE"""),31.0)</f>
        <v>31</v>
      </c>
      <c r="B40" s="1" t="str">
        <f>IFERROR(__xludf.DUMMYFUNCTION("""COMPUTED_VALUE"""),"Ireland")</f>
        <v>Ireland</v>
      </c>
      <c r="C40" s="3">
        <f>IFERROR(__xludf.DUMMYFUNCTION("""COMPUTED_VALUE"""),24841.0)</f>
        <v>24841</v>
      </c>
      <c r="D40" s="1" t="str">
        <f>IFERROR(__xludf.DUMMYFUNCTION("""COMPUTED_VALUE"""),"")</f>
        <v/>
      </c>
      <c r="E40" s="3">
        <f>IFERROR(__xludf.DUMMYFUNCTION("""COMPUTED_VALUE"""),1639.0)</f>
        <v>1639</v>
      </c>
      <c r="F40" s="1" t="str">
        <f>IFERROR(__xludf.DUMMYFUNCTION("""COMPUTED_VALUE"""),"")</f>
        <v/>
      </c>
      <c r="G40" s="3">
        <f>IFERROR(__xludf.DUMMYFUNCTION("""COMPUTED_VALUE"""),22089.0)</f>
        <v>22089</v>
      </c>
      <c r="H40" s="1" t="str">
        <f>IFERROR(__xludf.DUMMYFUNCTION("""COMPUTED_VALUE"""),"")</f>
        <v/>
      </c>
      <c r="I40" s="3">
        <f>IFERROR(__xludf.DUMMYFUNCTION("""COMPUTED_VALUE"""),1113.0)</f>
        <v>1113</v>
      </c>
      <c r="J40" s="1">
        <f>IFERROR(__xludf.DUMMYFUNCTION("""COMPUTED_VALUE"""),47.0)</f>
        <v>47</v>
      </c>
      <c r="K40" s="3">
        <f>IFERROR(__xludf.DUMMYFUNCTION("""COMPUTED_VALUE"""),5036.0)</f>
        <v>5036</v>
      </c>
      <c r="L40" s="1">
        <f>IFERROR(__xludf.DUMMYFUNCTION("""COMPUTED_VALUE"""),332.0)</f>
        <v>332</v>
      </c>
      <c r="M40" s="3">
        <f>IFERROR(__xludf.DUMMYFUNCTION("""COMPUTED_VALUE"""),325795.0)</f>
        <v>325795</v>
      </c>
      <c r="N40" s="3">
        <f>IFERROR(__xludf.DUMMYFUNCTION("""COMPUTED_VALUE"""),66049.0)</f>
        <v>66049</v>
      </c>
      <c r="O40" s="3">
        <f>IFERROR(__xludf.DUMMYFUNCTION("""COMPUTED_VALUE"""),4932656.0)</f>
        <v>4932656</v>
      </c>
      <c r="P40" s="1" t="str">
        <f>IFERROR(__xludf.DUMMYFUNCTION("""COMPUTED_VALUE"""),"Europe")</f>
        <v>Europe</v>
      </c>
      <c r="Q40" s="1">
        <f>IFERROR(__xludf.DUMMYFUNCTION("""COMPUTED_VALUE"""),199.0)</f>
        <v>199</v>
      </c>
      <c r="R40" s="3">
        <f>IFERROR(__xludf.DUMMYFUNCTION("""COMPUTED_VALUE"""),3010.0)</f>
        <v>3010</v>
      </c>
      <c r="S40" s="1">
        <f>IFERROR(__xludf.DUMMYFUNCTION("""COMPUTED_VALUE"""),15.0)</f>
        <v>15</v>
      </c>
    </row>
    <row r="41">
      <c r="A41" s="1">
        <f>IFERROR(__xludf.DUMMYFUNCTION("""COMPUTED_VALUE"""),32.0)</f>
        <v>32</v>
      </c>
      <c r="B41" s="1" t="str">
        <f>IFERROR(__xludf.DUMMYFUNCTION("""COMPUTED_VALUE"""),"Indonesia")</f>
        <v>Indonesia</v>
      </c>
      <c r="C41" s="3">
        <f>IFERROR(__xludf.DUMMYFUNCTION("""COMPUTED_VALUE"""),24538.0)</f>
        <v>24538</v>
      </c>
      <c r="D41" s="1" t="str">
        <f>IFERROR(__xludf.DUMMYFUNCTION("""COMPUTED_VALUE"""),"")</f>
        <v/>
      </c>
      <c r="E41" s="3">
        <f>IFERROR(__xludf.DUMMYFUNCTION("""COMPUTED_VALUE"""),1496.0)</f>
        <v>1496</v>
      </c>
      <c r="F41" s="1" t="str">
        <f>IFERROR(__xludf.DUMMYFUNCTION("""COMPUTED_VALUE"""),"")</f>
        <v/>
      </c>
      <c r="G41" s="3">
        <f>IFERROR(__xludf.DUMMYFUNCTION("""COMPUTED_VALUE"""),6240.0)</f>
        <v>6240</v>
      </c>
      <c r="H41" s="1" t="str">
        <f>IFERROR(__xludf.DUMMYFUNCTION("""COMPUTED_VALUE"""),"")</f>
        <v/>
      </c>
      <c r="I41" s="3">
        <f>IFERROR(__xludf.DUMMYFUNCTION("""COMPUTED_VALUE"""),16802.0)</f>
        <v>16802</v>
      </c>
      <c r="J41" s="1" t="str">
        <f>IFERROR(__xludf.DUMMYFUNCTION("""COMPUTED_VALUE"""),"")</f>
        <v/>
      </c>
      <c r="K41" s="1">
        <f>IFERROR(__xludf.DUMMYFUNCTION("""COMPUTED_VALUE"""),90.0)</f>
        <v>90</v>
      </c>
      <c r="L41" s="1">
        <f>IFERROR(__xludf.DUMMYFUNCTION("""COMPUTED_VALUE"""),5.0)</f>
        <v>5</v>
      </c>
      <c r="M41" s="3">
        <f>IFERROR(__xludf.DUMMYFUNCTION("""COMPUTED_VALUE"""),289906.0)</f>
        <v>289906</v>
      </c>
      <c r="N41" s="3">
        <f>IFERROR(__xludf.DUMMYFUNCTION("""COMPUTED_VALUE"""),1061.0)</f>
        <v>1061</v>
      </c>
      <c r="O41" s="3">
        <f>IFERROR(__xludf.DUMMYFUNCTION("""COMPUTED_VALUE"""),2.73255522E8)</f>
        <v>273255522</v>
      </c>
      <c r="P41" s="1" t="str">
        <f>IFERROR(__xludf.DUMMYFUNCTION("""COMPUTED_VALUE"""),"Asia")</f>
        <v>Asia</v>
      </c>
      <c r="Q41" s="3">
        <f>IFERROR(__xludf.DUMMYFUNCTION("""COMPUTED_VALUE"""),11136.0)</f>
        <v>11136</v>
      </c>
      <c r="R41" s="3">
        <f>IFERROR(__xludf.DUMMYFUNCTION("""COMPUTED_VALUE"""),182657.0)</f>
        <v>182657</v>
      </c>
      <c r="S41" s="1">
        <f>IFERROR(__xludf.DUMMYFUNCTION("""COMPUTED_VALUE"""),943.0)</f>
        <v>943</v>
      </c>
    </row>
    <row r="42">
      <c r="A42" s="1">
        <f>IFERROR(__xludf.DUMMYFUNCTION("""COMPUTED_VALUE"""),33.0)</f>
        <v>33</v>
      </c>
      <c r="B42" s="1" t="str">
        <f>IFERROR(__xludf.DUMMYFUNCTION("""COMPUTED_VALUE"""),"Kuwait")</f>
        <v>Kuwait</v>
      </c>
      <c r="C42" s="3">
        <f>IFERROR(__xludf.DUMMYFUNCTION("""COMPUTED_VALUE"""),24112.0)</f>
        <v>24112</v>
      </c>
      <c r="D42" s="1" t="str">
        <f>IFERROR(__xludf.DUMMYFUNCTION("""COMPUTED_VALUE"""),"")</f>
        <v/>
      </c>
      <c r="E42" s="1">
        <f>IFERROR(__xludf.DUMMYFUNCTION("""COMPUTED_VALUE"""),185.0)</f>
        <v>185</v>
      </c>
      <c r="F42" s="1" t="str">
        <f>IFERROR(__xludf.DUMMYFUNCTION("""COMPUTED_VALUE"""),"")</f>
        <v/>
      </c>
      <c r="G42" s="3">
        <f>IFERROR(__xludf.DUMMYFUNCTION("""COMPUTED_VALUE"""),8698.0)</f>
        <v>8698</v>
      </c>
      <c r="H42" s="1" t="str">
        <f>IFERROR(__xludf.DUMMYFUNCTION("""COMPUTED_VALUE"""),"")</f>
        <v/>
      </c>
      <c r="I42" s="3">
        <f>IFERROR(__xludf.DUMMYFUNCTION("""COMPUTED_VALUE"""),15229.0)</f>
        <v>15229</v>
      </c>
      <c r="J42" s="1">
        <f>IFERROR(__xludf.DUMMYFUNCTION("""COMPUTED_VALUE"""),197.0)</f>
        <v>197</v>
      </c>
      <c r="K42" s="3">
        <f>IFERROR(__xludf.DUMMYFUNCTION("""COMPUTED_VALUE"""),5654.0)</f>
        <v>5654</v>
      </c>
      <c r="L42" s="1">
        <f>IFERROR(__xludf.DUMMYFUNCTION("""COMPUTED_VALUE"""),43.0)</f>
        <v>43</v>
      </c>
      <c r="M42" s="3">
        <f>IFERROR(__xludf.DUMMYFUNCTION("""COMPUTED_VALUE"""),282341.0)</f>
        <v>282341</v>
      </c>
      <c r="N42" s="3">
        <f>IFERROR(__xludf.DUMMYFUNCTION("""COMPUTED_VALUE"""),66206.0)</f>
        <v>66206</v>
      </c>
      <c r="O42" s="3">
        <f>IFERROR(__xludf.DUMMYFUNCTION("""COMPUTED_VALUE"""),4264573.0)</f>
        <v>4264573</v>
      </c>
      <c r="P42" s="1" t="str">
        <f>IFERROR(__xludf.DUMMYFUNCTION("""COMPUTED_VALUE"""),"Asia")</f>
        <v>Asia</v>
      </c>
      <c r="Q42" s="1">
        <f>IFERROR(__xludf.DUMMYFUNCTION("""COMPUTED_VALUE"""),177.0)</f>
        <v>177</v>
      </c>
      <c r="R42" s="3">
        <f>IFERROR(__xludf.DUMMYFUNCTION("""COMPUTED_VALUE"""),23052.0)</f>
        <v>23052</v>
      </c>
      <c r="S42" s="1">
        <f>IFERROR(__xludf.DUMMYFUNCTION("""COMPUTED_VALUE"""),15.0)</f>
        <v>15</v>
      </c>
    </row>
    <row r="43">
      <c r="A43" s="1">
        <f>IFERROR(__xludf.DUMMYFUNCTION("""COMPUTED_VALUE"""),34.0)</f>
        <v>34</v>
      </c>
      <c r="B43" s="1" t="str">
        <f>IFERROR(__xludf.DUMMYFUNCTION("""COMPUTED_VALUE"""),"Poland")</f>
        <v>Poland</v>
      </c>
      <c r="C43" s="3">
        <f>IFERROR(__xludf.DUMMYFUNCTION("""COMPUTED_VALUE"""),22825.0)</f>
        <v>22825</v>
      </c>
      <c r="D43" s="1" t="str">
        <f>IFERROR(__xludf.DUMMYFUNCTION("""COMPUTED_VALUE"""),"")</f>
        <v/>
      </c>
      <c r="E43" s="3">
        <f>IFERROR(__xludf.DUMMYFUNCTION("""COMPUTED_VALUE"""),1038.0)</f>
        <v>1038</v>
      </c>
      <c r="F43" s="1" t="str">
        <f>IFERROR(__xludf.DUMMYFUNCTION("""COMPUTED_VALUE"""),"")</f>
        <v/>
      </c>
      <c r="G43" s="3">
        <f>IFERROR(__xludf.DUMMYFUNCTION("""COMPUTED_VALUE"""),10560.0)</f>
        <v>10560</v>
      </c>
      <c r="H43" s="1" t="str">
        <f>IFERROR(__xludf.DUMMYFUNCTION("""COMPUTED_VALUE"""),"")</f>
        <v/>
      </c>
      <c r="I43" s="3">
        <f>IFERROR(__xludf.DUMMYFUNCTION("""COMPUTED_VALUE"""),11227.0)</f>
        <v>11227</v>
      </c>
      <c r="J43" s="1">
        <f>IFERROR(__xludf.DUMMYFUNCTION("""COMPUTED_VALUE"""),160.0)</f>
        <v>160</v>
      </c>
      <c r="K43" s="1">
        <f>IFERROR(__xludf.DUMMYFUNCTION("""COMPUTED_VALUE"""),603.0)</f>
        <v>603</v>
      </c>
      <c r="L43" s="1">
        <f>IFERROR(__xludf.DUMMYFUNCTION("""COMPUTED_VALUE"""),27.0)</f>
        <v>27</v>
      </c>
      <c r="M43" s="3">
        <f>IFERROR(__xludf.DUMMYFUNCTION("""COMPUTED_VALUE"""),846732.0)</f>
        <v>846732</v>
      </c>
      <c r="N43" s="3">
        <f>IFERROR(__xludf.DUMMYFUNCTION("""COMPUTED_VALUE"""),22371.0)</f>
        <v>22371</v>
      </c>
      <c r="O43" s="3">
        <f>IFERROR(__xludf.DUMMYFUNCTION("""COMPUTED_VALUE"""),3.7850199E7)</f>
        <v>37850199</v>
      </c>
      <c r="P43" s="1" t="str">
        <f>IFERROR(__xludf.DUMMYFUNCTION("""COMPUTED_VALUE"""),"Europe")</f>
        <v>Europe</v>
      </c>
      <c r="Q43" s="3">
        <f>IFERROR(__xludf.DUMMYFUNCTION("""COMPUTED_VALUE"""),1658.0)</f>
        <v>1658</v>
      </c>
      <c r="R43" s="3">
        <f>IFERROR(__xludf.DUMMYFUNCTION("""COMPUTED_VALUE"""),36465.0)</f>
        <v>36465</v>
      </c>
      <c r="S43" s="1">
        <f>IFERROR(__xludf.DUMMYFUNCTION("""COMPUTED_VALUE"""),45.0)</f>
        <v>45</v>
      </c>
    </row>
    <row r="44">
      <c r="A44" s="1">
        <f>IFERROR(__xludf.DUMMYFUNCTION("""COMPUTED_VALUE"""),35.0)</f>
        <v>35</v>
      </c>
      <c r="B44" s="1" t="str">
        <f>IFERROR(__xludf.DUMMYFUNCTION("""COMPUTED_VALUE"""),"Ukraine")</f>
        <v>Ukraine</v>
      </c>
      <c r="C44" s="3">
        <f>IFERROR(__xludf.DUMMYFUNCTION("""COMPUTED_VALUE"""),22382.0)</f>
        <v>22382</v>
      </c>
      <c r="D44" s="1" t="str">
        <f>IFERROR(__xludf.DUMMYFUNCTION("""COMPUTED_VALUE"""),"")</f>
        <v/>
      </c>
      <c r="E44" s="1">
        <f>IFERROR(__xludf.DUMMYFUNCTION("""COMPUTED_VALUE"""),669.0)</f>
        <v>669</v>
      </c>
      <c r="F44" s="1" t="str">
        <f>IFERROR(__xludf.DUMMYFUNCTION("""COMPUTED_VALUE"""),"")</f>
        <v/>
      </c>
      <c r="G44" s="3">
        <f>IFERROR(__xludf.DUMMYFUNCTION("""COMPUTED_VALUE"""),8439.0)</f>
        <v>8439</v>
      </c>
      <c r="H44" s="1" t="str">
        <f>IFERROR(__xludf.DUMMYFUNCTION("""COMPUTED_VALUE"""),"")</f>
        <v/>
      </c>
      <c r="I44" s="3">
        <f>IFERROR(__xludf.DUMMYFUNCTION("""COMPUTED_VALUE"""),13274.0)</f>
        <v>13274</v>
      </c>
      <c r="J44" s="1">
        <f>IFERROR(__xludf.DUMMYFUNCTION("""COMPUTED_VALUE"""),263.0)</f>
        <v>263</v>
      </c>
      <c r="K44" s="1">
        <f>IFERROR(__xludf.DUMMYFUNCTION("""COMPUTED_VALUE"""),512.0)</f>
        <v>512</v>
      </c>
      <c r="L44" s="1">
        <f>IFERROR(__xludf.DUMMYFUNCTION("""COMPUTED_VALUE"""),15.0)</f>
        <v>15</v>
      </c>
      <c r="M44" s="3">
        <f>IFERROR(__xludf.DUMMYFUNCTION("""COMPUTED_VALUE"""),322746.0)</f>
        <v>322746</v>
      </c>
      <c r="N44" s="3">
        <f>IFERROR(__xludf.DUMMYFUNCTION("""COMPUTED_VALUE"""),7376.0)</f>
        <v>7376</v>
      </c>
      <c r="O44" s="3">
        <f>IFERROR(__xludf.DUMMYFUNCTION("""COMPUTED_VALUE"""),4.3755845E7)</f>
        <v>43755845</v>
      </c>
      <c r="P44" s="1" t="str">
        <f>IFERROR(__xludf.DUMMYFUNCTION("""COMPUTED_VALUE"""),"Europe")</f>
        <v>Europe</v>
      </c>
      <c r="Q44" s="3">
        <f>IFERROR(__xludf.DUMMYFUNCTION("""COMPUTED_VALUE"""),1955.0)</f>
        <v>1955</v>
      </c>
      <c r="R44" s="3">
        <f>IFERROR(__xludf.DUMMYFUNCTION("""COMPUTED_VALUE"""),65405.0)</f>
        <v>65405</v>
      </c>
      <c r="S44" s="1">
        <f>IFERROR(__xludf.DUMMYFUNCTION("""COMPUTED_VALUE"""),136.0)</f>
        <v>136</v>
      </c>
    </row>
    <row r="45">
      <c r="A45" s="1">
        <f>IFERROR(__xludf.DUMMYFUNCTION("""COMPUTED_VALUE"""),36.0)</f>
        <v>36</v>
      </c>
      <c r="B45" s="1" t="str">
        <f>IFERROR(__xludf.DUMMYFUNCTION("""COMPUTED_VALUE"""),"Egypt")</f>
        <v>Egypt</v>
      </c>
      <c r="C45" s="3">
        <f>IFERROR(__xludf.DUMMYFUNCTION("""COMPUTED_VALUE"""),20793.0)</f>
        <v>20793</v>
      </c>
      <c r="D45" s="1" t="str">
        <f>IFERROR(__xludf.DUMMYFUNCTION("""COMPUTED_VALUE"""),"")</f>
        <v/>
      </c>
      <c r="E45" s="1">
        <f>IFERROR(__xludf.DUMMYFUNCTION("""COMPUTED_VALUE"""),845.0)</f>
        <v>845</v>
      </c>
      <c r="F45" s="1" t="str">
        <f>IFERROR(__xludf.DUMMYFUNCTION("""COMPUTED_VALUE"""),"")</f>
        <v/>
      </c>
      <c r="G45" s="3">
        <f>IFERROR(__xludf.DUMMYFUNCTION("""COMPUTED_VALUE"""),5359.0)</f>
        <v>5359</v>
      </c>
      <c r="H45" s="1" t="str">
        <f>IFERROR(__xludf.DUMMYFUNCTION("""COMPUTED_VALUE"""),"")</f>
        <v/>
      </c>
      <c r="I45" s="3">
        <f>IFERROR(__xludf.DUMMYFUNCTION("""COMPUTED_VALUE"""),14589.0)</f>
        <v>14589</v>
      </c>
      <c r="J45" s="1">
        <f>IFERROR(__xludf.DUMMYFUNCTION("""COMPUTED_VALUE"""),41.0)</f>
        <v>41</v>
      </c>
      <c r="K45" s="1">
        <f>IFERROR(__xludf.DUMMYFUNCTION("""COMPUTED_VALUE"""),204.0)</f>
        <v>204</v>
      </c>
      <c r="L45" s="1">
        <f>IFERROR(__xludf.DUMMYFUNCTION("""COMPUTED_VALUE"""),8.0)</f>
        <v>8</v>
      </c>
      <c r="M45" s="3">
        <f>IFERROR(__xludf.DUMMYFUNCTION("""COMPUTED_VALUE"""),135000.0)</f>
        <v>135000</v>
      </c>
      <c r="N45" s="3">
        <f>IFERROR(__xludf.DUMMYFUNCTION("""COMPUTED_VALUE"""),1322.0)</f>
        <v>1322</v>
      </c>
      <c r="O45" s="3">
        <f>IFERROR(__xludf.DUMMYFUNCTION("""COMPUTED_VALUE"""),1.02146819E8)</f>
        <v>102146819</v>
      </c>
      <c r="P45" s="1" t="str">
        <f>IFERROR(__xludf.DUMMYFUNCTION("""COMPUTED_VALUE"""),"Africa")</f>
        <v>Africa</v>
      </c>
      <c r="Q45" s="3">
        <f>IFERROR(__xludf.DUMMYFUNCTION("""COMPUTED_VALUE"""),4913.0)</f>
        <v>4913</v>
      </c>
      <c r="R45" s="3">
        <f>IFERROR(__xludf.DUMMYFUNCTION("""COMPUTED_VALUE"""),120884.0)</f>
        <v>120884</v>
      </c>
      <c r="S45" s="1">
        <f>IFERROR(__xludf.DUMMYFUNCTION("""COMPUTED_VALUE"""),757.0)</f>
        <v>757</v>
      </c>
    </row>
    <row r="46">
      <c r="A46" s="1">
        <f>IFERROR(__xludf.DUMMYFUNCTION("""COMPUTED_VALUE"""),37.0)</f>
        <v>37</v>
      </c>
      <c r="B46" s="1" t="str">
        <f>IFERROR(__xludf.DUMMYFUNCTION("""COMPUTED_VALUE"""),"Romania")</f>
        <v>Romania</v>
      </c>
      <c r="C46" s="3">
        <f>IFERROR(__xludf.DUMMYFUNCTION("""COMPUTED_VALUE"""),18791.0)</f>
        <v>18791</v>
      </c>
      <c r="D46" s="1" t="str">
        <f>IFERROR(__xludf.DUMMYFUNCTION("""COMPUTED_VALUE"""),"")</f>
        <v/>
      </c>
      <c r="E46" s="3">
        <f>IFERROR(__xludf.DUMMYFUNCTION("""COMPUTED_VALUE"""),1235.0)</f>
        <v>1235</v>
      </c>
      <c r="F46" s="1" t="str">
        <f>IFERROR(__xludf.DUMMYFUNCTION("""COMPUTED_VALUE"""),"")</f>
        <v/>
      </c>
      <c r="G46" s="3">
        <f>IFERROR(__xludf.DUMMYFUNCTION("""COMPUTED_VALUE"""),12629.0)</f>
        <v>12629</v>
      </c>
      <c r="H46" s="1" t="str">
        <f>IFERROR(__xludf.DUMMYFUNCTION("""COMPUTED_VALUE"""),"")</f>
        <v/>
      </c>
      <c r="I46" s="3">
        <f>IFERROR(__xludf.DUMMYFUNCTION("""COMPUTED_VALUE"""),4927.0)</f>
        <v>4927</v>
      </c>
      <c r="J46" s="1">
        <f>IFERROR(__xludf.DUMMYFUNCTION("""COMPUTED_VALUE"""),182.0)</f>
        <v>182</v>
      </c>
      <c r="K46" s="1">
        <f>IFERROR(__xludf.DUMMYFUNCTION("""COMPUTED_VALUE"""),976.0)</f>
        <v>976</v>
      </c>
      <c r="L46" s="1">
        <f>IFERROR(__xludf.DUMMYFUNCTION("""COMPUTED_VALUE"""),64.0)</f>
        <v>64</v>
      </c>
      <c r="M46" s="3">
        <f>IFERROR(__xludf.DUMMYFUNCTION("""COMPUTED_VALUE"""),410000.0)</f>
        <v>410000</v>
      </c>
      <c r="N46" s="3">
        <f>IFERROR(__xludf.DUMMYFUNCTION("""COMPUTED_VALUE"""),21300.0)</f>
        <v>21300</v>
      </c>
      <c r="O46" s="3">
        <f>IFERROR(__xludf.DUMMYFUNCTION("""COMPUTED_VALUE"""),1.9248434E7)</f>
        <v>19248434</v>
      </c>
      <c r="P46" s="1" t="str">
        <f>IFERROR(__xludf.DUMMYFUNCTION("""COMPUTED_VALUE"""),"Europe")</f>
        <v>Europe</v>
      </c>
      <c r="Q46" s="3">
        <f>IFERROR(__xludf.DUMMYFUNCTION("""COMPUTED_VALUE"""),1024.0)</f>
        <v>1024</v>
      </c>
      <c r="R46" s="3">
        <f>IFERROR(__xludf.DUMMYFUNCTION("""COMPUTED_VALUE"""),15586.0)</f>
        <v>15586</v>
      </c>
      <c r="S46" s="1">
        <f>IFERROR(__xludf.DUMMYFUNCTION("""COMPUTED_VALUE"""),47.0)</f>
        <v>47</v>
      </c>
    </row>
    <row r="47">
      <c r="A47" s="1">
        <f>IFERROR(__xludf.DUMMYFUNCTION("""COMPUTED_VALUE"""),38.0)</f>
        <v>38</v>
      </c>
      <c r="B47" s="1" t="str">
        <f>IFERROR(__xludf.DUMMYFUNCTION("""COMPUTED_VALUE"""),"Israel")</f>
        <v>Israel</v>
      </c>
      <c r="C47" s="3">
        <f>IFERROR(__xludf.DUMMYFUNCTION("""COMPUTED_VALUE"""),16872.0)</f>
        <v>16872</v>
      </c>
      <c r="D47" s="1" t="str">
        <f>IFERROR(__xludf.DUMMYFUNCTION("""COMPUTED_VALUE"""),"")</f>
        <v/>
      </c>
      <c r="E47" s="1">
        <f>IFERROR(__xludf.DUMMYFUNCTION("""COMPUTED_VALUE"""),284.0)</f>
        <v>284</v>
      </c>
      <c r="F47" s="1" t="str">
        <f>IFERROR(__xludf.DUMMYFUNCTION("""COMPUTED_VALUE"""),"")</f>
        <v/>
      </c>
      <c r="G47" s="3">
        <f>IFERROR(__xludf.DUMMYFUNCTION("""COMPUTED_VALUE"""),14679.0)</f>
        <v>14679</v>
      </c>
      <c r="H47" s="1" t="str">
        <f>IFERROR(__xludf.DUMMYFUNCTION("""COMPUTED_VALUE"""),"")</f>
        <v/>
      </c>
      <c r="I47" s="3">
        <f>IFERROR(__xludf.DUMMYFUNCTION("""COMPUTED_VALUE"""),1909.0)</f>
        <v>1909</v>
      </c>
      <c r="J47" s="1">
        <f>IFERROR(__xludf.DUMMYFUNCTION("""COMPUTED_VALUE"""),41.0)</f>
        <v>41</v>
      </c>
      <c r="K47" s="3">
        <f>IFERROR(__xludf.DUMMYFUNCTION("""COMPUTED_VALUE"""),1834.0)</f>
        <v>1834</v>
      </c>
      <c r="L47" s="1">
        <f>IFERROR(__xludf.DUMMYFUNCTION("""COMPUTED_VALUE"""),31.0)</f>
        <v>31</v>
      </c>
      <c r="M47" s="3">
        <f>IFERROR(__xludf.DUMMYFUNCTION("""COMPUTED_VALUE"""),558516.0)</f>
        <v>558516</v>
      </c>
      <c r="N47" s="3">
        <f>IFERROR(__xludf.DUMMYFUNCTION("""COMPUTED_VALUE"""),60724.0)</f>
        <v>60724</v>
      </c>
      <c r="O47" s="3">
        <f>IFERROR(__xludf.DUMMYFUNCTION("""COMPUTED_VALUE"""),9197590.0)</f>
        <v>9197590</v>
      </c>
      <c r="P47" s="1" t="str">
        <f>IFERROR(__xludf.DUMMYFUNCTION("""COMPUTED_VALUE"""),"Asia")</f>
        <v>Asia</v>
      </c>
      <c r="Q47" s="1">
        <f>IFERROR(__xludf.DUMMYFUNCTION("""COMPUTED_VALUE"""),545.0)</f>
        <v>545</v>
      </c>
      <c r="R47" s="3">
        <f>IFERROR(__xludf.DUMMYFUNCTION("""COMPUTED_VALUE"""),32386.0)</f>
        <v>32386</v>
      </c>
      <c r="S47" s="1">
        <f>IFERROR(__xludf.DUMMYFUNCTION("""COMPUTED_VALUE"""),16.0)</f>
        <v>16</v>
      </c>
    </row>
    <row r="48">
      <c r="A48" s="1">
        <f>IFERROR(__xludf.DUMMYFUNCTION("""COMPUTED_VALUE"""),39.0)</f>
        <v>39</v>
      </c>
      <c r="B48" s="1" t="str">
        <f>IFERROR(__xludf.DUMMYFUNCTION("""COMPUTED_VALUE"""),"Japan")</f>
        <v>Japan</v>
      </c>
      <c r="C48" s="3">
        <f>IFERROR(__xludf.DUMMYFUNCTION("""COMPUTED_VALUE"""),16683.0)</f>
        <v>16683</v>
      </c>
      <c r="D48" s="1" t="str">
        <f>IFERROR(__xludf.DUMMYFUNCTION("""COMPUTED_VALUE"""),"")</f>
        <v/>
      </c>
      <c r="E48" s="1">
        <f>IFERROR(__xludf.DUMMYFUNCTION("""COMPUTED_VALUE"""),867.0)</f>
        <v>867</v>
      </c>
      <c r="F48" s="1" t="str">
        <f>IFERROR(__xludf.DUMMYFUNCTION("""COMPUTED_VALUE"""),"")</f>
        <v/>
      </c>
      <c r="G48" s="3">
        <f>IFERROR(__xludf.DUMMYFUNCTION("""COMPUTED_VALUE"""),14147.0)</f>
        <v>14147</v>
      </c>
      <c r="H48" s="1" t="str">
        <f>IFERROR(__xludf.DUMMYFUNCTION("""COMPUTED_VALUE"""),"")</f>
        <v/>
      </c>
      <c r="I48" s="3">
        <f>IFERROR(__xludf.DUMMYFUNCTION("""COMPUTED_VALUE"""),1669.0)</f>
        <v>1669</v>
      </c>
      <c r="J48" s="1">
        <f>IFERROR(__xludf.DUMMYFUNCTION("""COMPUTED_VALUE"""),136.0)</f>
        <v>136</v>
      </c>
      <c r="K48" s="1">
        <f>IFERROR(__xludf.DUMMYFUNCTION("""COMPUTED_VALUE"""),132.0)</f>
        <v>132</v>
      </c>
      <c r="L48" s="1">
        <f>IFERROR(__xludf.DUMMYFUNCTION("""COMPUTED_VALUE"""),7.0)</f>
        <v>7</v>
      </c>
      <c r="M48" s="3">
        <f>IFERROR(__xludf.DUMMYFUNCTION("""COMPUTED_VALUE"""),281293.0)</f>
        <v>281293</v>
      </c>
      <c r="N48" s="3">
        <f>IFERROR(__xludf.DUMMYFUNCTION("""COMPUTED_VALUE"""),2223.0)</f>
        <v>2223</v>
      </c>
      <c r="O48" s="3">
        <f>IFERROR(__xludf.DUMMYFUNCTION("""COMPUTED_VALUE"""),1.26509583E8)</f>
        <v>126509583</v>
      </c>
      <c r="P48" s="1" t="str">
        <f>IFERROR(__xludf.DUMMYFUNCTION("""COMPUTED_VALUE"""),"Asia")</f>
        <v>Asia</v>
      </c>
      <c r="Q48" s="3">
        <f>IFERROR(__xludf.DUMMYFUNCTION("""COMPUTED_VALUE"""),7583.0)</f>
        <v>7583</v>
      </c>
      <c r="R48" s="3">
        <f>IFERROR(__xludf.DUMMYFUNCTION("""COMPUTED_VALUE"""),145916.0)</f>
        <v>145916</v>
      </c>
      <c r="S48" s="1">
        <f>IFERROR(__xludf.DUMMYFUNCTION("""COMPUTED_VALUE"""),450.0)</f>
        <v>450</v>
      </c>
    </row>
    <row r="49">
      <c r="A49" s="1">
        <f>IFERROR(__xludf.DUMMYFUNCTION("""COMPUTED_VALUE"""),40.0)</f>
        <v>40</v>
      </c>
      <c r="B49" s="1" t="str">
        <f>IFERROR(__xludf.DUMMYFUNCTION("""COMPUTED_VALUE"""),"Austria")</f>
        <v>Austria</v>
      </c>
      <c r="C49" s="3">
        <f>IFERROR(__xludf.DUMMYFUNCTION("""COMPUTED_VALUE"""),16628.0)</f>
        <v>16628</v>
      </c>
      <c r="D49" s="1" t="str">
        <f>IFERROR(__xludf.DUMMYFUNCTION("""COMPUTED_VALUE"""),"")</f>
        <v/>
      </c>
      <c r="E49" s="1">
        <f>IFERROR(__xludf.DUMMYFUNCTION("""COMPUTED_VALUE"""),668.0)</f>
        <v>668</v>
      </c>
      <c r="F49" s="1" t="str">
        <f>IFERROR(__xludf.DUMMYFUNCTION("""COMPUTED_VALUE"""),"")</f>
        <v/>
      </c>
      <c r="G49" s="3">
        <f>IFERROR(__xludf.DUMMYFUNCTION("""COMPUTED_VALUE"""),15286.0)</f>
        <v>15286</v>
      </c>
      <c r="H49" s="1" t="str">
        <f>IFERROR(__xludf.DUMMYFUNCTION("""COMPUTED_VALUE"""),"")</f>
        <v/>
      </c>
      <c r="I49" s="1">
        <f>IFERROR(__xludf.DUMMYFUNCTION("""COMPUTED_VALUE"""),674.0)</f>
        <v>674</v>
      </c>
      <c r="J49" s="1">
        <f>IFERROR(__xludf.DUMMYFUNCTION("""COMPUTED_VALUE"""),30.0)</f>
        <v>30</v>
      </c>
      <c r="K49" s="3">
        <f>IFERROR(__xludf.DUMMYFUNCTION("""COMPUTED_VALUE"""),1847.0)</f>
        <v>1847</v>
      </c>
      <c r="L49" s="1">
        <f>IFERROR(__xludf.DUMMYFUNCTION("""COMPUTED_VALUE"""),74.0)</f>
        <v>74</v>
      </c>
      <c r="M49" s="3">
        <f>IFERROR(__xludf.DUMMYFUNCTION("""COMPUTED_VALUE"""),427372.0)</f>
        <v>427372</v>
      </c>
      <c r="N49" s="3">
        <f>IFERROR(__xludf.DUMMYFUNCTION("""COMPUTED_VALUE"""),47476.0)</f>
        <v>47476</v>
      </c>
      <c r="O49" s="3">
        <f>IFERROR(__xludf.DUMMYFUNCTION("""COMPUTED_VALUE"""),9001768.0)</f>
        <v>9001768</v>
      </c>
      <c r="P49" s="1" t="str">
        <f>IFERROR(__xludf.DUMMYFUNCTION("""COMPUTED_VALUE"""),"Europe")</f>
        <v>Europe</v>
      </c>
      <c r="Q49" s="1">
        <f>IFERROR(__xludf.DUMMYFUNCTION("""COMPUTED_VALUE"""),541.0)</f>
        <v>541</v>
      </c>
      <c r="R49" s="3">
        <f>IFERROR(__xludf.DUMMYFUNCTION("""COMPUTED_VALUE"""),13476.0)</f>
        <v>13476</v>
      </c>
      <c r="S49" s="1">
        <f>IFERROR(__xludf.DUMMYFUNCTION("""COMPUTED_VALUE"""),21.0)</f>
        <v>21</v>
      </c>
    </row>
    <row r="50">
      <c r="A50" s="1">
        <f>IFERROR(__xludf.DUMMYFUNCTION("""COMPUTED_VALUE"""),41.0)</f>
        <v>41</v>
      </c>
      <c r="B50" s="1" t="str">
        <f>IFERROR(__xludf.DUMMYFUNCTION("""COMPUTED_VALUE"""),"Dominican Republic")</f>
        <v>Dominican Republic</v>
      </c>
      <c r="C50" s="3">
        <f>IFERROR(__xludf.DUMMYFUNCTION("""COMPUTED_VALUE"""),16068.0)</f>
        <v>16068</v>
      </c>
      <c r="D50" s="1" t="str">
        <f>IFERROR(__xludf.DUMMYFUNCTION("""COMPUTED_VALUE"""),"")</f>
        <v/>
      </c>
      <c r="E50" s="1">
        <f>IFERROR(__xludf.DUMMYFUNCTION("""COMPUTED_VALUE"""),485.0)</f>
        <v>485</v>
      </c>
      <c r="F50" s="1" t="str">
        <f>IFERROR(__xludf.DUMMYFUNCTION("""COMPUTED_VALUE"""),"")</f>
        <v/>
      </c>
      <c r="G50" s="3">
        <f>IFERROR(__xludf.DUMMYFUNCTION("""COMPUTED_VALUE"""),8952.0)</f>
        <v>8952</v>
      </c>
      <c r="H50" s="1" t="str">
        <f>IFERROR(__xludf.DUMMYFUNCTION("""COMPUTED_VALUE"""),"")</f>
        <v/>
      </c>
      <c r="I50" s="3">
        <f>IFERROR(__xludf.DUMMYFUNCTION("""COMPUTED_VALUE"""),6631.0)</f>
        <v>6631</v>
      </c>
      <c r="J50" s="1">
        <f>IFERROR(__xludf.DUMMYFUNCTION("""COMPUTED_VALUE"""),123.0)</f>
        <v>123</v>
      </c>
      <c r="K50" s="3">
        <f>IFERROR(__xludf.DUMMYFUNCTION("""COMPUTED_VALUE"""),1483.0)</f>
        <v>1483</v>
      </c>
      <c r="L50" s="1">
        <f>IFERROR(__xludf.DUMMYFUNCTION("""COMPUTED_VALUE"""),45.0)</f>
        <v>45</v>
      </c>
      <c r="M50" s="3">
        <f>IFERROR(__xludf.DUMMYFUNCTION("""COMPUTED_VALUE"""),74612.0)</f>
        <v>74612</v>
      </c>
      <c r="N50" s="3">
        <f>IFERROR(__xludf.DUMMYFUNCTION("""COMPUTED_VALUE"""),6884.0)</f>
        <v>6884</v>
      </c>
      <c r="O50" s="3">
        <f>IFERROR(__xludf.DUMMYFUNCTION("""COMPUTED_VALUE"""),1.0837859E7)</f>
        <v>10837859</v>
      </c>
      <c r="P50" s="1" t="str">
        <f>IFERROR(__xludf.DUMMYFUNCTION("""COMPUTED_VALUE"""),"North America")</f>
        <v>North America</v>
      </c>
      <c r="Q50" s="1">
        <f>IFERROR(__xludf.DUMMYFUNCTION("""COMPUTED_VALUE"""),674.0)</f>
        <v>674</v>
      </c>
      <c r="R50" s="3">
        <f>IFERROR(__xludf.DUMMYFUNCTION("""COMPUTED_VALUE"""),22346.0)</f>
        <v>22346</v>
      </c>
      <c r="S50" s="1">
        <f>IFERROR(__xludf.DUMMYFUNCTION("""COMPUTED_VALUE"""),145.0)</f>
        <v>145</v>
      </c>
    </row>
    <row r="51">
      <c r="A51" s="1">
        <f>IFERROR(__xludf.DUMMYFUNCTION("""COMPUTED_VALUE"""),42.0)</f>
        <v>42</v>
      </c>
      <c r="B51" s="1" t="str">
        <f>IFERROR(__xludf.DUMMYFUNCTION("""COMPUTED_VALUE"""),"Philippines")</f>
        <v>Philippines</v>
      </c>
      <c r="C51" s="3">
        <f>IFERROR(__xludf.DUMMYFUNCTION("""COMPUTED_VALUE"""),15588.0)</f>
        <v>15588</v>
      </c>
      <c r="D51" s="1" t="str">
        <f>IFERROR(__xludf.DUMMYFUNCTION("""COMPUTED_VALUE"""),"")</f>
        <v/>
      </c>
      <c r="E51" s="1">
        <f>IFERROR(__xludf.DUMMYFUNCTION("""COMPUTED_VALUE"""),921.0)</f>
        <v>921</v>
      </c>
      <c r="F51" s="1" t="str">
        <f>IFERROR(__xludf.DUMMYFUNCTION("""COMPUTED_VALUE"""),"")</f>
        <v/>
      </c>
      <c r="G51" s="3">
        <f>IFERROR(__xludf.DUMMYFUNCTION("""COMPUTED_VALUE"""),3598.0)</f>
        <v>3598</v>
      </c>
      <c r="H51" s="1" t="str">
        <f>IFERROR(__xludf.DUMMYFUNCTION("""COMPUTED_VALUE"""),"")</f>
        <v/>
      </c>
      <c r="I51" s="3">
        <f>IFERROR(__xludf.DUMMYFUNCTION("""COMPUTED_VALUE"""),11069.0)</f>
        <v>11069</v>
      </c>
      <c r="J51" s="1">
        <f>IFERROR(__xludf.DUMMYFUNCTION("""COMPUTED_VALUE"""),81.0)</f>
        <v>81</v>
      </c>
      <c r="K51" s="1">
        <f>IFERROR(__xludf.DUMMYFUNCTION("""COMPUTED_VALUE"""),142.0)</f>
        <v>142</v>
      </c>
      <c r="L51" s="1">
        <f>IFERROR(__xludf.DUMMYFUNCTION("""COMPUTED_VALUE"""),8.0)</f>
        <v>8</v>
      </c>
      <c r="M51" s="3">
        <f>IFERROR(__xludf.DUMMYFUNCTION("""COMPUTED_VALUE"""),323819.0)</f>
        <v>323819</v>
      </c>
      <c r="N51" s="3">
        <f>IFERROR(__xludf.DUMMYFUNCTION("""COMPUTED_VALUE"""),2959.0)</f>
        <v>2959</v>
      </c>
      <c r="O51" s="3">
        <f>IFERROR(__xludf.DUMMYFUNCTION("""COMPUTED_VALUE"""),1.09443743E8)</f>
        <v>109443743</v>
      </c>
      <c r="P51" s="1" t="str">
        <f>IFERROR(__xludf.DUMMYFUNCTION("""COMPUTED_VALUE"""),"Asia")</f>
        <v>Asia</v>
      </c>
      <c r="Q51" s="3">
        <f>IFERROR(__xludf.DUMMYFUNCTION("""COMPUTED_VALUE"""),7021.0)</f>
        <v>7021</v>
      </c>
      <c r="R51" s="3">
        <f>IFERROR(__xludf.DUMMYFUNCTION("""COMPUTED_VALUE"""),118831.0)</f>
        <v>118831</v>
      </c>
      <c r="S51" s="1">
        <f>IFERROR(__xludf.DUMMYFUNCTION("""COMPUTED_VALUE"""),338.0)</f>
        <v>338</v>
      </c>
    </row>
    <row r="52">
      <c r="A52" s="1">
        <f>IFERROR(__xludf.DUMMYFUNCTION("""COMPUTED_VALUE"""),43.0)</f>
        <v>43</v>
      </c>
      <c r="B52" s="1" t="str">
        <f>IFERROR(__xludf.DUMMYFUNCTION("""COMPUTED_VALUE"""),"Argentina")</f>
        <v>Argentina</v>
      </c>
      <c r="C52" s="3">
        <f>IFERROR(__xludf.DUMMYFUNCTION("""COMPUTED_VALUE"""),14702.0)</f>
        <v>14702</v>
      </c>
      <c r="D52" s="1" t="str">
        <f>IFERROR(__xludf.DUMMYFUNCTION("""COMPUTED_VALUE"""),"")</f>
        <v/>
      </c>
      <c r="E52" s="1">
        <f>IFERROR(__xludf.DUMMYFUNCTION("""COMPUTED_VALUE"""),508.0)</f>
        <v>508</v>
      </c>
      <c r="F52" s="1" t="str">
        <f>IFERROR(__xludf.DUMMYFUNCTION("""COMPUTED_VALUE"""),"")</f>
        <v/>
      </c>
      <c r="G52" s="3">
        <f>IFERROR(__xludf.DUMMYFUNCTION("""COMPUTED_VALUE"""),4617.0)</f>
        <v>4617</v>
      </c>
      <c r="H52" s="1" t="str">
        <f>IFERROR(__xludf.DUMMYFUNCTION("""COMPUTED_VALUE"""),"")</f>
        <v/>
      </c>
      <c r="I52" s="3">
        <f>IFERROR(__xludf.DUMMYFUNCTION("""COMPUTED_VALUE"""),9577.0)</f>
        <v>9577</v>
      </c>
      <c r="J52" s="1">
        <f>IFERROR(__xludf.DUMMYFUNCTION("""COMPUTED_VALUE"""),171.0)</f>
        <v>171</v>
      </c>
      <c r="K52" s="1">
        <f>IFERROR(__xludf.DUMMYFUNCTION("""COMPUTED_VALUE"""),326.0)</f>
        <v>326</v>
      </c>
      <c r="L52" s="1">
        <f>IFERROR(__xludf.DUMMYFUNCTION("""COMPUTED_VALUE"""),11.0)</f>
        <v>11</v>
      </c>
      <c r="M52" s="3">
        <f>IFERROR(__xludf.DUMMYFUNCTION("""COMPUTED_VALUE"""),145081.0)</f>
        <v>145081</v>
      </c>
      <c r="N52" s="3">
        <f>IFERROR(__xludf.DUMMYFUNCTION("""COMPUTED_VALUE"""),3213.0)</f>
        <v>3213</v>
      </c>
      <c r="O52" s="3">
        <f>IFERROR(__xludf.DUMMYFUNCTION("""COMPUTED_VALUE"""),4.5157642E7)</f>
        <v>45157642</v>
      </c>
      <c r="P52" s="1" t="str">
        <f>IFERROR(__xludf.DUMMYFUNCTION("""COMPUTED_VALUE"""),"South America")</f>
        <v>South America</v>
      </c>
      <c r="Q52" s="3">
        <f>IFERROR(__xludf.DUMMYFUNCTION("""COMPUTED_VALUE"""),3072.0)</f>
        <v>3072</v>
      </c>
      <c r="R52" s="3">
        <f>IFERROR(__xludf.DUMMYFUNCTION("""COMPUTED_VALUE"""),88893.0)</f>
        <v>88893</v>
      </c>
      <c r="S52" s="1">
        <f>IFERROR(__xludf.DUMMYFUNCTION("""COMPUTED_VALUE"""),311.0)</f>
        <v>311</v>
      </c>
    </row>
    <row r="53">
      <c r="A53" s="1">
        <f>IFERROR(__xludf.DUMMYFUNCTION("""COMPUTED_VALUE"""),44.0)</f>
        <v>44</v>
      </c>
      <c r="B53" s="1" t="str">
        <f>IFERROR(__xludf.DUMMYFUNCTION("""COMPUTED_VALUE"""),"Afghanistan")</f>
        <v>Afghanistan</v>
      </c>
      <c r="C53" s="3">
        <f>IFERROR(__xludf.DUMMYFUNCTION("""COMPUTED_VALUE"""),13036.0)</f>
        <v>13036</v>
      </c>
      <c r="D53" s="1" t="str">
        <f>IFERROR(__xludf.DUMMYFUNCTION("""COMPUTED_VALUE"""),"")</f>
        <v/>
      </c>
      <c r="E53" s="1">
        <f>IFERROR(__xludf.DUMMYFUNCTION("""COMPUTED_VALUE"""),235.0)</f>
        <v>235</v>
      </c>
      <c r="F53" s="1" t="str">
        <f>IFERROR(__xludf.DUMMYFUNCTION("""COMPUTED_VALUE"""),"")</f>
        <v/>
      </c>
      <c r="G53" s="3">
        <f>IFERROR(__xludf.DUMMYFUNCTION("""COMPUTED_VALUE"""),1209.0)</f>
        <v>1209</v>
      </c>
      <c r="H53" s="1" t="str">
        <f>IFERROR(__xludf.DUMMYFUNCTION("""COMPUTED_VALUE"""),"")</f>
        <v/>
      </c>
      <c r="I53" s="3">
        <f>IFERROR(__xludf.DUMMYFUNCTION("""COMPUTED_VALUE"""),11592.0)</f>
        <v>11592</v>
      </c>
      <c r="J53" s="1">
        <f>IFERROR(__xludf.DUMMYFUNCTION("""COMPUTED_VALUE"""),19.0)</f>
        <v>19</v>
      </c>
      <c r="K53" s="1">
        <f>IFERROR(__xludf.DUMMYFUNCTION("""COMPUTED_VALUE"""),336.0)</f>
        <v>336</v>
      </c>
      <c r="L53" s="1">
        <f>IFERROR(__xludf.DUMMYFUNCTION("""COMPUTED_VALUE"""),6.0)</f>
        <v>6</v>
      </c>
      <c r="M53" s="3">
        <f>IFERROR(__xludf.DUMMYFUNCTION("""COMPUTED_VALUE"""),34903.0)</f>
        <v>34903</v>
      </c>
      <c r="N53" s="1">
        <f>IFERROR(__xludf.DUMMYFUNCTION("""COMPUTED_VALUE"""),899.0)</f>
        <v>899</v>
      </c>
      <c r="O53" s="3">
        <f>IFERROR(__xludf.DUMMYFUNCTION("""COMPUTED_VALUE"""),3.8841361E7)</f>
        <v>38841361</v>
      </c>
      <c r="P53" s="1" t="str">
        <f>IFERROR(__xludf.DUMMYFUNCTION("""COMPUTED_VALUE"""),"Asia")</f>
        <v>Asia</v>
      </c>
      <c r="Q53" s="3">
        <f>IFERROR(__xludf.DUMMYFUNCTION("""COMPUTED_VALUE"""),2980.0)</f>
        <v>2980</v>
      </c>
      <c r="R53" s="3">
        <f>IFERROR(__xludf.DUMMYFUNCTION("""COMPUTED_VALUE"""),165282.0)</f>
        <v>165282</v>
      </c>
      <c r="S53" s="3">
        <f>IFERROR(__xludf.DUMMYFUNCTION("""COMPUTED_VALUE"""),1113.0)</f>
        <v>1113</v>
      </c>
    </row>
    <row r="54">
      <c r="A54" s="1">
        <f>IFERROR(__xludf.DUMMYFUNCTION("""COMPUTED_VALUE"""),45.0)</f>
        <v>45</v>
      </c>
      <c r="B54" s="1" t="str">
        <f>IFERROR(__xludf.DUMMYFUNCTION("""COMPUTED_VALUE"""),"Panama")</f>
        <v>Panama</v>
      </c>
      <c r="C54" s="3">
        <f>IFERROR(__xludf.DUMMYFUNCTION("""COMPUTED_VALUE"""),12131.0)</f>
        <v>12131</v>
      </c>
      <c r="D54" s="1" t="str">
        <f>IFERROR(__xludf.DUMMYFUNCTION("""COMPUTED_VALUE"""),"")</f>
        <v/>
      </c>
      <c r="E54" s="1">
        <f>IFERROR(__xludf.DUMMYFUNCTION("""COMPUTED_VALUE"""),320.0)</f>
        <v>320</v>
      </c>
      <c r="F54" s="1" t="str">
        <f>IFERROR(__xludf.DUMMYFUNCTION("""COMPUTED_VALUE"""),"")</f>
        <v/>
      </c>
      <c r="G54" s="3">
        <f>IFERROR(__xludf.DUMMYFUNCTION("""COMPUTED_VALUE"""),7379.0)</f>
        <v>7379</v>
      </c>
      <c r="H54" s="1" t="str">
        <f>IFERROR(__xludf.DUMMYFUNCTION("""COMPUTED_VALUE"""),"")</f>
        <v/>
      </c>
      <c r="I54" s="3">
        <f>IFERROR(__xludf.DUMMYFUNCTION("""COMPUTED_VALUE"""),4432.0)</f>
        <v>4432</v>
      </c>
      <c r="J54" s="1">
        <f>IFERROR(__xludf.DUMMYFUNCTION("""COMPUTED_VALUE"""),72.0)</f>
        <v>72</v>
      </c>
      <c r="K54" s="3">
        <f>IFERROR(__xludf.DUMMYFUNCTION("""COMPUTED_VALUE"""),2816.0)</f>
        <v>2816</v>
      </c>
      <c r="L54" s="1">
        <f>IFERROR(__xludf.DUMMYFUNCTION("""COMPUTED_VALUE"""),74.0)</f>
        <v>74</v>
      </c>
      <c r="M54" s="3">
        <f>IFERROR(__xludf.DUMMYFUNCTION("""COMPUTED_VALUE"""),63202.0)</f>
        <v>63202</v>
      </c>
      <c r="N54" s="3">
        <f>IFERROR(__xludf.DUMMYFUNCTION("""COMPUTED_VALUE"""),14670.0)</f>
        <v>14670</v>
      </c>
      <c r="O54" s="3">
        <f>IFERROR(__xludf.DUMMYFUNCTION("""COMPUTED_VALUE"""),4308282.0)</f>
        <v>4308282</v>
      </c>
      <c r="P54" s="1" t="str">
        <f>IFERROR(__xludf.DUMMYFUNCTION("""COMPUTED_VALUE"""),"North America")</f>
        <v>North America</v>
      </c>
      <c r="Q54" s="1">
        <f>IFERROR(__xludf.DUMMYFUNCTION("""COMPUTED_VALUE"""),355.0)</f>
        <v>355</v>
      </c>
      <c r="R54" s="3">
        <f>IFERROR(__xludf.DUMMYFUNCTION("""COMPUTED_VALUE"""),13463.0)</f>
        <v>13463</v>
      </c>
      <c r="S54" s="1">
        <f>IFERROR(__xludf.DUMMYFUNCTION("""COMPUTED_VALUE"""),68.0)</f>
        <v>68</v>
      </c>
    </row>
    <row r="55">
      <c r="A55" s="1">
        <f>IFERROR(__xludf.DUMMYFUNCTION("""COMPUTED_VALUE"""),46.0)</f>
        <v>46</v>
      </c>
      <c r="B55" s="1" t="str">
        <f>IFERROR(__xludf.DUMMYFUNCTION("""COMPUTED_VALUE"""),"Denmark")</f>
        <v>Denmark</v>
      </c>
      <c r="C55" s="3">
        <f>IFERROR(__xludf.DUMMYFUNCTION("""COMPUTED_VALUE"""),11512.0)</f>
        <v>11512</v>
      </c>
      <c r="D55" s="1" t="str">
        <f>IFERROR(__xludf.DUMMYFUNCTION("""COMPUTED_VALUE"""),"")</f>
        <v/>
      </c>
      <c r="E55" s="1">
        <f>IFERROR(__xludf.DUMMYFUNCTION("""COMPUTED_VALUE"""),568.0)</f>
        <v>568</v>
      </c>
      <c r="F55" s="1" t="str">
        <f>IFERROR(__xludf.DUMMYFUNCTION("""COMPUTED_VALUE"""),"")</f>
        <v/>
      </c>
      <c r="G55" s="3">
        <f>IFERROR(__xludf.DUMMYFUNCTION("""COMPUTED_VALUE"""),10180.0)</f>
        <v>10180</v>
      </c>
      <c r="H55" s="1" t="str">
        <f>IFERROR(__xludf.DUMMYFUNCTION("""COMPUTED_VALUE"""),"")</f>
        <v/>
      </c>
      <c r="I55" s="1">
        <f>IFERROR(__xludf.DUMMYFUNCTION("""COMPUTED_VALUE"""),764.0)</f>
        <v>764</v>
      </c>
      <c r="J55" s="1">
        <f>IFERROR(__xludf.DUMMYFUNCTION("""COMPUTED_VALUE"""),20.0)</f>
        <v>20</v>
      </c>
      <c r="K55" s="3">
        <f>IFERROR(__xludf.DUMMYFUNCTION("""COMPUTED_VALUE"""),1988.0)</f>
        <v>1988</v>
      </c>
      <c r="L55" s="1">
        <f>IFERROR(__xludf.DUMMYFUNCTION("""COMPUTED_VALUE"""),98.0)</f>
        <v>98</v>
      </c>
      <c r="M55" s="3">
        <f>IFERROR(__xludf.DUMMYFUNCTION("""COMPUTED_VALUE"""),583052.0)</f>
        <v>583052</v>
      </c>
      <c r="N55" s="3">
        <f>IFERROR(__xludf.DUMMYFUNCTION("""COMPUTED_VALUE"""),100693.0)</f>
        <v>100693</v>
      </c>
      <c r="O55" s="3">
        <f>IFERROR(__xludf.DUMMYFUNCTION("""COMPUTED_VALUE"""),5790388.0)</f>
        <v>5790388</v>
      </c>
      <c r="P55" s="1" t="str">
        <f>IFERROR(__xludf.DUMMYFUNCTION("""COMPUTED_VALUE"""),"Europe")</f>
        <v>Europe</v>
      </c>
      <c r="Q55" s="1">
        <f>IFERROR(__xludf.DUMMYFUNCTION("""COMPUTED_VALUE"""),503.0)</f>
        <v>503</v>
      </c>
      <c r="R55" s="3">
        <f>IFERROR(__xludf.DUMMYFUNCTION("""COMPUTED_VALUE"""),10194.0)</f>
        <v>10194</v>
      </c>
      <c r="S55" s="1">
        <f>IFERROR(__xludf.DUMMYFUNCTION("""COMPUTED_VALUE"""),10.0)</f>
        <v>10</v>
      </c>
    </row>
    <row r="56">
      <c r="A56" s="1">
        <f>IFERROR(__xludf.DUMMYFUNCTION("""COMPUTED_VALUE"""),47.0)</f>
        <v>47</v>
      </c>
      <c r="B56" s="1" t="str">
        <f>IFERROR(__xludf.DUMMYFUNCTION("""COMPUTED_VALUE"""),"S. Korea")</f>
        <v>S. Korea</v>
      </c>
      <c r="C56" s="3">
        <f>IFERROR(__xludf.DUMMYFUNCTION("""COMPUTED_VALUE"""),11402.0)</f>
        <v>11402</v>
      </c>
      <c r="D56" s="1" t="str">
        <f>IFERROR(__xludf.DUMMYFUNCTION("""COMPUTED_VALUE"""),"+58")</f>
        <v>+58</v>
      </c>
      <c r="E56" s="1">
        <f>IFERROR(__xludf.DUMMYFUNCTION("""COMPUTED_VALUE"""),269.0)</f>
        <v>269</v>
      </c>
      <c r="F56" s="1" t="str">
        <f>IFERROR(__xludf.DUMMYFUNCTION("""COMPUTED_VALUE"""),"")</f>
        <v/>
      </c>
      <c r="G56" s="3">
        <f>IFERROR(__xludf.DUMMYFUNCTION("""COMPUTED_VALUE"""),10363.0)</f>
        <v>10363</v>
      </c>
      <c r="H56" s="1" t="str">
        <f>IFERROR(__xludf.DUMMYFUNCTION("""COMPUTED_VALUE"""),"+23")</f>
        <v>+23</v>
      </c>
      <c r="I56" s="1">
        <f>IFERROR(__xludf.DUMMYFUNCTION("""COMPUTED_VALUE"""),770.0)</f>
        <v>770</v>
      </c>
      <c r="J56" s="1">
        <f>IFERROR(__xludf.DUMMYFUNCTION("""COMPUTED_VALUE"""),15.0)</f>
        <v>15</v>
      </c>
      <c r="K56" s="1">
        <f>IFERROR(__xludf.DUMMYFUNCTION("""COMPUTED_VALUE"""),222.0)</f>
        <v>222</v>
      </c>
      <c r="L56" s="1">
        <f>IFERROR(__xludf.DUMMYFUNCTION("""COMPUTED_VALUE"""),5.0)</f>
        <v>5</v>
      </c>
      <c r="M56" s="3">
        <f>IFERROR(__xludf.DUMMYFUNCTION("""COMPUTED_VALUE"""),885120.0)</f>
        <v>885120</v>
      </c>
      <c r="N56" s="3">
        <f>IFERROR(__xludf.DUMMYFUNCTION("""COMPUTED_VALUE"""),17265.0)</f>
        <v>17265</v>
      </c>
      <c r="O56" s="3">
        <f>IFERROR(__xludf.DUMMYFUNCTION("""COMPUTED_VALUE"""),5.1265321E7)</f>
        <v>51265321</v>
      </c>
      <c r="P56" s="1" t="str">
        <f>IFERROR(__xludf.DUMMYFUNCTION("""COMPUTED_VALUE"""),"Asia")</f>
        <v>Asia</v>
      </c>
      <c r="Q56" s="3">
        <f>IFERROR(__xludf.DUMMYFUNCTION("""COMPUTED_VALUE"""),4496.0)</f>
        <v>4496</v>
      </c>
      <c r="R56" s="3">
        <f>IFERROR(__xludf.DUMMYFUNCTION("""COMPUTED_VALUE"""),190577.0)</f>
        <v>190577</v>
      </c>
      <c r="S56" s="1">
        <f>IFERROR(__xludf.DUMMYFUNCTION("""COMPUTED_VALUE"""),58.0)</f>
        <v>58</v>
      </c>
    </row>
    <row r="57">
      <c r="A57" s="1">
        <f>IFERROR(__xludf.DUMMYFUNCTION("""COMPUTED_VALUE"""),48.0)</f>
        <v>48</v>
      </c>
      <c r="B57" s="1" t="str">
        <f>IFERROR(__xludf.DUMMYFUNCTION("""COMPUTED_VALUE"""),"Serbia")</f>
        <v>Serbia</v>
      </c>
      <c r="C57" s="3">
        <f>IFERROR(__xludf.DUMMYFUNCTION("""COMPUTED_VALUE"""),11300.0)</f>
        <v>11300</v>
      </c>
      <c r="D57" s="1" t="str">
        <f>IFERROR(__xludf.DUMMYFUNCTION("""COMPUTED_VALUE"""),"")</f>
        <v/>
      </c>
      <c r="E57" s="1">
        <f>IFERROR(__xludf.DUMMYFUNCTION("""COMPUTED_VALUE"""),241.0)</f>
        <v>241</v>
      </c>
      <c r="F57" s="1" t="str">
        <f>IFERROR(__xludf.DUMMYFUNCTION("""COMPUTED_VALUE"""),"")</f>
        <v/>
      </c>
      <c r="G57" s="3">
        <f>IFERROR(__xludf.DUMMYFUNCTION("""COMPUTED_VALUE"""),6438.0)</f>
        <v>6438</v>
      </c>
      <c r="H57" s="1" t="str">
        <f>IFERROR(__xludf.DUMMYFUNCTION("""COMPUTED_VALUE"""),"")</f>
        <v/>
      </c>
      <c r="I57" s="3">
        <f>IFERROR(__xludf.DUMMYFUNCTION("""COMPUTED_VALUE"""),4621.0)</f>
        <v>4621</v>
      </c>
      <c r="J57" s="1">
        <f>IFERROR(__xludf.DUMMYFUNCTION("""COMPUTED_VALUE"""),9.0)</f>
        <v>9</v>
      </c>
      <c r="K57" s="3">
        <f>IFERROR(__xludf.DUMMYFUNCTION("""COMPUTED_VALUE"""),1293.0)</f>
        <v>1293</v>
      </c>
      <c r="L57" s="1">
        <f>IFERROR(__xludf.DUMMYFUNCTION("""COMPUTED_VALUE"""),28.0)</f>
        <v>28</v>
      </c>
      <c r="M57" s="3">
        <f>IFERROR(__xludf.DUMMYFUNCTION("""COMPUTED_VALUE"""),234019.0)</f>
        <v>234019</v>
      </c>
      <c r="N57" s="3">
        <f>IFERROR(__xludf.DUMMYFUNCTION("""COMPUTED_VALUE"""),26775.0)</f>
        <v>26775</v>
      </c>
      <c r="O57" s="3">
        <f>IFERROR(__xludf.DUMMYFUNCTION("""COMPUTED_VALUE"""),8740364.0)</f>
        <v>8740364</v>
      </c>
      <c r="P57" s="1" t="str">
        <f>IFERROR(__xludf.DUMMYFUNCTION("""COMPUTED_VALUE"""),"Europe")</f>
        <v>Europe</v>
      </c>
      <c r="Q57" s="1">
        <f>IFERROR(__xludf.DUMMYFUNCTION("""COMPUTED_VALUE"""),773.0)</f>
        <v>773</v>
      </c>
      <c r="R57" s="3">
        <f>IFERROR(__xludf.DUMMYFUNCTION("""COMPUTED_VALUE"""),36267.0)</f>
        <v>36267</v>
      </c>
      <c r="S57" s="1">
        <f>IFERROR(__xludf.DUMMYFUNCTION("""COMPUTED_VALUE"""),37.0)</f>
        <v>37</v>
      </c>
    </row>
    <row r="58">
      <c r="A58" s="1">
        <f>IFERROR(__xludf.DUMMYFUNCTION("""COMPUTED_VALUE"""),49.0)</f>
        <v>49</v>
      </c>
      <c r="B58" s="1" t="str">
        <f>IFERROR(__xludf.DUMMYFUNCTION("""COMPUTED_VALUE"""),"Bahrain")</f>
        <v>Bahrain</v>
      </c>
      <c r="C58" s="3">
        <f>IFERROR(__xludf.DUMMYFUNCTION("""COMPUTED_VALUE"""),10052.0)</f>
        <v>10052</v>
      </c>
      <c r="D58" s="1" t="str">
        <f>IFERROR(__xludf.DUMMYFUNCTION("""COMPUTED_VALUE"""),"")</f>
        <v/>
      </c>
      <c r="E58" s="1">
        <f>IFERROR(__xludf.DUMMYFUNCTION("""COMPUTED_VALUE"""),15.0)</f>
        <v>15</v>
      </c>
      <c r="F58" s="1" t="str">
        <f>IFERROR(__xludf.DUMMYFUNCTION("""COMPUTED_VALUE"""),"")</f>
        <v/>
      </c>
      <c r="G58" s="3">
        <f>IFERROR(__xludf.DUMMYFUNCTION("""COMPUTED_VALUE"""),5419.0)</f>
        <v>5419</v>
      </c>
      <c r="H58" s="1" t="str">
        <f>IFERROR(__xludf.DUMMYFUNCTION("""COMPUTED_VALUE"""),"")</f>
        <v/>
      </c>
      <c r="I58" s="3">
        <f>IFERROR(__xludf.DUMMYFUNCTION("""COMPUTED_VALUE"""),4618.0)</f>
        <v>4618</v>
      </c>
      <c r="J58" s="1">
        <f>IFERROR(__xludf.DUMMYFUNCTION("""COMPUTED_VALUE"""),9.0)</f>
        <v>9</v>
      </c>
      <c r="K58" s="3">
        <f>IFERROR(__xludf.DUMMYFUNCTION("""COMPUTED_VALUE"""),5929.0)</f>
        <v>5929</v>
      </c>
      <c r="L58" s="1">
        <f>IFERROR(__xludf.DUMMYFUNCTION("""COMPUTED_VALUE"""),9.0)</f>
        <v>9</v>
      </c>
      <c r="M58" s="3">
        <f>IFERROR(__xludf.DUMMYFUNCTION("""COMPUTED_VALUE"""),297873.0)</f>
        <v>297873</v>
      </c>
      <c r="N58" s="3">
        <f>IFERROR(__xludf.DUMMYFUNCTION("""COMPUTED_VALUE"""),175706.0)</f>
        <v>175706</v>
      </c>
      <c r="O58" s="3">
        <f>IFERROR(__xludf.DUMMYFUNCTION("""COMPUTED_VALUE"""),1695292.0)</f>
        <v>1695292</v>
      </c>
      <c r="P58" s="1" t="str">
        <f>IFERROR(__xludf.DUMMYFUNCTION("""COMPUTED_VALUE"""),"Asia")</f>
        <v>Asia</v>
      </c>
      <c r="Q58" s="1">
        <f>IFERROR(__xludf.DUMMYFUNCTION("""COMPUTED_VALUE"""),169.0)</f>
        <v>169</v>
      </c>
      <c r="R58" s="3">
        <f>IFERROR(__xludf.DUMMYFUNCTION("""COMPUTED_VALUE"""),113019.0)</f>
        <v>113019</v>
      </c>
      <c r="S58" s="1">
        <f>IFERROR(__xludf.DUMMYFUNCTION("""COMPUTED_VALUE"""),6.0)</f>
        <v>6</v>
      </c>
    </row>
    <row r="59">
      <c r="A59" s="1">
        <f>IFERROR(__xludf.DUMMYFUNCTION("""COMPUTED_VALUE"""),50.0)</f>
        <v>50</v>
      </c>
      <c r="B59" s="1" t="str">
        <f>IFERROR(__xludf.DUMMYFUNCTION("""COMPUTED_VALUE"""),"Kazakhstan")</f>
        <v>Kazakhstan</v>
      </c>
      <c r="C59" s="3">
        <f>IFERROR(__xludf.DUMMYFUNCTION("""COMPUTED_VALUE"""),9576.0)</f>
        <v>9576</v>
      </c>
      <c r="D59" s="1" t="str">
        <f>IFERROR(__xludf.DUMMYFUNCTION("""COMPUTED_VALUE"""),"")</f>
        <v/>
      </c>
      <c r="E59" s="1">
        <f>IFERROR(__xludf.DUMMYFUNCTION("""COMPUTED_VALUE"""),37.0)</f>
        <v>37</v>
      </c>
      <c r="F59" s="1" t="str">
        <f>IFERROR(__xludf.DUMMYFUNCTION("""COMPUTED_VALUE"""),"")</f>
        <v/>
      </c>
      <c r="G59" s="3">
        <f>IFERROR(__xludf.DUMMYFUNCTION("""COMPUTED_VALUE"""),4900.0)</f>
        <v>4900</v>
      </c>
      <c r="H59" s="1" t="str">
        <f>IFERROR(__xludf.DUMMYFUNCTION("""COMPUTED_VALUE"""),"")</f>
        <v/>
      </c>
      <c r="I59" s="3">
        <f>IFERROR(__xludf.DUMMYFUNCTION("""COMPUTED_VALUE"""),4639.0)</f>
        <v>4639</v>
      </c>
      <c r="J59" s="1">
        <f>IFERROR(__xludf.DUMMYFUNCTION("""COMPUTED_VALUE"""),62.0)</f>
        <v>62</v>
      </c>
      <c r="K59" s="1">
        <f>IFERROR(__xludf.DUMMYFUNCTION("""COMPUTED_VALUE"""),511.0)</f>
        <v>511</v>
      </c>
      <c r="L59" s="1">
        <f>IFERROR(__xludf.DUMMYFUNCTION("""COMPUTED_VALUE"""),2.0)</f>
        <v>2</v>
      </c>
      <c r="M59" s="3">
        <f>IFERROR(__xludf.DUMMYFUNCTION("""COMPUTED_VALUE"""),735273.0)</f>
        <v>735273</v>
      </c>
      <c r="N59" s="3">
        <f>IFERROR(__xludf.DUMMYFUNCTION("""COMPUTED_VALUE"""),39203.0)</f>
        <v>39203</v>
      </c>
      <c r="O59" s="3">
        <f>IFERROR(__xludf.DUMMYFUNCTION("""COMPUTED_VALUE"""),1.8755722E7)</f>
        <v>18755722</v>
      </c>
      <c r="P59" s="1" t="str">
        <f>IFERROR(__xludf.DUMMYFUNCTION("""COMPUTED_VALUE"""),"Asia")</f>
        <v>Asia</v>
      </c>
      <c r="Q59" s="3">
        <f>IFERROR(__xludf.DUMMYFUNCTION("""COMPUTED_VALUE"""),1959.0)</f>
        <v>1959</v>
      </c>
      <c r="R59" s="3">
        <f>IFERROR(__xludf.DUMMYFUNCTION("""COMPUTED_VALUE"""),506911.0)</f>
        <v>506911</v>
      </c>
      <c r="S59" s="1">
        <f>IFERROR(__xludf.DUMMYFUNCTION("""COMPUTED_VALUE"""),26.0)</f>
        <v>26</v>
      </c>
    </row>
    <row r="60">
      <c r="A60" s="1">
        <f>IFERROR(__xludf.DUMMYFUNCTION("""COMPUTED_VALUE"""),51.0)</f>
        <v>51</v>
      </c>
      <c r="B60" s="1" t="str">
        <f>IFERROR(__xludf.DUMMYFUNCTION("""COMPUTED_VALUE"""),"Czechia")</f>
        <v>Czechia</v>
      </c>
      <c r="C60" s="3">
        <f>IFERROR(__xludf.DUMMYFUNCTION("""COMPUTED_VALUE"""),9140.0)</f>
        <v>9140</v>
      </c>
      <c r="D60" s="1" t="str">
        <f>IFERROR(__xludf.DUMMYFUNCTION("""COMPUTED_VALUE"""),"")</f>
        <v/>
      </c>
      <c r="E60" s="1">
        <f>IFERROR(__xludf.DUMMYFUNCTION("""COMPUTED_VALUE"""),319.0)</f>
        <v>319</v>
      </c>
      <c r="F60" s="1" t="str">
        <f>IFERROR(__xludf.DUMMYFUNCTION("""COMPUTED_VALUE"""),"")</f>
        <v/>
      </c>
      <c r="G60" s="3">
        <f>IFERROR(__xludf.DUMMYFUNCTION("""COMPUTED_VALUE"""),6460.0)</f>
        <v>6460</v>
      </c>
      <c r="H60" s="1" t="str">
        <f>IFERROR(__xludf.DUMMYFUNCTION("""COMPUTED_VALUE"""),"")</f>
        <v/>
      </c>
      <c r="I60" s="3">
        <f>IFERROR(__xludf.DUMMYFUNCTION("""COMPUTED_VALUE"""),2361.0)</f>
        <v>2361</v>
      </c>
      <c r="J60" s="1">
        <f>IFERROR(__xludf.DUMMYFUNCTION("""COMPUTED_VALUE"""),21.0)</f>
        <v>21</v>
      </c>
      <c r="K60" s="1">
        <f>IFERROR(__xludf.DUMMYFUNCTION("""COMPUTED_VALUE"""),854.0)</f>
        <v>854</v>
      </c>
      <c r="L60" s="1">
        <f>IFERROR(__xludf.DUMMYFUNCTION("""COMPUTED_VALUE"""),30.0)</f>
        <v>30</v>
      </c>
      <c r="M60" s="3">
        <f>IFERROR(__xludf.DUMMYFUNCTION("""COMPUTED_VALUE"""),424423.0)</f>
        <v>424423</v>
      </c>
      <c r="N60" s="3">
        <f>IFERROR(__xludf.DUMMYFUNCTION("""COMPUTED_VALUE"""),39639.0)</f>
        <v>39639</v>
      </c>
      <c r="O60" s="3">
        <f>IFERROR(__xludf.DUMMYFUNCTION("""COMPUTED_VALUE"""),1.0707231E7)</f>
        <v>10707231</v>
      </c>
      <c r="P60" s="1" t="str">
        <f>IFERROR(__xludf.DUMMYFUNCTION("""COMPUTED_VALUE"""),"Europe")</f>
        <v>Europe</v>
      </c>
      <c r="Q60" s="3">
        <f>IFERROR(__xludf.DUMMYFUNCTION("""COMPUTED_VALUE"""),1171.0)</f>
        <v>1171</v>
      </c>
      <c r="R60" s="3">
        <f>IFERROR(__xludf.DUMMYFUNCTION("""COMPUTED_VALUE"""),33565.0)</f>
        <v>33565</v>
      </c>
      <c r="S60" s="1">
        <f>IFERROR(__xludf.DUMMYFUNCTION("""COMPUTED_VALUE"""),25.0)</f>
        <v>25</v>
      </c>
    </row>
    <row r="61">
      <c r="A61" s="1">
        <f>IFERROR(__xludf.DUMMYFUNCTION("""COMPUTED_VALUE"""),52.0)</f>
        <v>52</v>
      </c>
      <c r="B61" s="1" t="str">
        <f>IFERROR(__xludf.DUMMYFUNCTION("""COMPUTED_VALUE"""),"Oman")</f>
        <v>Oman</v>
      </c>
      <c r="C61" s="3">
        <f>IFERROR(__xludf.DUMMYFUNCTION("""COMPUTED_VALUE"""),9009.0)</f>
        <v>9009</v>
      </c>
      <c r="D61" s="1" t="str">
        <f>IFERROR(__xludf.DUMMYFUNCTION("""COMPUTED_VALUE"""),"")</f>
        <v/>
      </c>
      <c r="E61" s="1">
        <f>IFERROR(__xludf.DUMMYFUNCTION("""COMPUTED_VALUE"""),40.0)</f>
        <v>40</v>
      </c>
      <c r="F61" s="1" t="str">
        <f>IFERROR(__xludf.DUMMYFUNCTION("""COMPUTED_VALUE"""),"")</f>
        <v/>
      </c>
      <c r="G61" s="3">
        <f>IFERROR(__xludf.DUMMYFUNCTION("""COMPUTED_VALUE"""),2177.0)</f>
        <v>2177</v>
      </c>
      <c r="H61" s="1" t="str">
        <f>IFERROR(__xludf.DUMMYFUNCTION("""COMPUTED_VALUE"""),"")</f>
        <v/>
      </c>
      <c r="I61" s="3">
        <f>IFERROR(__xludf.DUMMYFUNCTION("""COMPUTED_VALUE"""),6792.0)</f>
        <v>6792</v>
      </c>
      <c r="J61" s="1">
        <f>IFERROR(__xludf.DUMMYFUNCTION("""COMPUTED_VALUE"""),31.0)</f>
        <v>31</v>
      </c>
      <c r="K61" s="3">
        <f>IFERROR(__xludf.DUMMYFUNCTION("""COMPUTED_VALUE"""),1769.0)</f>
        <v>1769</v>
      </c>
      <c r="L61" s="1">
        <f>IFERROR(__xludf.DUMMYFUNCTION("""COMPUTED_VALUE"""),8.0)</f>
        <v>8</v>
      </c>
      <c r="M61" s="3">
        <f>IFERROR(__xludf.DUMMYFUNCTION("""COMPUTED_VALUE"""),72000.0)</f>
        <v>72000</v>
      </c>
      <c r="N61" s="3">
        <f>IFERROR(__xludf.DUMMYFUNCTION("""COMPUTED_VALUE"""),14136.0)</f>
        <v>14136</v>
      </c>
      <c r="O61" s="3">
        <f>IFERROR(__xludf.DUMMYFUNCTION("""COMPUTED_VALUE"""),5093528.0)</f>
        <v>5093528</v>
      </c>
      <c r="P61" s="1" t="str">
        <f>IFERROR(__xludf.DUMMYFUNCTION("""COMPUTED_VALUE"""),"Asia")</f>
        <v>Asia</v>
      </c>
      <c r="Q61" s="1">
        <f>IFERROR(__xludf.DUMMYFUNCTION("""COMPUTED_VALUE"""),565.0)</f>
        <v>565</v>
      </c>
      <c r="R61" s="3">
        <f>IFERROR(__xludf.DUMMYFUNCTION("""COMPUTED_VALUE"""),127338.0)</f>
        <v>127338</v>
      </c>
      <c r="S61" s="1">
        <f>IFERROR(__xludf.DUMMYFUNCTION("""COMPUTED_VALUE"""),71.0)</f>
        <v>71</v>
      </c>
    </row>
    <row r="62">
      <c r="A62" s="1">
        <f>IFERROR(__xludf.DUMMYFUNCTION("""COMPUTED_VALUE"""),53.0)</f>
        <v>53</v>
      </c>
      <c r="B62" s="1" t="str">
        <f>IFERROR(__xludf.DUMMYFUNCTION("""COMPUTED_VALUE"""),"Algeria")</f>
        <v>Algeria</v>
      </c>
      <c r="C62" s="3">
        <f>IFERROR(__xludf.DUMMYFUNCTION("""COMPUTED_VALUE"""),8997.0)</f>
        <v>8997</v>
      </c>
      <c r="D62" s="1" t="str">
        <f>IFERROR(__xludf.DUMMYFUNCTION("""COMPUTED_VALUE"""),"")</f>
        <v/>
      </c>
      <c r="E62" s="1">
        <f>IFERROR(__xludf.DUMMYFUNCTION("""COMPUTED_VALUE"""),630.0)</f>
        <v>630</v>
      </c>
      <c r="F62" s="1" t="str">
        <f>IFERROR(__xludf.DUMMYFUNCTION("""COMPUTED_VALUE"""),"")</f>
        <v/>
      </c>
      <c r="G62" s="3">
        <f>IFERROR(__xludf.DUMMYFUNCTION("""COMPUTED_VALUE"""),5277.0)</f>
        <v>5277</v>
      </c>
      <c r="H62" s="1" t="str">
        <f>IFERROR(__xludf.DUMMYFUNCTION("""COMPUTED_VALUE"""),"")</f>
        <v/>
      </c>
      <c r="I62" s="3">
        <f>IFERROR(__xludf.DUMMYFUNCTION("""COMPUTED_VALUE"""),3090.0)</f>
        <v>3090</v>
      </c>
      <c r="J62" s="1">
        <f>IFERROR(__xludf.DUMMYFUNCTION("""COMPUTED_VALUE"""),32.0)</f>
        <v>32</v>
      </c>
      <c r="K62" s="1">
        <f>IFERROR(__xludf.DUMMYFUNCTION("""COMPUTED_VALUE"""),206.0)</f>
        <v>206</v>
      </c>
      <c r="L62" s="1">
        <f>IFERROR(__xludf.DUMMYFUNCTION("""COMPUTED_VALUE"""),14.0)</f>
        <v>14</v>
      </c>
      <c r="M62" s="1" t="str">
        <f>IFERROR(__xludf.DUMMYFUNCTION("""COMPUTED_VALUE"""),"")</f>
        <v/>
      </c>
      <c r="N62" s="1" t="str">
        <f>IFERROR(__xludf.DUMMYFUNCTION("""COMPUTED_VALUE"""),"")</f>
        <v/>
      </c>
      <c r="O62" s="3">
        <f>IFERROR(__xludf.DUMMYFUNCTION("""COMPUTED_VALUE"""),4.3774437E7)</f>
        <v>43774437</v>
      </c>
      <c r="P62" s="1" t="str">
        <f>IFERROR(__xludf.DUMMYFUNCTION("""COMPUTED_VALUE"""),"Africa")</f>
        <v>Africa</v>
      </c>
      <c r="Q62" s="3">
        <f>IFERROR(__xludf.DUMMYFUNCTION("""COMPUTED_VALUE"""),4865.0)</f>
        <v>4865</v>
      </c>
      <c r="R62" s="3">
        <f>IFERROR(__xludf.DUMMYFUNCTION("""COMPUTED_VALUE"""),69483.0)</f>
        <v>69483</v>
      </c>
      <c r="S62" s="1" t="str">
        <f>IFERROR(__xludf.DUMMYFUNCTION("""COMPUTED_VALUE"""),"")</f>
        <v/>
      </c>
    </row>
    <row r="63">
      <c r="A63" s="1">
        <f>IFERROR(__xludf.DUMMYFUNCTION("""COMPUTED_VALUE"""),54.0)</f>
        <v>54</v>
      </c>
      <c r="B63" s="1" t="str">
        <f>IFERROR(__xludf.DUMMYFUNCTION("""COMPUTED_VALUE"""),"Nigeria")</f>
        <v>Nigeria</v>
      </c>
      <c r="C63" s="3">
        <f>IFERROR(__xludf.DUMMYFUNCTION("""COMPUTED_VALUE"""),8915.0)</f>
        <v>8915</v>
      </c>
      <c r="D63" s="1" t="str">
        <f>IFERROR(__xludf.DUMMYFUNCTION("""COMPUTED_VALUE"""),"")</f>
        <v/>
      </c>
      <c r="E63" s="1">
        <f>IFERROR(__xludf.DUMMYFUNCTION("""COMPUTED_VALUE"""),259.0)</f>
        <v>259</v>
      </c>
      <c r="F63" s="1" t="str">
        <f>IFERROR(__xludf.DUMMYFUNCTION("""COMPUTED_VALUE"""),"")</f>
        <v/>
      </c>
      <c r="G63" s="3">
        <f>IFERROR(__xludf.DUMMYFUNCTION("""COMPUTED_VALUE"""),2592.0)</f>
        <v>2592</v>
      </c>
      <c r="H63" s="1" t="str">
        <f>IFERROR(__xludf.DUMMYFUNCTION("""COMPUTED_VALUE"""),"")</f>
        <v/>
      </c>
      <c r="I63" s="3">
        <f>IFERROR(__xludf.DUMMYFUNCTION("""COMPUTED_VALUE"""),6064.0)</f>
        <v>6064</v>
      </c>
      <c r="J63" s="1">
        <f>IFERROR(__xludf.DUMMYFUNCTION("""COMPUTED_VALUE"""),7.0)</f>
        <v>7</v>
      </c>
      <c r="K63" s="1">
        <f>IFERROR(__xludf.DUMMYFUNCTION("""COMPUTED_VALUE"""),43.0)</f>
        <v>43</v>
      </c>
      <c r="L63" s="1">
        <f>IFERROR(__xludf.DUMMYFUNCTION("""COMPUTED_VALUE"""),1.0)</f>
        <v>1</v>
      </c>
      <c r="M63" s="3">
        <f>IFERROR(__xludf.DUMMYFUNCTION("""COMPUTED_VALUE"""),49966.0)</f>
        <v>49966</v>
      </c>
      <c r="N63" s="1">
        <f>IFERROR(__xludf.DUMMYFUNCTION("""COMPUTED_VALUE"""),243.0)</f>
        <v>243</v>
      </c>
      <c r="O63" s="3">
        <f>IFERROR(__xludf.DUMMYFUNCTION("""COMPUTED_VALUE"""),2.05626178E8)</f>
        <v>205626178</v>
      </c>
      <c r="P63" s="1" t="str">
        <f>IFERROR(__xludf.DUMMYFUNCTION("""COMPUTED_VALUE"""),"Africa")</f>
        <v>Africa</v>
      </c>
      <c r="Q63" s="3">
        <f>IFERROR(__xludf.DUMMYFUNCTION("""COMPUTED_VALUE"""),23065.0)</f>
        <v>23065</v>
      </c>
      <c r="R63" s="3">
        <f>IFERROR(__xludf.DUMMYFUNCTION("""COMPUTED_VALUE"""),793923.0)</f>
        <v>793923</v>
      </c>
      <c r="S63" s="3">
        <f>IFERROR(__xludf.DUMMYFUNCTION("""COMPUTED_VALUE"""),4115.0)</f>
        <v>4115</v>
      </c>
    </row>
    <row r="64">
      <c r="A64" s="1">
        <f>IFERROR(__xludf.DUMMYFUNCTION("""COMPUTED_VALUE"""),55.0)</f>
        <v>55</v>
      </c>
      <c r="B64" s="1" t="str">
        <f>IFERROR(__xludf.DUMMYFUNCTION("""COMPUTED_VALUE"""),"Norway")</f>
        <v>Norway</v>
      </c>
      <c r="C64" s="3">
        <f>IFERROR(__xludf.DUMMYFUNCTION("""COMPUTED_VALUE"""),8411.0)</f>
        <v>8411</v>
      </c>
      <c r="D64" s="1" t="str">
        <f>IFERROR(__xludf.DUMMYFUNCTION("""COMPUTED_VALUE"""),"")</f>
        <v/>
      </c>
      <c r="E64" s="1">
        <f>IFERROR(__xludf.DUMMYFUNCTION("""COMPUTED_VALUE"""),236.0)</f>
        <v>236</v>
      </c>
      <c r="F64" s="1" t="str">
        <f>IFERROR(__xludf.DUMMYFUNCTION("""COMPUTED_VALUE"""),"")</f>
        <v/>
      </c>
      <c r="G64" s="3">
        <f>IFERROR(__xludf.DUMMYFUNCTION("""COMPUTED_VALUE"""),7727.0)</f>
        <v>7727</v>
      </c>
      <c r="H64" s="1" t="str">
        <f>IFERROR(__xludf.DUMMYFUNCTION("""COMPUTED_VALUE"""),"")</f>
        <v/>
      </c>
      <c r="I64" s="1">
        <f>IFERROR(__xludf.DUMMYFUNCTION("""COMPUTED_VALUE"""),448.0)</f>
        <v>448</v>
      </c>
      <c r="J64" s="1">
        <f>IFERROR(__xludf.DUMMYFUNCTION("""COMPUTED_VALUE"""),10.0)</f>
        <v>10</v>
      </c>
      <c r="K64" s="3">
        <f>IFERROR(__xludf.DUMMYFUNCTION("""COMPUTED_VALUE"""),1553.0)</f>
        <v>1553</v>
      </c>
      <c r="L64" s="1">
        <f>IFERROR(__xludf.DUMMYFUNCTION("""COMPUTED_VALUE"""),44.0)</f>
        <v>44</v>
      </c>
      <c r="M64" s="3">
        <f>IFERROR(__xludf.DUMMYFUNCTION("""COMPUTED_VALUE"""),239864.0)</f>
        <v>239864</v>
      </c>
      <c r="N64" s="3">
        <f>IFERROR(__xludf.DUMMYFUNCTION("""COMPUTED_VALUE"""),44277.0)</f>
        <v>44277</v>
      </c>
      <c r="O64" s="3">
        <f>IFERROR(__xludf.DUMMYFUNCTION("""COMPUTED_VALUE"""),5417374.0)</f>
        <v>5417374</v>
      </c>
      <c r="P64" s="1" t="str">
        <f>IFERROR(__xludf.DUMMYFUNCTION("""COMPUTED_VALUE"""),"Europe")</f>
        <v>Europe</v>
      </c>
      <c r="Q64" s="1">
        <f>IFERROR(__xludf.DUMMYFUNCTION("""COMPUTED_VALUE"""),644.0)</f>
        <v>644</v>
      </c>
      <c r="R64" s="3">
        <f>IFERROR(__xludf.DUMMYFUNCTION("""COMPUTED_VALUE"""),22955.0)</f>
        <v>22955</v>
      </c>
      <c r="S64" s="1">
        <f>IFERROR(__xludf.DUMMYFUNCTION("""COMPUTED_VALUE"""),23.0)</f>
        <v>23</v>
      </c>
    </row>
    <row r="65">
      <c r="A65" s="1">
        <f>IFERROR(__xludf.DUMMYFUNCTION("""COMPUTED_VALUE"""),56.0)</f>
        <v>56</v>
      </c>
      <c r="B65" s="1" t="str">
        <f>IFERROR(__xludf.DUMMYFUNCTION("""COMPUTED_VALUE"""),"Bolivia")</f>
        <v>Bolivia</v>
      </c>
      <c r="C65" s="3">
        <f>IFERROR(__xludf.DUMMYFUNCTION("""COMPUTED_VALUE"""),8387.0)</f>
        <v>8387</v>
      </c>
      <c r="D65" s="1" t="str">
        <f>IFERROR(__xludf.DUMMYFUNCTION("""COMPUTED_VALUE"""),"+619")</f>
        <v>+619</v>
      </c>
      <c r="E65" s="1">
        <f>IFERROR(__xludf.DUMMYFUNCTION("""COMPUTED_VALUE"""),293.0)</f>
        <v>293</v>
      </c>
      <c r="F65" s="1" t="str">
        <f>IFERROR(__xludf.DUMMYFUNCTION("""COMPUTED_VALUE"""),"+13")</f>
        <v>+13</v>
      </c>
      <c r="G65" s="1">
        <f>IFERROR(__xludf.DUMMYFUNCTION("""COMPUTED_VALUE"""),738.0)</f>
        <v>738</v>
      </c>
      <c r="H65" s="1" t="str">
        <f>IFERROR(__xludf.DUMMYFUNCTION("""COMPUTED_VALUE"""),"+49")</f>
        <v>+49</v>
      </c>
      <c r="I65" s="3">
        <f>IFERROR(__xludf.DUMMYFUNCTION("""COMPUTED_VALUE"""),7356.0)</f>
        <v>7356</v>
      </c>
      <c r="J65" s="1">
        <f>IFERROR(__xludf.DUMMYFUNCTION("""COMPUTED_VALUE"""),3.0)</f>
        <v>3</v>
      </c>
      <c r="K65" s="1">
        <f>IFERROR(__xludf.DUMMYFUNCTION("""COMPUTED_VALUE"""),719.0)</f>
        <v>719</v>
      </c>
      <c r="L65" s="1">
        <f>IFERROR(__xludf.DUMMYFUNCTION("""COMPUTED_VALUE"""),25.0)</f>
        <v>25</v>
      </c>
      <c r="M65" s="3">
        <f>IFERROR(__xludf.DUMMYFUNCTION("""COMPUTED_VALUE"""),22294.0)</f>
        <v>22294</v>
      </c>
      <c r="N65" s="3">
        <f>IFERROR(__xludf.DUMMYFUNCTION("""COMPUTED_VALUE"""),1912.0)</f>
        <v>1912</v>
      </c>
      <c r="O65" s="3">
        <f>IFERROR(__xludf.DUMMYFUNCTION("""COMPUTED_VALUE"""),1.1657999E7)</f>
        <v>11657999</v>
      </c>
      <c r="P65" s="1" t="str">
        <f>IFERROR(__xludf.DUMMYFUNCTION("""COMPUTED_VALUE"""),"South America")</f>
        <v>South America</v>
      </c>
      <c r="Q65" s="3">
        <f>IFERROR(__xludf.DUMMYFUNCTION("""COMPUTED_VALUE"""),1390.0)</f>
        <v>1390</v>
      </c>
      <c r="R65" s="3">
        <f>IFERROR(__xludf.DUMMYFUNCTION("""COMPUTED_VALUE"""),39788.0)</f>
        <v>39788</v>
      </c>
      <c r="S65" s="1">
        <f>IFERROR(__xludf.DUMMYFUNCTION("""COMPUTED_VALUE"""),523.0)</f>
        <v>523</v>
      </c>
    </row>
    <row r="66">
      <c r="A66" s="1">
        <f>IFERROR(__xludf.DUMMYFUNCTION("""COMPUTED_VALUE"""),57.0)</f>
        <v>57</v>
      </c>
      <c r="B66" s="1" t="str">
        <f>IFERROR(__xludf.DUMMYFUNCTION("""COMPUTED_VALUE"""),"Armenia")</f>
        <v>Armenia</v>
      </c>
      <c r="C66" s="3">
        <f>IFERROR(__xludf.DUMMYFUNCTION("""COMPUTED_VALUE"""),8216.0)</f>
        <v>8216</v>
      </c>
      <c r="D66" s="1" t="str">
        <f>IFERROR(__xludf.DUMMYFUNCTION("""COMPUTED_VALUE"""),"")</f>
        <v/>
      </c>
      <c r="E66" s="1">
        <f>IFERROR(__xludf.DUMMYFUNCTION("""COMPUTED_VALUE"""),113.0)</f>
        <v>113</v>
      </c>
      <c r="F66" s="1" t="str">
        <f>IFERROR(__xludf.DUMMYFUNCTION("""COMPUTED_VALUE"""),"")</f>
        <v/>
      </c>
      <c r="G66" s="3">
        <f>IFERROR(__xludf.DUMMYFUNCTION("""COMPUTED_VALUE"""),3287.0)</f>
        <v>3287</v>
      </c>
      <c r="H66" s="1" t="str">
        <f>IFERROR(__xludf.DUMMYFUNCTION("""COMPUTED_VALUE"""),"")</f>
        <v/>
      </c>
      <c r="I66" s="3">
        <f>IFERROR(__xludf.DUMMYFUNCTION("""COMPUTED_VALUE"""),4816.0)</f>
        <v>4816</v>
      </c>
      <c r="J66" s="1">
        <f>IFERROR(__xludf.DUMMYFUNCTION("""COMPUTED_VALUE"""),10.0)</f>
        <v>10</v>
      </c>
      <c r="K66" s="3">
        <f>IFERROR(__xludf.DUMMYFUNCTION("""COMPUTED_VALUE"""),2773.0)</f>
        <v>2773</v>
      </c>
      <c r="L66" s="1">
        <f>IFERROR(__xludf.DUMMYFUNCTION("""COMPUTED_VALUE"""),38.0)</f>
        <v>38</v>
      </c>
      <c r="M66" s="3">
        <f>IFERROR(__xludf.DUMMYFUNCTION("""COMPUTED_VALUE"""),54931.0)</f>
        <v>54931</v>
      </c>
      <c r="N66" s="3">
        <f>IFERROR(__xludf.DUMMYFUNCTION("""COMPUTED_VALUE"""),18541.0)</f>
        <v>18541</v>
      </c>
      <c r="O66" s="3">
        <f>IFERROR(__xludf.DUMMYFUNCTION("""COMPUTED_VALUE"""),2962755.0)</f>
        <v>2962755</v>
      </c>
      <c r="P66" s="1" t="str">
        <f>IFERROR(__xludf.DUMMYFUNCTION("""COMPUTED_VALUE"""),"Asia")</f>
        <v>Asia</v>
      </c>
      <c r="Q66" s="1">
        <f>IFERROR(__xludf.DUMMYFUNCTION("""COMPUTED_VALUE"""),361.0)</f>
        <v>361</v>
      </c>
      <c r="R66" s="3">
        <f>IFERROR(__xludf.DUMMYFUNCTION("""COMPUTED_VALUE"""),26219.0)</f>
        <v>26219</v>
      </c>
      <c r="S66" s="1">
        <f>IFERROR(__xludf.DUMMYFUNCTION("""COMPUTED_VALUE"""),54.0)</f>
        <v>54</v>
      </c>
    </row>
    <row r="67">
      <c r="A67" s="1">
        <f>IFERROR(__xludf.DUMMYFUNCTION("""COMPUTED_VALUE"""),58.0)</f>
        <v>58</v>
      </c>
      <c r="B67" s="1" t="str">
        <f>IFERROR(__xludf.DUMMYFUNCTION("""COMPUTED_VALUE"""),"Moldova")</f>
        <v>Moldova</v>
      </c>
      <c r="C67" s="3">
        <f>IFERROR(__xludf.DUMMYFUNCTION("""COMPUTED_VALUE"""),7725.0)</f>
        <v>7725</v>
      </c>
      <c r="D67" s="1" t="str">
        <f>IFERROR(__xludf.DUMMYFUNCTION("""COMPUTED_VALUE"""),"")</f>
        <v/>
      </c>
      <c r="E67" s="1">
        <f>IFERROR(__xludf.DUMMYFUNCTION("""COMPUTED_VALUE"""),282.0)</f>
        <v>282</v>
      </c>
      <c r="F67" s="1" t="str">
        <f>IFERROR(__xludf.DUMMYFUNCTION("""COMPUTED_VALUE"""),"")</f>
        <v/>
      </c>
      <c r="G67" s="3">
        <f>IFERROR(__xludf.DUMMYFUNCTION("""COMPUTED_VALUE"""),4123.0)</f>
        <v>4123</v>
      </c>
      <c r="H67" s="1" t="str">
        <f>IFERROR(__xludf.DUMMYFUNCTION("""COMPUTED_VALUE"""),"")</f>
        <v/>
      </c>
      <c r="I67" s="3">
        <f>IFERROR(__xludf.DUMMYFUNCTION("""COMPUTED_VALUE"""),3320.0)</f>
        <v>3320</v>
      </c>
      <c r="J67" s="1">
        <f>IFERROR(__xludf.DUMMYFUNCTION("""COMPUTED_VALUE"""),256.0)</f>
        <v>256</v>
      </c>
      <c r="K67" s="3">
        <f>IFERROR(__xludf.DUMMYFUNCTION("""COMPUTED_VALUE"""),1915.0)</f>
        <v>1915</v>
      </c>
      <c r="L67" s="1">
        <f>IFERROR(__xludf.DUMMYFUNCTION("""COMPUTED_VALUE"""),70.0)</f>
        <v>70</v>
      </c>
      <c r="M67" s="3">
        <f>IFERROR(__xludf.DUMMYFUNCTION("""COMPUTED_VALUE"""),40565.0)</f>
        <v>40565</v>
      </c>
      <c r="N67" s="3">
        <f>IFERROR(__xludf.DUMMYFUNCTION("""COMPUTED_VALUE"""),10054.0)</f>
        <v>10054</v>
      </c>
      <c r="O67" s="3">
        <f>IFERROR(__xludf.DUMMYFUNCTION("""COMPUTED_VALUE"""),4034769.0)</f>
        <v>4034769</v>
      </c>
      <c r="P67" s="1" t="str">
        <f>IFERROR(__xludf.DUMMYFUNCTION("""COMPUTED_VALUE"""),"Europe")</f>
        <v>Europe</v>
      </c>
      <c r="Q67" s="1">
        <f>IFERROR(__xludf.DUMMYFUNCTION("""COMPUTED_VALUE"""),522.0)</f>
        <v>522</v>
      </c>
      <c r="R67" s="3">
        <f>IFERROR(__xludf.DUMMYFUNCTION("""COMPUTED_VALUE"""),14308.0)</f>
        <v>14308</v>
      </c>
      <c r="S67" s="1">
        <f>IFERROR(__xludf.DUMMYFUNCTION("""COMPUTED_VALUE"""),99.0)</f>
        <v>99</v>
      </c>
    </row>
    <row r="68">
      <c r="A68" s="1">
        <f>IFERROR(__xludf.DUMMYFUNCTION("""COMPUTED_VALUE"""),59.0)</f>
        <v>59</v>
      </c>
      <c r="B68" s="1" t="str">
        <f>IFERROR(__xludf.DUMMYFUNCTION("""COMPUTED_VALUE"""),"Morocco")</f>
        <v>Morocco</v>
      </c>
      <c r="C68" s="3">
        <f>IFERROR(__xludf.DUMMYFUNCTION("""COMPUTED_VALUE"""),7643.0)</f>
        <v>7643</v>
      </c>
      <c r="D68" s="1" t="str">
        <f>IFERROR(__xludf.DUMMYFUNCTION("""COMPUTED_VALUE"""),"")</f>
        <v/>
      </c>
      <c r="E68" s="1">
        <f>IFERROR(__xludf.DUMMYFUNCTION("""COMPUTED_VALUE"""),202.0)</f>
        <v>202</v>
      </c>
      <c r="F68" s="1" t="str">
        <f>IFERROR(__xludf.DUMMYFUNCTION("""COMPUTED_VALUE"""),"")</f>
        <v/>
      </c>
      <c r="G68" s="3">
        <f>IFERROR(__xludf.DUMMYFUNCTION("""COMPUTED_VALUE"""),5195.0)</f>
        <v>5195</v>
      </c>
      <c r="H68" s="1" t="str">
        <f>IFERROR(__xludf.DUMMYFUNCTION("""COMPUTED_VALUE"""),"")</f>
        <v/>
      </c>
      <c r="I68" s="3">
        <f>IFERROR(__xludf.DUMMYFUNCTION("""COMPUTED_VALUE"""),2246.0)</f>
        <v>2246</v>
      </c>
      <c r="J68" s="1">
        <f>IFERROR(__xludf.DUMMYFUNCTION("""COMPUTED_VALUE"""),1.0)</f>
        <v>1</v>
      </c>
      <c r="K68" s="1">
        <f>IFERROR(__xludf.DUMMYFUNCTION("""COMPUTED_VALUE"""),207.0)</f>
        <v>207</v>
      </c>
      <c r="L68" s="1">
        <f>IFERROR(__xludf.DUMMYFUNCTION("""COMPUTED_VALUE"""),5.0)</f>
        <v>5</v>
      </c>
      <c r="M68" s="3">
        <f>IFERROR(__xludf.DUMMYFUNCTION("""COMPUTED_VALUE"""),180189.0)</f>
        <v>180189</v>
      </c>
      <c r="N68" s="3">
        <f>IFERROR(__xludf.DUMMYFUNCTION("""COMPUTED_VALUE"""),4887.0)</f>
        <v>4887</v>
      </c>
      <c r="O68" s="3">
        <f>IFERROR(__xludf.DUMMYFUNCTION("""COMPUTED_VALUE"""),3.6869708E7)</f>
        <v>36869708</v>
      </c>
      <c r="P68" s="1" t="str">
        <f>IFERROR(__xludf.DUMMYFUNCTION("""COMPUTED_VALUE"""),"Africa")</f>
        <v>Africa</v>
      </c>
      <c r="Q68" s="3">
        <f>IFERROR(__xludf.DUMMYFUNCTION("""COMPUTED_VALUE"""),4824.0)</f>
        <v>4824</v>
      </c>
      <c r="R68" s="3">
        <f>IFERROR(__xludf.DUMMYFUNCTION("""COMPUTED_VALUE"""),182523.0)</f>
        <v>182523</v>
      </c>
      <c r="S68" s="1">
        <f>IFERROR(__xludf.DUMMYFUNCTION("""COMPUTED_VALUE"""),205.0)</f>
        <v>205</v>
      </c>
    </row>
    <row r="69">
      <c r="A69" s="1">
        <f>IFERROR(__xludf.DUMMYFUNCTION("""COMPUTED_VALUE"""),60.0)</f>
        <v>60</v>
      </c>
      <c r="B69" s="1" t="str">
        <f>IFERROR(__xludf.DUMMYFUNCTION("""COMPUTED_VALUE"""),"Malaysia")</f>
        <v>Malaysia</v>
      </c>
      <c r="C69" s="3">
        <f>IFERROR(__xludf.DUMMYFUNCTION("""COMPUTED_VALUE"""),7629.0)</f>
        <v>7629</v>
      </c>
      <c r="D69" s="1" t="str">
        <f>IFERROR(__xludf.DUMMYFUNCTION("""COMPUTED_VALUE"""),"")</f>
        <v/>
      </c>
      <c r="E69" s="1">
        <f>IFERROR(__xludf.DUMMYFUNCTION("""COMPUTED_VALUE"""),115.0)</f>
        <v>115</v>
      </c>
      <c r="F69" s="1" t="str">
        <f>IFERROR(__xludf.DUMMYFUNCTION("""COMPUTED_VALUE"""),"")</f>
        <v/>
      </c>
      <c r="G69" s="3">
        <f>IFERROR(__xludf.DUMMYFUNCTION("""COMPUTED_VALUE"""),6169.0)</f>
        <v>6169</v>
      </c>
      <c r="H69" s="1" t="str">
        <f>IFERROR(__xludf.DUMMYFUNCTION("""COMPUTED_VALUE"""),"")</f>
        <v/>
      </c>
      <c r="I69" s="3">
        <f>IFERROR(__xludf.DUMMYFUNCTION("""COMPUTED_VALUE"""),1345.0)</f>
        <v>1345</v>
      </c>
      <c r="J69" s="1">
        <f>IFERROR(__xludf.DUMMYFUNCTION("""COMPUTED_VALUE"""),8.0)</f>
        <v>8</v>
      </c>
      <c r="K69" s="1">
        <f>IFERROR(__xludf.DUMMYFUNCTION("""COMPUTED_VALUE"""),236.0)</f>
        <v>236</v>
      </c>
      <c r="L69" s="1">
        <f>IFERROR(__xludf.DUMMYFUNCTION("""COMPUTED_VALUE"""),4.0)</f>
        <v>4</v>
      </c>
      <c r="M69" s="3">
        <f>IFERROR(__xludf.DUMMYFUNCTION("""COMPUTED_VALUE"""),519944.0)</f>
        <v>519944</v>
      </c>
      <c r="N69" s="3">
        <f>IFERROR(__xludf.DUMMYFUNCTION("""COMPUTED_VALUE"""),16084.0)</f>
        <v>16084</v>
      </c>
      <c r="O69" s="3">
        <f>IFERROR(__xludf.DUMMYFUNCTION("""COMPUTED_VALUE"""),3.2327063E7)</f>
        <v>32327063</v>
      </c>
      <c r="P69" s="1" t="str">
        <f>IFERROR(__xludf.DUMMYFUNCTION("""COMPUTED_VALUE"""),"Asia")</f>
        <v>Asia</v>
      </c>
      <c r="Q69" s="3">
        <f>IFERROR(__xludf.DUMMYFUNCTION("""COMPUTED_VALUE"""),4237.0)</f>
        <v>4237</v>
      </c>
      <c r="R69" s="3">
        <f>IFERROR(__xludf.DUMMYFUNCTION("""COMPUTED_VALUE"""),281105.0)</f>
        <v>281105</v>
      </c>
      <c r="S69" s="1">
        <f>IFERROR(__xludf.DUMMYFUNCTION("""COMPUTED_VALUE"""),62.0)</f>
        <v>62</v>
      </c>
    </row>
    <row r="70">
      <c r="A70" s="1">
        <f>IFERROR(__xludf.DUMMYFUNCTION("""COMPUTED_VALUE"""),61.0)</f>
        <v>61</v>
      </c>
      <c r="B70" s="1" t="str">
        <f>IFERROR(__xludf.DUMMYFUNCTION("""COMPUTED_VALUE"""),"Ghana")</f>
        <v>Ghana</v>
      </c>
      <c r="C70" s="3">
        <f>IFERROR(__xludf.DUMMYFUNCTION("""COMPUTED_VALUE"""),7303.0)</f>
        <v>7303</v>
      </c>
      <c r="D70" s="1" t="str">
        <f>IFERROR(__xludf.DUMMYFUNCTION("""COMPUTED_VALUE"""),"")</f>
        <v/>
      </c>
      <c r="E70" s="1">
        <f>IFERROR(__xludf.DUMMYFUNCTION("""COMPUTED_VALUE"""),34.0)</f>
        <v>34</v>
      </c>
      <c r="F70" s="1" t="str">
        <f>IFERROR(__xludf.DUMMYFUNCTION("""COMPUTED_VALUE"""),"")</f>
        <v/>
      </c>
      <c r="G70" s="3">
        <f>IFERROR(__xludf.DUMMYFUNCTION("""COMPUTED_VALUE"""),2412.0)</f>
        <v>2412</v>
      </c>
      <c r="H70" s="1" t="str">
        <f>IFERROR(__xludf.DUMMYFUNCTION("""COMPUTED_VALUE"""),"")</f>
        <v/>
      </c>
      <c r="I70" s="3">
        <f>IFERROR(__xludf.DUMMYFUNCTION("""COMPUTED_VALUE"""),4857.0)</f>
        <v>4857</v>
      </c>
      <c r="J70" s="1">
        <f>IFERROR(__xludf.DUMMYFUNCTION("""COMPUTED_VALUE"""),16.0)</f>
        <v>16</v>
      </c>
      <c r="K70" s="1">
        <f>IFERROR(__xludf.DUMMYFUNCTION("""COMPUTED_VALUE"""),236.0)</f>
        <v>236</v>
      </c>
      <c r="L70" s="1">
        <f>IFERROR(__xludf.DUMMYFUNCTION("""COMPUTED_VALUE"""),1.0)</f>
        <v>1</v>
      </c>
      <c r="M70" s="3">
        <f>IFERROR(__xludf.DUMMYFUNCTION("""COMPUTED_VALUE"""),205890.0)</f>
        <v>205890</v>
      </c>
      <c r="N70" s="3">
        <f>IFERROR(__xludf.DUMMYFUNCTION("""COMPUTED_VALUE"""),6640.0)</f>
        <v>6640</v>
      </c>
      <c r="O70" s="3">
        <f>IFERROR(__xludf.DUMMYFUNCTION("""COMPUTED_VALUE"""),3.1009181E7)</f>
        <v>31009181</v>
      </c>
      <c r="P70" s="1" t="str">
        <f>IFERROR(__xludf.DUMMYFUNCTION("""COMPUTED_VALUE"""),"Africa")</f>
        <v>Africa</v>
      </c>
      <c r="Q70" s="3">
        <f>IFERROR(__xludf.DUMMYFUNCTION("""COMPUTED_VALUE"""),4246.0)</f>
        <v>4246</v>
      </c>
      <c r="R70" s="3">
        <f>IFERROR(__xludf.DUMMYFUNCTION("""COMPUTED_VALUE"""),912035.0)</f>
        <v>912035</v>
      </c>
      <c r="S70" s="1">
        <f>IFERROR(__xludf.DUMMYFUNCTION("""COMPUTED_VALUE"""),151.0)</f>
        <v>151</v>
      </c>
    </row>
    <row r="71">
      <c r="A71" s="1">
        <f>IFERROR(__xludf.DUMMYFUNCTION("""COMPUTED_VALUE"""),62.0)</f>
        <v>62</v>
      </c>
      <c r="B71" s="1" t="str">
        <f>IFERROR(__xludf.DUMMYFUNCTION("""COMPUTED_VALUE"""),"Australia")</f>
        <v>Australia</v>
      </c>
      <c r="C71" s="3">
        <f>IFERROR(__xludf.DUMMYFUNCTION("""COMPUTED_VALUE"""),7165.0)</f>
        <v>7165</v>
      </c>
      <c r="D71" s="1" t="str">
        <f>IFERROR(__xludf.DUMMYFUNCTION("""COMPUTED_VALUE"""),"+15")</f>
        <v>+15</v>
      </c>
      <c r="E71" s="1">
        <f>IFERROR(__xludf.DUMMYFUNCTION("""COMPUTED_VALUE"""),103.0)</f>
        <v>103</v>
      </c>
      <c r="F71" s="1" t="str">
        <f>IFERROR(__xludf.DUMMYFUNCTION("""COMPUTED_VALUE"""),"")</f>
        <v/>
      </c>
      <c r="G71" s="3">
        <f>IFERROR(__xludf.DUMMYFUNCTION("""COMPUTED_VALUE"""),6580.0)</f>
        <v>6580</v>
      </c>
      <c r="H71" s="1" t="str">
        <f>IFERROR(__xludf.DUMMYFUNCTION("""COMPUTED_VALUE"""),"")</f>
        <v/>
      </c>
      <c r="I71" s="1">
        <f>IFERROR(__xludf.DUMMYFUNCTION("""COMPUTED_VALUE"""),482.0)</f>
        <v>482</v>
      </c>
      <c r="J71" s="1">
        <f>IFERROR(__xludf.DUMMYFUNCTION("""COMPUTED_VALUE"""),5.0)</f>
        <v>5</v>
      </c>
      <c r="K71" s="1">
        <f>IFERROR(__xludf.DUMMYFUNCTION("""COMPUTED_VALUE"""),281.0)</f>
        <v>281</v>
      </c>
      <c r="L71" s="1">
        <f>IFERROR(__xludf.DUMMYFUNCTION("""COMPUTED_VALUE"""),4.0)</f>
        <v>4</v>
      </c>
      <c r="M71" s="3">
        <f>IFERROR(__xludf.DUMMYFUNCTION("""COMPUTED_VALUE"""),1390924.0)</f>
        <v>1390924</v>
      </c>
      <c r="N71" s="3">
        <f>IFERROR(__xludf.DUMMYFUNCTION("""COMPUTED_VALUE"""),54605.0)</f>
        <v>54605</v>
      </c>
      <c r="O71" s="3">
        <f>IFERROR(__xludf.DUMMYFUNCTION("""COMPUTED_VALUE"""),2.5472297E7)</f>
        <v>25472297</v>
      </c>
      <c r="P71" s="1" t="str">
        <f>IFERROR(__xludf.DUMMYFUNCTION("""COMPUTED_VALUE"""),"Australia/Oceania")</f>
        <v>Australia/Oceania</v>
      </c>
      <c r="Q71" s="3">
        <f>IFERROR(__xludf.DUMMYFUNCTION("""COMPUTED_VALUE"""),3555.0)</f>
        <v>3555</v>
      </c>
      <c r="R71" s="3">
        <f>IFERROR(__xludf.DUMMYFUNCTION("""COMPUTED_VALUE"""),247304.0)</f>
        <v>247304</v>
      </c>
      <c r="S71" s="1">
        <f>IFERROR(__xludf.DUMMYFUNCTION("""COMPUTED_VALUE"""),18.0)</f>
        <v>18</v>
      </c>
    </row>
    <row r="72">
      <c r="A72" s="1">
        <f>IFERROR(__xludf.DUMMYFUNCTION("""COMPUTED_VALUE"""),63.0)</f>
        <v>63</v>
      </c>
      <c r="B72" s="1" t="str">
        <f>IFERROR(__xludf.DUMMYFUNCTION("""COMPUTED_VALUE"""),"Finland")</f>
        <v>Finland</v>
      </c>
      <c r="C72" s="3">
        <f>IFERROR(__xludf.DUMMYFUNCTION("""COMPUTED_VALUE"""),6743.0)</f>
        <v>6743</v>
      </c>
      <c r="D72" s="1" t="str">
        <f>IFERROR(__xludf.DUMMYFUNCTION("""COMPUTED_VALUE"""),"")</f>
        <v/>
      </c>
      <c r="E72" s="1">
        <f>IFERROR(__xludf.DUMMYFUNCTION("""COMPUTED_VALUE"""),313.0)</f>
        <v>313</v>
      </c>
      <c r="F72" s="1" t="str">
        <f>IFERROR(__xludf.DUMMYFUNCTION("""COMPUTED_VALUE"""),"")</f>
        <v/>
      </c>
      <c r="G72" s="3">
        <f>IFERROR(__xludf.DUMMYFUNCTION("""COMPUTED_VALUE"""),5500.0)</f>
        <v>5500</v>
      </c>
      <c r="H72" s="1" t="str">
        <f>IFERROR(__xludf.DUMMYFUNCTION("""COMPUTED_VALUE"""),"")</f>
        <v/>
      </c>
      <c r="I72" s="1">
        <f>IFERROR(__xludf.DUMMYFUNCTION("""COMPUTED_VALUE"""),930.0)</f>
        <v>930</v>
      </c>
      <c r="J72" s="1">
        <f>IFERROR(__xludf.DUMMYFUNCTION("""COMPUTED_VALUE"""),11.0)</f>
        <v>11</v>
      </c>
      <c r="K72" s="3">
        <f>IFERROR(__xludf.DUMMYFUNCTION("""COMPUTED_VALUE"""),1217.0)</f>
        <v>1217</v>
      </c>
      <c r="L72" s="1">
        <f>IFERROR(__xludf.DUMMYFUNCTION("""COMPUTED_VALUE"""),56.0)</f>
        <v>56</v>
      </c>
      <c r="M72" s="3">
        <f>IFERROR(__xludf.DUMMYFUNCTION("""COMPUTED_VALUE"""),176650.0)</f>
        <v>176650</v>
      </c>
      <c r="N72" s="3">
        <f>IFERROR(__xludf.DUMMYFUNCTION("""COMPUTED_VALUE"""),31886.0)</f>
        <v>31886</v>
      </c>
      <c r="O72" s="3">
        <f>IFERROR(__xludf.DUMMYFUNCTION("""COMPUTED_VALUE"""),5539963.0)</f>
        <v>5539963</v>
      </c>
      <c r="P72" s="1" t="str">
        <f>IFERROR(__xludf.DUMMYFUNCTION("""COMPUTED_VALUE"""),"Europe")</f>
        <v>Europe</v>
      </c>
      <c r="Q72" s="1">
        <f>IFERROR(__xludf.DUMMYFUNCTION("""COMPUTED_VALUE"""),822.0)</f>
        <v>822</v>
      </c>
      <c r="R72" s="3">
        <f>IFERROR(__xludf.DUMMYFUNCTION("""COMPUTED_VALUE"""),17700.0)</f>
        <v>17700</v>
      </c>
      <c r="S72" s="1">
        <f>IFERROR(__xludf.DUMMYFUNCTION("""COMPUTED_VALUE"""),31.0)</f>
        <v>31</v>
      </c>
    </row>
    <row r="73">
      <c r="A73" s="1">
        <f>IFERROR(__xludf.DUMMYFUNCTION("""COMPUTED_VALUE"""),64.0)</f>
        <v>64</v>
      </c>
      <c r="B73" s="1" t="str">
        <f>IFERROR(__xludf.DUMMYFUNCTION("""COMPUTED_VALUE"""),"Iraq")</f>
        <v>Iraq</v>
      </c>
      <c r="C73" s="3">
        <f>IFERROR(__xludf.DUMMYFUNCTION("""COMPUTED_VALUE"""),5457.0)</f>
        <v>5457</v>
      </c>
      <c r="D73" s="1" t="str">
        <f>IFERROR(__xludf.DUMMYFUNCTION("""COMPUTED_VALUE"""),"")</f>
        <v/>
      </c>
      <c r="E73" s="1">
        <f>IFERROR(__xludf.DUMMYFUNCTION("""COMPUTED_VALUE"""),179.0)</f>
        <v>179</v>
      </c>
      <c r="F73" s="1" t="str">
        <f>IFERROR(__xludf.DUMMYFUNCTION("""COMPUTED_VALUE"""),"")</f>
        <v/>
      </c>
      <c r="G73" s="3">
        <f>IFERROR(__xludf.DUMMYFUNCTION("""COMPUTED_VALUE"""),2971.0)</f>
        <v>2971</v>
      </c>
      <c r="H73" s="1" t="str">
        <f>IFERROR(__xludf.DUMMYFUNCTION("""COMPUTED_VALUE"""),"")</f>
        <v/>
      </c>
      <c r="I73" s="3">
        <f>IFERROR(__xludf.DUMMYFUNCTION("""COMPUTED_VALUE"""),2307.0)</f>
        <v>2307</v>
      </c>
      <c r="J73" s="1">
        <f>IFERROR(__xludf.DUMMYFUNCTION("""COMPUTED_VALUE"""),41.0)</f>
        <v>41</v>
      </c>
      <c r="K73" s="1">
        <f>IFERROR(__xludf.DUMMYFUNCTION("""COMPUTED_VALUE"""),136.0)</f>
        <v>136</v>
      </c>
      <c r="L73" s="1">
        <f>IFERROR(__xludf.DUMMYFUNCTION("""COMPUTED_VALUE"""),4.0)</f>
        <v>4</v>
      </c>
      <c r="M73" s="3">
        <f>IFERROR(__xludf.DUMMYFUNCTION("""COMPUTED_VALUE"""),211485.0)</f>
        <v>211485</v>
      </c>
      <c r="N73" s="3">
        <f>IFERROR(__xludf.DUMMYFUNCTION("""COMPUTED_VALUE"""),5270.0)</f>
        <v>5270</v>
      </c>
      <c r="O73" s="3">
        <f>IFERROR(__xludf.DUMMYFUNCTION("""COMPUTED_VALUE"""),4.0132981E7)</f>
        <v>40132981</v>
      </c>
      <c r="P73" s="1" t="str">
        <f>IFERROR(__xludf.DUMMYFUNCTION("""COMPUTED_VALUE"""),"Asia")</f>
        <v>Asia</v>
      </c>
      <c r="Q73" s="3">
        <f>IFERROR(__xludf.DUMMYFUNCTION("""COMPUTED_VALUE"""),7354.0)</f>
        <v>7354</v>
      </c>
      <c r="R73" s="3">
        <f>IFERROR(__xludf.DUMMYFUNCTION("""COMPUTED_VALUE"""),224207.0)</f>
        <v>224207</v>
      </c>
      <c r="S73" s="1">
        <f>IFERROR(__xludf.DUMMYFUNCTION("""COMPUTED_VALUE"""),190.0)</f>
        <v>190</v>
      </c>
    </row>
    <row r="74">
      <c r="A74" s="1">
        <f>IFERROR(__xludf.DUMMYFUNCTION("""COMPUTED_VALUE"""),65.0)</f>
        <v>65</v>
      </c>
      <c r="B74" s="1" t="str">
        <f>IFERROR(__xludf.DUMMYFUNCTION("""COMPUTED_VALUE"""),"Cameroon")</f>
        <v>Cameroon</v>
      </c>
      <c r="C74" s="3">
        <f>IFERROR(__xludf.DUMMYFUNCTION("""COMPUTED_VALUE"""),5436.0)</f>
        <v>5436</v>
      </c>
      <c r="D74" s="1" t="str">
        <f>IFERROR(__xludf.DUMMYFUNCTION("""COMPUTED_VALUE"""),"")</f>
        <v/>
      </c>
      <c r="E74" s="1">
        <f>IFERROR(__xludf.DUMMYFUNCTION("""COMPUTED_VALUE"""),175.0)</f>
        <v>175</v>
      </c>
      <c r="F74" s="1" t="str">
        <f>IFERROR(__xludf.DUMMYFUNCTION("""COMPUTED_VALUE"""),"")</f>
        <v/>
      </c>
      <c r="G74" s="3">
        <f>IFERROR(__xludf.DUMMYFUNCTION("""COMPUTED_VALUE"""),1996.0)</f>
        <v>1996</v>
      </c>
      <c r="H74" s="1" t="str">
        <f>IFERROR(__xludf.DUMMYFUNCTION("""COMPUTED_VALUE"""),"")</f>
        <v/>
      </c>
      <c r="I74" s="3">
        <f>IFERROR(__xludf.DUMMYFUNCTION("""COMPUTED_VALUE"""),3265.0)</f>
        <v>3265</v>
      </c>
      <c r="J74" s="1">
        <f>IFERROR(__xludf.DUMMYFUNCTION("""COMPUTED_VALUE"""),28.0)</f>
        <v>28</v>
      </c>
      <c r="K74" s="1">
        <f>IFERROR(__xludf.DUMMYFUNCTION("""COMPUTED_VALUE"""),205.0)</f>
        <v>205</v>
      </c>
      <c r="L74" s="1">
        <f>IFERROR(__xludf.DUMMYFUNCTION("""COMPUTED_VALUE"""),7.0)</f>
        <v>7</v>
      </c>
      <c r="M74" s="1" t="str">
        <f>IFERROR(__xludf.DUMMYFUNCTION("""COMPUTED_VALUE"""),"")</f>
        <v/>
      </c>
      <c r="N74" s="1" t="str">
        <f>IFERROR(__xludf.DUMMYFUNCTION("""COMPUTED_VALUE"""),"")</f>
        <v/>
      </c>
      <c r="O74" s="3">
        <f>IFERROR(__xludf.DUMMYFUNCTION("""COMPUTED_VALUE"""),2.6479422E7)</f>
        <v>26479422</v>
      </c>
      <c r="P74" s="1" t="str">
        <f>IFERROR(__xludf.DUMMYFUNCTION("""COMPUTED_VALUE"""),"Africa")</f>
        <v>Africa</v>
      </c>
      <c r="Q74" s="3">
        <f>IFERROR(__xludf.DUMMYFUNCTION("""COMPUTED_VALUE"""),4871.0)</f>
        <v>4871</v>
      </c>
      <c r="R74" s="3">
        <f>IFERROR(__xludf.DUMMYFUNCTION("""COMPUTED_VALUE"""),151311.0)</f>
        <v>151311</v>
      </c>
      <c r="S74" s="1" t="str">
        <f>IFERROR(__xludf.DUMMYFUNCTION("""COMPUTED_VALUE"""),"")</f>
        <v/>
      </c>
    </row>
    <row r="75">
      <c r="A75" s="1">
        <f>IFERROR(__xludf.DUMMYFUNCTION("""COMPUTED_VALUE"""),66.0)</f>
        <v>66</v>
      </c>
      <c r="B75" s="1" t="str">
        <f>IFERROR(__xludf.DUMMYFUNCTION("""COMPUTED_VALUE"""),"Azerbaijan")</f>
        <v>Azerbaijan</v>
      </c>
      <c r="C75" s="3">
        <f>IFERROR(__xludf.DUMMYFUNCTION("""COMPUTED_VALUE"""),4759.0)</f>
        <v>4759</v>
      </c>
      <c r="D75" s="1" t="str">
        <f>IFERROR(__xludf.DUMMYFUNCTION("""COMPUTED_VALUE"""),"")</f>
        <v/>
      </c>
      <c r="E75" s="1">
        <f>IFERROR(__xludf.DUMMYFUNCTION("""COMPUTED_VALUE"""),56.0)</f>
        <v>56</v>
      </c>
      <c r="F75" s="1" t="str">
        <f>IFERROR(__xludf.DUMMYFUNCTION("""COMPUTED_VALUE"""),"")</f>
        <v/>
      </c>
      <c r="G75" s="3">
        <f>IFERROR(__xludf.DUMMYFUNCTION("""COMPUTED_VALUE"""),3022.0)</f>
        <v>3022</v>
      </c>
      <c r="H75" s="1" t="str">
        <f>IFERROR(__xludf.DUMMYFUNCTION("""COMPUTED_VALUE"""),"")</f>
        <v/>
      </c>
      <c r="I75" s="3">
        <f>IFERROR(__xludf.DUMMYFUNCTION("""COMPUTED_VALUE"""),1681.0)</f>
        <v>1681</v>
      </c>
      <c r="J75" s="1">
        <f>IFERROR(__xludf.DUMMYFUNCTION("""COMPUTED_VALUE"""),42.0)</f>
        <v>42</v>
      </c>
      <c r="K75" s="1">
        <f>IFERROR(__xludf.DUMMYFUNCTION("""COMPUTED_VALUE"""),470.0)</f>
        <v>470</v>
      </c>
      <c r="L75" s="1">
        <f>IFERROR(__xludf.DUMMYFUNCTION("""COMPUTED_VALUE"""),6.0)</f>
        <v>6</v>
      </c>
      <c r="M75" s="3">
        <f>IFERROR(__xludf.DUMMYFUNCTION("""COMPUTED_VALUE"""),284669.0)</f>
        <v>284669</v>
      </c>
      <c r="N75" s="3">
        <f>IFERROR(__xludf.DUMMYFUNCTION("""COMPUTED_VALUE"""),28099.0)</f>
        <v>28099</v>
      </c>
      <c r="O75" s="3">
        <f>IFERROR(__xludf.DUMMYFUNCTION("""COMPUTED_VALUE"""),1.0130782E7)</f>
        <v>10130782</v>
      </c>
      <c r="P75" s="1" t="str">
        <f>IFERROR(__xludf.DUMMYFUNCTION("""COMPUTED_VALUE"""),"Asia")</f>
        <v>Asia</v>
      </c>
      <c r="Q75" s="3">
        <f>IFERROR(__xludf.DUMMYFUNCTION("""COMPUTED_VALUE"""),2129.0)</f>
        <v>2129</v>
      </c>
      <c r="R75" s="3">
        <f>IFERROR(__xludf.DUMMYFUNCTION("""COMPUTED_VALUE"""),180907.0)</f>
        <v>180907</v>
      </c>
      <c r="S75" s="1">
        <f>IFERROR(__xludf.DUMMYFUNCTION("""COMPUTED_VALUE"""),36.0)</f>
        <v>36</v>
      </c>
    </row>
    <row r="76">
      <c r="A76" s="1">
        <f>IFERROR(__xludf.DUMMYFUNCTION("""COMPUTED_VALUE"""),67.0)</f>
        <v>67</v>
      </c>
      <c r="B76" s="1" t="str">
        <f>IFERROR(__xludf.DUMMYFUNCTION("""COMPUTED_VALUE"""),"Honduras")</f>
        <v>Honduras</v>
      </c>
      <c r="C76" s="3">
        <f>IFERROR(__xludf.DUMMYFUNCTION("""COMPUTED_VALUE"""),4752.0)</f>
        <v>4752</v>
      </c>
      <c r="D76" s="1" t="str">
        <f>IFERROR(__xludf.DUMMYFUNCTION("""COMPUTED_VALUE"""),"+112")</f>
        <v>+112</v>
      </c>
      <c r="E76" s="1">
        <f>IFERROR(__xludf.DUMMYFUNCTION("""COMPUTED_VALUE"""),196.0)</f>
        <v>196</v>
      </c>
      <c r="F76" s="1" t="str">
        <f>IFERROR(__xludf.DUMMYFUNCTION("""COMPUTED_VALUE"""),"+2")</f>
        <v>+2</v>
      </c>
      <c r="G76" s="1">
        <f>IFERROR(__xludf.DUMMYFUNCTION("""COMPUTED_VALUE"""),519.0)</f>
        <v>519</v>
      </c>
      <c r="H76" s="1" t="str">
        <f>IFERROR(__xludf.DUMMYFUNCTION("""COMPUTED_VALUE"""),"+13")</f>
        <v>+13</v>
      </c>
      <c r="I76" s="3">
        <f>IFERROR(__xludf.DUMMYFUNCTION("""COMPUTED_VALUE"""),4037.0)</f>
        <v>4037</v>
      </c>
      <c r="J76" s="1">
        <f>IFERROR(__xludf.DUMMYFUNCTION("""COMPUTED_VALUE"""),13.0)</f>
        <v>13</v>
      </c>
      <c r="K76" s="1">
        <f>IFERROR(__xludf.DUMMYFUNCTION("""COMPUTED_VALUE"""),481.0)</f>
        <v>481</v>
      </c>
      <c r="L76" s="1">
        <f>IFERROR(__xludf.DUMMYFUNCTION("""COMPUTED_VALUE"""),20.0)</f>
        <v>20</v>
      </c>
      <c r="M76" s="3">
        <f>IFERROR(__xludf.DUMMYFUNCTION("""COMPUTED_VALUE"""),14790.0)</f>
        <v>14790</v>
      </c>
      <c r="N76" s="3">
        <f>IFERROR(__xludf.DUMMYFUNCTION("""COMPUTED_VALUE"""),1496.0)</f>
        <v>1496</v>
      </c>
      <c r="O76" s="3">
        <f>IFERROR(__xludf.DUMMYFUNCTION("""COMPUTED_VALUE"""),9889552.0)</f>
        <v>9889552</v>
      </c>
      <c r="P76" s="1" t="str">
        <f>IFERROR(__xludf.DUMMYFUNCTION("""COMPUTED_VALUE"""),"North America")</f>
        <v>North America</v>
      </c>
      <c r="Q76" s="3">
        <f>IFERROR(__xludf.DUMMYFUNCTION("""COMPUTED_VALUE"""),2081.0)</f>
        <v>2081</v>
      </c>
      <c r="R76" s="3">
        <f>IFERROR(__xludf.DUMMYFUNCTION("""COMPUTED_VALUE"""),50457.0)</f>
        <v>50457</v>
      </c>
      <c r="S76" s="1">
        <f>IFERROR(__xludf.DUMMYFUNCTION("""COMPUTED_VALUE"""),669.0)</f>
        <v>669</v>
      </c>
    </row>
    <row r="77">
      <c r="A77" s="1">
        <f>IFERROR(__xludf.DUMMYFUNCTION("""COMPUTED_VALUE"""),68.0)</f>
        <v>68</v>
      </c>
      <c r="B77" s="1" t="str">
        <f>IFERROR(__xludf.DUMMYFUNCTION("""COMPUTED_VALUE"""),"Guatemala")</f>
        <v>Guatemala</v>
      </c>
      <c r="C77" s="3">
        <f>IFERROR(__xludf.DUMMYFUNCTION("""COMPUTED_VALUE"""),4348.0)</f>
        <v>4348</v>
      </c>
      <c r="D77" s="1" t="str">
        <f>IFERROR(__xludf.DUMMYFUNCTION("""COMPUTED_VALUE"""),"+203")</f>
        <v>+203</v>
      </c>
      <c r="E77" s="1">
        <f>IFERROR(__xludf.DUMMYFUNCTION("""COMPUTED_VALUE"""),80.0)</f>
        <v>80</v>
      </c>
      <c r="F77" s="1" t="str">
        <f>IFERROR(__xludf.DUMMYFUNCTION("""COMPUTED_VALUE"""),"+12")</f>
        <v>+12</v>
      </c>
      <c r="G77" s="1">
        <f>IFERROR(__xludf.DUMMYFUNCTION("""COMPUTED_VALUE"""),565.0)</f>
        <v>565</v>
      </c>
      <c r="H77" s="1" t="str">
        <f>IFERROR(__xludf.DUMMYFUNCTION("""COMPUTED_VALUE"""),"+72")</f>
        <v>+72</v>
      </c>
      <c r="I77" s="3">
        <f>IFERROR(__xludf.DUMMYFUNCTION("""COMPUTED_VALUE"""),3703.0)</f>
        <v>3703</v>
      </c>
      <c r="J77" s="1">
        <f>IFERROR(__xludf.DUMMYFUNCTION("""COMPUTED_VALUE"""),5.0)</f>
        <v>5</v>
      </c>
      <c r="K77" s="1">
        <f>IFERROR(__xludf.DUMMYFUNCTION("""COMPUTED_VALUE"""),243.0)</f>
        <v>243</v>
      </c>
      <c r="L77" s="1">
        <f>IFERROR(__xludf.DUMMYFUNCTION("""COMPUTED_VALUE"""),4.0)</f>
        <v>4</v>
      </c>
      <c r="M77" s="3">
        <f>IFERROR(__xludf.DUMMYFUNCTION("""COMPUTED_VALUE"""),31427.0)</f>
        <v>31427</v>
      </c>
      <c r="N77" s="3">
        <f>IFERROR(__xludf.DUMMYFUNCTION("""COMPUTED_VALUE"""),1757.0)</f>
        <v>1757</v>
      </c>
      <c r="O77" s="3">
        <f>IFERROR(__xludf.DUMMYFUNCTION("""COMPUTED_VALUE"""),1.7883425E7)</f>
        <v>17883425</v>
      </c>
      <c r="P77" s="1" t="str">
        <f>IFERROR(__xludf.DUMMYFUNCTION("""COMPUTED_VALUE"""),"North America")</f>
        <v>North America</v>
      </c>
      <c r="Q77" s="3">
        <f>IFERROR(__xludf.DUMMYFUNCTION("""COMPUTED_VALUE"""),4113.0)</f>
        <v>4113</v>
      </c>
      <c r="R77" s="3">
        <f>IFERROR(__xludf.DUMMYFUNCTION("""COMPUTED_VALUE"""),223543.0)</f>
        <v>223543</v>
      </c>
      <c r="S77" s="1">
        <f>IFERROR(__xludf.DUMMYFUNCTION("""COMPUTED_VALUE"""),569.0)</f>
        <v>569</v>
      </c>
    </row>
    <row r="78">
      <c r="A78" s="1">
        <f>IFERROR(__xludf.DUMMYFUNCTION("""COMPUTED_VALUE"""),69.0)</f>
        <v>69</v>
      </c>
      <c r="B78" s="1" t="str">
        <f>IFERROR(__xludf.DUMMYFUNCTION("""COMPUTED_VALUE"""),"Sudan")</f>
        <v>Sudan</v>
      </c>
      <c r="C78" s="3">
        <f>IFERROR(__xludf.DUMMYFUNCTION("""COMPUTED_VALUE"""),4346.0)</f>
        <v>4346</v>
      </c>
      <c r="D78" s="1" t="str">
        <f>IFERROR(__xludf.DUMMYFUNCTION("""COMPUTED_VALUE"""),"")</f>
        <v/>
      </c>
      <c r="E78" s="1">
        <f>IFERROR(__xludf.DUMMYFUNCTION("""COMPUTED_VALUE"""),195.0)</f>
        <v>195</v>
      </c>
      <c r="F78" s="1" t="str">
        <f>IFERROR(__xludf.DUMMYFUNCTION("""COMPUTED_VALUE"""),"")</f>
        <v/>
      </c>
      <c r="G78" s="1">
        <f>IFERROR(__xludf.DUMMYFUNCTION("""COMPUTED_VALUE"""),749.0)</f>
        <v>749</v>
      </c>
      <c r="H78" s="1" t="str">
        <f>IFERROR(__xludf.DUMMYFUNCTION("""COMPUTED_VALUE"""),"")</f>
        <v/>
      </c>
      <c r="I78" s="3">
        <f>IFERROR(__xludf.DUMMYFUNCTION("""COMPUTED_VALUE"""),3402.0)</f>
        <v>3402</v>
      </c>
      <c r="J78" s="1" t="str">
        <f>IFERROR(__xludf.DUMMYFUNCTION("""COMPUTED_VALUE"""),"")</f>
        <v/>
      </c>
      <c r="K78" s="1">
        <f>IFERROR(__xludf.DUMMYFUNCTION("""COMPUTED_VALUE"""),99.0)</f>
        <v>99</v>
      </c>
      <c r="L78" s="1">
        <f>IFERROR(__xludf.DUMMYFUNCTION("""COMPUTED_VALUE"""),4.0)</f>
        <v>4</v>
      </c>
      <c r="M78" s="1">
        <f>IFERROR(__xludf.DUMMYFUNCTION("""COMPUTED_VALUE"""),401.0)</f>
        <v>401</v>
      </c>
      <c r="N78" s="1">
        <f>IFERROR(__xludf.DUMMYFUNCTION("""COMPUTED_VALUE"""),9.0)</f>
        <v>9</v>
      </c>
      <c r="O78" s="3">
        <f>IFERROR(__xludf.DUMMYFUNCTION("""COMPUTED_VALUE"""),4.3747206E7)</f>
        <v>43747206</v>
      </c>
      <c r="P78" s="1" t="str">
        <f>IFERROR(__xludf.DUMMYFUNCTION("""COMPUTED_VALUE"""),"Africa")</f>
        <v>Africa</v>
      </c>
      <c r="Q78" s="3">
        <f>IFERROR(__xludf.DUMMYFUNCTION("""COMPUTED_VALUE"""),10066.0)</f>
        <v>10066</v>
      </c>
      <c r="R78" s="3">
        <f>IFERROR(__xludf.DUMMYFUNCTION("""COMPUTED_VALUE"""),224345.0)</f>
        <v>224345</v>
      </c>
      <c r="S78" s="3">
        <f>IFERROR(__xludf.DUMMYFUNCTION("""COMPUTED_VALUE"""),109095.0)</f>
        <v>109095</v>
      </c>
    </row>
    <row r="79">
      <c r="A79" s="1">
        <f>IFERROR(__xludf.DUMMYFUNCTION("""COMPUTED_VALUE"""),70.0)</f>
        <v>70</v>
      </c>
      <c r="B79" s="1" t="str">
        <f>IFERROR(__xludf.DUMMYFUNCTION("""COMPUTED_VALUE"""),"Luxembourg")</f>
        <v>Luxembourg</v>
      </c>
      <c r="C79" s="3">
        <f>IFERROR(__xludf.DUMMYFUNCTION("""COMPUTED_VALUE"""),4008.0)</f>
        <v>4008</v>
      </c>
      <c r="D79" s="1" t="str">
        <f>IFERROR(__xludf.DUMMYFUNCTION("""COMPUTED_VALUE"""),"")</f>
        <v/>
      </c>
      <c r="E79" s="1">
        <f>IFERROR(__xludf.DUMMYFUNCTION("""COMPUTED_VALUE"""),110.0)</f>
        <v>110</v>
      </c>
      <c r="F79" s="1" t="str">
        <f>IFERROR(__xludf.DUMMYFUNCTION("""COMPUTED_VALUE"""),"")</f>
        <v/>
      </c>
      <c r="G79" s="3">
        <f>IFERROR(__xludf.DUMMYFUNCTION("""COMPUTED_VALUE"""),3803.0)</f>
        <v>3803</v>
      </c>
      <c r="H79" s="1" t="str">
        <f>IFERROR(__xludf.DUMMYFUNCTION("""COMPUTED_VALUE"""),"")</f>
        <v/>
      </c>
      <c r="I79" s="1">
        <f>IFERROR(__xludf.DUMMYFUNCTION("""COMPUTED_VALUE"""),95.0)</f>
        <v>95</v>
      </c>
      <c r="J79" s="1">
        <f>IFERROR(__xludf.DUMMYFUNCTION("""COMPUTED_VALUE"""),4.0)</f>
        <v>4</v>
      </c>
      <c r="K79" s="3">
        <f>IFERROR(__xludf.DUMMYFUNCTION("""COMPUTED_VALUE"""),6413.0)</f>
        <v>6413</v>
      </c>
      <c r="L79" s="1">
        <f>IFERROR(__xludf.DUMMYFUNCTION("""COMPUTED_VALUE"""),176.0)</f>
        <v>176</v>
      </c>
      <c r="M79" s="3">
        <f>IFERROR(__xludf.DUMMYFUNCTION("""COMPUTED_VALUE"""),71098.0)</f>
        <v>71098</v>
      </c>
      <c r="N79" s="3">
        <f>IFERROR(__xludf.DUMMYFUNCTION("""COMPUTED_VALUE"""),113756.0)</f>
        <v>113756</v>
      </c>
      <c r="O79" s="3">
        <f>IFERROR(__xludf.DUMMYFUNCTION("""COMPUTED_VALUE"""),625003.0)</f>
        <v>625003</v>
      </c>
      <c r="P79" s="1" t="str">
        <f>IFERROR(__xludf.DUMMYFUNCTION("""COMPUTED_VALUE"""),"Europe")</f>
        <v>Europe</v>
      </c>
      <c r="Q79" s="1">
        <f>IFERROR(__xludf.DUMMYFUNCTION("""COMPUTED_VALUE"""),156.0)</f>
        <v>156</v>
      </c>
      <c r="R79" s="3">
        <f>IFERROR(__xludf.DUMMYFUNCTION("""COMPUTED_VALUE"""),5682.0)</f>
        <v>5682</v>
      </c>
      <c r="S79" s="1">
        <f>IFERROR(__xludf.DUMMYFUNCTION("""COMPUTED_VALUE"""),9.0)</f>
        <v>9</v>
      </c>
    </row>
    <row r="80">
      <c r="A80" s="1">
        <f>IFERROR(__xludf.DUMMYFUNCTION("""COMPUTED_VALUE"""),71.0)</f>
        <v>71</v>
      </c>
      <c r="B80" s="1" t="str">
        <f>IFERROR(__xludf.DUMMYFUNCTION("""COMPUTED_VALUE"""),"Hungary")</f>
        <v>Hungary</v>
      </c>
      <c r="C80" s="3">
        <f>IFERROR(__xludf.DUMMYFUNCTION("""COMPUTED_VALUE"""),3816.0)</f>
        <v>3816</v>
      </c>
      <c r="D80" s="1" t="str">
        <f>IFERROR(__xludf.DUMMYFUNCTION("""COMPUTED_VALUE"""),"")</f>
        <v/>
      </c>
      <c r="E80" s="1">
        <f>IFERROR(__xludf.DUMMYFUNCTION("""COMPUTED_VALUE"""),509.0)</f>
        <v>509</v>
      </c>
      <c r="F80" s="1" t="str">
        <f>IFERROR(__xludf.DUMMYFUNCTION("""COMPUTED_VALUE"""),"")</f>
        <v/>
      </c>
      <c r="G80" s="3">
        <f>IFERROR(__xludf.DUMMYFUNCTION("""COMPUTED_VALUE"""),1996.0)</f>
        <v>1996</v>
      </c>
      <c r="H80" s="1" t="str">
        <f>IFERROR(__xludf.DUMMYFUNCTION("""COMPUTED_VALUE"""),"")</f>
        <v/>
      </c>
      <c r="I80" s="3">
        <f>IFERROR(__xludf.DUMMYFUNCTION("""COMPUTED_VALUE"""),1311.0)</f>
        <v>1311</v>
      </c>
      <c r="J80" s="1">
        <f>IFERROR(__xludf.DUMMYFUNCTION("""COMPUTED_VALUE"""),24.0)</f>
        <v>24</v>
      </c>
      <c r="K80" s="1">
        <f>IFERROR(__xludf.DUMMYFUNCTION("""COMPUTED_VALUE"""),395.0)</f>
        <v>395</v>
      </c>
      <c r="L80" s="1">
        <f>IFERROR(__xludf.DUMMYFUNCTION("""COMPUTED_VALUE"""),53.0)</f>
        <v>53</v>
      </c>
      <c r="M80" s="3">
        <f>IFERROR(__xludf.DUMMYFUNCTION("""COMPUTED_VALUE"""),174011.0)</f>
        <v>174011</v>
      </c>
      <c r="N80" s="3">
        <f>IFERROR(__xludf.DUMMYFUNCTION("""COMPUTED_VALUE"""),18009.0)</f>
        <v>18009</v>
      </c>
      <c r="O80" s="3">
        <f>IFERROR(__xludf.DUMMYFUNCTION("""COMPUTED_VALUE"""),9662456.0)</f>
        <v>9662456</v>
      </c>
      <c r="P80" s="1" t="str">
        <f>IFERROR(__xludf.DUMMYFUNCTION("""COMPUTED_VALUE"""),"Europe")</f>
        <v>Europe</v>
      </c>
      <c r="Q80" s="3">
        <f>IFERROR(__xludf.DUMMYFUNCTION("""COMPUTED_VALUE"""),2532.0)</f>
        <v>2532</v>
      </c>
      <c r="R80" s="3">
        <f>IFERROR(__xludf.DUMMYFUNCTION("""COMPUTED_VALUE"""),18983.0)</f>
        <v>18983</v>
      </c>
      <c r="S80" s="1">
        <f>IFERROR(__xludf.DUMMYFUNCTION("""COMPUTED_VALUE"""),56.0)</f>
        <v>56</v>
      </c>
    </row>
    <row r="81">
      <c r="A81" s="1">
        <f>IFERROR(__xludf.DUMMYFUNCTION("""COMPUTED_VALUE"""),72.0)</f>
        <v>72</v>
      </c>
      <c r="B81" s="1" t="str">
        <f>IFERROR(__xludf.DUMMYFUNCTION("""COMPUTED_VALUE"""),"Tajikistan")</f>
        <v>Tajikistan</v>
      </c>
      <c r="C81" s="3">
        <f>IFERROR(__xludf.DUMMYFUNCTION("""COMPUTED_VALUE"""),3563.0)</f>
        <v>3563</v>
      </c>
      <c r="D81" s="1" t="str">
        <f>IFERROR(__xludf.DUMMYFUNCTION("""COMPUTED_VALUE"""),"")</f>
        <v/>
      </c>
      <c r="E81" s="1">
        <f>IFERROR(__xludf.DUMMYFUNCTION("""COMPUTED_VALUE"""),47.0)</f>
        <v>47</v>
      </c>
      <c r="F81" s="1" t="str">
        <f>IFERROR(__xludf.DUMMYFUNCTION("""COMPUTED_VALUE"""),"")</f>
        <v/>
      </c>
      <c r="G81" s="3">
        <f>IFERROR(__xludf.DUMMYFUNCTION("""COMPUTED_VALUE"""),1674.0)</f>
        <v>1674</v>
      </c>
      <c r="H81" s="1" t="str">
        <f>IFERROR(__xludf.DUMMYFUNCTION("""COMPUTED_VALUE"""),"")</f>
        <v/>
      </c>
      <c r="I81" s="3">
        <f>IFERROR(__xludf.DUMMYFUNCTION("""COMPUTED_VALUE"""),1842.0)</f>
        <v>1842</v>
      </c>
      <c r="J81" s="1" t="str">
        <f>IFERROR(__xludf.DUMMYFUNCTION("""COMPUTED_VALUE"""),"")</f>
        <v/>
      </c>
      <c r="K81" s="1">
        <f>IFERROR(__xludf.DUMMYFUNCTION("""COMPUTED_VALUE"""),374.0)</f>
        <v>374</v>
      </c>
      <c r="L81" s="1">
        <f>IFERROR(__xludf.DUMMYFUNCTION("""COMPUTED_VALUE"""),5.0)</f>
        <v>5</v>
      </c>
      <c r="M81" s="1" t="str">
        <f>IFERROR(__xludf.DUMMYFUNCTION("""COMPUTED_VALUE"""),"")</f>
        <v/>
      </c>
      <c r="N81" s="1" t="str">
        <f>IFERROR(__xludf.DUMMYFUNCTION("""COMPUTED_VALUE"""),"")</f>
        <v/>
      </c>
      <c r="O81" s="3">
        <f>IFERROR(__xludf.DUMMYFUNCTION("""COMPUTED_VALUE"""),9516398.0)</f>
        <v>9516398</v>
      </c>
      <c r="P81" s="1" t="str">
        <f>IFERROR(__xludf.DUMMYFUNCTION("""COMPUTED_VALUE"""),"Asia")</f>
        <v>Asia</v>
      </c>
      <c r="Q81" s="3">
        <f>IFERROR(__xludf.DUMMYFUNCTION("""COMPUTED_VALUE"""),2671.0)</f>
        <v>2671</v>
      </c>
      <c r="R81" s="3">
        <f>IFERROR(__xludf.DUMMYFUNCTION("""COMPUTED_VALUE"""),202477.0)</f>
        <v>202477</v>
      </c>
      <c r="S81" s="1" t="str">
        <f>IFERROR(__xludf.DUMMYFUNCTION("""COMPUTED_VALUE"""),"")</f>
        <v/>
      </c>
    </row>
    <row r="82">
      <c r="A82" s="1">
        <f>IFERROR(__xludf.DUMMYFUNCTION("""COMPUTED_VALUE"""),73.0)</f>
        <v>73</v>
      </c>
      <c r="B82" s="1" t="str">
        <f>IFERROR(__xludf.DUMMYFUNCTION("""COMPUTED_VALUE"""),"Guinea")</f>
        <v>Guinea</v>
      </c>
      <c r="C82" s="3">
        <f>IFERROR(__xludf.DUMMYFUNCTION("""COMPUTED_VALUE"""),3553.0)</f>
        <v>3553</v>
      </c>
      <c r="D82" s="1" t="str">
        <f>IFERROR(__xludf.DUMMYFUNCTION("""COMPUTED_VALUE"""),"")</f>
        <v/>
      </c>
      <c r="E82" s="1">
        <f>IFERROR(__xludf.DUMMYFUNCTION("""COMPUTED_VALUE"""),22.0)</f>
        <v>22</v>
      </c>
      <c r="F82" s="1" t="str">
        <f>IFERROR(__xludf.DUMMYFUNCTION("""COMPUTED_VALUE"""),"")</f>
        <v/>
      </c>
      <c r="G82" s="3">
        <f>IFERROR(__xludf.DUMMYFUNCTION("""COMPUTED_VALUE"""),1950.0)</f>
        <v>1950</v>
      </c>
      <c r="H82" s="1" t="str">
        <f>IFERROR(__xludf.DUMMYFUNCTION("""COMPUTED_VALUE"""),"")</f>
        <v/>
      </c>
      <c r="I82" s="3">
        <f>IFERROR(__xludf.DUMMYFUNCTION("""COMPUTED_VALUE"""),1581.0)</f>
        <v>1581</v>
      </c>
      <c r="J82" s="1">
        <f>IFERROR(__xludf.DUMMYFUNCTION("""COMPUTED_VALUE"""),24.0)</f>
        <v>24</v>
      </c>
      <c r="K82" s="1">
        <f>IFERROR(__xludf.DUMMYFUNCTION("""COMPUTED_VALUE"""),271.0)</f>
        <v>271</v>
      </c>
      <c r="L82" s="1">
        <f>IFERROR(__xludf.DUMMYFUNCTION("""COMPUTED_VALUE"""),2.0)</f>
        <v>2</v>
      </c>
      <c r="M82" s="3">
        <f>IFERROR(__xludf.DUMMYFUNCTION("""COMPUTED_VALUE"""),14407.0)</f>
        <v>14407</v>
      </c>
      <c r="N82" s="3">
        <f>IFERROR(__xludf.DUMMYFUNCTION("""COMPUTED_VALUE"""),1100.0)</f>
        <v>1100</v>
      </c>
      <c r="O82" s="3">
        <f>IFERROR(__xludf.DUMMYFUNCTION("""COMPUTED_VALUE"""),1.3096527E7)</f>
        <v>13096527</v>
      </c>
      <c r="P82" s="1" t="str">
        <f>IFERROR(__xludf.DUMMYFUNCTION("""COMPUTED_VALUE"""),"Africa")</f>
        <v>Africa</v>
      </c>
      <c r="Q82" s="3">
        <f>IFERROR(__xludf.DUMMYFUNCTION("""COMPUTED_VALUE"""),3686.0)</f>
        <v>3686</v>
      </c>
      <c r="R82" s="3">
        <f>IFERROR(__xludf.DUMMYFUNCTION("""COMPUTED_VALUE"""),595297.0)</f>
        <v>595297</v>
      </c>
      <c r="S82" s="1">
        <f>IFERROR(__xludf.DUMMYFUNCTION("""COMPUTED_VALUE"""),909.0)</f>
        <v>909</v>
      </c>
    </row>
    <row r="83">
      <c r="A83" s="1">
        <f>IFERROR(__xludf.DUMMYFUNCTION("""COMPUTED_VALUE"""),74.0)</f>
        <v>74</v>
      </c>
      <c r="B83" s="1" t="str">
        <f>IFERROR(__xludf.DUMMYFUNCTION("""COMPUTED_VALUE"""),"Uzbekistan")</f>
        <v>Uzbekistan</v>
      </c>
      <c r="C83" s="3">
        <f>IFERROR(__xludf.DUMMYFUNCTION("""COMPUTED_VALUE"""),3444.0)</f>
        <v>3444</v>
      </c>
      <c r="D83" s="1" t="str">
        <f>IFERROR(__xludf.DUMMYFUNCTION("""COMPUTED_VALUE"""),"")</f>
        <v/>
      </c>
      <c r="E83" s="1">
        <f>IFERROR(__xludf.DUMMYFUNCTION("""COMPUTED_VALUE"""),14.0)</f>
        <v>14</v>
      </c>
      <c r="F83" s="1" t="str">
        <f>IFERROR(__xludf.DUMMYFUNCTION("""COMPUTED_VALUE"""),"")</f>
        <v/>
      </c>
      <c r="G83" s="3">
        <f>IFERROR(__xludf.DUMMYFUNCTION("""COMPUTED_VALUE"""),2694.0)</f>
        <v>2694</v>
      </c>
      <c r="H83" s="1" t="str">
        <f>IFERROR(__xludf.DUMMYFUNCTION("""COMPUTED_VALUE"""),"")</f>
        <v/>
      </c>
      <c r="I83" s="1">
        <f>IFERROR(__xludf.DUMMYFUNCTION("""COMPUTED_VALUE"""),736.0)</f>
        <v>736</v>
      </c>
      <c r="J83" s="1">
        <f>IFERROR(__xludf.DUMMYFUNCTION("""COMPUTED_VALUE"""),4.0)</f>
        <v>4</v>
      </c>
      <c r="K83" s="1">
        <f>IFERROR(__xludf.DUMMYFUNCTION("""COMPUTED_VALUE"""),103.0)</f>
        <v>103</v>
      </c>
      <c r="L83" s="1">
        <f>IFERROR(__xludf.DUMMYFUNCTION("""COMPUTED_VALUE"""),0.4)</f>
        <v>0.4</v>
      </c>
      <c r="M83" s="3">
        <f>IFERROR(__xludf.DUMMYFUNCTION("""COMPUTED_VALUE"""),460000.0)</f>
        <v>460000</v>
      </c>
      <c r="N83" s="3">
        <f>IFERROR(__xludf.DUMMYFUNCTION("""COMPUTED_VALUE"""),13763.0)</f>
        <v>13763</v>
      </c>
      <c r="O83" s="3">
        <f>IFERROR(__xludf.DUMMYFUNCTION("""COMPUTED_VALUE"""),3.3423219E7)</f>
        <v>33423219</v>
      </c>
      <c r="P83" s="1" t="str">
        <f>IFERROR(__xludf.DUMMYFUNCTION("""COMPUTED_VALUE"""),"Asia")</f>
        <v>Asia</v>
      </c>
      <c r="Q83" s="3">
        <f>IFERROR(__xludf.DUMMYFUNCTION("""COMPUTED_VALUE"""),9705.0)</f>
        <v>9705</v>
      </c>
      <c r="R83" s="3">
        <f>IFERROR(__xludf.DUMMYFUNCTION("""COMPUTED_VALUE"""),2387373.0)</f>
        <v>2387373</v>
      </c>
      <c r="S83" s="1">
        <f>IFERROR(__xludf.DUMMYFUNCTION("""COMPUTED_VALUE"""),73.0)</f>
        <v>73</v>
      </c>
    </row>
    <row r="84">
      <c r="A84" s="1">
        <f>IFERROR(__xludf.DUMMYFUNCTION("""COMPUTED_VALUE"""),75.0)</f>
        <v>75</v>
      </c>
      <c r="B84" s="1" t="str">
        <f>IFERROR(__xludf.DUMMYFUNCTION("""COMPUTED_VALUE"""),"Senegal")</f>
        <v>Senegal</v>
      </c>
      <c r="C84" s="3">
        <f>IFERROR(__xludf.DUMMYFUNCTION("""COMPUTED_VALUE"""),3348.0)</f>
        <v>3348</v>
      </c>
      <c r="D84" s="1" t="str">
        <f>IFERROR(__xludf.DUMMYFUNCTION("""COMPUTED_VALUE"""),"")</f>
        <v/>
      </c>
      <c r="E84" s="1">
        <f>IFERROR(__xludf.DUMMYFUNCTION("""COMPUTED_VALUE"""),39.0)</f>
        <v>39</v>
      </c>
      <c r="F84" s="1" t="str">
        <f>IFERROR(__xludf.DUMMYFUNCTION("""COMPUTED_VALUE"""),"")</f>
        <v/>
      </c>
      <c r="G84" s="3">
        <f>IFERROR(__xludf.DUMMYFUNCTION("""COMPUTED_VALUE"""),1686.0)</f>
        <v>1686</v>
      </c>
      <c r="H84" s="1" t="str">
        <f>IFERROR(__xludf.DUMMYFUNCTION("""COMPUTED_VALUE"""),"")</f>
        <v/>
      </c>
      <c r="I84" s="3">
        <f>IFERROR(__xludf.DUMMYFUNCTION("""COMPUTED_VALUE"""),1623.0)</f>
        <v>1623</v>
      </c>
      <c r="J84" s="1">
        <f>IFERROR(__xludf.DUMMYFUNCTION("""COMPUTED_VALUE"""),18.0)</f>
        <v>18</v>
      </c>
      <c r="K84" s="1">
        <f>IFERROR(__xludf.DUMMYFUNCTION("""COMPUTED_VALUE"""),200.0)</f>
        <v>200</v>
      </c>
      <c r="L84" s="1">
        <f>IFERROR(__xludf.DUMMYFUNCTION("""COMPUTED_VALUE"""),2.0)</f>
        <v>2</v>
      </c>
      <c r="M84" s="3">
        <f>IFERROR(__xludf.DUMMYFUNCTION("""COMPUTED_VALUE"""),38508.0)</f>
        <v>38508</v>
      </c>
      <c r="N84" s="3">
        <f>IFERROR(__xludf.DUMMYFUNCTION("""COMPUTED_VALUE"""),2306.0)</f>
        <v>2306</v>
      </c>
      <c r="O84" s="3">
        <f>IFERROR(__xludf.DUMMYFUNCTION("""COMPUTED_VALUE"""),1.6699197E7)</f>
        <v>16699197</v>
      </c>
      <c r="P84" s="1" t="str">
        <f>IFERROR(__xludf.DUMMYFUNCTION("""COMPUTED_VALUE"""),"Africa")</f>
        <v>Africa</v>
      </c>
      <c r="Q84" s="3">
        <f>IFERROR(__xludf.DUMMYFUNCTION("""COMPUTED_VALUE"""),4988.0)</f>
        <v>4988</v>
      </c>
      <c r="R84" s="3">
        <f>IFERROR(__xludf.DUMMYFUNCTION("""COMPUTED_VALUE"""),428185.0)</f>
        <v>428185</v>
      </c>
      <c r="S84" s="1">
        <f>IFERROR(__xludf.DUMMYFUNCTION("""COMPUTED_VALUE"""),434.0)</f>
        <v>434</v>
      </c>
    </row>
    <row r="85">
      <c r="A85" s="1">
        <f>IFERROR(__xludf.DUMMYFUNCTION("""COMPUTED_VALUE"""),76.0)</f>
        <v>76</v>
      </c>
      <c r="B85" s="1" t="str">
        <f>IFERROR(__xludf.DUMMYFUNCTION("""COMPUTED_VALUE"""),"Thailand")</f>
        <v>Thailand</v>
      </c>
      <c r="C85" s="3">
        <f>IFERROR(__xludf.DUMMYFUNCTION("""COMPUTED_VALUE"""),3065.0)</f>
        <v>3065</v>
      </c>
      <c r="D85" s="1" t="str">
        <f>IFERROR(__xludf.DUMMYFUNCTION("""COMPUTED_VALUE"""),"")</f>
        <v/>
      </c>
      <c r="E85" s="1">
        <f>IFERROR(__xludf.DUMMYFUNCTION("""COMPUTED_VALUE"""),57.0)</f>
        <v>57</v>
      </c>
      <c r="F85" s="1" t="str">
        <f>IFERROR(__xludf.DUMMYFUNCTION("""COMPUTED_VALUE"""),"")</f>
        <v/>
      </c>
      <c r="G85" s="3">
        <f>IFERROR(__xludf.DUMMYFUNCTION("""COMPUTED_VALUE"""),2945.0)</f>
        <v>2945</v>
      </c>
      <c r="H85" s="1" t="str">
        <f>IFERROR(__xludf.DUMMYFUNCTION("""COMPUTED_VALUE"""),"")</f>
        <v/>
      </c>
      <c r="I85" s="1">
        <f>IFERROR(__xludf.DUMMYFUNCTION("""COMPUTED_VALUE"""),63.0)</f>
        <v>63</v>
      </c>
      <c r="J85" s="1">
        <f>IFERROR(__xludf.DUMMYFUNCTION("""COMPUTED_VALUE"""),59.0)</f>
        <v>59</v>
      </c>
      <c r="K85" s="1">
        <f>IFERROR(__xludf.DUMMYFUNCTION("""COMPUTED_VALUE"""),44.0)</f>
        <v>44</v>
      </c>
      <c r="L85" s="1">
        <f>IFERROR(__xludf.DUMMYFUNCTION("""COMPUTED_VALUE"""),0.8)</f>
        <v>0.8</v>
      </c>
      <c r="M85" s="3">
        <f>IFERROR(__xludf.DUMMYFUNCTION("""COMPUTED_VALUE"""),375453.0)</f>
        <v>375453</v>
      </c>
      <c r="N85" s="3">
        <f>IFERROR(__xludf.DUMMYFUNCTION("""COMPUTED_VALUE"""),5380.0)</f>
        <v>5380</v>
      </c>
      <c r="O85" s="3">
        <f>IFERROR(__xludf.DUMMYFUNCTION("""COMPUTED_VALUE"""),6.978449E7)</f>
        <v>69784490</v>
      </c>
      <c r="P85" s="1" t="str">
        <f>IFERROR(__xludf.DUMMYFUNCTION("""COMPUTED_VALUE"""),"Asia")</f>
        <v>Asia</v>
      </c>
      <c r="Q85" s="3">
        <f>IFERROR(__xludf.DUMMYFUNCTION("""COMPUTED_VALUE"""),22768.0)</f>
        <v>22768</v>
      </c>
      <c r="R85" s="3">
        <f>IFERROR(__xludf.DUMMYFUNCTION("""COMPUTED_VALUE"""),1224289.0)</f>
        <v>1224289</v>
      </c>
      <c r="S85" s="1">
        <f>IFERROR(__xludf.DUMMYFUNCTION("""COMPUTED_VALUE"""),186.0)</f>
        <v>186</v>
      </c>
    </row>
    <row r="86">
      <c r="A86" s="1">
        <f>IFERROR(__xludf.DUMMYFUNCTION("""COMPUTED_VALUE"""),77.0)</f>
        <v>77</v>
      </c>
      <c r="B86" s="1" t="str">
        <f>IFERROR(__xludf.DUMMYFUNCTION("""COMPUTED_VALUE"""),"Djibouti")</f>
        <v>Djibouti</v>
      </c>
      <c r="C86" s="3">
        <f>IFERROR(__xludf.DUMMYFUNCTION("""COMPUTED_VALUE"""),2914.0)</f>
        <v>2914</v>
      </c>
      <c r="D86" s="1" t="str">
        <f>IFERROR(__xludf.DUMMYFUNCTION("""COMPUTED_VALUE"""),"")</f>
        <v/>
      </c>
      <c r="E86" s="1">
        <f>IFERROR(__xludf.DUMMYFUNCTION("""COMPUTED_VALUE"""),20.0)</f>
        <v>20</v>
      </c>
      <c r="F86" s="1" t="str">
        <f>IFERROR(__xludf.DUMMYFUNCTION("""COMPUTED_VALUE"""),"")</f>
        <v/>
      </c>
      <c r="G86" s="3">
        <f>IFERROR(__xludf.DUMMYFUNCTION("""COMPUTED_VALUE"""),1241.0)</f>
        <v>1241</v>
      </c>
      <c r="H86" s="1" t="str">
        <f>IFERROR(__xludf.DUMMYFUNCTION("""COMPUTED_VALUE"""),"")</f>
        <v/>
      </c>
      <c r="I86" s="3">
        <f>IFERROR(__xludf.DUMMYFUNCTION("""COMPUTED_VALUE"""),1653.0)</f>
        <v>1653</v>
      </c>
      <c r="J86" s="1" t="str">
        <f>IFERROR(__xludf.DUMMYFUNCTION("""COMPUTED_VALUE"""),"")</f>
        <v/>
      </c>
      <c r="K86" s="3">
        <f>IFERROR(__xludf.DUMMYFUNCTION("""COMPUTED_VALUE"""),2953.0)</f>
        <v>2953</v>
      </c>
      <c r="L86" s="1">
        <f>IFERROR(__xludf.DUMMYFUNCTION("""COMPUTED_VALUE"""),20.0)</f>
        <v>20</v>
      </c>
      <c r="M86" s="3">
        <f>IFERROR(__xludf.DUMMYFUNCTION("""COMPUTED_VALUE"""),25257.0)</f>
        <v>25257</v>
      </c>
      <c r="N86" s="3">
        <f>IFERROR(__xludf.DUMMYFUNCTION("""COMPUTED_VALUE"""),25599.0)</f>
        <v>25599</v>
      </c>
      <c r="O86" s="3">
        <f>IFERROR(__xludf.DUMMYFUNCTION("""COMPUTED_VALUE"""),986638.0)</f>
        <v>986638</v>
      </c>
      <c r="P86" s="1" t="str">
        <f>IFERROR(__xludf.DUMMYFUNCTION("""COMPUTED_VALUE"""),"Africa")</f>
        <v>Africa</v>
      </c>
      <c r="Q86" s="1">
        <f>IFERROR(__xludf.DUMMYFUNCTION("""COMPUTED_VALUE"""),339.0)</f>
        <v>339</v>
      </c>
      <c r="R86" s="3">
        <f>IFERROR(__xludf.DUMMYFUNCTION("""COMPUTED_VALUE"""),49332.0)</f>
        <v>49332</v>
      </c>
      <c r="S86" s="1">
        <f>IFERROR(__xludf.DUMMYFUNCTION("""COMPUTED_VALUE"""),39.0)</f>
        <v>39</v>
      </c>
    </row>
    <row r="87">
      <c r="A87" s="1">
        <f>IFERROR(__xludf.DUMMYFUNCTION("""COMPUTED_VALUE"""),78.0)</f>
        <v>78</v>
      </c>
      <c r="B87" s="1" t="str">
        <f>IFERROR(__xludf.DUMMYFUNCTION("""COMPUTED_VALUE"""),"Greece")</f>
        <v>Greece</v>
      </c>
      <c r="C87" s="3">
        <f>IFERROR(__xludf.DUMMYFUNCTION("""COMPUTED_VALUE"""),2906.0)</f>
        <v>2906</v>
      </c>
      <c r="D87" s="1" t="str">
        <f>IFERROR(__xludf.DUMMYFUNCTION("""COMPUTED_VALUE"""),"")</f>
        <v/>
      </c>
      <c r="E87" s="1">
        <f>IFERROR(__xludf.DUMMYFUNCTION("""COMPUTED_VALUE"""),175.0)</f>
        <v>175</v>
      </c>
      <c r="F87" s="1" t="str">
        <f>IFERROR(__xludf.DUMMYFUNCTION("""COMPUTED_VALUE"""),"")</f>
        <v/>
      </c>
      <c r="G87" s="3">
        <f>IFERROR(__xludf.DUMMYFUNCTION("""COMPUTED_VALUE"""),1374.0)</f>
        <v>1374</v>
      </c>
      <c r="H87" s="1" t="str">
        <f>IFERROR(__xludf.DUMMYFUNCTION("""COMPUTED_VALUE"""),"")</f>
        <v/>
      </c>
      <c r="I87" s="3">
        <f>IFERROR(__xludf.DUMMYFUNCTION("""COMPUTED_VALUE"""),1357.0)</f>
        <v>1357</v>
      </c>
      <c r="J87" s="1">
        <f>IFERROR(__xludf.DUMMYFUNCTION("""COMPUTED_VALUE"""),16.0)</f>
        <v>16</v>
      </c>
      <c r="K87" s="1">
        <f>IFERROR(__xludf.DUMMYFUNCTION("""COMPUTED_VALUE"""),279.0)</f>
        <v>279</v>
      </c>
      <c r="L87" s="1">
        <f>IFERROR(__xludf.DUMMYFUNCTION("""COMPUTED_VALUE"""),17.0)</f>
        <v>17</v>
      </c>
      <c r="M87" s="3">
        <f>IFERROR(__xludf.DUMMYFUNCTION("""COMPUTED_VALUE"""),170467.0)</f>
        <v>170467</v>
      </c>
      <c r="N87" s="3">
        <f>IFERROR(__xludf.DUMMYFUNCTION("""COMPUTED_VALUE"""),16348.0)</f>
        <v>16348</v>
      </c>
      <c r="O87" s="3">
        <f>IFERROR(__xludf.DUMMYFUNCTION("""COMPUTED_VALUE"""),1.0427362E7)</f>
        <v>10427362</v>
      </c>
      <c r="P87" s="1" t="str">
        <f>IFERROR(__xludf.DUMMYFUNCTION("""COMPUTED_VALUE"""),"Europe")</f>
        <v>Europe</v>
      </c>
      <c r="Q87" s="3">
        <f>IFERROR(__xludf.DUMMYFUNCTION("""COMPUTED_VALUE"""),3588.0)</f>
        <v>3588</v>
      </c>
      <c r="R87" s="3">
        <f>IFERROR(__xludf.DUMMYFUNCTION("""COMPUTED_VALUE"""),59585.0)</f>
        <v>59585</v>
      </c>
      <c r="S87" s="1">
        <f>IFERROR(__xludf.DUMMYFUNCTION("""COMPUTED_VALUE"""),61.0)</f>
        <v>61</v>
      </c>
    </row>
    <row r="88">
      <c r="A88" s="1">
        <f>IFERROR(__xludf.DUMMYFUNCTION("""COMPUTED_VALUE"""),79.0)</f>
        <v>79</v>
      </c>
      <c r="B88" s="1" t="str">
        <f>IFERROR(__xludf.DUMMYFUNCTION("""COMPUTED_VALUE"""),"DRC")</f>
        <v>DRC</v>
      </c>
      <c r="C88" s="3">
        <f>IFERROR(__xludf.DUMMYFUNCTION("""COMPUTED_VALUE"""),2660.0)</f>
        <v>2660</v>
      </c>
      <c r="D88" s="1" t="str">
        <f>IFERROR(__xludf.DUMMYFUNCTION("""COMPUTED_VALUE"""),"")</f>
        <v/>
      </c>
      <c r="E88" s="1">
        <f>IFERROR(__xludf.DUMMYFUNCTION("""COMPUTED_VALUE"""),69.0)</f>
        <v>69</v>
      </c>
      <c r="F88" s="1" t="str">
        <f>IFERROR(__xludf.DUMMYFUNCTION("""COMPUTED_VALUE"""),"")</f>
        <v/>
      </c>
      <c r="G88" s="1">
        <f>IFERROR(__xludf.DUMMYFUNCTION("""COMPUTED_VALUE"""),381.0)</f>
        <v>381</v>
      </c>
      <c r="H88" s="1" t="str">
        <f>IFERROR(__xludf.DUMMYFUNCTION("""COMPUTED_VALUE"""),"")</f>
        <v/>
      </c>
      <c r="I88" s="3">
        <f>IFERROR(__xludf.DUMMYFUNCTION("""COMPUTED_VALUE"""),2210.0)</f>
        <v>2210</v>
      </c>
      <c r="J88" s="1" t="str">
        <f>IFERROR(__xludf.DUMMYFUNCTION("""COMPUTED_VALUE"""),"")</f>
        <v/>
      </c>
      <c r="K88" s="1">
        <f>IFERROR(__xludf.DUMMYFUNCTION("""COMPUTED_VALUE"""),30.0)</f>
        <v>30</v>
      </c>
      <c r="L88" s="1">
        <f>IFERROR(__xludf.DUMMYFUNCTION("""COMPUTED_VALUE"""),0.8)</f>
        <v>0.8</v>
      </c>
      <c r="M88" s="1" t="str">
        <f>IFERROR(__xludf.DUMMYFUNCTION("""COMPUTED_VALUE"""),"")</f>
        <v/>
      </c>
      <c r="N88" s="1" t="str">
        <f>IFERROR(__xludf.DUMMYFUNCTION("""COMPUTED_VALUE"""),"")</f>
        <v/>
      </c>
      <c r="O88" s="3">
        <f>IFERROR(__xludf.DUMMYFUNCTION("""COMPUTED_VALUE"""),8.9279074E7)</f>
        <v>89279074</v>
      </c>
      <c r="P88" s="1" t="str">
        <f>IFERROR(__xludf.DUMMYFUNCTION("""COMPUTED_VALUE"""),"Africa")</f>
        <v>Africa</v>
      </c>
      <c r="Q88" s="3">
        <f>IFERROR(__xludf.DUMMYFUNCTION("""COMPUTED_VALUE"""),33564.0)</f>
        <v>33564</v>
      </c>
      <c r="R88" s="3">
        <f>IFERROR(__xludf.DUMMYFUNCTION("""COMPUTED_VALUE"""),1293900.0)</f>
        <v>1293900</v>
      </c>
      <c r="S88" s="1" t="str">
        <f>IFERROR(__xludf.DUMMYFUNCTION("""COMPUTED_VALUE"""),"")</f>
        <v/>
      </c>
    </row>
    <row r="89">
      <c r="A89" s="1">
        <f>IFERROR(__xludf.DUMMYFUNCTION("""COMPUTED_VALUE"""),80.0)</f>
        <v>80</v>
      </c>
      <c r="B89" s="1" t="str">
        <f>IFERROR(__xludf.DUMMYFUNCTION("""COMPUTED_VALUE"""),"Ivory Coast")</f>
        <v>Ivory Coast</v>
      </c>
      <c r="C89" s="3">
        <f>IFERROR(__xludf.DUMMYFUNCTION("""COMPUTED_VALUE"""),2641.0)</f>
        <v>2641</v>
      </c>
      <c r="D89" s="1" t="str">
        <f>IFERROR(__xludf.DUMMYFUNCTION("""COMPUTED_VALUE"""),"")</f>
        <v/>
      </c>
      <c r="E89" s="1">
        <f>IFERROR(__xludf.DUMMYFUNCTION("""COMPUTED_VALUE"""),32.0)</f>
        <v>32</v>
      </c>
      <c r="F89" s="1" t="str">
        <f>IFERROR(__xludf.DUMMYFUNCTION("""COMPUTED_VALUE"""),"")</f>
        <v/>
      </c>
      <c r="G89" s="3">
        <f>IFERROR(__xludf.DUMMYFUNCTION("""COMPUTED_VALUE"""),1326.0)</f>
        <v>1326</v>
      </c>
      <c r="H89" s="1" t="str">
        <f>IFERROR(__xludf.DUMMYFUNCTION("""COMPUTED_VALUE"""),"")</f>
        <v/>
      </c>
      <c r="I89" s="3">
        <f>IFERROR(__xludf.DUMMYFUNCTION("""COMPUTED_VALUE"""),1283.0)</f>
        <v>1283</v>
      </c>
      <c r="J89" s="1" t="str">
        <f>IFERROR(__xludf.DUMMYFUNCTION("""COMPUTED_VALUE"""),"")</f>
        <v/>
      </c>
      <c r="K89" s="1">
        <f>IFERROR(__xludf.DUMMYFUNCTION("""COMPUTED_VALUE"""),100.0)</f>
        <v>100</v>
      </c>
      <c r="L89" s="1">
        <f>IFERROR(__xludf.DUMMYFUNCTION("""COMPUTED_VALUE"""),1.0)</f>
        <v>1</v>
      </c>
      <c r="M89" s="3">
        <f>IFERROR(__xludf.DUMMYFUNCTION("""COMPUTED_VALUE"""),26021.0)</f>
        <v>26021</v>
      </c>
      <c r="N89" s="1">
        <f>IFERROR(__xludf.DUMMYFUNCTION("""COMPUTED_VALUE"""),989.0)</f>
        <v>989</v>
      </c>
      <c r="O89" s="3">
        <f>IFERROR(__xludf.DUMMYFUNCTION("""COMPUTED_VALUE"""),2.6312643E7)</f>
        <v>26312643</v>
      </c>
      <c r="P89" s="1" t="str">
        <f>IFERROR(__xludf.DUMMYFUNCTION("""COMPUTED_VALUE"""),"Africa")</f>
        <v>Africa</v>
      </c>
      <c r="Q89" s="3">
        <f>IFERROR(__xludf.DUMMYFUNCTION("""COMPUTED_VALUE"""),9963.0)</f>
        <v>9963</v>
      </c>
      <c r="R89" s="3">
        <f>IFERROR(__xludf.DUMMYFUNCTION("""COMPUTED_VALUE"""),822270.0)</f>
        <v>822270</v>
      </c>
      <c r="S89" s="3">
        <f>IFERROR(__xludf.DUMMYFUNCTION("""COMPUTED_VALUE"""),1011.0)</f>
        <v>1011</v>
      </c>
    </row>
    <row r="90">
      <c r="A90" s="1">
        <f>IFERROR(__xludf.DUMMYFUNCTION("""COMPUTED_VALUE"""),81.0)</f>
        <v>81</v>
      </c>
      <c r="B90" s="1" t="str">
        <f>IFERROR(__xludf.DUMMYFUNCTION("""COMPUTED_VALUE"""),"Bulgaria")</f>
        <v>Bulgaria</v>
      </c>
      <c r="C90" s="3">
        <f>IFERROR(__xludf.DUMMYFUNCTION("""COMPUTED_VALUE"""),2477.0)</f>
        <v>2477</v>
      </c>
      <c r="D90" s="1" t="str">
        <f>IFERROR(__xludf.DUMMYFUNCTION("""COMPUTED_VALUE"""),"")</f>
        <v/>
      </c>
      <c r="E90" s="1">
        <f>IFERROR(__xludf.DUMMYFUNCTION("""COMPUTED_VALUE"""),134.0)</f>
        <v>134</v>
      </c>
      <c r="F90" s="1" t="str">
        <f>IFERROR(__xludf.DUMMYFUNCTION("""COMPUTED_VALUE"""),"")</f>
        <v/>
      </c>
      <c r="G90" s="1">
        <f>IFERROR(__xludf.DUMMYFUNCTION("""COMPUTED_VALUE"""),965.0)</f>
        <v>965</v>
      </c>
      <c r="H90" s="1" t="str">
        <f>IFERROR(__xludf.DUMMYFUNCTION("""COMPUTED_VALUE"""),"")</f>
        <v/>
      </c>
      <c r="I90" s="3">
        <f>IFERROR(__xludf.DUMMYFUNCTION("""COMPUTED_VALUE"""),1378.0)</f>
        <v>1378</v>
      </c>
      <c r="J90" s="1">
        <f>IFERROR(__xludf.DUMMYFUNCTION("""COMPUTED_VALUE"""),22.0)</f>
        <v>22</v>
      </c>
      <c r="K90" s="1">
        <f>IFERROR(__xludf.DUMMYFUNCTION("""COMPUTED_VALUE"""),356.0)</f>
        <v>356</v>
      </c>
      <c r="L90" s="1">
        <f>IFERROR(__xludf.DUMMYFUNCTION("""COMPUTED_VALUE"""),19.0)</f>
        <v>19</v>
      </c>
      <c r="M90" s="3">
        <f>IFERROR(__xludf.DUMMYFUNCTION("""COMPUTED_VALUE"""),77664.0)</f>
        <v>77664</v>
      </c>
      <c r="N90" s="3">
        <f>IFERROR(__xludf.DUMMYFUNCTION("""COMPUTED_VALUE"""),11170.0)</f>
        <v>11170</v>
      </c>
      <c r="O90" s="3">
        <f>IFERROR(__xludf.DUMMYFUNCTION("""COMPUTED_VALUE"""),6952801.0)</f>
        <v>6952801</v>
      </c>
      <c r="P90" s="1" t="str">
        <f>IFERROR(__xludf.DUMMYFUNCTION("""COMPUTED_VALUE"""),"Europe")</f>
        <v>Europe</v>
      </c>
      <c r="Q90" s="3">
        <f>IFERROR(__xludf.DUMMYFUNCTION("""COMPUTED_VALUE"""),2807.0)</f>
        <v>2807</v>
      </c>
      <c r="R90" s="3">
        <f>IFERROR(__xludf.DUMMYFUNCTION("""COMPUTED_VALUE"""),51887.0)</f>
        <v>51887</v>
      </c>
      <c r="S90" s="1">
        <f>IFERROR(__xludf.DUMMYFUNCTION("""COMPUTED_VALUE"""),90.0)</f>
        <v>90</v>
      </c>
    </row>
    <row r="91">
      <c r="A91" s="1">
        <f>IFERROR(__xludf.DUMMYFUNCTION("""COMPUTED_VALUE"""),82.0)</f>
        <v>82</v>
      </c>
      <c r="B91" s="1" t="str">
        <f>IFERROR(__xludf.DUMMYFUNCTION("""COMPUTED_VALUE"""),"Bosnia and Herzegovina")</f>
        <v>Bosnia and Herzegovina</v>
      </c>
      <c r="C91" s="3">
        <f>IFERROR(__xludf.DUMMYFUNCTION("""COMPUTED_VALUE"""),2462.0)</f>
        <v>2462</v>
      </c>
      <c r="D91" s="1" t="str">
        <f>IFERROR(__xludf.DUMMYFUNCTION("""COMPUTED_VALUE"""),"")</f>
        <v/>
      </c>
      <c r="E91" s="1">
        <f>IFERROR(__xludf.DUMMYFUNCTION("""COMPUTED_VALUE"""),153.0)</f>
        <v>153</v>
      </c>
      <c r="F91" s="1" t="str">
        <f>IFERROR(__xludf.DUMMYFUNCTION("""COMPUTED_VALUE"""),"")</f>
        <v/>
      </c>
      <c r="G91" s="3">
        <f>IFERROR(__xludf.DUMMYFUNCTION("""COMPUTED_VALUE"""),1781.0)</f>
        <v>1781</v>
      </c>
      <c r="H91" s="1" t="str">
        <f>IFERROR(__xludf.DUMMYFUNCTION("""COMPUTED_VALUE"""),"")</f>
        <v/>
      </c>
      <c r="I91" s="1">
        <f>IFERROR(__xludf.DUMMYFUNCTION("""COMPUTED_VALUE"""),528.0)</f>
        <v>528</v>
      </c>
      <c r="J91" s="1">
        <f>IFERROR(__xludf.DUMMYFUNCTION("""COMPUTED_VALUE"""),4.0)</f>
        <v>4</v>
      </c>
      <c r="K91" s="1">
        <f>IFERROR(__xludf.DUMMYFUNCTION("""COMPUTED_VALUE"""),750.0)</f>
        <v>750</v>
      </c>
      <c r="L91" s="1">
        <f>IFERROR(__xludf.DUMMYFUNCTION("""COMPUTED_VALUE"""),47.0)</f>
        <v>47</v>
      </c>
      <c r="M91" s="3">
        <f>IFERROR(__xludf.DUMMYFUNCTION("""COMPUTED_VALUE"""),62567.0)</f>
        <v>62567</v>
      </c>
      <c r="N91" s="3">
        <f>IFERROR(__xludf.DUMMYFUNCTION("""COMPUTED_VALUE"""),19061.0)</f>
        <v>19061</v>
      </c>
      <c r="O91" s="3">
        <f>IFERROR(__xludf.DUMMYFUNCTION("""COMPUTED_VALUE"""),3282532.0)</f>
        <v>3282532</v>
      </c>
      <c r="P91" s="1" t="str">
        <f>IFERROR(__xludf.DUMMYFUNCTION("""COMPUTED_VALUE"""),"Europe")</f>
        <v>Europe</v>
      </c>
      <c r="Q91" s="3">
        <f>IFERROR(__xludf.DUMMYFUNCTION("""COMPUTED_VALUE"""),1333.0)</f>
        <v>1333</v>
      </c>
      <c r="R91" s="3">
        <f>IFERROR(__xludf.DUMMYFUNCTION("""COMPUTED_VALUE"""),21454.0)</f>
        <v>21454</v>
      </c>
      <c r="S91" s="1">
        <f>IFERROR(__xludf.DUMMYFUNCTION("""COMPUTED_VALUE"""),52.0)</f>
        <v>52</v>
      </c>
    </row>
    <row r="92">
      <c r="A92" s="1">
        <f>IFERROR(__xludf.DUMMYFUNCTION("""COMPUTED_VALUE"""),83.0)</f>
        <v>83</v>
      </c>
      <c r="B92" s="1" t="str">
        <f>IFERROR(__xludf.DUMMYFUNCTION("""COMPUTED_VALUE"""),"Gabon")</f>
        <v>Gabon</v>
      </c>
      <c r="C92" s="3">
        <f>IFERROR(__xludf.DUMMYFUNCTION("""COMPUTED_VALUE"""),2431.0)</f>
        <v>2431</v>
      </c>
      <c r="D92" s="1" t="str">
        <f>IFERROR(__xludf.DUMMYFUNCTION("""COMPUTED_VALUE"""),"")</f>
        <v/>
      </c>
      <c r="E92" s="1">
        <f>IFERROR(__xludf.DUMMYFUNCTION("""COMPUTED_VALUE"""),14.0)</f>
        <v>14</v>
      </c>
      <c r="F92" s="1" t="str">
        <f>IFERROR(__xludf.DUMMYFUNCTION("""COMPUTED_VALUE"""),"")</f>
        <v/>
      </c>
      <c r="G92" s="1">
        <f>IFERROR(__xludf.DUMMYFUNCTION("""COMPUTED_VALUE"""),668.0)</f>
        <v>668</v>
      </c>
      <c r="H92" s="1" t="str">
        <f>IFERROR(__xludf.DUMMYFUNCTION("""COMPUTED_VALUE"""),"")</f>
        <v/>
      </c>
      <c r="I92" s="3">
        <f>IFERROR(__xludf.DUMMYFUNCTION("""COMPUTED_VALUE"""),1749.0)</f>
        <v>1749</v>
      </c>
      <c r="J92" s="1">
        <f>IFERROR(__xludf.DUMMYFUNCTION("""COMPUTED_VALUE"""),15.0)</f>
        <v>15</v>
      </c>
      <c r="K92" s="3">
        <f>IFERROR(__xludf.DUMMYFUNCTION("""COMPUTED_VALUE"""),1095.0)</f>
        <v>1095</v>
      </c>
      <c r="L92" s="1">
        <f>IFERROR(__xludf.DUMMYFUNCTION("""COMPUTED_VALUE"""),6.0)</f>
        <v>6</v>
      </c>
      <c r="M92" s="3">
        <f>IFERROR(__xludf.DUMMYFUNCTION("""COMPUTED_VALUE"""),12669.0)</f>
        <v>12669</v>
      </c>
      <c r="N92" s="3">
        <f>IFERROR(__xludf.DUMMYFUNCTION("""COMPUTED_VALUE"""),5705.0)</f>
        <v>5705</v>
      </c>
      <c r="O92" s="3">
        <f>IFERROR(__xludf.DUMMYFUNCTION("""COMPUTED_VALUE"""),2220492.0)</f>
        <v>2220492</v>
      </c>
      <c r="P92" s="1" t="str">
        <f>IFERROR(__xludf.DUMMYFUNCTION("""COMPUTED_VALUE"""),"Africa")</f>
        <v>Africa</v>
      </c>
      <c r="Q92" s="1">
        <f>IFERROR(__xludf.DUMMYFUNCTION("""COMPUTED_VALUE"""),913.0)</f>
        <v>913</v>
      </c>
      <c r="R92" s="3">
        <f>IFERROR(__xludf.DUMMYFUNCTION("""COMPUTED_VALUE"""),158607.0)</f>
        <v>158607</v>
      </c>
      <c r="S92" s="1">
        <f>IFERROR(__xludf.DUMMYFUNCTION("""COMPUTED_VALUE"""),175.0)</f>
        <v>175</v>
      </c>
    </row>
    <row r="93">
      <c r="A93" s="1">
        <f>IFERROR(__xludf.DUMMYFUNCTION("""COMPUTED_VALUE"""),84.0)</f>
        <v>84</v>
      </c>
      <c r="B93" s="1" t="str">
        <f>IFERROR(__xludf.DUMMYFUNCTION("""COMPUTED_VALUE"""),"Croatia")</f>
        <v>Croatia</v>
      </c>
      <c r="C93" s="3">
        <f>IFERROR(__xludf.DUMMYFUNCTION("""COMPUTED_VALUE"""),2245.0)</f>
        <v>2245</v>
      </c>
      <c r="D93" s="1" t="str">
        <f>IFERROR(__xludf.DUMMYFUNCTION("""COMPUTED_VALUE"""),"")</f>
        <v/>
      </c>
      <c r="E93" s="1">
        <f>IFERROR(__xludf.DUMMYFUNCTION("""COMPUTED_VALUE"""),102.0)</f>
        <v>102</v>
      </c>
      <c r="F93" s="1" t="str">
        <f>IFERROR(__xludf.DUMMYFUNCTION("""COMPUTED_VALUE"""),"")</f>
        <v/>
      </c>
      <c r="G93" s="3">
        <f>IFERROR(__xludf.DUMMYFUNCTION("""COMPUTED_VALUE"""),2051.0)</f>
        <v>2051</v>
      </c>
      <c r="H93" s="1" t="str">
        <f>IFERROR(__xludf.DUMMYFUNCTION("""COMPUTED_VALUE"""),"")</f>
        <v/>
      </c>
      <c r="I93" s="1">
        <f>IFERROR(__xludf.DUMMYFUNCTION("""COMPUTED_VALUE"""),92.0)</f>
        <v>92</v>
      </c>
      <c r="J93" s="1">
        <f>IFERROR(__xludf.DUMMYFUNCTION("""COMPUTED_VALUE"""),5.0)</f>
        <v>5</v>
      </c>
      <c r="K93" s="1">
        <f>IFERROR(__xludf.DUMMYFUNCTION("""COMPUTED_VALUE"""),547.0)</f>
        <v>547</v>
      </c>
      <c r="L93" s="1">
        <f>IFERROR(__xludf.DUMMYFUNCTION("""COMPUTED_VALUE"""),25.0)</f>
        <v>25</v>
      </c>
      <c r="M93" s="3">
        <f>IFERROR(__xludf.DUMMYFUNCTION("""COMPUTED_VALUE"""),65094.0)</f>
        <v>65094</v>
      </c>
      <c r="N93" s="3">
        <f>IFERROR(__xludf.DUMMYFUNCTION("""COMPUTED_VALUE"""),15848.0)</f>
        <v>15848</v>
      </c>
      <c r="O93" s="3">
        <f>IFERROR(__xludf.DUMMYFUNCTION("""COMPUTED_VALUE"""),4107393.0)</f>
        <v>4107393</v>
      </c>
      <c r="P93" s="1" t="str">
        <f>IFERROR(__xludf.DUMMYFUNCTION("""COMPUTED_VALUE"""),"Europe")</f>
        <v>Europe</v>
      </c>
      <c r="Q93" s="3">
        <f>IFERROR(__xludf.DUMMYFUNCTION("""COMPUTED_VALUE"""),1830.0)</f>
        <v>1830</v>
      </c>
      <c r="R93" s="3">
        <f>IFERROR(__xludf.DUMMYFUNCTION("""COMPUTED_VALUE"""),40269.0)</f>
        <v>40269</v>
      </c>
      <c r="S93" s="1">
        <f>IFERROR(__xludf.DUMMYFUNCTION("""COMPUTED_VALUE"""),63.0)</f>
        <v>63</v>
      </c>
    </row>
    <row r="94">
      <c r="A94" s="1">
        <f>IFERROR(__xludf.DUMMYFUNCTION("""COMPUTED_VALUE"""),85.0)</f>
        <v>85</v>
      </c>
      <c r="B94" s="1" t="str">
        <f>IFERROR(__xludf.DUMMYFUNCTION("""COMPUTED_VALUE"""),"El Salvador")</f>
        <v>El Salvador</v>
      </c>
      <c r="C94" s="3">
        <f>IFERROR(__xludf.DUMMYFUNCTION("""COMPUTED_VALUE"""),2194.0)</f>
        <v>2194</v>
      </c>
      <c r="D94" s="1" t="str">
        <f>IFERROR(__xludf.DUMMYFUNCTION("""COMPUTED_VALUE"""),"")</f>
        <v/>
      </c>
      <c r="E94" s="1">
        <f>IFERROR(__xludf.DUMMYFUNCTION("""COMPUTED_VALUE"""),39.0)</f>
        <v>39</v>
      </c>
      <c r="F94" s="1" t="str">
        <f>IFERROR(__xludf.DUMMYFUNCTION("""COMPUTED_VALUE"""),"")</f>
        <v/>
      </c>
      <c r="G94" s="3">
        <f>IFERROR(__xludf.DUMMYFUNCTION("""COMPUTED_VALUE"""),1015.0)</f>
        <v>1015</v>
      </c>
      <c r="H94" s="1" t="str">
        <f>IFERROR(__xludf.DUMMYFUNCTION("""COMPUTED_VALUE"""),"+13")</f>
        <v>+13</v>
      </c>
      <c r="I94" s="3">
        <f>IFERROR(__xludf.DUMMYFUNCTION("""COMPUTED_VALUE"""),1140.0)</f>
        <v>1140</v>
      </c>
      <c r="J94" s="1">
        <f>IFERROR(__xludf.DUMMYFUNCTION("""COMPUTED_VALUE"""),32.0)</f>
        <v>32</v>
      </c>
      <c r="K94" s="1">
        <f>IFERROR(__xludf.DUMMYFUNCTION("""COMPUTED_VALUE"""),338.0)</f>
        <v>338</v>
      </c>
      <c r="L94" s="1">
        <f>IFERROR(__xludf.DUMMYFUNCTION("""COMPUTED_VALUE"""),6.0)</f>
        <v>6</v>
      </c>
      <c r="M94" s="3">
        <f>IFERROR(__xludf.DUMMYFUNCTION("""COMPUTED_VALUE"""),82243.0)</f>
        <v>82243</v>
      </c>
      <c r="N94" s="3">
        <f>IFERROR(__xludf.DUMMYFUNCTION("""COMPUTED_VALUE"""),12685.0)</f>
        <v>12685</v>
      </c>
      <c r="O94" s="3">
        <f>IFERROR(__xludf.DUMMYFUNCTION("""COMPUTED_VALUE"""),6483267.0)</f>
        <v>6483267</v>
      </c>
      <c r="P94" s="1" t="str">
        <f>IFERROR(__xludf.DUMMYFUNCTION("""COMPUTED_VALUE"""),"North America")</f>
        <v>North America</v>
      </c>
      <c r="Q94" s="3">
        <f>IFERROR(__xludf.DUMMYFUNCTION("""COMPUTED_VALUE"""),2955.0)</f>
        <v>2955</v>
      </c>
      <c r="R94" s="3">
        <f>IFERROR(__xludf.DUMMYFUNCTION("""COMPUTED_VALUE"""),166238.0)</f>
        <v>166238</v>
      </c>
      <c r="S94" s="1">
        <f>IFERROR(__xludf.DUMMYFUNCTION("""COMPUTED_VALUE"""),79.0)</f>
        <v>79</v>
      </c>
    </row>
    <row r="95">
      <c r="A95" s="1">
        <f>IFERROR(__xludf.DUMMYFUNCTION("""COMPUTED_VALUE"""),86.0)</f>
        <v>86</v>
      </c>
      <c r="B95" s="1" t="str">
        <f>IFERROR(__xludf.DUMMYFUNCTION("""COMPUTED_VALUE"""),"North Macedonia")</f>
        <v>North Macedonia</v>
      </c>
      <c r="C95" s="3">
        <f>IFERROR(__xludf.DUMMYFUNCTION("""COMPUTED_VALUE"""),2077.0)</f>
        <v>2077</v>
      </c>
      <c r="D95" s="1" t="str">
        <f>IFERROR(__xludf.DUMMYFUNCTION("""COMPUTED_VALUE"""),"")</f>
        <v/>
      </c>
      <c r="E95" s="1">
        <f>IFERROR(__xludf.DUMMYFUNCTION("""COMPUTED_VALUE"""),121.0)</f>
        <v>121</v>
      </c>
      <c r="F95" s="1" t="str">
        <f>IFERROR(__xludf.DUMMYFUNCTION("""COMPUTED_VALUE"""),"")</f>
        <v/>
      </c>
      <c r="G95" s="3">
        <f>IFERROR(__xludf.DUMMYFUNCTION("""COMPUTED_VALUE"""),1486.0)</f>
        <v>1486</v>
      </c>
      <c r="H95" s="1" t="str">
        <f>IFERROR(__xludf.DUMMYFUNCTION("""COMPUTED_VALUE"""),"")</f>
        <v/>
      </c>
      <c r="I95" s="1">
        <f>IFERROR(__xludf.DUMMYFUNCTION("""COMPUTED_VALUE"""),470.0)</f>
        <v>470</v>
      </c>
      <c r="J95" s="1">
        <f>IFERROR(__xludf.DUMMYFUNCTION("""COMPUTED_VALUE"""),21.0)</f>
        <v>21</v>
      </c>
      <c r="K95" s="1">
        <f>IFERROR(__xludf.DUMMYFUNCTION("""COMPUTED_VALUE"""),997.0)</f>
        <v>997</v>
      </c>
      <c r="L95" s="1">
        <f>IFERROR(__xludf.DUMMYFUNCTION("""COMPUTED_VALUE"""),58.0)</f>
        <v>58</v>
      </c>
      <c r="M95" s="3">
        <f>IFERROR(__xludf.DUMMYFUNCTION("""COMPUTED_VALUE"""),27023.0)</f>
        <v>27023</v>
      </c>
      <c r="N95" s="3">
        <f>IFERROR(__xludf.DUMMYFUNCTION("""COMPUTED_VALUE"""),12971.0)</f>
        <v>12971</v>
      </c>
      <c r="O95" s="3">
        <f>IFERROR(__xludf.DUMMYFUNCTION("""COMPUTED_VALUE"""),2083381.0)</f>
        <v>2083381</v>
      </c>
      <c r="P95" s="1" t="str">
        <f>IFERROR(__xludf.DUMMYFUNCTION("""COMPUTED_VALUE"""),"Europe")</f>
        <v>Europe</v>
      </c>
      <c r="Q95" s="3">
        <f>IFERROR(__xludf.DUMMYFUNCTION("""COMPUTED_VALUE"""),1003.0)</f>
        <v>1003</v>
      </c>
      <c r="R95" s="3">
        <f>IFERROR(__xludf.DUMMYFUNCTION("""COMPUTED_VALUE"""),17218.0)</f>
        <v>17218</v>
      </c>
      <c r="S95" s="1">
        <f>IFERROR(__xludf.DUMMYFUNCTION("""COMPUTED_VALUE"""),77.0)</f>
        <v>77</v>
      </c>
    </row>
    <row r="96">
      <c r="A96" s="1">
        <f>IFERROR(__xludf.DUMMYFUNCTION("""COMPUTED_VALUE"""),87.0)</f>
        <v>87</v>
      </c>
      <c r="B96" s="1" t="str">
        <f>IFERROR(__xludf.DUMMYFUNCTION("""COMPUTED_VALUE"""),"Cuba")</f>
        <v>Cuba</v>
      </c>
      <c r="C96" s="3">
        <f>IFERROR(__xludf.DUMMYFUNCTION("""COMPUTED_VALUE"""),1983.0)</f>
        <v>1983</v>
      </c>
      <c r="D96" s="1" t="str">
        <f>IFERROR(__xludf.DUMMYFUNCTION("""COMPUTED_VALUE"""),"")</f>
        <v/>
      </c>
      <c r="E96" s="1">
        <f>IFERROR(__xludf.DUMMYFUNCTION("""COMPUTED_VALUE"""),82.0)</f>
        <v>82</v>
      </c>
      <c r="F96" s="1" t="str">
        <f>IFERROR(__xludf.DUMMYFUNCTION("""COMPUTED_VALUE"""),"")</f>
        <v/>
      </c>
      <c r="G96" s="3">
        <f>IFERROR(__xludf.DUMMYFUNCTION("""COMPUTED_VALUE"""),1734.0)</f>
        <v>1734</v>
      </c>
      <c r="H96" s="1" t="str">
        <f>IFERROR(__xludf.DUMMYFUNCTION("""COMPUTED_VALUE"""),"")</f>
        <v/>
      </c>
      <c r="I96" s="1">
        <f>IFERROR(__xludf.DUMMYFUNCTION("""COMPUTED_VALUE"""),167.0)</f>
        <v>167</v>
      </c>
      <c r="J96" s="1">
        <f>IFERROR(__xludf.DUMMYFUNCTION("""COMPUTED_VALUE"""),2.0)</f>
        <v>2</v>
      </c>
      <c r="K96" s="1">
        <f>IFERROR(__xludf.DUMMYFUNCTION("""COMPUTED_VALUE"""),175.0)</f>
        <v>175</v>
      </c>
      <c r="L96" s="1">
        <f>IFERROR(__xludf.DUMMYFUNCTION("""COMPUTED_VALUE"""),7.0)</f>
        <v>7</v>
      </c>
      <c r="M96" s="3">
        <f>IFERROR(__xludf.DUMMYFUNCTION("""COMPUTED_VALUE"""),99745.0)</f>
        <v>99745</v>
      </c>
      <c r="N96" s="3">
        <f>IFERROR(__xludf.DUMMYFUNCTION("""COMPUTED_VALUE"""),8806.0)</f>
        <v>8806</v>
      </c>
      <c r="O96" s="3">
        <f>IFERROR(__xludf.DUMMYFUNCTION("""COMPUTED_VALUE"""),1.1327216E7)</f>
        <v>11327216</v>
      </c>
      <c r="P96" s="1" t="str">
        <f>IFERROR(__xludf.DUMMYFUNCTION("""COMPUTED_VALUE"""),"North America")</f>
        <v>North America</v>
      </c>
      <c r="Q96" s="3">
        <f>IFERROR(__xludf.DUMMYFUNCTION("""COMPUTED_VALUE"""),5712.0)</f>
        <v>5712</v>
      </c>
      <c r="R96" s="3">
        <f>IFERROR(__xludf.DUMMYFUNCTION("""COMPUTED_VALUE"""),138137.0)</f>
        <v>138137</v>
      </c>
      <c r="S96" s="1">
        <f>IFERROR(__xludf.DUMMYFUNCTION("""COMPUTED_VALUE"""),114.0)</f>
        <v>114</v>
      </c>
    </row>
    <row r="97">
      <c r="A97" s="1">
        <f>IFERROR(__xludf.DUMMYFUNCTION("""COMPUTED_VALUE"""),88.0)</f>
        <v>88</v>
      </c>
      <c r="B97" s="1" t="str">
        <f>IFERROR(__xludf.DUMMYFUNCTION("""COMPUTED_VALUE"""),"Estonia")</f>
        <v>Estonia</v>
      </c>
      <c r="C97" s="3">
        <f>IFERROR(__xludf.DUMMYFUNCTION("""COMPUTED_VALUE"""),1851.0)</f>
        <v>1851</v>
      </c>
      <c r="D97" s="1" t="str">
        <f>IFERROR(__xludf.DUMMYFUNCTION("""COMPUTED_VALUE"""),"")</f>
        <v/>
      </c>
      <c r="E97" s="1">
        <f>IFERROR(__xludf.DUMMYFUNCTION("""COMPUTED_VALUE"""),66.0)</f>
        <v>66</v>
      </c>
      <c r="F97" s="1" t="str">
        <f>IFERROR(__xludf.DUMMYFUNCTION("""COMPUTED_VALUE"""),"")</f>
        <v/>
      </c>
      <c r="G97" s="3">
        <f>IFERROR(__xludf.DUMMYFUNCTION("""COMPUTED_VALUE"""),1574.0)</f>
        <v>1574</v>
      </c>
      <c r="H97" s="1" t="str">
        <f>IFERROR(__xludf.DUMMYFUNCTION("""COMPUTED_VALUE"""),"")</f>
        <v/>
      </c>
      <c r="I97" s="1">
        <f>IFERROR(__xludf.DUMMYFUNCTION("""COMPUTED_VALUE"""),211.0)</f>
        <v>211</v>
      </c>
      <c r="J97" s="1" t="str">
        <f>IFERROR(__xludf.DUMMYFUNCTION("""COMPUTED_VALUE"""),"")</f>
        <v/>
      </c>
      <c r="K97" s="3">
        <f>IFERROR(__xludf.DUMMYFUNCTION("""COMPUTED_VALUE"""),1395.0)</f>
        <v>1395</v>
      </c>
      <c r="L97" s="1">
        <f>IFERROR(__xludf.DUMMYFUNCTION("""COMPUTED_VALUE"""),50.0)</f>
        <v>50</v>
      </c>
      <c r="M97" s="3">
        <f>IFERROR(__xludf.DUMMYFUNCTION("""COMPUTED_VALUE"""),80724.0)</f>
        <v>80724</v>
      </c>
      <c r="N97" s="3">
        <f>IFERROR(__xludf.DUMMYFUNCTION("""COMPUTED_VALUE"""),60857.0)</f>
        <v>60857</v>
      </c>
      <c r="O97" s="3">
        <f>IFERROR(__xludf.DUMMYFUNCTION("""COMPUTED_VALUE"""),1326457.0)</f>
        <v>1326457</v>
      </c>
      <c r="P97" s="1" t="str">
        <f>IFERROR(__xludf.DUMMYFUNCTION("""COMPUTED_VALUE"""),"Europe")</f>
        <v>Europe</v>
      </c>
      <c r="Q97" s="1">
        <f>IFERROR(__xludf.DUMMYFUNCTION("""COMPUTED_VALUE"""),717.0)</f>
        <v>717</v>
      </c>
      <c r="R97" s="3">
        <f>IFERROR(__xludf.DUMMYFUNCTION("""COMPUTED_VALUE"""),20098.0)</f>
        <v>20098</v>
      </c>
      <c r="S97" s="1">
        <f>IFERROR(__xludf.DUMMYFUNCTION("""COMPUTED_VALUE"""),16.0)</f>
        <v>16</v>
      </c>
    </row>
    <row r="98">
      <c r="A98" s="1">
        <f>IFERROR(__xludf.DUMMYFUNCTION("""COMPUTED_VALUE"""),89.0)</f>
        <v>89</v>
      </c>
      <c r="B98" s="1" t="str">
        <f>IFERROR(__xludf.DUMMYFUNCTION("""COMPUTED_VALUE"""),"Somalia")</f>
        <v>Somalia</v>
      </c>
      <c r="C98" s="3">
        <f>IFERROR(__xludf.DUMMYFUNCTION("""COMPUTED_VALUE"""),1828.0)</f>
        <v>1828</v>
      </c>
      <c r="D98" s="1" t="str">
        <f>IFERROR(__xludf.DUMMYFUNCTION("""COMPUTED_VALUE"""),"")</f>
        <v/>
      </c>
      <c r="E98" s="1">
        <f>IFERROR(__xludf.DUMMYFUNCTION("""COMPUTED_VALUE"""),72.0)</f>
        <v>72</v>
      </c>
      <c r="F98" s="1" t="str">
        <f>IFERROR(__xludf.DUMMYFUNCTION("""COMPUTED_VALUE"""),"")</f>
        <v/>
      </c>
      <c r="G98" s="1">
        <f>IFERROR(__xludf.DUMMYFUNCTION("""COMPUTED_VALUE"""),310.0)</f>
        <v>310</v>
      </c>
      <c r="H98" s="1" t="str">
        <f>IFERROR(__xludf.DUMMYFUNCTION("""COMPUTED_VALUE"""),"")</f>
        <v/>
      </c>
      <c r="I98" s="3">
        <f>IFERROR(__xludf.DUMMYFUNCTION("""COMPUTED_VALUE"""),1446.0)</f>
        <v>1446</v>
      </c>
      <c r="J98" s="1">
        <f>IFERROR(__xludf.DUMMYFUNCTION("""COMPUTED_VALUE"""),2.0)</f>
        <v>2</v>
      </c>
      <c r="K98" s="1">
        <f>IFERROR(__xludf.DUMMYFUNCTION("""COMPUTED_VALUE"""),115.0)</f>
        <v>115</v>
      </c>
      <c r="L98" s="1">
        <f>IFERROR(__xludf.DUMMYFUNCTION("""COMPUTED_VALUE"""),5.0)</f>
        <v>5</v>
      </c>
      <c r="M98" s="1" t="str">
        <f>IFERROR(__xludf.DUMMYFUNCTION("""COMPUTED_VALUE"""),"")</f>
        <v/>
      </c>
      <c r="N98" s="1" t="str">
        <f>IFERROR(__xludf.DUMMYFUNCTION("""COMPUTED_VALUE"""),"")</f>
        <v/>
      </c>
      <c r="O98" s="3">
        <f>IFERROR(__xludf.DUMMYFUNCTION("""COMPUTED_VALUE"""),1.5847882E7)</f>
        <v>15847882</v>
      </c>
      <c r="P98" s="1" t="str">
        <f>IFERROR(__xludf.DUMMYFUNCTION("""COMPUTED_VALUE"""),"Africa")</f>
        <v>Africa</v>
      </c>
      <c r="Q98" s="3">
        <f>IFERROR(__xludf.DUMMYFUNCTION("""COMPUTED_VALUE"""),8670.0)</f>
        <v>8670</v>
      </c>
      <c r="R98" s="3">
        <f>IFERROR(__xludf.DUMMYFUNCTION("""COMPUTED_VALUE"""),220109.0)</f>
        <v>220109</v>
      </c>
      <c r="S98" s="1" t="str">
        <f>IFERROR(__xludf.DUMMYFUNCTION("""COMPUTED_VALUE"""),"")</f>
        <v/>
      </c>
    </row>
    <row r="99">
      <c r="A99" s="1">
        <f>IFERROR(__xludf.DUMMYFUNCTION("""COMPUTED_VALUE"""),90.0)</f>
        <v>90</v>
      </c>
      <c r="B99" s="1" t="str">
        <f>IFERROR(__xludf.DUMMYFUNCTION("""COMPUTED_VALUE"""),"Iceland")</f>
        <v>Iceland</v>
      </c>
      <c r="C99" s="3">
        <f>IFERROR(__xludf.DUMMYFUNCTION("""COMPUTED_VALUE"""),1805.0)</f>
        <v>1805</v>
      </c>
      <c r="D99" s="1" t="str">
        <f>IFERROR(__xludf.DUMMYFUNCTION("""COMPUTED_VALUE"""),"")</f>
        <v/>
      </c>
      <c r="E99" s="1">
        <f>IFERROR(__xludf.DUMMYFUNCTION("""COMPUTED_VALUE"""),10.0)</f>
        <v>10</v>
      </c>
      <c r="F99" s="1" t="str">
        <f>IFERROR(__xludf.DUMMYFUNCTION("""COMPUTED_VALUE"""),"")</f>
        <v/>
      </c>
      <c r="G99" s="3">
        <f>IFERROR(__xludf.DUMMYFUNCTION("""COMPUTED_VALUE"""),1792.0)</f>
        <v>1792</v>
      </c>
      <c r="H99" s="1" t="str">
        <f>IFERROR(__xludf.DUMMYFUNCTION("""COMPUTED_VALUE"""),"")</f>
        <v/>
      </c>
      <c r="I99" s="1">
        <f>IFERROR(__xludf.DUMMYFUNCTION("""COMPUTED_VALUE"""),3.0)</f>
        <v>3</v>
      </c>
      <c r="J99" s="1" t="str">
        <f>IFERROR(__xludf.DUMMYFUNCTION("""COMPUTED_VALUE"""),"")</f>
        <v/>
      </c>
      <c r="K99" s="3">
        <f>IFERROR(__xludf.DUMMYFUNCTION("""COMPUTED_VALUE"""),5293.0)</f>
        <v>5293</v>
      </c>
      <c r="L99" s="1">
        <f>IFERROR(__xludf.DUMMYFUNCTION("""COMPUTED_VALUE"""),29.0)</f>
        <v>29</v>
      </c>
      <c r="M99" s="3">
        <f>IFERROR(__xludf.DUMMYFUNCTION("""COMPUTED_VALUE"""),60141.0)</f>
        <v>60141</v>
      </c>
      <c r="N99" s="3">
        <f>IFERROR(__xludf.DUMMYFUNCTION("""COMPUTED_VALUE"""),176344.0)</f>
        <v>176344</v>
      </c>
      <c r="O99" s="3">
        <f>IFERROR(__xludf.DUMMYFUNCTION("""COMPUTED_VALUE"""),341043.0)</f>
        <v>341043</v>
      </c>
      <c r="P99" s="1" t="str">
        <f>IFERROR(__xludf.DUMMYFUNCTION("""COMPUTED_VALUE"""),"Europe")</f>
        <v>Europe</v>
      </c>
      <c r="Q99" s="1">
        <f>IFERROR(__xludf.DUMMYFUNCTION("""COMPUTED_VALUE"""),189.0)</f>
        <v>189</v>
      </c>
      <c r="R99" s="3">
        <f>IFERROR(__xludf.DUMMYFUNCTION("""COMPUTED_VALUE"""),34104.0)</f>
        <v>34104</v>
      </c>
      <c r="S99" s="1">
        <f>IFERROR(__xludf.DUMMYFUNCTION("""COMPUTED_VALUE"""),6.0)</f>
        <v>6</v>
      </c>
    </row>
    <row r="100">
      <c r="A100" s="1">
        <f>IFERROR(__xludf.DUMMYFUNCTION("""COMPUTED_VALUE"""),91.0)</f>
        <v>91</v>
      </c>
      <c r="B100" s="1" t="str">
        <f>IFERROR(__xludf.DUMMYFUNCTION("""COMPUTED_VALUE"""),"Mayotte")</f>
        <v>Mayotte</v>
      </c>
      <c r="C100" s="3">
        <f>IFERROR(__xludf.DUMMYFUNCTION("""COMPUTED_VALUE"""),1670.0)</f>
        <v>1670</v>
      </c>
      <c r="D100" s="1" t="str">
        <f>IFERROR(__xludf.DUMMYFUNCTION("""COMPUTED_VALUE"""),"")</f>
        <v/>
      </c>
      <c r="E100" s="1">
        <f>IFERROR(__xludf.DUMMYFUNCTION("""COMPUTED_VALUE"""),21.0)</f>
        <v>21</v>
      </c>
      <c r="F100" s="1" t="str">
        <f>IFERROR(__xludf.DUMMYFUNCTION("""COMPUTED_VALUE"""),"")</f>
        <v/>
      </c>
      <c r="G100" s="3">
        <f>IFERROR(__xludf.DUMMYFUNCTION("""COMPUTED_VALUE"""),1315.0)</f>
        <v>1315</v>
      </c>
      <c r="H100" s="1" t="str">
        <f>IFERROR(__xludf.DUMMYFUNCTION("""COMPUTED_VALUE"""),"")</f>
        <v/>
      </c>
      <c r="I100" s="1">
        <f>IFERROR(__xludf.DUMMYFUNCTION("""COMPUTED_VALUE"""),334.0)</f>
        <v>334</v>
      </c>
      <c r="J100" s="1">
        <f>IFERROR(__xludf.DUMMYFUNCTION("""COMPUTED_VALUE"""),10.0)</f>
        <v>10</v>
      </c>
      <c r="K100" s="3">
        <f>IFERROR(__xludf.DUMMYFUNCTION("""COMPUTED_VALUE"""),6136.0)</f>
        <v>6136</v>
      </c>
      <c r="L100" s="1">
        <f>IFERROR(__xludf.DUMMYFUNCTION("""COMPUTED_VALUE"""),77.0)</f>
        <v>77</v>
      </c>
      <c r="M100" s="3">
        <f>IFERROR(__xludf.DUMMYFUNCTION("""COMPUTED_VALUE"""),5200.0)</f>
        <v>5200</v>
      </c>
      <c r="N100" s="3">
        <f>IFERROR(__xludf.DUMMYFUNCTION("""COMPUTED_VALUE"""),19107.0)</f>
        <v>19107</v>
      </c>
      <c r="O100" s="3">
        <f>IFERROR(__xludf.DUMMYFUNCTION("""COMPUTED_VALUE"""),272156.0)</f>
        <v>272156</v>
      </c>
      <c r="P100" s="1" t="str">
        <f>IFERROR(__xludf.DUMMYFUNCTION("""COMPUTED_VALUE"""),"Africa")</f>
        <v>Africa</v>
      </c>
      <c r="Q100" s="1">
        <f>IFERROR(__xludf.DUMMYFUNCTION("""COMPUTED_VALUE"""),163.0)</f>
        <v>163</v>
      </c>
      <c r="R100" s="3">
        <f>IFERROR(__xludf.DUMMYFUNCTION("""COMPUTED_VALUE"""),12960.0)</f>
        <v>12960</v>
      </c>
      <c r="S100" s="1">
        <f>IFERROR(__xludf.DUMMYFUNCTION("""COMPUTED_VALUE"""),52.0)</f>
        <v>52</v>
      </c>
    </row>
    <row r="101">
      <c r="A101" s="1">
        <f>IFERROR(__xludf.DUMMYFUNCTION("""COMPUTED_VALUE"""),92.0)</f>
        <v>92</v>
      </c>
      <c r="B101" s="1" t="str">
        <f>IFERROR(__xludf.DUMMYFUNCTION("""COMPUTED_VALUE"""),"Lithuania")</f>
        <v>Lithuania</v>
      </c>
      <c r="C101" s="3">
        <f>IFERROR(__xludf.DUMMYFUNCTION("""COMPUTED_VALUE"""),1656.0)</f>
        <v>1656</v>
      </c>
      <c r="D101" s="1" t="str">
        <f>IFERROR(__xludf.DUMMYFUNCTION("""COMPUTED_VALUE"""),"")</f>
        <v/>
      </c>
      <c r="E101" s="1">
        <f>IFERROR(__xludf.DUMMYFUNCTION("""COMPUTED_VALUE"""),68.0)</f>
        <v>68</v>
      </c>
      <c r="F101" s="1" t="str">
        <f>IFERROR(__xludf.DUMMYFUNCTION("""COMPUTED_VALUE"""),"")</f>
        <v/>
      </c>
      <c r="G101" s="3">
        <f>IFERROR(__xludf.DUMMYFUNCTION("""COMPUTED_VALUE"""),1193.0)</f>
        <v>1193</v>
      </c>
      <c r="H101" s="1" t="str">
        <f>IFERROR(__xludf.DUMMYFUNCTION("""COMPUTED_VALUE"""),"")</f>
        <v/>
      </c>
      <c r="I101" s="1">
        <f>IFERROR(__xludf.DUMMYFUNCTION("""COMPUTED_VALUE"""),395.0)</f>
        <v>395</v>
      </c>
      <c r="J101" s="1">
        <f>IFERROR(__xludf.DUMMYFUNCTION("""COMPUTED_VALUE"""),17.0)</f>
        <v>17</v>
      </c>
      <c r="K101" s="1">
        <f>IFERROR(__xludf.DUMMYFUNCTION("""COMPUTED_VALUE"""),608.0)</f>
        <v>608</v>
      </c>
      <c r="L101" s="1">
        <f>IFERROR(__xludf.DUMMYFUNCTION("""COMPUTED_VALUE"""),25.0)</f>
        <v>25</v>
      </c>
      <c r="M101" s="3">
        <f>IFERROR(__xludf.DUMMYFUNCTION("""COMPUTED_VALUE"""),287982.0)</f>
        <v>287982</v>
      </c>
      <c r="N101" s="3">
        <f>IFERROR(__xludf.DUMMYFUNCTION("""COMPUTED_VALUE"""),105669.0)</f>
        <v>105669</v>
      </c>
      <c r="O101" s="3">
        <f>IFERROR(__xludf.DUMMYFUNCTION("""COMPUTED_VALUE"""),2725331.0)</f>
        <v>2725331</v>
      </c>
      <c r="P101" s="1" t="str">
        <f>IFERROR(__xludf.DUMMYFUNCTION("""COMPUTED_VALUE"""),"Europe")</f>
        <v>Europe</v>
      </c>
      <c r="Q101" s="3">
        <f>IFERROR(__xludf.DUMMYFUNCTION("""COMPUTED_VALUE"""),1646.0)</f>
        <v>1646</v>
      </c>
      <c r="R101" s="3">
        <f>IFERROR(__xludf.DUMMYFUNCTION("""COMPUTED_VALUE"""),40078.0)</f>
        <v>40078</v>
      </c>
      <c r="S101" s="1">
        <f>IFERROR(__xludf.DUMMYFUNCTION("""COMPUTED_VALUE"""),9.0)</f>
        <v>9</v>
      </c>
    </row>
    <row r="102">
      <c r="A102" s="1">
        <f>IFERROR(__xludf.DUMMYFUNCTION("""COMPUTED_VALUE"""),93.0)</f>
        <v>93</v>
      </c>
      <c r="B102" s="1" t="str">
        <f>IFERROR(__xludf.DUMMYFUNCTION("""COMPUTED_VALUE"""),"Kenya")</f>
        <v>Kenya</v>
      </c>
      <c r="C102" s="3">
        <f>IFERROR(__xludf.DUMMYFUNCTION("""COMPUTED_VALUE"""),1618.0)</f>
        <v>1618</v>
      </c>
      <c r="D102" s="1" t="str">
        <f>IFERROR(__xludf.DUMMYFUNCTION("""COMPUTED_VALUE"""),"")</f>
        <v/>
      </c>
      <c r="E102" s="1">
        <f>IFERROR(__xludf.DUMMYFUNCTION("""COMPUTED_VALUE"""),58.0)</f>
        <v>58</v>
      </c>
      <c r="F102" s="1" t="str">
        <f>IFERROR(__xludf.DUMMYFUNCTION("""COMPUTED_VALUE"""),"")</f>
        <v/>
      </c>
      <c r="G102" s="1">
        <f>IFERROR(__xludf.DUMMYFUNCTION("""COMPUTED_VALUE"""),421.0)</f>
        <v>421</v>
      </c>
      <c r="H102" s="1" t="str">
        <f>IFERROR(__xludf.DUMMYFUNCTION("""COMPUTED_VALUE"""),"")</f>
        <v/>
      </c>
      <c r="I102" s="3">
        <f>IFERROR(__xludf.DUMMYFUNCTION("""COMPUTED_VALUE"""),1139.0)</f>
        <v>1139</v>
      </c>
      <c r="J102" s="1">
        <f>IFERROR(__xludf.DUMMYFUNCTION("""COMPUTED_VALUE"""),7.0)</f>
        <v>7</v>
      </c>
      <c r="K102" s="1">
        <f>IFERROR(__xludf.DUMMYFUNCTION("""COMPUTED_VALUE"""),30.0)</f>
        <v>30</v>
      </c>
      <c r="L102" s="1">
        <f>IFERROR(__xludf.DUMMYFUNCTION("""COMPUTED_VALUE"""),1.0)</f>
        <v>1</v>
      </c>
      <c r="M102" s="3">
        <f>IFERROR(__xludf.DUMMYFUNCTION("""COMPUTED_VALUE"""),70172.0)</f>
        <v>70172</v>
      </c>
      <c r="N102" s="3">
        <f>IFERROR(__xludf.DUMMYFUNCTION("""COMPUTED_VALUE"""),1308.0)</f>
        <v>1308</v>
      </c>
      <c r="O102" s="3">
        <f>IFERROR(__xludf.DUMMYFUNCTION("""COMPUTED_VALUE"""),5.3654106E7)</f>
        <v>53654106</v>
      </c>
      <c r="P102" s="1" t="str">
        <f>IFERROR(__xludf.DUMMYFUNCTION("""COMPUTED_VALUE"""),"Africa")</f>
        <v>Africa</v>
      </c>
      <c r="Q102" s="3">
        <f>IFERROR(__xludf.DUMMYFUNCTION("""COMPUTED_VALUE"""),33161.0)</f>
        <v>33161</v>
      </c>
      <c r="R102" s="3">
        <f>IFERROR(__xludf.DUMMYFUNCTION("""COMPUTED_VALUE"""),925071.0)</f>
        <v>925071</v>
      </c>
      <c r="S102" s="1">
        <f>IFERROR(__xludf.DUMMYFUNCTION("""COMPUTED_VALUE"""),765.0)</f>
        <v>765</v>
      </c>
    </row>
    <row r="103">
      <c r="A103" s="1">
        <f>IFERROR(__xludf.DUMMYFUNCTION("""COMPUTED_VALUE"""),94.0)</f>
        <v>94</v>
      </c>
      <c r="B103" s="1" t="str">
        <f>IFERROR(__xludf.DUMMYFUNCTION("""COMPUTED_VALUE"""),"Kyrgyzstan")</f>
        <v>Kyrgyzstan</v>
      </c>
      <c r="C103" s="3">
        <f>IFERROR(__xludf.DUMMYFUNCTION("""COMPUTED_VALUE"""),1594.0)</f>
        <v>1594</v>
      </c>
      <c r="D103" s="1" t="str">
        <f>IFERROR(__xludf.DUMMYFUNCTION("""COMPUTED_VALUE"""),"")</f>
        <v/>
      </c>
      <c r="E103" s="1">
        <f>IFERROR(__xludf.DUMMYFUNCTION("""COMPUTED_VALUE"""),16.0)</f>
        <v>16</v>
      </c>
      <c r="F103" s="1" t="str">
        <f>IFERROR(__xludf.DUMMYFUNCTION("""COMPUTED_VALUE"""),"")</f>
        <v/>
      </c>
      <c r="G103" s="3">
        <f>IFERROR(__xludf.DUMMYFUNCTION("""COMPUTED_VALUE"""),1066.0)</f>
        <v>1066</v>
      </c>
      <c r="H103" s="1" t="str">
        <f>IFERROR(__xludf.DUMMYFUNCTION("""COMPUTED_VALUE"""),"")</f>
        <v/>
      </c>
      <c r="I103" s="1">
        <f>IFERROR(__xludf.DUMMYFUNCTION("""COMPUTED_VALUE"""),512.0)</f>
        <v>512</v>
      </c>
      <c r="J103" s="1">
        <f>IFERROR(__xludf.DUMMYFUNCTION("""COMPUTED_VALUE"""),4.0)</f>
        <v>4</v>
      </c>
      <c r="K103" s="1">
        <f>IFERROR(__xludf.DUMMYFUNCTION("""COMPUTED_VALUE"""),245.0)</f>
        <v>245</v>
      </c>
      <c r="L103" s="1">
        <f>IFERROR(__xludf.DUMMYFUNCTION("""COMPUTED_VALUE"""),2.0)</f>
        <v>2</v>
      </c>
      <c r="M103" s="3">
        <f>IFERROR(__xludf.DUMMYFUNCTION("""COMPUTED_VALUE"""),109521.0)</f>
        <v>109521</v>
      </c>
      <c r="N103" s="3">
        <f>IFERROR(__xludf.DUMMYFUNCTION("""COMPUTED_VALUE"""),16813.0)</f>
        <v>16813</v>
      </c>
      <c r="O103" s="3">
        <f>IFERROR(__xludf.DUMMYFUNCTION("""COMPUTED_VALUE"""),6513873.0)</f>
        <v>6513873</v>
      </c>
      <c r="P103" s="1" t="str">
        <f>IFERROR(__xludf.DUMMYFUNCTION("""COMPUTED_VALUE"""),"Asia")</f>
        <v>Asia</v>
      </c>
      <c r="Q103" s="3">
        <f>IFERROR(__xludf.DUMMYFUNCTION("""COMPUTED_VALUE"""),4086.0)</f>
        <v>4086</v>
      </c>
      <c r="R103" s="3">
        <f>IFERROR(__xludf.DUMMYFUNCTION("""COMPUTED_VALUE"""),407117.0)</f>
        <v>407117</v>
      </c>
      <c r="S103" s="1">
        <f>IFERROR(__xludf.DUMMYFUNCTION("""COMPUTED_VALUE"""),59.0)</f>
        <v>59</v>
      </c>
    </row>
    <row r="104">
      <c r="A104" s="1">
        <f>IFERROR(__xludf.DUMMYFUNCTION("""COMPUTED_VALUE"""),95.0)</f>
        <v>95</v>
      </c>
      <c r="B104" s="1" t="str">
        <f>IFERROR(__xludf.DUMMYFUNCTION("""COMPUTED_VALUE"""),"Sri Lanka")</f>
        <v>Sri Lanka</v>
      </c>
      <c r="C104" s="3">
        <f>IFERROR(__xludf.DUMMYFUNCTION("""COMPUTED_VALUE"""),1530.0)</f>
        <v>1530</v>
      </c>
      <c r="D104" s="1" t="str">
        <f>IFERROR(__xludf.DUMMYFUNCTION("""COMPUTED_VALUE"""),"")</f>
        <v/>
      </c>
      <c r="E104" s="1">
        <f>IFERROR(__xludf.DUMMYFUNCTION("""COMPUTED_VALUE"""),10.0)</f>
        <v>10</v>
      </c>
      <c r="F104" s="1" t="str">
        <f>IFERROR(__xludf.DUMMYFUNCTION("""COMPUTED_VALUE"""),"")</f>
        <v/>
      </c>
      <c r="G104" s="1">
        <f>IFERROR(__xludf.DUMMYFUNCTION("""COMPUTED_VALUE"""),745.0)</f>
        <v>745</v>
      </c>
      <c r="H104" s="1" t="str">
        <f>IFERROR(__xludf.DUMMYFUNCTION("""COMPUTED_VALUE"""),"")</f>
        <v/>
      </c>
      <c r="I104" s="1">
        <f>IFERROR(__xludf.DUMMYFUNCTION("""COMPUTED_VALUE"""),775.0)</f>
        <v>775</v>
      </c>
      <c r="J104" s="1">
        <f>IFERROR(__xludf.DUMMYFUNCTION("""COMPUTED_VALUE"""),1.0)</f>
        <v>1</v>
      </c>
      <c r="K104" s="1">
        <f>IFERROR(__xludf.DUMMYFUNCTION("""COMPUTED_VALUE"""),71.0)</f>
        <v>71</v>
      </c>
      <c r="L104" s="1">
        <f>IFERROR(__xludf.DUMMYFUNCTION("""COMPUTED_VALUE"""),0.5)</f>
        <v>0.5</v>
      </c>
      <c r="M104" s="3">
        <f>IFERROR(__xludf.DUMMYFUNCTION("""COMPUTED_VALUE"""),59165.0)</f>
        <v>59165</v>
      </c>
      <c r="N104" s="3">
        <f>IFERROR(__xludf.DUMMYFUNCTION("""COMPUTED_VALUE"""),2764.0)</f>
        <v>2764</v>
      </c>
      <c r="O104" s="3">
        <f>IFERROR(__xludf.DUMMYFUNCTION("""COMPUTED_VALUE"""),2.1405231E7)</f>
        <v>21405231</v>
      </c>
      <c r="P104" s="1" t="str">
        <f>IFERROR(__xludf.DUMMYFUNCTION("""COMPUTED_VALUE"""),"Asia")</f>
        <v>Asia</v>
      </c>
      <c r="Q104" s="3">
        <f>IFERROR(__xludf.DUMMYFUNCTION("""COMPUTED_VALUE"""),13990.0)</f>
        <v>13990</v>
      </c>
      <c r="R104" s="3">
        <f>IFERROR(__xludf.DUMMYFUNCTION("""COMPUTED_VALUE"""),2140523.0)</f>
        <v>2140523</v>
      </c>
      <c r="S104" s="1">
        <f>IFERROR(__xludf.DUMMYFUNCTION("""COMPUTED_VALUE"""),362.0)</f>
        <v>362</v>
      </c>
    </row>
    <row r="105">
      <c r="A105" s="1">
        <f>IFERROR(__xludf.DUMMYFUNCTION("""COMPUTED_VALUE"""),96.0)</f>
        <v>96</v>
      </c>
      <c r="B105" s="1" t="str">
        <f>IFERROR(__xludf.DUMMYFUNCTION("""COMPUTED_VALUE"""),"Slovakia")</f>
        <v>Slovakia</v>
      </c>
      <c r="C105" s="3">
        <f>IFERROR(__xludf.DUMMYFUNCTION("""COMPUTED_VALUE"""),1520.0)</f>
        <v>1520</v>
      </c>
      <c r="D105" s="1" t="str">
        <f>IFERROR(__xludf.DUMMYFUNCTION("""COMPUTED_VALUE"""),"")</f>
        <v/>
      </c>
      <c r="E105" s="1">
        <f>IFERROR(__xludf.DUMMYFUNCTION("""COMPUTED_VALUE"""),28.0)</f>
        <v>28</v>
      </c>
      <c r="F105" s="1" t="str">
        <f>IFERROR(__xludf.DUMMYFUNCTION("""COMPUTED_VALUE"""),"")</f>
        <v/>
      </c>
      <c r="G105" s="3">
        <f>IFERROR(__xludf.DUMMYFUNCTION("""COMPUTED_VALUE"""),1332.0)</f>
        <v>1332</v>
      </c>
      <c r="H105" s="1" t="str">
        <f>IFERROR(__xludf.DUMMYFUNCTION("""COMPUTED_VALUE"""),"")</f>
        <v/>
      </c>
      <c r="I105" s="1">
        <f>IFERROR(__xludf.DUMMYFUNCTION("""COMPUTED_VALUE"""),160.0)</f>
        <v>160</v>
      </c>
      <c r="J105" s="1" t="str">
        <f>IFERROR(__xludf.DUMMYFUNCTION("""COMPUTED_VALUE"""),"")</f>
        <v/>
      </c>
      <c r="K105" s="1">
        <f>IFERROR(__xludf.DUMMYFUNCTION("""COMPUTED_VALUE"""),278.0)</f>
        <v>278</v>
      </c>
      <c r="L105" s="1">
        <f>IFERROR(__xludf.DUMMYFUNCTION("""COMPUTED_VALUE"""),5.0)</f>
        <v>5</v>
      </c>
      <c r="M105" s="3">
        <f>IFERROR(__xludf.DUMMYFUNCTION("""COMPUTED_VALUE"""),165714.0)</f>
        <v>165714</v>
      </c>
      <c r="N105" s="3">
        <f>IFERROR(__xludf.DUMMYFUNCTION("""COMPUTED_VALUE"""),30354.0)</f>
        <v>30354</v>
      </c>
      <c r="O105" s="3">
        <f>IFERROR(__xludf.DUMMYFUNCTION("""COMPUTED_VALUE"""),5459411.0)</f>
        <v>5459411</v>
      </c>
      <c r="P105" s="1" t="str">
        <f>IFERROR(__xludf.DUMMYFUNCTION("""COMPUTED_VALUE"""),"Europe")</f>
        <v>Europe</v>
      </c>
      <c r="Q105" s="3">
        <f>IFERROR(__xludf.DUMMYFUNCTION("""COMPUTED_VALUE"""),3592.0)</f>
        <v>3592</v>
      </c>
      <c r="R105" s="3">
        <f>IFERROR(__xludf.DUMMYFUNCTION("""COMPUTED_VALUE"""),194979.0)</f>
        <v>194979</v>
      </c>
      <c r="S105" s="1">
        <f>IFERROR(__xludf.DUMMYFUNCTION("""COMPUTED_VALUE"""),33.0)</f>
        <v>33</v>
      </c>
    </row>
    <row r="106">
      <c r="A106" s="1">
        <f>IFERROR(__xludf.DUMMYFUNCTION("""COMPUTED_VALUE"""),97.0)</f>
        <v>97</v>
      </c>
      <c r="B106" s="1" t="str">
        <f>IFERROR(__xludf.DUMMYFUNCTION("""COMPUTED_VALUE"""),"Maldives")</f>
        <v>Maldives</v>
      </c>
      <c r="C106" s="3">
        <f>IFERROR(__xludf.DUMMYFUNCTION("""COMPUTED_VALUE"""),1513.0)</f>
        <v>1513</v>
      </c>
      <c r="D106" s="1" t="str">
        <f>IFERROR(__xludf.DUMMYFUNCTION("""COMPUTED_VALUE"""),"")</f>
        <v/>
      </c>
      <c r="E106" s="1">
        <f>IFERROR(__xludf.DUMMYFUNCTION("""COMPUTED_VALUE"""),5.0)</f>
        <v>5</v>
      </c>
      <c r="F106" s="1" t="str">
        <f>IFERROR(__xludf.DUMMYFUNCTION("""COMPUTED_VALUE"""),"")</f>
        <v/>
      </c>
      <c r="G106" s="1">
        <f>IFERROR(__xludf.DUMMYFUNCTION("""COMPUTED_VALUE"""),197.0)</f>
        <v>197</v>
      </c>
      <c r="H106" s="1" t="str">
        <f>IFERROR(__xludf.DUMMYFUNCTION("""COMPUTED_VALUE"""),"")</f>
        <v/>
      </c>
      <c r="I106" s="3">
        <f>IFERROR(__xludf.DUMMYFUNCTION("""COMPUTED_VALUE"""),1311.0)</f>
        <v>1311</v>
      </c>
      <c r="J106" s="1">
        <f>IFERROR(__xludf.DUMMYFUNCTION("""COMPUTED_VALUE"""),9.0)</f>
        <v>9</v>
      </c>
      <c r="K106" s="3">
        <f>IFERROR(__xludf.DUMMYFUNCTION("""COMPUTED_VALUE"""),2804.0)</f>
        <v>2804</v>
      </c>
      <c r="L106" s="1">
        <f>IFERROR(__xludf.DUMMYFUNCTION("""COMPUTED_VALUE"""),9.0)</f>
        <v>9</v>
      </c>
      <c r="M106" s="3">
        <f>IFERROR(__xludf.DUMMYFUNCTION("""COMPUTED_VALUE"""),11775.0)</f>
        <v>11775</v>
      </c>
      <c r="N106" s="3">
        <f>IFERROR(__xludf.DUMMYFUNCTION("""COMPUTED_VALUE"""),21821.0)</f>
        <v>21821</v>
      </c>
      <c r="O106" s="3">
        <f>IFERROR(__xludf.DUMMYFUNCTION("""COMPUTED_VALUE"""),539625.0)</f>
        <v>539625</v>
      </c>
      <c r="P106" s="1" t="str">
        <f>IFERROR(__xludf.DUMMYFUNCTION("""COMPUTED_VALUE"""),"Asia")</f>
        <v>Asia</v>
      </c>
      <c r="Q106" s="1">
        <f>IFERROR(__xludf.DUMMYFUNCTION("""COMPUTED_VALUE"""),357.0)</f>
        <v>357</v>
      </c>
      <c r="R106" s="3">
        <f>IFERROR(__xludf.DUMMYFUNCTION("""COMPUTED_VALUE"""),107925.0)</f>
        <v>107925</v>
      </c>
      <c r="S106" s="1">
        <f>IFERROR(__xludf.DUMMYFUNCTION("""COMPUTED_VALUE"""),46.0)</f>
        <v>46</v>
      </c>
    </row>
    <row r="107">
      <c r="A107" s="1">
        <f>IFERROR(__xludf.DUMMYFUNCTION("""COMPUTED_VALUE"""),98.0)</f>
        <v>98</v>
      </c>
      <c r="B107" s="1" t="str">
        <f>IFERROR(__xludf.DUMMYFUNCTION("""COMPUTED_VALUE"""),"New Zealand")</f>
        <v>New Zealand</v>
      </c>
      <c r="C107" s="3">
        <f>IFERROR(__xludf.DUMMYFUNCTION("""COMPUTED_VALUE"""),1504.0)</f>
        <v>1504</v>
      </c>
      <c r="D107" s="1" t="str">
        <f>IFERROR(__xludf.DUMMYFUNCTION("""COMPUTED_VALUE"""),"")</f>
        <v/>
      </c>
      <c r="E107" s="1">
        <f>IFERROR(__xludf.DUMMYFUNCTION("""COMPUTED_VALUE"""),22.0)</f>
        <v>22</v>
      </c>
      <c r="F107" s="1" t="str">
        <f>IFERROR(__xludf.DUMMYFUNCTION("""COMPUTED_VALUE"""),"")</f>
        <v/>
      </c>
      <c r="G107" s="3">
        <f>IFERROR(__xludf.DUMMYFUNCTION("""COMPUTED_VALUE"""),1481.0)</f>
        <v>1481</v>
      </c>
      <c r="H107" s="1" t="str">
        <f>IFERROR(__xludf.DUMMYFUNCTION("""COMPUTED_VALUE"""),"+7")</f>
        <v>+7</v>
      </c>
      <c r="I107" s="1">
        <f>IFERROR(__xludf.DUMMYFUNCTION("""COMPUTED_VALUE"""),1.0)</f>
        <v>1</v>
      </c>
      <c r="J107" s="1" t="str">
        <f>IFERROR(__xludf.DUMMYFUNCTION("""COMPUTED_VALUE"""),"")</f>
        <v/>
      </c>
      <c r="K107" s="1">
        <f>IFERROR(__xludf.DUMMYFUNCTION("""COMPUTED_VALUE"""),301.0)</f>
        <v>301</v>
      </c>
      <c r="L107" s="1">
        <f>IFERROR(__xludf.DUMMYFUNCTION("""COMPUTED_VALUE"""),4.0)</f>
        <v>4</v>
      </c>
      <c r="M107" s="3">
        <f>IFERROR(__xludf.DUMMYFUNCTION("""COMPUTED_VALUE"""),275852.0)</f>
        <v>275852</v>
      </c>
      <c r="N107" s="3">
        <f>IFERROR(__xludf.DUMMYFUNCTION("""COMPUTED_VALUE"""),55147.0)</f>
        <v>55147</v>
      </c>
      <c r="O107" s="3">
        <f>IFERROR(__xludf.DUMMYFUNCTION("""COMPUTED_VALUE"""),5002100.0)</f>
        <v>5002100</v>
      </c>
      <c r="P107" s="1" t="str">
        <f>IFERROR(__xludf.DUMMYFUNCTION("""COMPUTED_VALUE"""),"Australia/Oceania")</f>
        <v>Australia/Oceania</v>
      </c>
      <c r="Q107" s="3">
        <f>IFERROR(__xludf.DUMMYFUNCTION("""COMPUTED_VALUE"""),3326.0)</f>
        <v>3326</v>
      </c>
      <c r="R107" s="3">
        <f>IFERROR(__xludf.DUMMYFUNCTION("""COMPUTED_VALUE"""),227368.0)</f>
        <v>227368</v>
      </c>
      <c r="S107" s="1">
        <f>IFERROR(__xludf.DUMMYFUNCTION("""COMPUTED_VALUE"""),18.0)</f>
        <v>18</v>
      </c>
    </row>
    <row r="108">
      <c r="A108" s="1">
        <f>IFERROR(__xludf.DUMMYFUNCTION("""COMPUTED_VALUE"""),99.0)</f>
        <v>99</v>
      </c>
      <c r="B108" s="1" t="str">
        <f>IFERROR(__xludf.DUMMYFUNCTION("""COMPUTED_VALUE"""),"Slovenia")</f>
        <v>Slovenia</v>
      </c>
      <c r="C108" s="3">
        <f>IFERROR(__xludf.DUMMYFUNCTION("""COMPUTED_VALUE"""),1473.0)</f>
        <v>1473</v>
      </c>
      <c r="D108" s="1" t="str">
        <f>IFERROR(__xludf.DUMMYFUNCTION("""COMPUTED_VALUE"""),"")</f>
        <v/>
      </c>
      <c r="E108" s="1">
        <f>IFERROR(__xludf.DUMMYFUNCTION("""COMPUTED_VALUE"""),108.0)</f>
        <v>108</v>
      </c>
      <c r="F108" s="1" t="str">
        <f>IFERROR(__xludf.DUMMYFUNCTION("""COMPUTED_VALUE"""),"")</f>
        <v/>
      </c>
      <c r="G108" s="3">
        <f>IFERROR(__xludf.DUMMYFUNCTION("""COMPUTED_VALUE"""),1356.0)</f>
        <v>1356</v>
      </c>
      <c r="H108" s="1" t="str">
        <f>IFERROR(__xludf.DUMMYFUNCTION("""COMPUTED_VALUE"""),"")</f>
        <v/>
      </c>
      <c r="I108" s="1">
        <f>IFERROR(__xludf.DUMMYFUNCTION("""COMPUTED_VALUE"""),9.0)</f>
        <v>9</v>
      </c>
      <c r="J108" s="1">
        <f>IFERROR(__xludf.DUMMYFUNCTION("""COMPUTED_VALUE"""),2.0)</f>
        <v>2</v>
      </c>
      <c r="K108" s="1">
        <f>IFERROR(__xludf.DUMMYFUNCTION("""COMPUTED_VALUE"""),709.0)</f>
        <v>709</v>
      </c>
      <c r="L108" s="1">
        <f>IFERROR(__xludf.DUMMYFUNCTION("""COMPUTED_VALUE"""),52.0)</f>
        <v>52</v>
      </c>
      <c r="M108" s="3">
        <f>IFERROR(__xludf.DUMMYFUNCTION("""COMPUTED_VALUE"""),78578.0)</f>
        <v>78578</v>
      </c>
      <c r="N108" s="3">
        <f>IFERROR(__xludf.DUMMYFUNCTION("""COMPUTED_VALUE"""),37798.0)</f>
        <v>37798</v>
      </c>
      <c r="O108" s="3">
        <f>IFERROR(__xludf.DUMMYFUNCTION("""COMPUTED_VALUE"""),2078913.0)</f>
        <v>2078913</v>
      </c>
      <c r="P108" s="1" t="str">
        <f>IFERROR(__xludf.DUMMYFUNCTION("""COMPUTED_VALUE"""),"Europe")</f>
        <v>Europe</v>
      </c>
      <c r="Q108" s="3">
        <f>IFERROR(__xludf.DUMMYFUNCTION("""COMPUTED_VALUE"""),1411.0)</f>
        <v>1411</v>
      </c>
      <c r="R108" s="3">
        <f>IFERROR(__xludf.DUMMYFUNCTION("""COMPUTED_VALUE"""),19249.0)</f>
        <v>19249</v>
      </c>
      <c r="S108" s="1">
        <f>IFERROR(__xludf.DUMMYFUNCTION("""COMPUTED_VALUE"""),26.0)</f>
        <v>26</v>
      </c>
    </row>
    <row r="109">
      <c r="A109" s="1">
        <f>IFERROR(__xludf.DUMMYFUNCTION("""COMPUTED_VALUE"""),100.0)</f>
        <v>100</v>
      </c>
      <c r="B109" s="1" t="str">
        <f>IFERROR(__xludf.DUMMYFUNCTION("""COMPUTED_VALUE"""),"Haiti")</f>
        <v>Haiti</v>
      </c>
      <c r="C109" s="3">
        <f>IFERROR(__xludf.DUMMYFUNCTION("""COMPUTED_VALUE"""),1443.0)</f>
        <v>1443</v>
      </c>
      <c r="D109" s="1" t="str">
        <f>IFERROR(__xludf.DUMMYFUNCTION("""COMPUTED_VALUE"""),"+123")</f>
        <v>+123</v>
      </c>
      <c r="E109" s="1">
        <f>IFERROR(__xludf.DUMMYFUNCTION("""COMPUTED_VALUE"""),35.0)</f>
        <v>35</v>
      </c>
      <c r="F109" s="1" t="str">
        <f>IFERROR(__xludf.DUMMYFUNCTION("""COMPUTED_VALUE"""),"+1")</f>
        <v>+1</v>
      </c>
      <c r="G109" s="1">
        <f>IFERROR(__xludf.DUMMYFUNCTION("""COMPUTED_VALUE"""),22.0)</f>
        <v>22</v>
      </c>
      <c r="H109" s="1" t="str">
        <f>IFERROR(__xludf.DUMMYFUNCTION("""COMPUTED_VALUE"""),"")</f>
        <v/>
      </c>
      <c r="I109" s="3">
        <f>IFERROR(__xludf.DUMMYFUNCTION("""COMPUTED_VALUE"""),1386.0)</f>
        <v>1386</v>
      </c>
      <c r="J109" s="1" t="str">
        <f>IFERROR(__xludf.DUMMYFUNCTION("""COMPUTED_VALUE"""),"")</f>
        <v/>
      </c>
      <c r="K109" s="1">
        <f>IFERROR(__xludf.DUMMYFUNCTION("""COMPUTED_VALUE"""),127.0)</f>
        <v>127</v>
      </c>
      <c r="L109" s="1">
        <f>IFERROR(__xludf.DUMMYFUNCTION("""COMPUTED_VALUE"""),3.0)</f>
        <v>3</v>
      </c>
      <c r="M109" s="3">
        <f>IFERROR(__xludf.DUMMYFUNCTION("""COMPUTED_VALUE"""),3475.0)</f>
        <v>3475</v>
      </c>
      <c r="N109" s="1">
        <f>IFERROR(__xludf.DUMMYFUNCTION("""COMPUTED_VALUE"""),305.0)</f>
        <v>305</v>
      </c>
      <c r="O109" s="3">
        <f>IFERROR(__xludf.DUMMYFUNCTION("""COMPUTED_VALUE"""),1.1389523E7)</f>
        <v>11389523</v>
      </c>
      <c r="P109" s="1" t="str">
        <f>IFERROR(__xludf.DUMMYFUNCTION("""COMPUTED_VALUE"""),"North America")</f>
        <v>North America</v>
      </c>
      <c r="Q109" s="3">
        <f>IFERROR(__xludf.DUMMYFUNCTION("""COMPUTED_VALUE"""),7893.0)</f>
        <v>7893</v>
      </c>
      <c r="R109" s="3">
        <f>IFERROR(__xludf.DUMMYFUNCTION("""COMPUTED_VALUE"""),325415.0)</f>
        <v>325415</v>
      </c>
      <c r="S109" s="3">
        <f>IFERROR(__xludf.DUMMYFUNCTION("""COMPUTED_VALUE"""),3278.0)</f>
        <v>3278</v>
      </c>
    </row>
    <row r="110">
      <c r="A110" s="1">
        <f>IFERROR(__xludf.DUMMYFUNCTION("""COMPUTED_VALUE"""),101.0)</f>
        <v>101</v>
      </c>
      <c r="B110" s="1" t="str">
        <f>IFERROR(__xludf.DUMMYFUNCTION("""COMPUTED_VALUE"""),"Venezuela")</f>
        <v>Venezuela</v>
      </c>
      <c r="C110" s="3">
        <f>IFERROR(__xludf.DUMMYFUNCTION("""COMPUTED_VALUE"""),1325.0)</f>
        <v>1325</v>
      </c>
      <c r="D110" s="1" t="str">
        <f>IFERROR(__xludf.DUMMYFUNCTION("""COMPUTED_VALUE"""),"")</f>
        <v/>
      </c>
      <c r="E110" s="1">
        <f>IFERROR(__xludf.DUMMYFUNCTION("""COMPUTED_VALUE"""),11.0)</f>
        <v>11</v>
      </c>
      <c r="F110" s="1" t="str">
        <f>IFERROR(__xludf.DUMMYFUNCTION("""COMPUTED_VALUE"""),"")</f>
        <v/>
      </c>
      <c r="G110" s="1">
        <f>IFERROR(__xludf.DUMMYFUNCTION("""COMPUTED_VALUE"""),302.0)</f>
        <v>302</v>
      </c>
      <c r="H110" s="1" t="str">
        <f>IFERROR(__xludf.DUMMYFUNCTION("""COMPUTED_VALUE"""),"")</f>
        <v/>
      </c>
      <c r="I110" s="3">
        <f>IFERROR(__xludf.DUMMYFUNCTION("""COMPUTED_VALUE"""),1012.0)</f>
        <v>1012</v>
      </c>
      <c r="J110" s="1">
        <f>IFERROR(__xludf.DUMMYFUNCTION("""COMPUTED_VALUE"""),4.0)</f>
        <v>4</v>
      </c>
      <c r="K110" s="1">
        <f>IFERROR(__xludf.DUMMYFUNCTION("""COMPUTED_VALUE"""),47.0)</f>
        <v>47</v>
      </c>
      <c r="L110" s="1">
        <f>IFERROR(__xludf.DUMMYFUNCTION("""COMPUTED_VALUE"""),0.4)</f>
        <v>0.4</v>
      </c>
      <c r="M110" s="3">
        <f>IFERROR(__xludf.DUMMYFUNCTION("""COMPUTED_VALUE"""),897695.0)</f>
        <v>897695</v>
      </c>
      <c r="N110" s="3">
        <f>IFERROR(__xludf.DUMMYFUNCTION("""COMPUTED_VALUE"""),31561.0)</f>
        <v>31561</v>
      </c>
      <c r="O110" s="3">
        <f>IFERROR(__xludf.DUMMYFUNCTION("""COMPUTED_VALUE"""),2.8442842E7)</f>
        <v>28442842</v>
      </c>
      <c r="P110" s="1" t="str">
        <f>IFERROR(__xludf.DUMMYFUNCTION("""COMPUTED_VALUE"""),"South America")</f>
        <v>South America</v>
      </c>
      <c r="Q110" s="3">
        <f>IFERROR(__xludf.DUMMYFUNCTION("""COMPUTED_VALUE"""),21466.0)</f>
        <v>21466</v>
      </c>
      <c r="R110" s="3">
        <f>IFERROR(__xludf.DUMMYFUNCTION("""COMPUTED_VALUE"""),2585713.0)</f>
        <v>2585713</v>
      </c>
      <c r="S110" s="1">
        <f>IFERROR(__xludf.DUMMYFUNCTION("""COMPUTED_VALUE"""),32.0)</f>
        <v>32</v>
      </c>
    </row>
    <row r="111">
      <c r="A111" s="1">
        <f>IFERROR(__xludf.DUMMYFUNCTION("""COMPUTED_VALUE"""),102.0)</f>
        <v>102</v>
      </c>
      <c r="B111" s="1" t="str">
        <f>IFERROR(__xludf.DUMMYFUNCTION("""COMPUTED_VALUE"""),"Guinea-Bissau")</f>
        <v>Guinea-Bissau</v>
      </c>
      <c r="C111" s="3">
        <f>IFERROR(__xludf.DUMMYFUNCTION("""COMPUTED_VALUE"""),1195.0)</f>
        <v>1195</v>
      </c>
      <c r="D111" s="1" t="str">
        <f>IFERROR(__xludf.DUMMYFUNCTION("""COMPUTED_VALUE"""),"")</f>
        <v/>
      </c>
      <c r="E111" s="1">
        <f>IFERROR(__xludf.DUMMYFUNCTION("""COMPUTED_VALUE"""),8.0)</f>
        <v>8</v>
      </c>
      <c r="F111" s="1" t="str">
        <f>IFERROR(__xludf.DUMMYFUNCTION("""COMPUTED_VALUE"""),"")</f>
        <v/>
      </c>
      <c r="G111" s="1">
        <f>IFERROR(__xludf.DUMMYFUNCTION("""COMPUTED_VALUE"""),42.0)</f>
        <v>42</v>
      </c>
      <c r="H111" s="1" t="str">
        <f>IFERROR(__xludf.DUMMYFUNCTION("""COMPUTED_VALUE"""),"")</f>
        <v/>
      </c>
      <c r="I111" s="3">
        <f>IFERROR(__xludf.DUMMYFUNCTION("""COMPUTED_VALUE"""),1145.0)</f>
        <v>1145</v>
      </c>
      <c r="J111" s="1" t="str">
        <f>IFERROR(__xludf.DUMMYFUNCTION("""COMPUTED_VALUE"""),"")</f>
        <v/>
      </c>
      <c r="K111" s="1">
        <f>IFERROR(__xludf.DUMMYFUNCTION("""COMPUTED_VALUE"""),609.0)</f>
        <v>609</v>
      </c>
      <c r="L111" s="1">
        <f>IFERROR(__xludf.DUMMYFUNCTION("""COMPUTED_VALUE"""),4.0)</f>
        <v>4</v>
      </c>
      <c r="M111" s="3">
        <f>IFERROR(__xludf.DUMMYFUNCTION("""COMPUTED_VALUE"""),1500.0)</f>
        <v>1500</v>
      </c>
      <c r="N111" s="1">
        <f>IFERROR(__xludf.DUMMYFUNCTION("""COMPUTED_VALUE"""),764.0)</f>
        <v>764</v>
      </c>
      <c r="O111" s="3">
        <f>IFERROR(__xludf.DUMMYFUNCTION("""COMPUTED_VALUE"""),1963357.0)</f>
        <v>1963357</v>
      </c>
      <c r="P111" s="1" t="str">
        <f>IFERROR(__xludf.DUMMYFUNCTION("""COMPUTED_VALUE"""),"Africa")</f>
        <v>Africa</v>
      </c>
      <c r="Q111" s="3">
        <f>IFERROR(__xludf.DUMMYFUNCTION("""COMPUTED_VALUE"""),1643.0)</f>
        <v>1643</v>
      </c>
      <c r="R111" s="3">
        <f>IFERROR(__xludf.DUMMYFUNCTION("""COMPUTED_VALUE"""),245420.0)</f>
        <v>245420</v>
      </c>
      <c r="S111" s="3">
        <f>IFERROR(__xludf.DUMMYFUNCTION("""COMPUTED_VALUE"""),1309.0)</f>
        <v>1309</v>
      </c>
    </row>
    <row r="112">
      <c r="A112" s="1">
        <f>IFERROR(__xludf.DUMMYFUNCTION("""COMPUTED_VALUE"""),103.0)</f>
        <v>103</v>
      </c>
      <c r="B112" s="1" t="str">
        <f>IFERROR(__xludf.DUMMYFUNCTION("""COMPUTED_VALUE"""),"Mali")</f>
        <v>Mali</v>
      </c>
      <c r="C112" s="3">
        <f>IFERROR(__xludf.DUMMYFUNCTION("""COMPUTED_VALUE"""),1194.0)</f>
        <v>1194</v>
      </c>
      <c r="D112" s="1" t="str">
        <f>IFERROR(__xludf.DUMMYFUNCTION("""COMPUTED_VALUE"""),"")</f>
        <v/>
      </c>
      <c r="E112" s="1">
        <f>IFERROR(__xludf.DUMMYFUNCTION("""COMPUTED_VALUE"""),72.0)</f>
        <v>72</v>
      </c>
      <c r="F112" s="1" t="str">
        <f>IFERROR(__xludf.DUMMYFUNCTION("""COMPUTED_VALUE"""),"")</f>
        <v/>
      </c>
      <c r="G112" s="1">
        <f>IFERROR(__xludf.DUMMYFUNCTION("""COMPUTED_VALUE"""),652.0)</f>
        <v>652</v>
      </c>
      <c r="H112" s="1" t="str">
        <f>IFERROR(__xludf.DUMMYFUNCTION("""COMPUTED_VALUE"""),"")</f>
        <v/>
      </c>
      <c r="I112" s="1">
        <f>IFERROR(__xludf.DUMMYFUNCTION("""COMPUTED_VALUE"""),470.0)</f>
        <v>470</v>
      </c>
      <c r="J112" s="1" t="str">
        <f>IFERROR(__xludf.DUMMYFUNCTION("""COMPUTED_VALUE"""),"")</f>
        <v/>
      </c>
      <c r="K112" s="1">
        <f>IFERROR(__xludf.DUMMYFUNCTION("""COMPUTED_VALUE"""),59.0)</f>
        <v>59</v>
      </c>
      <c r="L112" s="1">
        <f>IFERROR(__xludf.DUMMYFUNCTION("""COMPUTED_VALUE"""),4.0)</f>
        <v>4</v>
      </c>
      <c r="M112" s="3">
        <f>IFERROR(__xludf.DUMMYFUNCTION("""COMPUTED_VALUE"""),3483.0)</f>
        <v>3483</v>
      </c>
      <c r="N112" s="1">
        <f>IFERROR(__xludf.DUMMYFUNCTION("""COMPUTED_VALUE"""),173.0)</f>
        <v>173</v>
      </c>
      <c r="O112" s="3">
        <f>IFERROR(__xludf.DUMMYFUNCTION("""COMPUTED_VALUE"""),2.0190889E7)</f>
        <v>20190889</v>
      </c>
      <c r="P112" s="1" t="str">
        <f>IFERROR(__xludf.DUMMYFUNCTION("""COMPUTED_VALUE"""),"Africa")</f>
        <v>Africa</v>
      </c>
      <c r="Q112" s="3">
        <f>IFERROR(__xludf.DUMMYFUNCTION("""COMPUTED_VALUE"""),16910.0)</f>
        <v>16910</v>
      </c>
      <c r="R112" s="3">
        <f>IFERROR(__xludf.DUMMYFUNCTION("""COMPUTED_VALUE"""),280429.0)</f>
        <v>280429</v>
      </c>
      <c r="S112" s="3">
        <f>IFERROR(__xludf.DUMMYFUNCTION("""COMPUTED_VALUE"""),5797.0)</f>
        <v>5797</v>
      </c>
    </row>
    <row r="113">
      <c r="A113" s="1">
        <f>IFERROR(__xludf.DUMMYFUNCTION("""COMPUTED_VALUE"""),104.0)</f>
        <v>104</v>
      </c>
      <c r="B113" s="1" t="str">
        <f>IFERROR(__xludf.DUMMYFUNCTION("""COMPUTED_VALUE"""),"Lebanon")</f>
        <v>Lebanon</v>
      </c>
      <c r="C113" s="3">
        <f>IFERROR(__xludf.DUMMYFUNCTION("""COMPUTED_VALUE"""),1168.0)</f>
        <v>1168</v>
      </c>
      <c r="D113" s="1" t="str">
        <f>IFERROR(__xludf.DUMMYFUNCTION("""COMPUTED_VALUE"""),"")</f>
        <v/>
      </c>
      <c r="E113" s="1">
        <f>IFERROR(__xludf.DUMMYFUNCTION("""COMPUTED_VALUE"""),26.0)</f>
        <v>26</v>
      </c>
      <c r="F113" s="1" t="str">
        <f>IFERROR(__xludf.DUMMYFUNCTION("""COMPUTED_VALUE"""),"")</f>
        <v/>
      </c>
      <c r="G113" s="1">
        <f>IFERROR(__xludf.DUMMYFUNCTION("""COMPUTED_VALUE"""),699.0)</f>
        <v>699</v>
      </c>
      <c r="H113" s="1" t="str">
        <f>IFERROR(__xludf.DUMMYFUNCTION("""COMPUTED_VALUE"""),"")</f>
        <v/>
      </c>
      <c r="I113" s="1">
        <f>IFERROR(__xludf.DUMMYFUNCTION("""COMPUTED_VALUE"""),443.0)</f>
        <v>443</v>
      </c>
      <c r="J113" s="1">
        <f>IFERROR(__xludf.DUMMYFUNCTION("""COMPUTED_VALUE"""),7.0)</f>
        <v>7</v>
      </c>
      <c r="K113" s="1">
        <f>IFERROR(__xludf.DUMMYFUNCTION("""COMPUTED_VALUE"""),171.0)</f>
        <v>171</v>
      </c>
      <c r="L113" s="1">
        <f>IFERROR(__xludf.DUMMYFUNCTION("""COMPUTED_VALUE"""),4.0)</f>
        <v>4</v>
      </c>
      <c r="M113" s="3">
        <f>IFERROR(__xludf.DUMMYFUNCTION("""COMPUTED_VALUE"""),78947.0)</f>
        <v>78947</v>
      </c>
      <c r="N113" s="3">
        <f>IFERROR(__xludf.DUMMYFUNCTION("""COMPUTED_VALUE"""),11562.0)</f>
        <v>11562</v>
      </c>
      <c r="O113" s="3">
        <f>IFERROR(__xludf.DUMMYFUNCTION("""COMPUTED_VALUE"""),6828038.0)</f>
        <v>6828038</v>
      </c>
      <c r="P113" s="1" t="str">
        <f>IFERROR(__xludf.DUMMYFUNCTION("""COMPUTED_VALUE"""),"Asia")</f>
        <v>Asia</v>
      </c>
      <c r="Q113" s="3">
        <f>IFERROR(__xludf.DUMMYFUNCTION("""COMPUTED_VALUE"""),5846.0)</f>
        <v>5846</v>
      </c>
      <c r="R113" s="3">
        <f>IFERROR(__xludf.DUMMYFUNCTION("""COMPUTED_VALUE"""),262617.0)</f>
        <v>262617</v>
      </c>
      <c r="S113" s="1">
        <f>IFERROR(__xludf.DUMMYFUNCTION("""COMPUTED_VALUE"""),86.0)</f>
        <v>86</v>
      </c>
    </row>
    <row r="114">
      <c r="A114" s="1">
        <f>IFERROR(__xludf.DUMMYFUNCTION("""COMPUTED_VALUE"""),105.0)</f>
        <v>105</v>
      </c>
      <c r="B114" s="1" t="str">
        <f>IFERROR(__xludf.DUMMYFUNCTION("""COMPUTED_VALUE"""),"Albania")</f>
        <v>Albania</v>
      </c>
      <c r="C114" s="3">
        <f>IFERROR(__xludf.DUMMYFUNCTION("""COMPUTED_VALUE"""),1076.0)</f>
        <v>1076</v>
      </c>
      <c r="D114" s="1" t="str">
        <f>IFERROR(__xludf.DUMMYFUNCTION("""COMPUTED_VALUE"""),"")</f>
        <v/>
      </c>
      <c r="E114" s="1">
        <f>IFERROR(__xludf.DUMMYFUNCTION("""COMPUTED_VALUE"""),33.0)</f>
        <v>33</v>
      </c>
      <c r="F114" s="1" t="str">
        <f>IFERROR(__xludf.DUMMYFUNCTION("""COMPUTED_VALUE"""),"")</f>
        <v/>
      </c>
      <c r="G114" s="1">
        <f>IFERROR(__xludf.DUMMYFUNCTION("""COMPUTED_VALUE"""),823.0)</f>
        <v>823</v>
      </c>
      <c r="H114" s="1" t="str">
        <f>IFERROR(__xludf.DUMMYFUNCTION("""COMPUTED_VALUE"""),"")</f>
        <v/>
      </c>
      <c r="I114" s="1">
        <f>IFERROR(__xludf.DUMMYFUNCTION("""COMPUTED_VALUE"""),220.0)</f>
        <v>220</v>
      </c>
      <c r="J114" s="1">
        <f>IFERROR(__xludf.DUMMYFUNCTION("""COMPUTED_VALUE"""),3.0)</f>
        <v>3</v>
      </c>
      <c r="K114" s="1">
        <f>IFERROR(__xludf.DUMMYFUNCTION("""COMPUTED_VALUE"""),374.0)</f>
        <v>374</v>
      </c>
      <c r="L114" s="1">
        <f>IFERROR(__xludf.DUMMYFUNCTION("""COMPUTED_VALUE"""),11.0)</f>
        <v>11</v>
      </c>
      <c r="M114" s="3">
        <f>IFERROR(__xludf.DUMMYFUNCTION("""COMPUTED_VALUE"""),13993.0)</f>
        <v>13993</v>
      </c>
      <c r="N114" s="3">
        <f>IFERROR(__xludf.DUMMYFUNCTION("""COMPUTED_VALUE"""),4862.0)</f>
        <v>4862</v>
      </c>
      <c r="O114" s="3">
        <f>IFERROR(__xludf.DUMMYFUNCTION("""COMPUTED_VALUE"""),2878069.0)</f>
        <v>2878069</v>
      </c>
      <c r="P114" s="1" t="str">
        <f>IFERROR(__xludf.DUMMYFUNCTION("""COMPUTED_VALUE"""),"Europe")</f>
        <v>Europe</v>
      </c>
      <c r="Q114" s="3">
        <f>IFERROR(__xludf.DUMMYFUNCTION("""COMPUTED_VALUE"""),2675.0)</f>
        <v>2675</v>
      </c>
      <c r="R114" s="3">
        <f>IFERROR(__xludf.DUMMYFUNCTION("""COMPUTED_VALUE"""),87214.0)</f>
        <v>87214</v>
      </c>
      <c r="S114" s="1">
        <f>IFERROR(__xludf.DUMMYFUNCTION("""COMPUTED_VALUE"""),206.0)</f>
        <v>206</v>
      </c>
    </row>
    <row r="115">
      <c r="A115" s="1">
        <f>IFERROR(__xludf.DUMMYFUNCTION("""COMPUTED_VALUE"""),106.0)</f>
        <v>106</v>
      </c>
      <c r="B115" s="1" t="str">
        <f>IFERROR(__xludf.DUMMYFUNCTION("""COMPUTED_VALUE"""),"Tunisia")</f>
        <v>Tunisia</v>
      </c>
      <c r="C115" s="3">
        <f>IFERROR(__xludf.DUMMYFUNCTION("""COMPUTED_VALUE"""),1068.0)</f>
        <v>1068</v>
      </c>
      <c r="D115" s="1" t="str">
        <f>IFERROR(__xludf.DUMMYFUNCTION("""COMPUTED_VALUE"""),"")</f>
        <v/>
      </c>
      <c r="E115" s="1">
        <f>IFERROR(__xludf.DUMMYFUNCTION("""COMPUTED_VALUE"""),48.0)</f>
        <v>48</v>
      </c>
      <c r="F115" s="1" t="str">
        <f>IFERROR(__xludf.DUMMYFUNCTION("""COMPUTED_VALUE"""),"")</f>
        <v/>
      </c>
      <c r="G115" s="1">
        <f>IFERROR(__xludf.DUMMYFUNCTION("""COMPUTED_VALUE"""),938.0)</f>
        <v>938</v>
      </c>
      <c r="H115" s="1" t="str">
        <f>IFERROR(__xludf.DUMMYFUNCTION("""COMPUTED_VALUE"""),"")</f>
        <v/>
      </c>
      <c r="I115" s="1">
        <f>IFERROR(__xludf.DUMMYFUNCTION("""COMPUTED_VALUE"""),82.0)</f>
        <v>82</v>
      </c>
      <c r="J115" s="1">
        <f>IFERROR(__xludf.DUMMYFUNCTION("""COMPUTED_VALUE"""),2.0)</f>
        <v>2</v>
      </c>
      <c r="K115" s="1">
        <f>IFERROR(__xludf.DUMMYFUNCTION("""COMPUTED_VALUE"""),90.0)</f>
        <v>90</v>
      </c>
      <c r="L115" s="1">
        <f>IFERROR(__xludf.DUMMYFUNCTION("""COMPUTED_VALUE"""),4.0)</f>
        <v>4</v>
      </c>
      <c r="M115" s="3">
        <f>IFERROR(__xludf.DUMMYFUNCTION("""COMPUTED_VALUE"""),49951.0)</f>
        <v>49951</v>
      </c>
      <c r="N115" s="3">
        <f>IFERROR(__xludf.DUMMYFUNCTION("""COMPUTED_VALUE"""),4231.0)</f>
        <v>4231</v>
      </c>
      <c r="O115" s="3">
        <f>IFERROR(__xludf.DUMMYFUNCTION("""COMPUTED_VALUE"""),1.1807164E7)</f>
        <v>11807164</v>
      </c>
      <c r="P115" s="1" t="str">
        <f>IFERROR(__xludf.DUMMYFUNCTION("""COMPUTED_VALUE"""),"Africa")</f>
        <v>Africa</v>
      </c>
      <c r="Q115" s="3">
        <f>IFERROR(__xludf.DUMMYFUNCTION("""COMPUTED_VALUE"""),11055.0)</f>
        <v>11055</v>
      </c>
      <c r="R115" s="3">
        <f>IFERROR(__xludf.DUMMYFUNCTION("""COMPUTED_VALUE"""),245983.0)</f>
        <v>245983</v>
      </c>
      <c r="S115" s="1">
        <f>IFERROR(__xludf.DUMMYFUNCTION("""COMPUTED_VALUE"""),236.0)</f>
        <v>236</v>
      </c>
    </row>
    <row r="116">
      <c r="A116" s="1">
        <f>IFERROR(__xludf.DUMMYFUNCTION("""COMPUTED_VALUE"""),107.0)</f>
        <v>107</v>
      </c>
      <c r="B116" s="1" t="str">
        <f>IFERROR(__xludf.DUMMYFUNCTION("""COMPUTED_VALUE"""),"Hong Kong")</f>
        <v>Hong Kong</v>
      </c>
      <c r="C116" s="3">
        <f>IFERROR(__xludf.DUMMYFUNCTION("""COMPUTED_VALUE"""),1067.0)</f>
        <v>1067</v>
      </c>
      <c r="D116" s="1" t="str">
        <f>IFERROR(__xludf.DUMMYFUNCTION("""COMPUTED_VALUE"""),"")</f>
        <v/>
      </c>
      <c r="E116" s="1">
        <f>IFERROR(__xludf.DUMMYFUNCTION("""COMPUTED_VALUE"""),4.0)</f>
        <v>4</v>
      </c>
      <c r="F116" s="1" t="str">
        <f>IFERROR(__xludf.DUMMYFUNCTION("""COMPUTED_VALUE"""),"")</f>
        <v/>
      </c>
      <c r="G116" s="3">
        <f>IFERROR(__xludf.DUMMYFUNCTION("""COMPUTED_VALUE"""),1035.0)</f>
        <v>1035</v>
      </c>
      <c r="H116" s="1" t="str">
        <f>IFERROR(__xludf.DUMMYFUNCTION("""COMPUTED_VALUE"""),"")</f>
        <v/>
      </c>
      <c r="I116" s="1">
        <f>IFERROR(__xludf.DUMMYFUNCTION("""COMPUTED_VALUE"""),28.0)</f>
        <v>28</v>
      </c>
      <c r="J116" s="1">
        <f>IFERROR(__xludf.DUMMYFUNCTION("""COMPUTED_VALUE"""),1.0)</f>
        <v>1</v>
      </c>
      <c r="K116" s="1">
        <f>IFERROR(__xludf.DUMMYFUNCTION("""COMPUTED_VALUE"""),142.0)</f>
        <v>142</v>
      </c>
      <c r="L116" s="1">
        <f>IFERROR(__xludf.DUMMYFUNCTION("""COMPUTED_VALUE"""),0.5)</f>
        <v>0.5</v>
      </c>
      <c r="M116" s="3">
        <f>IFERROR(__xludf.DUMMYFUNCTION("""COMPUTED_VALUE"""),202930.0)</f>
        <v>202930</v>
      </c>
      <c r="N116" s="3">
        <f>IFERROR(__xludf.DUMMYFUNCTION("""COMPUTED_VALUE"""),27088.0)</f>
        <v>27088</v>
      </c>
      <c r="O116" s="3">
        <f>IFERROR(__xludf.DUMMYFUNCTION("""COMPUTED_VALUE"""),7491423.0)</f>
        <v>7491423</v>
      </c>
      <c r="P116" s="1" t="str">
        <f>IFERROR(__xludf.DUMMYFUNCTION("""COMPUTED_VALUE"""),"Asia")</f>
        <v>Asia</v>
      </c>
      <c r="Q116" s="3">
        <f>IFERROR(__xludf.DUMMYFUNCTION("""COMPUTED_VALUE"""),7021.0)</f>
        <v>7021</v>
      </c>
      <c r="R116" s="3">
        <f>IFERROR(__xludf.DUMMYFUNCTION("""COMPUTED_VALUE"""),1872856.0)</f>
        <v>1872856</v>
      </c>
      <c r="S116" s="1">
        <f>IFERROR(__xludf.DUMMYFUNCTION("""COMPUTED_VALUE"""),37.0)</f>
        <v>37</v>
      </c>
    </row>
    <row r="117">
      <c r="A117" s="1">
        <f>IFERROR(__xludf.DUMMYFUNCTION("""COMPUTED_VALUE"""),108.0)</f>
        <v>108</v>
      </c>
      <c r="B117" s="1" t="str">
        <f>IFERROR(__xludf.DUMMYFUNCTION("""COMPUTED_VALUE"""),"Latvia")</f>
        <v>Latvia</v>
      </c>
      <c r="C117" s="3">
        <f>IFERROR(__xludf.DUMMYFUNCTION("""COMPUTED_VALUE"""),1061.0)</f>
        <v>1061</v>
      </c>
      <c r="D117" s="1" t="str">
        <f>IFERROR(__xludf.DUMMYFUNCTION("""COMPUTED_VALUE"""),"")</f>
        <v/>
      </c>
      <c r="E117" s="1">
        <f>IFERROR(__xludf.DUMMYFUNCTION("""COMPUTED_VALUE"""),24.0)</f>
        <v>24</v>
      </c>
      <c r="F117" s="1" t="str">
        <f>IFERROR(__xludf.DUMMYFUNCTION("""COMPUTED_VALUE"""),"")</f>
        <v/>
      </c>
      <c r="G117" s="1">
        <f>IFERROR(__xludf.DUMMYFUNCTION("""COMPUTED_VALUE"""),741.0)</f>
        <v>741</v>
      </c>
      <c r="H117" s="1" t="str">
        <f>IFERROR(__xludf.DUMMYFUNCTION("""COMPUTED_VALUE"""),"")</f>
        <v/>
      </c>
      <c r="I117" s="1">
        <f>IFERROR(__xludf.DUMMYFUNCTION("""COMPUTED_VALUE"""),296.0)</f>
        <v>296</v>
      </c>
      <c r="J117" s="1">
        <f>IFERROR(__xludf.DUMMYFUNCTION("""COMPUTED_VALUE"""),3.0)</f>
        <v>3</v>
      </c>
      <c r="K117" s="1">
        <f>IFERROR(__xludf.DUMMYFUNCTION("""COMPUTED_VALUE"""),562.0)</f>
        <v>562</v>
      </c>
      <c r="L117" s="1">
        <f>IFERROR(__xludf.DUMMYFUNCTION("""COMPUTED_VALUE"""),13.0)</f>
        <v>13</v>
      </c>
      <c r="M117" s="3">
        <f>IFERROR(__xludf.DUMMYFUNCTION("""COMPUTED_VALUE"""),105504.0)</f>
        <v>105504</v>
      </c>
      <c r="N117" s="3">
        <f>IFERROR(__xludf.DUMMYFUNCTION("""COMPUTED_VALUE"""),55884.0)</f>
        <v>55884</v>
      </c>
      <c r="O117" s="3">
        <f>IFERROR(__xludf.DUMMYFUNCTION("""COMPUTED_VALUE"""),1887898.0)</f>
        <v>1887898</v>
      </c>
      <c r="P117" s="1" t="str">
        <f>IFERROR(__xludf.DUMMYFUNCTION("""COMPUTED_VALUE"""),"Europe")</f>
        <v>Europe</v>
      </c>
      <c r="Q117" s="3">
        <f>IFERROR(__xludf.DUMMYFUNCTION("""COMPUTED_VALUE"""),1779.0)</f>
        <v>1779</v>
      </c>
      <c r="R117" s="3">
        <f>IFERROR(__xludf.DUMMYFUNCTION("""COMPUTED_VALUE"""),78662.0)</f>
        <v>78662</v>
      </c>
      <c r="S117" s="1">
        <f>IFERROR(__xludf.DUMMYFUNCTION("""COMPUTED_VALUE"""),18.0)</f>
        <v>18</v>
      </c>
    </row>
    <row r="118">
      <c r="A118" s="1">
        <f>IFERROR(__xludf.DUMMYFUNCTION("""COMPUTED_VALUE"""),109.0)</f>
        <v>109</v>
      </c>
      <c r="B118" s="1" t="str">
        <f>IFERROR(__xludf.DUMMYFUNCTION("""COMPUTED_VALUE"""),"Zambia")</f>
        <v>Zambia</v>
      </c>
      <c r="C118" s="3">
        <f>IFERROR(__xludf.DUMMYFUNCTION("""COMPUTED_VALUE"""),1057.0)</f>
        <v>1057</v>
      </c>
      <c r="D118" s="1" t="str">
        <f>IFERROR(__xludf.DUMMYFUNCTION("""COMPUTED_VALUE"""),"")</f>
        <v/>
      </c>
      <c r="E118" s="1">
        <f>IFERROR(__xludf.DUMMYFUNCTION("""COMPUTED_VALUE"""),7.0)</f>
        <v>7</v>
      </c>
      <c r="F118" s="1" t="str">
        <f>IFERROR(__xludf.DUMMYFUNCTION("""COMPUTED_VALUE"""),"")</f>
        <v/>
      </c>
      <c r="G118" s="1">
        <f>IFERROR(__xludf.DUMMYFUNCTION("""COMPUTED_VALUE"""),779.0)</f>
        <v>779</v>
      </c>
      <c r="H118" s="1" t="str">
        <f>IFERROR(__xludf.DUMMYFUNCTION("""COMPUTED_VALUE"""),"")</f>
        <v/>
      </c>
      <c r="I118" s="1">
        <f>IFERROR(__xludf.DUMMYFUNCTION("""COMPUTED_VALUE"""),271.0)</f>
        <v>271</v>
      </c>
      <c r="J118" s="1">
        <f>IFERROR(__xludf.DUMMYFUNCTION("""COMPUTED_VALUE"""),1.0)</f>
        <v>1</v>
      </c>
      <c r="K118" s="1">
        <f>IFERROR(__xludf.DUMMYFUNCTION("""COMPUTED_VALUE"""),58.0)</f>
        <v>58</v>
      </c>
      <c r="L118" s="1">
        <f>IFERROR(__xludf.DUMMYFUNCTION("""COMPUTED_VALUE"""),0.4)</f>
        <v>0.4</v>
      </c>
      <c r="M118" s="3">
        <f>IFERROR(__xludf.DUMMYFUNCTION("""COMPUTED_VALUE"""),24275.0)</f>
        <v>24275</v>
      </c>
      <c r="N118" s="3">
        <f>IFERROR(__xludf.DUMMYFUNCTION("""COMPUTED_VALUE"""),1324.0)</f>
        <v>1324</v>
      </c>
      <c r="O118" s="3">
        <f>IFERROR(__xludf.DUMMYFUNCTION("""COMPUTED_VALUE"""),1.8331278E7)</f>
        <v>18331278</v>
      </c>
      <c r="P118" s="1" t="str">
        <f>IFERROR(__xludf.DUMMYFUNCTION("""COMPUTED_VALUE"""),"Africa")</f>
        <v>Africa</v>
      </c>
      <c r="Q118" s="3">
        <f>IFERROR(__xludf.DUMMYFUNCTION("""COMPUTED_VALUE"""),17343.0)</f>
        <v>17343</v>
      </c>
      <c r="R118" s="3">
        <f>IFERROR(__xludf.DUMMYFUNCTION("""COMPUTED_VALUE"""),2618754.0)</f>
        <v>2618754</v>
      </c>
      <c r="S118" s="1">
        <f>IFERROR(__xludf.DUMMYFUNCTION("""COMPUTED_VALUE"""),755.0)</f>
        <v>755</v>
      </c>
    </row>
    <row r="119">
      <c r="A119" s="1">
        <f>IFERROR(__xludf.DUMMYFUNCTION("""COMPUTED_VALUE"""),110.0)</f>
        <v>110</v>
      </c>
      <c r="B119" s="1" t="str">
        <f>IFERROR(__xludf.DUMMYFUNCTION("""COMPUTED_VALUE"""),"Equatorial Guinea")</f>
        <v>Equatorial Guinea</v>
      </c>
      <c r="C119" s="3">
        <f>IFERROR(__xludf.DUMMYFUNCTION("""COMPUTED_VALUE"""),1043.0)</f>
        <v>1043</v>
      </c>
      <c r="D119" s="1" t="str">
        <f>IFERROR(__xludf.DUMMYFUNCTION("""COMPUTED_VALUE"""),"")</f>
        <v/>
      </c>
      <c r="E119" s="1">
        <f>IFERROR(__xludf.DUMMYFUNCTION("""COMPUTED_VALUE"""),12.0)</f>
        <v>12</v>
      </c>
      <c r="F119" s="1" t="str">
        <f>IFERROR(__xludf.DUMMYFUNCTION("""COMPUTED_VALUE"""),"")</f>
        <v/>
      </c>
      <c r="G119" s="1">
        <f>IFERROR(__xludf.DUMMYFUNCTION("""COMPUTED_VALUE"""),165.0)</f>
        <v>165</v>
      </c>
      <c r="H119" s="1" t="str">
        <f>IFERROR(__xludf.DUMMYFUNCTION("""COMPUTED_VALUE"""),"")</f>
        <v/>
      </c>
      <c r="I119" s="1">
        <f>IFERROR(__xludf.DUMMYFUNCTION("""COMPUTED_VALUE"""),866.0)</f>
        <v>866</v>
      </c>
      <c r="J119" s="1" t="str">
        <f>IFERROR(__xludf.DUMMYFUNCTION("""COMPUTED_VALUE"""),"")</f>
        <v/>
      </c>
      <c r="K119" s="1">
        <f>IFERROR(__xludf.DUMMYFUNCTION("""COMPUTED_VALUE"""),746.0)</f>
        <v>746</v>
      </c>
      <c r="L119" s="1">
        <f>IFERROR(__xludf.DUMMYFUNCTION("""COMPUTED_VALUE"""),9.0)</f>
        <v>9</v>
      </c>
      <c r="M119" s="1">
        <f>IFERROR(__xludf.DUMMYFUNCTION("""COMPUTED_VALUE"""),854.0)</f>
        <v>854</v>
      </c>
      <c r="N119" s="1">
        <f>IFERROR(__xludf.DUMMYFUNCTION("""COMPUTED_VALUE"""),611.0)</f>
        <v>611</v>
      </c>
      <c r="O119" s="3">
        <f>IFERROR(__xludf.DUMMYFUNCTION("""COMPUTED_VALUE"""),1398140.0)</f>
        <v>1398140</v>
      </c>
      <c r="P119" s="1" t="str">
        <f>IFERROR(__xludf.DUMMYFUNCTION("""COMPUTED_VALUE"""),"Africa")</f>
        <v>Africa</v>
      </c>
      <c r="Q119" s="3">
        <f>IFERROR(__xludf.DUMMYFUNCTION("""COMPUTED_VALUE"""),1340.0)</f>
        <v>1340</v>
      </c>
      <c r="R119" s="3">
        <f>IFERROR(__xludf.DUMMYFUNCTION("""COMPUTED_VALUE"""),116512.0)</f>
        <v>116512</v>
      </c>
      <c r="S119" s="3">
        <f>IFERROR(__xludf.DUMMYFUNCTION("""COMPUTED_VALUE"""),1637.0)</f>
        <v>1637</v>
      </c>
    </row>
    <row r="120">
      <c r="A120" s="1">
        <f>IFERROR(__xludf.DUMMYFUNCTION("""COMPUTED_VALUE"""),111.0)</f>
        <v>111</v>
      </c>
      <c r="B120" s="1" t="str">
        <f>IFERROR(__xludf.DUMMYFUNCTION("""COMPUTED_VALUE"""),"Nepal")</f>
        <v>Nepal</v>
      </c>
      <c r="C120" s="3">
        <f>IFERROR(__xludf.DUMMYFUNCTION("""COMPUTED_VALUE"""),1042.0)</f>
        <v>1042</v>
      </c>
      <c r="D120" s="1" t="str">
        <f>IFERROR(__xludf.DUMMYFUNCTION("""COMPUTED_VALUE"""),"")</f>
        <v/>
      </c>
      <c r="E120" s="1">
        <f>IFERROR(__xludf.DUMMYFUNCTION("""COMPUTED_VALUE"""),5.0)</f>
        <v>5</v>
      </c>
      <c r="F120" s="1" t="str">
        <f>IFERROR(__xludf.DUMMYFUNCTION("""COMPUTED_VALUE"""),"")</f>
        <v/>
      </c>
      <c r="G120" s="1">
        <f>IFERROR(__xludf.DUMMYFUNCTION("""COMPUTED_VALUE"""),187.0)</f>
        <v>187</v>
      </c>
      <c r="H120" s="1" t="str">
        <f>IFERROR(__xludf.DUMMYFUNCTION("""COMPUTED_VALUE"""),"")</f>
        <v/>
      </c>
      <c r="I120" s="1">
        <f>IFERROR(__xludf.DUMMYFUNCTION("""COMPUTED_VALUE"""),850.0)</f>
        <v>850</v>
      </c>
      <c r="J120" s="1" t="str">
        <f>IFERROR(__xludf.DUMMYFUNCTION("""COMPUTED_VALUE"""),"")</f>
        <v/>
      </c>
      <c r="K120" s="1">
        <f>IFERROR(__xludf.DUMMYFUNCTION("""COMPUTED_VALUE"""),36.0)</f>
        <v>36</v>
      </c>
      <c r="L120" s="1">
        <f>IFERROR(__xludf.DUMMYFUNCTION("""COMPUTED_VALUE"""),0.2)</f>
        <v>0.2</v>
      </c>
      <c r="M120" s="3">
        <f>IFERROR(__xludf.DUMMYFUNCTION("""COMPUTED_VALUE"""),162730.0)</f>
        <v>162730</v>
      </c>
      <c r="N120" s="3">
        <f>IFERROR(__xludf.DUMMYFUNCTION("""COMPUTED_VALUE"""),5595.0)</f>
        <v>5595</v>
      </c>
      <c r="O120" s="3">
        <f>IFERROR(__xludf.DUMMYFUNCTION("""COMPUTED_VALUE"""),2.9086128E7)</f>
        <v>29086128</v>
      </c>
      <c r="P120" s="1" t="str">
        <f>IFERROR(__xludf.DUMMYFUNCTION("""COMPUTED_VALUE"""),"Asia")</f>
        <v>Asia</v>
      </c>
      <c r="Q120" s="3">
        <f>IFERROR(__xludf.DUMMYFUNCTION("""COMPUTED_VALUE"""),27914.0)</f>
        <v>27914</v>
      </c>
      <c r="R120" s="3">
        <f>IFERROR(__xludf.DUMMYFUNCTION("""COMPUTED_VALUE"""),5817226.0)</f>
        <v>5817226</v>
      </c>
      <c r="S120" s="1">
        <f>IFERROR(__xludf.DUMMYFUNCTION("""COMPUTED_VALUE"""),179.0)</f>
        <v>179</v>
      </c>
    </row>
    <row r="121">
      <c r="A121" s="1">
        <f>IFERROR(__xludf.DUMMYFUNCTION("""COMPUTED_VALUE"""),112.0)</f>
        <v>112</v>
      </c>
      <c r="B121" s="1" t="str">
        <f>IFERROR(__xludf.DUMMYFUNCTION("""COMPUTED_VALUE"""),"Costa Rica")</f>
        <v>Costa Rica</v>
      </c>
      <c r="C121" s="3">
        <f>IFERROR(__xludf.DUMMYFUNCTION("""COMPUTED_VALUE"""),1000.0)</f>
        <v>1000</v>
      </c>
      <c r="D121" s="1" t="str">
        <f>IFERROR(__xludf.DUMMYFUNCTION("""COMPUTED_VALUE"""),"")</f>
        <v/>
      </c>
      <c r="E121" s="1">
        <f>IFERROR(__xludf.DUMMYFUNCTION("""COMPUTED_VALUE"""),10.0)</f>
        <v>10</v>
      </c>
      <c r="F121" s="1" t="str">
        <f>IFERROR(__xludf.DUMMYFUNCTION("""COMPUTED_VALUE"""),"")</f>
        <v/>
      </c>
      <c r="G121" s="1">
        <f>IFERROR(__xludf.DUMMYFUNCTION("""COMPUTED_VALUE"""),646.0)</f>
        <v>646</v>
      </c>
      <c r="H121" s="1" t="str">
        <f>IFERROR(__xludf.DUMMYFUNCTION("""COMPUTED_VALUE"""),"")</f>
        <v/>
      </c>
      <c r="I121" s="1">
        <f>IFERROR(__xludf.DUMMYFUNCTION("""COMPUTED_VALUE"""),344.0)</f>
        <v>344</v>
      </c>
      <c r="J121" s="1">
        <f>IFERROR(__xludf.DUMMYFUNCTION("""COMPUTED_VALUE"""),2.0)</f>
        <v>2</v>
      </c>
      <c r="K121" s="1">
        <f>IFERROR(__xludf.DUMMYFUNCTION("""COMPUTED_VALUE"""),196.0)</f>
        <v>196</v>
      </c>
      <c r="L121" s="1">
        <f>IFERROR(__xludf.DUMMYFUNCTION("""COMPUTED_VALUE"""),2.0)</f>
        <v>2</v>
      </c>
      <c r="M121" s="3">
        <f>IFERROR(__xludf.DUMMYFUNCTION("""COMPUTED_VALUE"""),24897.0)</f>
        <v>24897</v>
      </c>
      <c r="N121" s="3">
        <f>IFERROR(__xludf.DUMMYFUNCTION("""COMPUTED_VALUE"""),4892.0)</f>
        <v>4892</v>
      </c>
      <c r="O121" s="3">
        <f>IFERROR(__xludf.DUMMYFUNCTION("""COMPUTED_VALUE"""),5089842.0)</f>
        <v>5089842</v>
      </c>
      <c r="P121" s="1" t="str">
        <f>IFERROR(__xludf.DUMMYFUNCTION("""COMPUTED_VALUE"""),"North America")</f>
        <v>North America</v>
      </c>
      <c r="Q121" s="3">
        <f>IFERROR(__xludf.DUMMYFUNCTION("""COMPUTED_VALUE"""),5090.0)</f>
        <v>5090</v>
      </c>
      <c r="R121" s="3">
        <f>IFERROR(__xludf.DUMMYFUNCTION("""COMPUTED_VALUE"""),508984.0)</f>
        <v>508984</v>
      </c>
      <c r="S121" s="1">
        <f>IFERROR(__xludf.DUMMYFUNCTION("""COMPUTED_VALUE"""),204.0)</f>
        <v>204</v>
      </c>
    </row>
    <row r="122">
      <c r="A122" s="1">
        <f>IFERROR(__xludf.DUMMYFUNCTION("""COMPUTED_VALUE"""),113.0)</f>
        <v>113</v>
      </c>
      <c r="B122" s="1" t="str">
        <f>IFERROR(__xludf.DUMMYFUNCTION("""COMPUTED_VALUE"""),"South Sudan")</f>
        <v>South Sudan</v>
      </c>
      <c r="C122" s="1">
        <f>IFERROR(__xludf.DUMMYFUNCTION("""COMPUTED_VALUE"""),994.0)</f>
        <v>994</v>
      </c>
      <c r="D122" s="1" t="str">
        <f>IFERROR(__xludf.DUMMYFUNCTION("""COMPUTED_VALUE"""),"")</f>
        <v/>
      </c>
      <c r="E122" s="1">
        <f>IFERROR(__xludf.DUMMYFUNCTION("""COMPUTED_VALUE"""),10.0)</f>
        <v>10</v>
      </c>
      <c r="F122" s="1" t="str">
        <f>IFERROR(__xludf.DUMMYFUNCTION("""COMPUTED_VALUE"""),"")</f>
        <v/>
      </c>
      <c r="G122" s="1">
        <f>IFERROR(__xludf.DUMMYFUNCTION("""COMPUTED_VALUE"""),6.0)</f>
        <v>6</v>
      </c>
      <c r="H122" s="1" t="str">
        <f>IFERROR(__xludf.DUMMYFUNCTION("""COMPUTED_VALUE"""),"")</f>
        <v/>
      </c>
      <c r="I122" s="1">
        <f>IFERROR(__xludf.DUMMYFUNCTION("""COMPUTED_VALUE"""),978.0)</f>
        <v>978</v>
      </c>
      <c r="J122" s="1" t="str">
        <f>IFERROR(__xludf.DUMMYFUNCTION("""COMPUTED_VALUE"""),"")</f>
        <v/>
      </c>
      <c r="K122" s="1">
        <f>IFERROR(__xludf.DUMMYFUNCTION("""COMPUTED_VALUE"""),89.0)</f>
        <v>89</v>
      </c>
      <c r="L122" s="1">
        <f>IFERROR(__xludf.DUMMYFUNCTION("""COMPUTED_VALUE"""),0.9)</f>
        <v>0.9</v>
      </c>
      <c r="M122" s="3">
        <f>IFERROR(__xludf.DUMMYFUNCTION("""COMPUTED_VALUE"""),3356.0)</f>
        <v>3356</v>
      </c>
      <c r="N122" s="1">
        <f>IFERROR(__xludf.DUMMYFUNCTION("""COMPUTED_VALUE"""),300.0)</f>
        <v>300</v>
      </c>
      <c r="O122" s="3">
        <f>IFERROR(__xludf.DUMMYFUNCTION("""COMPUTED_VALUE"""),1.118148E7)</f>
        <v>11181480</v>
      </c>
      <c r="P122" s="1" t="str">
        <f>IFERROR(__xludf.DUMMYFUNCTION("""COMPUTED_VALUE"""),"Africa")</f>
        <v>Africa</v>
      </c>
      <c r="Q122" s="3">
        <f>IFERROR(__xludf.DUMMYFUNCTION("""COMPUTED_VALUE"""),11249.0)</f>
        <v>11249</v>
      </c>
      <c r="R122" s="3">
        <f>IFERROR(__xludf.DUMMYFUNCTION("""COMPUTED_VALUE"""),1118148.0)</f>
        <v>1118148</v>
      </c>
      <c r="S122" s="3">
        <f>IFERROR(__xludf.DUMMYFUNCTION("""COMPUTED_VALUE"""),3332.0)</f>
        <v>3332</v>
      </c>
    </row>
    <row r="123">
      <c r="A123" s="1">
        <f>IFERROR(__xludf.DUMMYFUNCTION("""COMPUTED_VALUE"""),114.0)</f>
        <v>114</v>
      </c>
      <c r="B123" s="1" t="str">
        <f>IFERROR(__xludf.DUMMYFUNCTION("""COMPUTED_VALUE"""),"Niger")</f>
        <v>Niger</v>
      </c>
      <c r="C123" s="1">
        <f>IFERROR(__xludf.DUMMYFUNCTION("""COMPUTED_VALUE"""),955.0)</f>
        <v>955</v>
      </c>
      <c r="D123" s="1" t="str">
        <f>IFERROR(__xludf.DUMMYFUNCTION("""COMPUTED_VALUE"""),"")</f>
        <v/>
      </c>
      <c r="E123" s="1">
        <f>IFERROR(__xludf.DUMMYFUNCTION("""COMPUTED_VALUE"""),64.0)</f>
        <v>64</v>
      </c>
      <c r="F123" s="1" t="str">
        <f>IFERROR(__xludf.DUMMYFUNCTION("""COMPUTED_VALUE"""),"")</f>
        <v/>
      </c>
      <c r="G123" s="1">
        <f>IFERROR(__xludf.DUMMYFUNCTION("""COMPUTED_VALUE"""),803.0)</f>
        <v>803</v>
      </c>
      <c r="H123" s="1" t="str">
        <f>IFERROR(__xludf.DUMMYFUNCTION("""COMPUTED_VALUE"""),"")</f>
        <v/>
      </c>
      <c r="I123" s="1">
        <f>IFERROR(__xludf.DUMMYFUNCTION("""COMPUTED_VALUE"""),88.0)</f>
        <v>88</v>
      </c>
      <c r="J123" s="1" t="str">
        <f>IFERROR(__xludf.DUMMYFUNCTION("""COMPUTED_VALUE"""),"")</f>
        <v/>
      </c>
      <c r="K123" s="1">
        <f>IFERROR(__xludf.DUMMYFUNCTION("""COMPUTED_VALUE"""),40.0)</f>
        <v>40</v>
      </c>
      <c r="L123" s="1">
        <f>IFERROR(__xludf.DUMMYFUNCTION("""COMPUTED_VALUE"""),3.0)</f>
        <v>3</v>
      </c>
      <c r="M123" s="3">
        <f>IFERROR(__xludf.DUMMYFUNCTION("""COMPUTED_VALUE"""),6020.0)</f>
        <v>6020</v>
      </c>
      <c r="N123" s="1">
        <f>IFERROR(__xludf.DUMMYFUNCTION("""COMPUTED_VALUE"""),250.0)</f>
        <v>250</v>
      </c>
      <c r="O123" s="3">
        <f>IFERROR(__xludf.DUMMYFUNCTION("""COMPUTED_VALUE"""),2.4112822E7)</f>
        <v>24112822</v>
      </c>
      <c r="P123" s="1" t="str">
        <f>IFERROR(__xludf.DUMMYFUNCTION("""COMPUTED_VALUE"""),"Africa")</f>
        <v>Africa</v>
      </c>
      <c r="Q123" s="3">
        <f>IFERROR(__xludf.DUMMYFUNCTION("""COMPUTED_VALUE"""),25249.0)</f>
        <v>25249</v>
      </c>
      <c r="R123" s="3">
        <f>IFERROR(__xludf.DUMMYFUNCTION("""COMPUTED_VALUE"""),376763.0)</f>
        <v>376763</v>
      </c>
      <c r="S123" s="3">
        <f>IFERROR(__xludf.DUMMYFUNCTION("""COMPUTED_VALUE"""),4005.0)</f>
        <v>4005</v>
      </c>
    </row>
    <row r="124">
      <c r="A124" s="1">
        <f>IFERROR(__xludf.DUMMYFUNCTION("""COMPUTED_VALUE"""),115.0)</f>
        <v>115</v>
      </c>
      <c r="B124" s="1" t="str">
        <f>IFERROR(__xludf.DUMMYFUNCTION("""COMPUTED_VALUE"""),"Cyprus")</f>
        <v>Cyprus</v>
      </c>
      <c r="C124" s="1">
        <f>IFERROR(__xludf.DUMMYFUNCTION("""COMPUTED_VALUE"""),941.0)</f>
        <v>941</v>
      </c>
      <c r="D124" s="1" t="str">
        <f>IFERROR(__xludf.DUMMYFUNCTION("""COMPUTED_VALUE"""),"")</f>
        <v/>
      </c>
      <c r="E124" s="1">
        <f>IFERROR(__xludf.DUMMYFUNCTION("""COMPUTED_VALUE"""),17.0)</f>
        <v>17</v>
      </c>
      <c r="F124" s="1" t="str">
        <f>IFERROR(__xludf.DUMMYFUNCTION("""COMPUTED_VALUE"""),"")</f>
        <v/>
      </c>
      <c r="G124" s="1">
        <f>IFERROR(__xludf.DUMMYFUNCTION("""COMPUTED_VALUE"""),784.0)</f>
        <v>784</v>
      </c>
      <c r="H124" s="1" t="str">
        <f>IFERROR(__xludf.DUMMYFUNCTION("""COMPUTED_VALUE"""),"")</f>
        <v/>
      </c>
      <c r="I124" s="1">
        <f>IFERROR(__xludf.DUMMYFUNCTION("""COMPUTED_VALUE"""),140.0)</f>
        <v>140</v>
      </c>
      <c r="J124" s="1">
        <f>IFERROR(__xludf.DUMMYFUNCTION("""COMPUTED_VALUE"""),4.0)</f>
        <v>4</v>
      </c>
      <c r="K124" s="1">
        <f>IFERROR(__xludf.DUMMYFUNCTION("""COMPUTED_VALUE"""),780.0)</f>
        <v>780</v>
      </c>
      <c r="L124" s="1">
        <f>IFERROR(__xludf.DUMMYFUNCTION("""COMPUTED_VALUE"""),14.0)</f>
        <v>14</v>
      </c>
      <c r="M124" s="3">
        <f>IFERROR(__xludf.DUMMYFUNCTION("""COMPUTED_VALUE"""),111270.0)</f>
        <v>111270</v>
      </c>
      <c r="N124" s="3">
        <f>IFERROR(__xludf.DUMMYFUNCTION("""COMPUTED_VALUE"""),92221.0)</f>
        <v>92221</v>
      </c>
      <c r="O124" s="3">
        <f>IFERROR(__xludf.DUMMYFUNCTION("""COMPUTED_VALUE"""),1206560.0)</f>
        <v>1206560</v>
      </c>
      <c r="P124" s="1" t="str">
        <f>IFERROR(__xludf.DUMMYFUNCTION("""COMPUTED_VALUE"""),"Asia")</f>
        <v>Asia</v>
      </c>
      <c r="Q124" s="3">
        <f>IFERROR(__xludf.DUMMYFUNCTION("""COMPUTED_VALUE"""),1282.0)</f>
        <v>1282</v>
      </c>
      <c r="R124" s="3">
        <f>IFERROR(__xludf.DUMMYFUNCTION("""COMPUTED_VALUE"""),70974.0)</f>
        <v>70974</v>
      </c>
      <c r="S124" s="1">
        <f>IFERROR(__xludf.DUMMYFUNCTION("""COMPUTED_VALUE"""),11.0)</f>
        <v>11</v>
      </c>
    </row>
    <row r="125">
      <c r="A125" s="1">
        <f>IFERROR(__xludf.DUMMYFUNCTION("""COMPUTED_VALUE"""),116.0)</f>
        <v>116</v>
      </c>
      <c r="B125" s="1" t="str">
        <f>IFERROR(__xludf.DUMMYFUNCTION("""COMPUTED_VALUE"""),"Paraguay")</f>
        <v>Paraguay</v>
      </c>
      <c r="C125" s="1">
        <f>IFERROR(__xludf.DUMMYFUNCTION("""COMPUTED_VALUE"""),900.0)</f>
        <v>900</v>
      </c>
      <c r="D125" s="1" t="str">
        <f>IFERROR(__xludf.DUMMYFUNCTION("""COMPUTED_VALUE"""),"")</f>
        <v/>
      </c>
      <c r="E125" s="1">
        <f>IFERROR(__xludf.DUMMYFUNCTION("""COMPUTED_VALUE"""),11.0)</f>
        <v>11</v>
      </c>
      <c r="F125" s="1" t="str">
        <f>IFERROR(__xludf.DUMMYFUNCTION("""COMPUTED_VALUE"""),"")</f>
        <v/>
      </c>
      <c r="G125" s="1">
        <f>IFERROR(__xludf.DUMMYFUNCTION("""COMPUTED_VALUE"""),402.0)</f>
        <v>402</v>
      </c>
      <c r="H125" s="1" t="str">
        <f>IFERROR(__xludf.DUMMYFUNCTION("""COMPUTED_VALUE"""),"")</f>
        <v/>
      </c>
      <c r="I125" s="1">
        <f>IFERROR(__xludf.DUMMYFUNCTION("""COMPUTED_VALUE"""),487.0)</f>
        <v>487</v>
      </c>
      <c r="J125" s="1">
        <f>IFERROR(__xludf.DUMMYFUNCTION("""COMPUTED_VALUE"""),1.0)</f>
        <v>1</v>
      </c>
      <c r="K125" s="1">
        <f>IFERROR(__xludf.DUMMYFUNCTION("""COMPUTED_VALUE"""),126.0)</f>
        <v>126</v>
      </c>
      <c r="L125" s="1">
        <f>IFERROR(__xludf.DUMMYFUNCTION("""COMPUTED_VALUE"""),2.0)</f>
        <v>2</v>
      </c>
      <c r="M125" s="3">
        <f>IFERROR(__xludf.DUMMYFUNCTION("""COMPUTED_VALUE"""),27425.0)</f>
        <v>27425</v>
      </c>
      <c r="N125" s="3">
        <f>IFERROR(__xludf.DUMMYFUNCTION("""COMPUTED_VALUE"""),3849.0)</f>
        <v>3849</v>
      </c>
      <c r="O125" s="3">
        <f>IFERROR(__xludf.DUMMYFUNCTION("""COMPUTED_VALUE"""),7124337.0)</f>
        <v>7124337</v>
      </c>
      <c r="P125" s="1" t="str">
        <f>IFERROR(__xludf.DUMMYFUNCTION("""COMPUTED_VALUE"""),"South America")</f>
        <v>South America</v>
      </c>
      <c r="Q125" s="3">
        <f>IFERROR(__xludf.DUMMYFUNCTION("""COMPUTED_VALUE"""),7916.0)</f>
        <v>7916</v>
      </c>
      <c r="R125" s="3">
        <f>IFERROR(__xludf.DUMMYFUNCTION("""COMPUTED_VALUE"""),647667.0)</f>
        <v>647667</v>
      </c>
      <c r="S125" s="1">
        <f>IFERROR(__xludf.DUMMYFUNCTION("""COMPUTED_VALUE"""),260.0)</f>
        <v>260</v>
      </c>
    </row>
    <row r="126">
      <c r="A126" s="1">
        <f>IFERROR(__xludf.DUMMYFUNCTION("""COMPUTED_VALUE"""),117.0)</f>
        <v>117</v>
      </c>
      <c r="B126" s="1" t="str">
        <f>IFERROR(__xludf.DUMMYFUNCTION("""COMPUTED_VALUE"""),"Burkina Faso")</f>
        <v>Burkina Faso</v>
      </c>
      <c r="C126" s="1">
        <f>IFERROR(__xludf.DUMMYFUNCTION("""COMPUTED_VALUE"""),847.0)</f>
        <v>847</v>
      </c>
      <c r="D126" s="1" t="str">
        <f>IFERROR(__xludf.DUMMYFUNCTION("""COMPUTED_VALUE"""),"")</f>
        <v/>
      </c>
      <c r="E126" s="1">
        <f>IFERROR(__xludf.DUMMYFUNCTION("""COMPUTED_VALUE"""),53.0)</f>
        <v>53</v>
      </c>
      <c r="F126" s="1" t="str">
        <f>IFERROR(__xludf.DUMMYFUNCTION("""COMPUTED_VALUE"""),"")</f>
        <v/>
      </c>
      <c r="G126" s="1">
        <f>IFERROR(__xludf.DUMMYFUNCTION("""COMPUTED_VALUE"""),719.0)</f>
        <v>719</v>
      </c>
      <c r="H126" s="1" t="str">
        <f>IFERROR(__xludf.DUMMYFUNCTION("""COMPUTED_VALUE"""),"")</f>
        <v/>
      </c>
      <c r="I126" s="1">
        <f>IFERROR(__xludf.DUMMYFUNCTION("""COMPUTED_VALUE"""),75.0)</f>
        <v>75</v>
      </c>
      <c r="J126" s="1" t="str">
        <f>IFERROR(__xludf.DUMMYFUNCTION("""COMPUTED_VALUE"""),"")</f>
        <v/>
      </c>
      <c r="K126" s="1">
        <f>IFERROR(__xludf.DUMMYFUNCTION("""COMPUTED_VALUE"""),41.0)</f>
        <v>41</v>
      </c>
      <c r="L126" s="1">
        <f>IFERROR(__xludf.DUMMYFUNCTION("""COMPUTED_VALUE"""),3.0)</f>
        <v>3</v>
      </c>
      <c r="M126" s="1" t="str">
        <f>IFERROR(__xludf.DUMMYFUNCTION("""COMPUTED_VALUE"""),"")</f>
        <v/>
      </c>
      <c r="N126" s="1" t="str">
        <f>IFERROR(__xludf.DUMMYFUNCTION("""COMPUTED_VALUE"""),"")</f>
        <v/>
      </c>
      <c r="O126" s="3">
        <f>IFERROR(__xludf.DUMMYFUNCTION("""COMPUTED_VALUE"""),2.0844819E7)</f>
        <v>20844819</v>
      </c>
      <c r="P126" s="1" t="str">
        <f>IFERROR(__xludf.DUMMYFUNCTION("""COMPUTED_VALUE"""),"Africa")</f>
        <v>Africa</v>
      </c>
      <c r="Q126" s="3">
        <f>IFERROR(__xludf.DUMMYFUNCTION("""COMPUTED_VALUE"""),24610.0)</f>
        <v>24610</v>
      </c>
      <c r="R126" s="3">
        <f>IFERROR(__xludf.DUMMYFUNCTION("""COMPUTED_VALUE"""),393298.0)</f>
        <v>393298</v>
      </c>
      <c r="S126" s="1" t="str">
        <f>IFERROR(__xludf.DUMMYFUNCTION("""COMPUTED_VALUE"""),"")</f>
        <v/>
      </c>
    </row>
    <row r="127">
      <c r="A127" s="1">
        <f>IFERROR(__xludf.DUMMYFUNCTION("""COMPUTED_VALUE"""),118.0)</f>
        <v>118</v>
      </c>
      <c r="B127" s="1" t="str">
        <f>IFERROR(__xludf.DUMMYFUNCTION("""COMPUTED_VALUE"""),"Ethiopia")</f>
        <v>Ethiopia</v>
      </c>
      <c r="C127" s="1">
        <f>IFERROR(__xludf.DUMMYFUNCTION("""COMPUTED_VALUE"""),831.0)</f>
        <v>831</v>
      </c>
      <c r="D127" s="1" t="str">
        <f>IFERROR(__xludf.DUMMYFUNCTION("""COMPUTED_VALUE"""),"")</f>
        <v/>
      </c>
      <c r="E127" s="1">
        <f>IFERROR(__xludf.DUMMYFUNCTION("""COMPUTED_VALUE"""),7.0)</f>
        <v>7</v>
      </c>
      <c r="F127" s="1" t="str">
        <f>IFERROR(__xludf.DUMMYFUNCTION("""COMPUTED_VALUE"""),"")</f>
        <v/>
      </c>
      <c r="G127" s="1">
        <f>IFERROR(__xludf.DUMMYFUNCTION("""COMPUTED_VALUE"""),191.0)</f>
        <v>191</v>
      </c>
      <c r="H127" s="1" t="str">
        <f>IFERROR(__xludf.DUMMYFUNCTION("""COMPUTED_VALUE"""),"")</f>
        <v/>
      </c>
      <c r="I127" s="1">
        <f>IFERROR(__xludf.DUMMYFUNCTION("""COMPUTED_VALUE"""),633.0)</f>
        <v>633</v>
      </c>
      <c r="J127" s="1">
        <f>IFERROR(__xludf.DUMMYFUNCTION("""COMPUTED_VALUE"""),1.0)</f>
        <v>1</v>
      </c>
      <c r="K127" s="1">
        <f>IFERROR(__xludf.DUMMYFUNCTION("""COMPUTED_VALUE"""),7.0)</f>
        <v>7</v>
      </c>
      <c r="L127" s="1">
        <f>IFERROR(__xludf.DUMMYFUNCTION("""COMPUTED_VALUE"""),0.06)</f>
        <v>0.06</v>
      </c>
      <c r="M127" s="3">
        <f>IFERROR(__xludf.DUMMYFUNCTION("""COMPUTED_VALUE"""),96566.0)</f>
        <v>96566</v>
      </c>
      <c r="N127" s="1">
        <f>IFERROR(__xludf.DUMMYFUNCTION("""COMPUTED_VALUE"""),842.0)</f>
        <v>842</v>
      </c>
      <c r="O127" s="3">
        <f>IFERROR(__xludf.DUMMYFUNCTION("""COMPUTED_VALUE"""),1.14677457E8)</f>
        <v>114677457</v>
      </c>
      <c r="P127" s="1" t="str">
        <f>IFERROR(__xludf.DUMMYFUNCTION("""COMPUTED_VALUE"""),"Africa")</f>
        <v>Africa</v>
      </c>
      <c r="Q127" s="3">
        <f>IFERROR(__xludf.DUMMYFUNCTION("""COMPUTED_VALUE"""),137999.0)</f>
        <v>137999</v>
      </c>
      <c r="R127" s="3">
        <f>IFERROR(__xludf.DUMMYFUNCTION("""COMPUTED_VALUE"""),1.6382494E7)</f>
        <v>16382494</v>
      </c>
      <c r="S127" s="3">
        <f>IFERROR(__xludf.DUMMYFUNCTION("""COMPUTED_VALUE"""),1188.0)</f>
        <v>1188</v>
      </c>
    </row>
    <row r="128">
      <c r="A128" s="1">
        <f>IFERROR(__xludf.DUMMYFUNCTION("""COMPUTED_VALUE"""),119.0)</f>
        <v>119</v>
      </c>
      <c r="B128" s="1" t="str">
        <f>IFERROR(__xludf.DUMMYFUNCTION("""COMPUTED_VALUE"""),"Sierra Leone")</f>
        <v>Sierra Leone</v>
      </c>
      <c r="C128" s="1">
        <f>IFERROR(__xludf.DUMMYFUNCTION("""COMPUTED_VALUE"""),812.0)</f>
        <v>812</v>
      </c>
      <c r="D128" s="1" t="str">
        <f>IFERROR(__xludf.DUMMYFUNCTION("""COMPUTED_VALUE"""),"")</f>
        <v/>
      </c>
      <c r="E128" s="1">
        <f>IFERROR(__xludf.DUMMYFUNCTION("""COMPUTED_VALUE"""),45.0)</f>
        <v>45</v>
      </c>
      <c r="F128" s="1" t="str">
        <f>IFERROR(__xludf.DUMMYFUNCTION("""COMPUTED_VALUE"""),"")</f>
        <v/>
      </c>
      <c r="G128" s="1">
        <f>IFERROR(__xludf.DUMMYFUNCTION("""COMPUTED_VALUE"""),361.0)</f>
        <v>361</v>
      </c>
      <c r="H128" s="1" t="str">
        <f>IFERROR(__xludf.DUMMYFUNCTION("""COMPUTED_VALUE"""),"")</f>
        <v/>
      </c>
      <c r="I128" s="1">
        <f>IFERROR(__xludf.DUMMYFUNCTION("""COMPUTED_VALUE"""),406.0)</f>
        <v>406</v>
      </c>
      <c r="J128" s="1" t="str">
        <f>IFERROR(__xludf.DUMMYFUNCTION("""COMPUTED_VALUE"""),"")</f>
        <v/>
      </c>
      <c r="K128" s="1">
        <f>IFERROR(__xludf.DUMMYFUNCTION("""COMPUTED_VALUE"""),102.0)</f>
        <v>102</v>
      </c>
      <c r="L128" s="1">
        <f>IFERROR(__xludf.DUMMYFUNCTION("""COMPUTED_VALUE"""),6.0)</f>
        <v>6</v>
      </c>
      <c r="M128" s="1" t="str">
        <f>IFERROR(__xludf.DUMMYFUNCTION("""COMPUTED_VALUE"""),"")</f>
        <v/>
      </c>
      <c r="N128" s="1" t="str">
        <f>IFERROR(__xludf.DUMMYFUNCTION("""COMPUTED_VALUE"""),"")</f>
        <v/>
      </c>
      <c r="O128" s="3">
        <f>IFERROR(__xludf.DUMMYFUNCTION("""COMPUTED_VALUE"""),7961085.0)</f>
        <v>7961085</v>
      </c>
      <c r="P128" s="1" t="str">
        <f>IFERROR(__xludf.DUMMYFUNCTION("""COMPUTED_VALUE"""),"Africa")</f>
        <v>Africa</v>
      </c>
      <c r="Q128" s="3">
        <f>IFERROR(__xludf.DUMMYFUNCTION("""COMPUTED_VALUE"""),9804.0)</f>
        <v>9804</v>
      </c>
      <c r="R128" s="3">
        <f>IFERROR(__xludf.DUMMYFUNCTION("""COMPUTED_VALUE"""),176913.0)</f>
        <v>176913</v>
      </c>
      <c r="S128" s="1" t="str">
        <f>IFERROR(__xludf.DUMMYFUNCTION("""COMPUTED_VALUE"""),"")</f>
        <v/>
      </c>
    </row>
    <row r="129">
      <c r="A129" s="1">
        <f>IFERROR(__xludf.DUMMYFUNCTION("""COMPUTED_VALUE"""),120.0)</f>
        <v>120</v>
      </c>
      <c r="B129" s="1" t="str">
        <f>IFERROR(__xludf.DUMMYFUNCTION("""COMPUTED_VALUE"""),"Uruguay")</f>
        <v>Uruguay</v>
      </c>
      <c r="C129" s="1">
        <f>IFERROR(__xludf.DUMMYFUNCTION("""COMPUTED_VALUE"""),811.0)</f>
        <v>811</v>
      </c>
      <c r="D129" s="1" t="str">
        <f>IFERROR(__xludf.DUMMYFUNCTION("""COMPUTED_VALUE"""),"")</f>
        <v/>
      </c>
      <c r="E129" s="1">
        <f>IFERROR(__xludf.DUMMYFUNCTION("""COMPUTED_VALUE"""),22.0)</f>
        <v>22</v>
      </c>
      <c r="F129" s="1" t="str">
        <f>IFERROR(__xludf.DUMMYFUNCTION("""COMPUTED_VALUE"""),"")</f>
        <v/>
      </c>
      <c r="G129" s="1">
        <f>IFERROR(__xludf.DUMMYFUNCTION("""COMPUTED_VALUE"""),654.0)</f>
        <v>654</v>
      </c>
      <c r="H129" s="1" t="str">
        <f>IFERROR(__xludf.DUMMYFUNCTION("""COMPUTED_VALUE"""),"")</f>
        <v/>
      </c>
      <c r="I129" s="1">
        <f>IFERROR(__xludf.DUMMYFUNCTION("""COMPUTED_VALUE"""),135.0)</f>
        <v>135</v>
      </c>
      <c r="J129" s="1">
        <f>IFERROR(__xludf.DUMMYFUNCTION("""COMPUTED_VALUE"""),5.0)</f>
        <v>5</v>
      </c>
      <c r="K129" s="1">
        <f>IFERROR(__xludf.DUMMYFUNCTION("""COMPUTED_VALUE"""),234.0)</f>
        <v>234</v>
      </c>
      <c r="L129" s="1">
        <f>IFERROR(__xludf.DUMMYFUNCTION("""COMPUTED_VALUE"""),6.0)</f>
        <v>6</v>
      </c>
      <c r="M129" s="3">
        <f>IFERROR(__xludf.DUMMYFUNCTION("""COMPUTED_VALUE"""),41469.0)</f>
        <v>41469</v>
      </c>
      <c r="N129" s="3">
        <f>IFERROR(__xludf.DUMMYFUNCTION("""COMPUTED_VALUE"""),11942.0)</f>
        <v>11942</v>
      </c>
      <c r="O129" s="3">
        <f>IFERROR(__xludf.DUMMYFUNCTION("""COMPUTED_VALUE"""),3472659.0)</f>
        <v>3472659</v>
      </c>
      <c r="P129" s="1" t="str">
        <f>IFERROR(__xludf.DUMMYFUNCTION("""COMPUTED_VALUE"""),"South America")</f>
        <v>South America</v>
      </c>
      <c r="Q129" s="3">
        <f>IFERROR(__xludf.DUMMYFUNCTION("""COMPUTED_VALUE"""),4282.0)</f>
        <v>4282</v>
      </c>
      <c r="R129" s="3">
        <f>IFERROR(__xludf.DUMMYFUNCTION("""COMPUTED_VALUE"""),157848.0)</f>
        <v>157848</v>
      </c>
      <c r="S129" s="1">
        <f>IFERROR(__xludf.DUMMYFUNCTION("""COMPUTED_VALUE"""),84.0)</f>
        <v>84</v>
      </c>
    </row>
    <row r="130">
      <c r="A130" s="1">
        <f>IFERROR(__xludf.DUMMYFUNCTION("""COMPUTED_VALUE"""),121.0)</f>
        <v>121</v>
      </c>
      <c r="B130" s="1" t="str">
        <f>IFERROR(__xludf.DUMMYFUNCTION("""COMPUTED_VALUE"""),"Andorra")</f>
        <v>Andorra</v>
      </c>
      <c r="C130" s="1">
        <f>IFERROR(__xludf.DUMMYFUNCTION("""COMPUTED_VALUE"""),763.0)</f>
        <v>763</v>
      </c>
      <c r="D130" s="1" t="str">
        <f>IFERROR(__xludf.DUMMYFUNCTION("""COMPUTED_VALUE"""),"")</f>
        <v/>
      </c>
      <c r="E130" s="1">
        <f>IFERROR(__xludf.DUMMYFUNCTION("""COMPUTED_VALUE"""),51.0)</f>
        <v>51</v>
      </c>
      <c r="F130" s="1" t="str">
        <f>IFERROR(__xludf.DUMMYFUNCTION("""COMPUTED_VALUE"""),"")</f>
        <v/>
      </c>
      <c r="G130" s="1">
        <f>IFERROR(__xludf.DUMMYFUNCTION("""COMPUTED_VALUE"""),681.0)</f>
        <v>681</v>
      </c>
      <c r="H130" s="1" t="str">
        <f>IFERROR(__xludf.DUMMYFUNCTION("""COMPUTED_VALUE"""),"")</f>
        <v/>
      </c>
      <c r="I130" s="1">
        <f>IFERROR(__xludf.DUMMYFUNCTION("""COMPUTED_VALUE"""),31.0)</f>
        <v>31</v>
      </c>
      <c r="J130" s="1">
        <f>IFERROR(__xludf.DUMMYFUNCTION("""COMPUTED_VALUE"""),3.0)</f>
        <v>3</v>
      </c>
      <c r="K130" s="3">
        <f>IFERROR(__xludf.DUMMYFUNCTION("""COMPUTED_VALUE"""),9877.0)</f>
        <v>9877</v>
      </c>
      <c r="L130" s="1">
        <f>IFERROR(__xludf.DUMMYFUNCTION("""COMPUTED_VALUE"""),660.0)</f>
        <v>660</v>
      </c>
      <c r="M130" s="3">
        <f>IFERROR(__xludf.DUMMYFUNCTION("""COMPUTED_VALUE"""),3750.0)</f>
        <v>3750</v>
      </c>
      <c r="N130" s="3">
        <f>IFERROR(__xludf.DUMMYFUNCTION("""COMPUTED_VALUE"""),48541.0)</f>
        <v>48541</v>
      </c>
      <c r="O130" s="3">
        <f>IFERROR(__xludf.DUMMYFUNCTION("""COMPUTED_VALUE"""),77254.0)</f>
        <v>77254</v>
      </c>
      <c r="P130" s="1" t="str">
        <f>IFERROR(__xludf.DUMMYFUNCTION("""COMPUTED_VALUE"""),"Europe")</f>
        <v>Europe</v>
      </c>
      <c r="Q130" s="1">
        <f>IFERROR(__xludf.DUMMYFUNCTION("""COMPUTED_VALUE"""),101.0)</f>
        <v>101</v>
      </c>
      <c r="R130" s="3">
        <f>IFERROR(__xludf.DUMMYFUNCTION("""COMPUTED_VALUE"""),1515.0)</f>
        <v>1515</v>
      </c>
      <c r="S130" s="1">
        <f>IFERROR(__xludf.DUMMYFUNCTION("""COMPUTED_VALUE"""),21.0)</f>
        <v>21</v>
      </c>
    </row>
    <row r="131">
      <c r="A131" s="1">
        <f>IFERROR(__xludf.DUMMYFUNCTION("""COMPUTED_VALUE"""),122.0)</f>
        <v>122</v>
      </c>
      <c r="B131" s="1" t="str">
        <f>IFERROR(__xludf.DUMMYFUNCTION("""COMPUTED_VALUE"""),"Nicaragua")</f>
        <v>Nicaragua</v>
      </c>
      <c r="C131" s="1">
        <f>IFERROR(__xludf.DUMMYFUNCTION("""COMPUTED_VALUE"""),759.0)</f>
        <v>759</v>
      </c>
      <c r="D131" s="1" t="str">
        <f>IFERROR(__xludf.DUMMYFUNCTION("""COMPUTED_VALUE"""),"")</f>
        <v/>
      </c>
      <c r="E131" s="1">
        <f>IFERROR(__xludf.DUMMYFUNCTION("""COMPUTED_VALUE"""),35.0)</f>
        <v>35</v>
      </c>
      <c r="F131" s="1" t="str">
        <f>IFERROR(__xludf.DUMMYFUNCTION("""COMPUTED_VALUE"""),"")</f>
        <v/>
      </c>
      <c r="G131" s="1">
        <f>IFERROR(__xludf.DUMMYFUNCTION("""COMPUTED_VALUE"""),370.0)</f>
        <v>370</v>
      </c>
      <c r="H131" s="1" t="str">
        <f>IFERROR(__xludf.DUMMYFUNCTION("""COMPUTED_VALUE"""),"")</f>
        <v/>
      </c>
      <c r="I131" s="1">
        <f>IFERROR(__xludf.DUMMYFUNCTION("""COMPUTED_VALUE"""),354.0)</f>
        <v>354</v>
      </c>
      <c r="J131" s="1" t="str">
        <f>IFERROR(__xludf.DUMMYFUNCTION("""COMPUTED_VALUE"""),"")</f>
        <v/>
      </c>
      <c r="K131" s="1">
        <f>IFERROR(__xludf.DUMMYFUNCTION("""COMPUTED_VALUE"""),115.0)</f>
        <v>115</v>
      </c>
      <c r="L131" s="1">
        <f>IFERROR(__xludf.DUMMYFUNCTION("""COMPUTED_VALUE"""),5.0)</f>
        <v>5</v>
      </c>
      <c r="M131" s="1" t="str">
        <f>IFERROR(__xludf.DUMMYFUNCTION("""COMPUTED_VALUE"""),"")</f>
        <v/>
      </c>
      <c r="N131" s="1" t="str">
        <f>IFERROR(__xludf.DUMMYFUNCTION("""COMPUTED_VALUE"""),"")</f>
        <v/>
      </c>
      <c r="O131" s="3">
        <f>IFERROR(__xludf.DUMMYFUNCTION("""COMPUTED_VALUE"""),6617193.0)</f>
        <v>6617193</v>
      </c>
      <c r="P131" s="1" t="str">
        <f>IFERROR(__xludf.DUMMYFUNCTION("""COMPUTED_VALUE"""),"North America")</f>
        <v>North America</v>
      </c>
      <c r="Q131" s="3">
        <f>IFERROR(__xludf.DUMMYFUNCTION("""COMPUTED_VALUE"""),8718.0)</f>
        <v>8718</v>
      </c>
      <c r="R131" s="3">
        <f>IFERROR(__xludf.DUMMYFUNCTION("""COMPUTED_VALUE"""),189063.0)</f>
        <v>189063</v>
      </c>
      <c r="S131" s="1" t="str">
        <f>IFERROR(__xludf.DUMMYFUNCTION("""COMPUTED_VALUE"""),"")</f>
        <v/>
      </c>
    </row>
    <row r="132">
      <c r="A132" s="1">
        <f>IFERROR(__xludf.DUMMYFUNCTION("""COMPUTED_VALUE"""),123.0)</f>
        <v>123</v>
      </c>
      <c r="B132" s="1" t="str">
        <f>IFERROR(__xludf.DUMMYFUNCTION("""COMPUTED_VALUE"""),"CAR")</f>
        <v>CAR</v>
      </c>
      <c r="C132" s="1">
        <f>IFERROR(__xludf.DUMMYFUNCTION("""COMPUTED_VALUE"""),755.0)</f>
        <v>755</v>
      </c>
      <c r="D132" s="1" t="str">
        <f>IFERROR(__xludf.DUMMYFUNCTION("""COMPUTED_VALUE"""),"")</f>
        <v/>
      </c>
      <c r="E132" s="1">
        <f>IFERROR(__xludf.DUMMYFUNCTION("""COMPUTED_VALUE"""),1.0)</f>
        <v>1</v>
      </c>
      <c r="F132" s="1" t="str">
        <f>IFERROR(__xludf.DUMMYFUNCTION("""COMPUTED_VALUE"""),"")</f>
        <v/>
      </c>
      <c r="G132" s="1">
        <f>IFERROR(__xludf.DUMMYFUNCTION("""COMPUTED_VALUE"""),23.0)</f>
        <v>23</v>
      </c>
      <c r="H132" s="1" t="str">
        <f>IFERROR(__xludf.DUMMYFUNCTION("""COMPUTED_VALUE"""),"")</f>
        <v/>
      </c>
      <c r="I132" s="1">
        <f>IFERROR(__xludf.DUMMYFUNCTION("""COMPUTED_VALUE"""),731.0)</f>
        <v>731</v>
      </c>
      <c r="J132" s="1" t="str">
        <f>IFERROR(__xludf.DUMMYFUNCTION("""COMPUTED_VALUE"""),"")</f>
        <v/>
      </c>
      <c r="K132" s="1">
        <f>IFERROR(__xludf.DUMMYFUNCTION("""COMPUTED_VALUE"""),157.0)</f>
        <v>157</v>
      </c>
      <c r="L132" s="1">
        <f>IFERROR(__xludf.DUMMYFUNCTION("""COMPUTED_VALUE"""),0.2)</f>
        <v>0.2</v>
      </c>
      <c r="M132" s="3">
        <f>IFERROR(__xludf.DUMMYFUNCTION("""COMPUTED_VALUE"""),11570.0)</f>
        <v>11570</v>
      </c>
      <c r="N132" s="3">
        <f>IFERROR(__xludf.DUMMYFUNCTION("""COMPUTED_VALUE"""),2400.0)</f>
        <v>2400</v>
      </c>
      <c r="O132" s="3">
        <f>IFERROR(__xludf.DUMMYFUNCTION("""COMPUTED_VALUE"""),4821674.0)</f>
        <v>4821674</v>
      </c>
      <c r="P132" s="1" t="str">
        <f>IFERROR(__xludf.DUMMYFUNCTION("""COMPUTED_VALUE"""),"Africa")</f>
        <v>Africa</v>
      </c>
      <c r="Q132" s="3">
        <f>IFERROR(__xludf.DUMMYFUNCTION("""COMPUTED_VALUE"""),6386.0)</f>
        <v>6386</v>
      </c>
      <c r="R132" s="3">
        <f>IFERROR(__xludf.DUMMYFUNCTION("""COMPUTED_VALUE"""),4821674.0)</f>
        <v>4821674</v>
      </c>
      <c r="S132" s="1">
        <f>IFERROR(__xludf.DUMMYFUNCTION("""COMPUTED_VALUE"""),417.0)</f>
        <v>417</v>
      </c>
    </row>
    <row r="133">
      <c r="A133" s="1">
        <f>IFERROR(__xludf.DUMMYFUNCTION("""COMPUTED_VALUE"""),124.0)</f>
        <v>124</v>
      </c>
      <c r="B133" s="1" t="str">
        <f>IFERROR(__xludf.DUMMYFUNCTION("""COMPUTED_VALUE"""),"Georgia")</f>
        <v>Georgia</v>
      </c>
      <c r="C133" s="1">
        <f>IFERROR(__xludf.DUMMYFUNCTION("""COMPUTED_VALUE"""),738.0)</f>
        <v>738</v>
      </c>
      <c r="D133" s="1" t="str">
        <f>IFERROR(__xludf.DUMMYFUNCTION("""COMPUTED_VALUE"""),"")</f>
        <v/>
      </c>
      <c r="E133" s="1">
        <f>IFERROR(__xludf.DUMMYFUNCTION("""COMPUTED_VALUE"""),12.0)</f>
        <v>12</v>
      </c>
      <c r="F133" s="1" t="str">
        <f>IFERROR(__xludf.DUMMYFUNCTION("""COMPUTED_VALUE"""),"")</f>
        <v/>
      </c>
      <c r="G133" s="1">
        <f>IFERROR(__xludf.DUMMYFUNCTION("""COMPUTED_VALUE"""),573.0)</f>
        <v>573</v>
      </c>
      <c r="H133" s="1" t="str">
        <f>IFERROR(__xludf.DUMMYFUNCTION("""COMPUTED_VALUE"""),"")</f>
        <v/>
      </c>
      <c r="I133" s="1">
        <f>IFERROR(__xludf.DUMMYFUNCTION("""COMPUTED_VALUE"""),153.0)</f>
        <v>153</v>
      </c>
      <c r="J133" s="1">
        <f>IFERROR(__xludf.DUMMYFUNCTION("""COMPUTED_VALUE"""),6.0)</f>
        <v>6</v>
      </c>
      <c r="K133" s="1">
        <f>IFERROR(__xludf.DUMMYFUNCTION("""COMPUTED_VALUE"""),185.0)</f>
        <v>185</v>
      </c>
      <c r="L133" s="1">
        <f>IFERROR(__xludf.DUMMYFUNCTION("""COMPUTED_VALUE"""),3.0)</f>
        <v>3</v>
      </c>
      <c r="M133" s="3">
        <f>IFERROR(__xludf.DUMMYFUNCTION("""COMPUTED_VALUE"""),52117.0)</f>
        <v>52117</v>
      </c>
      <c r="N133" s="3">
        <f>IFERROR(__xludf.DUMMYFUNCTION("""COMPUTED_VALUE"""),13062.0)</f>
        <v>13062</v>
      </c>
      <c r="O133" s="3">
        <f>IFERROR(__xludf.DUMMYFUNCTION("""COMPUTED_VALUE"""),3989827.0)</f>
        <v>3989827</v>
      </c>
      <c r="P133" s="1" t="str">
        <f>IFERROR(__xludf.DUMMYFUNCTION("""COMPUTED_VALUE"""),"Asia")</f>
        <v>Asia</v>
      </c>
      <c r="Q133" s="3">
        <f>IFERROR(__xludf.DUMMYFUNCTION("""COMPUTED_VALUE"""),5406.0)</f>
        <v>5406</v>
      </c>
      <c r="R133" s="3">
        <f>IFERROR(__xludf.DUMMYFUNCTION("""COMPUTED_VALUE"""),332486.0)</f>
        <v>332486</v>
      </c>
      <c r="S133" s="1">
        <f>IFERROR(__xludf.DUMMYFUNCTION("""COMPUTED_VALUE"""),77.0)</f>
        <v>77</v>
      </c>
    </row>
    <row r="134">
      <c r="A134" s="1">
        <f>IFERROR(__xludf.DUMMYFUNCTION("""COMPUTED_VALUE"""),125.0)</f>
        <v>125</v>
      </c>
      <c r="B134" s="1" t="str">
        <f>IFERROR(__xludf.DUMMYFUNCTION("""COMPUTED_VALUE"""),"Jordan")</f>
        <v>Jordan</v>
      </c>
      <c r="C134" s="1">
        <f>IFERROR(__xludf.DUMMYFUNCTION("""COMPUTED_VALUE"""),728.0)</f>
        <v>728</v>
      </c>
      <c r="D134" s="1" t="str">
        <f>IFERROR(__xludf.DUMMYFUNCTION("""COMPUTED_VALUE"""),"")</f>
        <v/>
      </c>
      <c r="E134" s="1">
        <f>IFERROR(__xludf.DUMMYFUNCTION("""COMPUTED_VALUE"""),9.0)</f>
        <v>9</v>
      </c>
      <c r="F134" s="1" t="str">
        <f>IFERROR(__xludf.DUMMYFUNCTION("""COMPUTED_VALUE"""),"")</f>
        <v/>
      </c>
      <c r="G134" s="1">
        <f>IFERROR(__xludf.DUMMYFUNCTION("""COMPUTED_VALUE"""),497.0)</f>
        <v>497</v>
      </c>
      <c r="H134" s="1" t="str">
        <f>IFERROR(__xludf.DUMMYFUNCTION("""COMPUTED_VALUE"""),"")</f>
        <v/>
      </c>
      <c r="I134" s="1">
        <f>IFERROR(__xludf.DUMMYFUNCTION("""COMPUTED_VALUE"""),222.0)</f>
        <v>222</v>
      </c>
      <c r="J134" s="1">
        <f>IFERROR(__xludf.DUMMYFUNCTION("""COMPUTED_VALUE"""),5.0)</f>
        <v>5</v>
      </c>
      <c r="K134" s="1">
        <f>IFERROR(__xludf.DUMMYFUNCTION("""COMPUTED_VALUE"""),71.0)</f>
        <v>71</v>
      </c>
      <c r="L134" s="1">
        <f>IFERROR(__xludf.DUMMYFUNCTION("""COMPUTED_VALUE"""),0.9)</f>
        <v>0.9</v>
      </c>
      <c r="M134" s="3">
        <f>IFERROR(__xludf.DUMMYFUNCTION("""COMPUTED_VALUE"""),177092.0)</f>
        <v>177092</v>
      </c>
      <c r="N134" s="3">
        <f>IFERROR(__xludf.DUMMYFUNCTION("""COMPUTED_VALUE"""),17373.0)</f>
        <v>17373</v>
      </c>
      <c r="O134" s="3">
        <f>IFERROR(__xludf.DUMMYFUNCTION("""COMPUTED_VALUE"""),1.019378E7)</f>
        <v>10193780</v>
      </c>
      <c r="P134" s="1" t="str">
        <f>IFERROR(__xludf.DUMMYFUNCTION("""COMPUTED_VALUE"""),"Asia")</f>
        <v>Asia</v>
      </c>
      <c r="Q134" s="3">
        <f>IFERROR(__xludf.DUMMYFUNCTION("""COMPUTED_VALUE"""),14002.0)</f>
        <v>14002</v>
      </c>
      <c r="R134" s="3">
        <f>IFERROR(__xludf.DUMMYFUNCTION("""COMPUTED_VALUE"""),1132642.0)</f>
        <v>1132642</v>
      </c>
      <c r="S134" s="1">
        <f>IFERROR(__xludf.DUMMYFUNCTION("""COMPUTED_VALUE"""),58.0)</f>
        <v>58</v>
      </c>
    </row>
    <row r="135">
      <c r="A135" s="1">
        <f>IFERROR(__xludf.DUMMYFUNCTION("""COMPUTED_VALUE"""),126.0)</f>
        <v>126</v>
      </c>
      <c r="B135" s="1" t="str">
        <f>IFERROR(__xludf.DUMMYFUNCTION("""COMPUTED_VALUE"""),"Chad")</f>
        <v>Chad</v>
      </c>
      <c r="C135" s="1">
        <f>IFERROR(__xludf.DUMMYFUNCTION("""COMPUTED_VALUE"""),726.0)</f>
        <v>726</v>
      </c>
      <c r="D135" s="1" t="str">
        <f>IFERROR(__xludf.DUMMYFUNCTION("""COMPUTED_VALUE"""),"")</f>
        <v/>
      </c>
      <c r="E135" s="1">
        <f>IFERROR(__xludf.DUMMYFUNCTION("""COMPUTED_VALUE"""),65.0)</f>
        <v>65</v>
      </c>
      <c r="F135" s="1" t="str">
        <f>IFERROR(__xludf.DUMMYFUNCTION("""COMPUTED_VALUE"""),"")</f>
        <v/>
      </c>
      <c r="G135" s="1">
        <f>IFERROR(__xludf.DUMMYFUNCTION("""COMPUTED_VALUE"""),413.0)</f>
        <v>413</v>
      </c>
      <c r="H135" s="1" t="str">
        <f>IFERROR(__xludf.DUMMYFUNCTION("""COMPUTED_VALUE"""),"")</f>
        <v/>
      </c>
      <c r="I135" s="1">
        <f>IFERROR(__xludf.DUMMYFUNCTION("""COMPUTED_VALUE"""),248.0)</f>
        <v>248</v>
      </c>
      <c r="J135" s="1" t="str">
        <f>IFERROR(__xludf.DUMMYFUNCTION("""COMPUTED_VALUE"""),"")</f>
        <v/>
      </c>
      <c r="K135" s="1">
        <f>IFERROR(__xludf.DUMMYFUNCTION("""COMPUTED_VALUE"""),44.0)</f>
        <v>44</v>
      </c>
      <c r="L135" s="1">
        <f>IFERROR(__xludf.DUMMYFUNCTION("""COMPUTED_VALUE"""),4.0)</f>
        <v>4</v>
      </c>
      <c r="M135" s="1" t="str">
        <f>IFERROR(__xludf.DUMMYFUNCTION("""COMPUTED_VALUE"""),"")</f>
        <v/>
      </c>
      <c r="N135" s="1" t="str">
        <f>IFERROR(__xludf.DUMMYFUNCTION("""COMPUTED_VALUE"""),"")</f>
        <v/>
      </c>
      <c r="O135" s="3">
        <f>IFERROR(__xludf.DUMMYFUNCTION("""COMPUTED_VALUE"""),1.6377454E7)</f>
        <v>16377454</v>
      </c>
      <c r="P135" s="1" t="str">
        <f>IFERROR(__xludf.DUMMYFUNCTION("""COMPUTED_VALUE"""),"Africa")</f>
        <v>Africa</v>
      </c>
      <c r="Q135" s="3">
        <f>IFERROR(__xludf.DUMMYFUNCTION("""COMPUTED_VALUE"""),22558.0)</f>
        <v>22558</v>
      </c>
      <c r="R135" s="3">
        <f>IFERROR(__xludf.DUMMYFUNCTION("""COMPUTED_VALUE"""),251961.0)</f>
        <v>251961</v>
      </c>
      <c r="S135" s="1" t="str">
        <f>IFERROR(__xludf.DUMMYFUNCTION("""COMPUTED_VALUE"""),"")</f>
        <v/>
      </c>
    </row>
    <row r="136">
      <c r="A136" s="1">
        <f>IFERROR(__xludf.DUMMYFUNCTION("""COMPUTED_VALUE"""),127.0)</f>
        <v>127</v>
      </c>
      <c r="B136" s="1" t="str">
        <f>IFERROR(__xludf.DUMMYFUNCTION("""COMPUTED_VALUE"""),"Diamond Princess")</f>
        <v>Diamond Princess</v>
      </c>
      <c r="C136" s="1">
        <f>IFERROR(__xludf.DUMMYFUNCTION("""COMPUTED_VALUE"""),712.0)</f>
        <v>712</v>
      </c>
      <c r="D136" s="1" t="str">
        <f>IFERROR(__xludf.DUMMYFUNCTION("""COMPUTED_VALUE"""),"")</f>
        <v/>
      </c>
      <c r="E136" s="1">
        <f>IFERROR(__xludf.DUMMYFUNCTION("""COMPUTED_VALUE"""),13.0)</f>
        <v>13</v>
      </c>
      <c r="F136" s="1" t="str">
        <f>IFERROR(__xludf.DUMMYFUNCTION("""COMPUTED_VALUE"""),"")</f>
        <v/>
      </c>
      <c r="G136" s="1">
        <f>IFERROR(__xludf.DUMMYFUNCTION("""COMPUTED_VALUE"""),651.0)</f>
        <v>651</v>
      </c>
      <c r="H136" s="1" t="str">
        <f>IFERROR(__xludf.DUMMYFUNCTION("""COMPUTED_VALUE"""),"")</f>
        <v/>
      </c>
      <c r="I136" s="1">
        <f>IFERROR(__xludf.DUMMYFUNCTION("""COMPUTED_VALUE"""),48.0)</f>
        <v>48</v>
      </c>
      <c r="J136" s="1">
        <f>IFERROR(__xludf.DUMMYFUNCTION("""COMPUTED_VALUE"""),4.0)</f>
        <v>4</v>
      </c>
      <c r="K136" s="1" t="str">
        <f>IFERROR(__xludf.DUMMYFUNCTION("""COMPUTED_VALUE"""),"")</f>
        <v/>
      </c>
      <c r="L136" s="1" t="str">
        <f>IFERROR(__xludf.DUMMYFUNCTION("""COMPUTED_VALUE"""),"")</f>
        <v/>
      </c>
      <c r="M136" s="1" t="str">
        <f>IFERROR(__xludf.DUMMYFUNCTION("""COMPUTED_VALUE"""),"")</f>
        <v/>
      </c>
      <c r="N136" s="1" t="str">
        <f>IFERROR(__xludf.DUMMYFUNCTION("""COMPUTED_VALUE"""),"")</f>
        <v/>
      </c>
      <c r="O136" s="1" t="str">
        <f>IFERROR(__xludf.DUMMYFUNCTION("""COMPUTED_VALUE"""),"")</f>
        <v/>
      </c>
      <c r="P136" s="1" t="str">
        <f>IFERROR(__xludf.DUMMYFUNCTION("""COMPUTED_VALUE"""),"")</f>
        <v/>
      </c>
      <c r="Q136" s="1" t="str">
        <f>IFERROR(__xludf.DUMMYFUNCTION("""COMPUTED_VALUE"""),"")</f>
        <v/>
      </c>
      <c r="R136" s="1" t="str">
        <f>IFERROR(__xludf.DUMMYFUNCTION("""COMPUTED_VALUE"""),"")</f>
        <v/>
      </c>
      <c r="S136" s="1" t="str">
        <f>IFERROR(__xludf.DUMMYFUNCTION("""COMPUTED_VALUE"""),"")</f>
        <v/>
      </c>
    </row>
    <row r="137">
      <c r="A137" s="1">
        <f>IFERROR(__xludf.DUMMYFUNCTION("""COMPUTED_VALUE"""),128.0)</f>
        <v>128</v>
      </c>
      <c r="B137" s="1" t="str">
        <f>IFERROR(__xludf.DUMMYFUNCTION("""COMPUTED_VALUE"""),"San Marino")</f>
        <v>San Marino</v>
      </c>
      <c r="C137" s="1">
        <f>IFERROR(__xludf.DUMMYFUNCTION("""COMPUTED_VALUE"""),670.0)</f>
        <v>670</v>
      </c>
      <c r="D137" s="1" t="str">
        <f>IFERROR(__xludf.DUMMYFUNCTION("""COMPUTED_VALUE"""),"")</f>
        <v/>
      </c>
      <c r="E137" s="1">
        <f>IFERROR(__xludf.DUMMYFUNCTION("""COMPUTED_VALUE"""),42.0)</f>
        <v>42</v>
      </c>
      <c r="F137" s="1" t="str">
        <f>IFERROR(__xludf.DUMMYFUNCTION("""COMPUTED_VALUE"""),"")</f>
        <v/>
      </c>
      <c r="G137" s="1">
        <f>IFERROR(__xludf.DUMMYFUNCTION("""COMPUTED_VALUE"""),322.0)</f>
        <v>322</v>
      </c>
      <c r="H137" s="1" t="str">
        <f>IFERROR(__xludf.DUMMYFUNCTION("""COMPUTED_VALUE"""),"")</f>
        <v/>
      </c>
      <c r="I137" s="1">
        <f>IFERROR(__xludf.DUMMYFUNCTION("""COMPUTED_VALUE"""),306.0)</f>
        <v>306</v>
      </c>
      <c r="J137" s="1">
        <f>IFERROR(__xludf.DUMMYFUNCTION("""COMPUTED_VALUE"""),1.0)</f>
        <v>1</v>
      </c>
      <c r="K137" s="3">
        <f>IFERROR(__xludf.DUMMYFUNCTION("""COMPUTED_VALUE"""),19749.0)</f>
        <v>19749</v>
      </c>
      <c r="L137" s="3">
        <f>IFERROR(__xludf.DUMMYFUNCTION("""COMPUTED_VALUE"""),1238.0)</f>
        <v>1238</v>
      </c>
      <c r="M137" s="3">
        <f>IFERROR(__xludf.DUMMYFUNCTION("""COMPUTED_VALUE"""),4303.0)</f>
        <v>4303</v>
      </c>
      <c r="N137" s="3">
        <f>IFERROR(__xludf.DUMMYFUNCTION("""COMPUTED_VALUE"""),126839.0)</f>
        <v>126839</v>
      </c>
      <c r="O137" s="3">
        <f>IFERROR(__xludf.DUMMYFUNCTION("""COMPUTED_VALUE"""),33925.0)</f>
        <v>33925</v>
      </c>
      <c r="P137" s="1" t="str">
        <f>IFERROR(__xludf.DUMMYFUNCTION("""COMPUTED_VALUE"""),"Europe")</f>
        <v>Europe</v>
      </c>
      <c r="Q137" s="1">
        <f>IFERROR(__xludf.DUMMYFUNCTION("""COMPUTED_VALUE"""),51.0)</f>
        <v>51</v>
      </c>
      <c r="R137" s="1">
        <f>IFERROR(__xludf.DUMMYFUNCTION("""COMPUTED_VALUE"""),808.0)</f>
        <v>808</v>
      </c>
      <c r="S137" s="1">
        <f>IFERROR(__xludf.DUMMYFUNCTION("""COMPUTED_VALUE"""),8.0)</f>
        <v>8</v>
      </c>
    </row>
    <row r="138">
      <c r="A138" s="1">
        <f>IFERROR(__xludf.DUMMYFUNCTION("""COMPUTED_VALUE"""),129.0)</f>
        <v>129</v>
      </c>
      <c r="B138" s="1" t="str">
        <f>IFERROR(__xludf.DUMMYFUNCTION("""COMPUTED_VALUE"""),"Madagascar")</f>
        <v>Madagascar</v>
      </c>
      <c r="C138" s="1">
        <f>IFERROR(__xludf.DUMMYFUNCTION("""COMPUTED_VALUE"""),656.0)</f>
        <v>656</v>
      </c>
      <c r="D138" s="1" t="str">
        <f>IFERROR(__xludf.DUMMYFUNCTION("""COMPUTED_VALUE"""),"")</f>
        <v/>
      </c>
      <c r="E138" s="1">
        <f>IFERROR(__xludf.DUMMYFUNCTION("""COMPUTED_VALUE"""),2.0)</f>
        <v>2</v>
      </c>
      <c r="F138" s="1" t="str">
        <f>IFERROR(__xludf.DUMMYFUNCTION("""COMPUTED_VALUE"""),"")</f>
        <v/>
      </c>
      <c r="G138" s="1">
        <f>IFERROR(__xludf.DUMMYFUNCTION("""COMPUTED_VALUE"""),154.0)</f>
        <v>154</v>
      </c>
      <c r="H138" s="1" t="str">
        <f>IFERROR(__xludf.DUMMYFUNCTION("""COMPUTED_VALUE"""),"")</f>
        <v/>
      </c>
      <c r="I138" s="1">
        <f>IFERROR(__xludf.DUMMYFUNCTION("""COMPUTED_VALUE"""),500.0)</f>
        <v>500</v>
      </c>
      <c r="J138" s="1">
        <f>IFERROR(__xludf.DUMMYFUNCTION("""COMPUTED_VALUE"""),10.0)</f>
        <v>10</v>
      </c>
      <c r="K138" s="1">
        <f>IFERROR(__xludf.DUMMYFUNCTION("""COMPUTED_VALUE"""),24.0)</f>
        <v>24</v>
      </c>
      <c r="L138" s="1">
        <f>IFERROR(__xludf.DUMMYFUNCTION("""COMPUTED_VALUE"""),0.07)</f>
        <v>0.07</v>
      </c>
      <c r="M138" s="3">
        <f>IFERROR(__xludf.DUMMYFUNCTION("""COMPUTED_VALUE"""),9848.0)</f>
        <v>9848</v>
      </c>
      <c r="N138" s="1">
        <f>IFERROR(__xludf.DUMMYFUNCTION("""COMPUTED_VALUE"""),357.0)</f>
        <v>357</v>
      </c>
      <c r="O138" s="3">
        <f>IFERROR(__xludf.DUMMYFUNCTION("""COMPUTED_VALUE"""),2.7619112E7)</f>
        <v>27619112</v>
      </c>
      <c r="P138" s="1" t="str">
        <f>IFERROR(__xludf.DUMMYFUNCTION("""COMPUTED_VALUE"""),"Africa")</f>
        <v>Africa</v>
      </c>
      <c r="Q138" s="3">
        <f>IFERROR(__xludf.DUMMYFUNCTION("""COMPUTED_VALUE"""),42102.0)</f>
        <v>42102</v>
      </c>
      <c r="R138" s="3">
        <f>IFERROR(__xludf.DUMMYFUNCTION("""COMPUTED_VALUE"""),1.3809556E7)</f>
        <v>13809556</v>
      </c>
      <c r="S138" s="3">
        <f>IFERROR(__xludf.DUMMYFUNCTION("""COMPUTED_VALUE"""),2805.0)</f>
        <v>2805</v>
      </c>
    </row>
    <row r="139">
      <c r="A139" s="1">
        <f>IFERROR(__xludf.DUMMYFUNCTION("""COMPUTED_VALUE"""),130.0)</f>
        <v>130</v>
      </c>
      <c r="B139" s="1" t="str">
        <f>IFERROR(__xludf.DUMMYFUNCTION("""COMPUTED_VALUE"""),"Malta")</f>
        <v>Malta</v>
      </c>
      <c r="C139" s="1">
        <f>IFERROR(__xludf.DUMMYFUNCTION("""COMPUTED_VALUE"""),616.0)</f>
        <v>616</v>
      </c>
      <c r="D139" s="1" t="str">
        <f>IFERROR(__xludf.DUMMYFUNCTION("""COMPUTED_VALUE"""),"")</f>
        <v/>
      </c>
      <c r="E139" s="1">
        <f>IFERROR(__xludf.DUMMYFUNCTION("""COMPUTED_VALUE"""),7.0)</f>
        <v>7</v>
      </c>
      <c r="F139" s="1" t="str">
        <f>IFERROR(__xludf.DUMMYFUNCTION("""COMPUTED_VALUE"""),"")</f>
        <v/>
      </c>
      <c r="G139" s="1">
        <f>IFERROR(__xludf.DUMMYFUNCTION("""COMPUTED_VALUE"""),501.0)</f>
        <v>501</v>
      </c>
      <c r="H139" s="1" t="str">
        <f>IFERROR(__xludf.DUMMYFUNCTION("""COMPUTED_VALUE"""),"")</f>
        <v/>
      </c>
      <c r="I139" s="1">
        <f>IFERROR(__xludf.DUMMYFUNCTION("""COMPUTED_VALUE"""),108.0)</f>
        <v>108</v>
      </c>
      <c r="J139" s="1">
        <f>IFERROR(__xludf.DUMMYFUNCTION("""COMPUTED_VALUE"""),1.0)</f>
        <v>1</v>
      </c>
      <c r="K139" s="3">
        <f>IFERROR(__xludf.DUMMYFUNCTION("""COMPUTED_VALUE"""),1395.0)</f>
        <v>1395</v>
      </c>
      <c r="L139" s="1">
        <f>IFERROR(__xludf.DUMMYFUNCTION("""COMPUTED_VALUE"""),16.0)</f>
        <v>16</v>
      </c>
      <c r="M139" s="3">
        <f>IFERROR(__xludf.DUMMYFUNCTION("""COMPUTED_VALUE"""),65471.0)</f>
        <v>65471</v>
      </c>
      <c r="N139" s="3">
        <f>IFERROR(__xludf.DUMMYFUNCTION("""COMPUTED_VALUE"""),148313.0)</f>
        <v>148313</v>
      </c>
      <c r="O139" s="3">
        <f>IFERROR(__xludf.DUMMYFUNCTION("""COMPUTED_VALUE"""),441439.0)</f>
        <v>441439</v>
      </c>
      <c r="P139" s="1" t="str">
        <f>IFERROR(__xludf.DUMMYFUNCTION("""COMPUTED_VALUE"""),"Europe")</f>
        <v>Europe</v>
      </c>
      <c r="Q139" s="1">
        <f>IFERROR(__xludf.DUMMYFUNCTION("""COMPUTED_VALUE"""),717.0)</f>
        <v>717</v>
      </c>
      <c r="R139" s="3">
        <f>IFERROR(__xludf.DUMMYFUNCTION("""COMPUTED_VALUE"""),63063.0)</f>
        <v>63063</v>
      </c>
      <c r="S139" s="1">
        <f>IFERROR(__xludf.DUMMYFUNCTION("""COMPUTED_VALUE"""),7.0)</f>
        <v>7</v>
      </c>
    </row>
    <row r="140">
      <c r="A140" s="1">
        <f>IFERROR(__xludf.DUMMYFUNCTION("""COMPUTED_VALUE"""),131.0)</f>
        <v>131</v>
      </c>
      <c r="B140" s="1" t="str">
        <f>IFERROR(__xludf.DUMMYFUNCTION("""COMPUTED_VALUE"""),"Congo")</f>
        <v>Congo</v>
      </c>
      <c r="C140" s="1">
        <f>IFERROR(__xludf.DUMMYFUNCTION("""COMPUTED_VALUE"""),571.0)</f>
        <v>571</v>
      </c>
      <c r="D140" s="1" t="str">
        <f>IFERROR(__xludf.DUMMYFUNCTION("""COMPUTED_VALUE"""),"")</f>
        <v/>
      </c>
      <c r="E140" s="1">
        <f>IFERROR(__xludf.DUMMYFUNCTION("""COMPUTED_VALUE"""),19.0)</f>
        <v>19</v>
      </c>
      <c r="F140" s="1" t="str">
        <f>IFERROR(__xludf.DUMMYFUNCTION("""COMPUTED_VALUE"""),"")</f>
        <v/>
      </c>
      <c r="G140" s="1">
        <f>IFERROR(__xludf.DUMMYFUNCTION("""COMPUTED_VALUE"""),161.0)</f>
        <v>161</v>
      </c>
      <c r="H140" s="1" t="str">
        <f>IFERROR(__xludf.DUMMYFUNCTION("""COMPUTED_VALUE"""),"")</f>
        <v/>
      </c>
      <c r="I140" s="1">
        <f>IFERROR(__xludf.DUMMYFUNCTION("""COMPUTED_VALUE"""),391.0)</f>
        <v>391</v>
      </c>
      <c r="J140" s="1" t="str">
        <f>IFERROR(__xludf.DUMMYFUNCTION("""COMPUTED_VALUE"""),"")</f>
        <v/>
      </c>
      <c r="K140" s="1">
        <f>IFERROR(__xludf.DUMMYFUNCTION("""COMPUTED_VALUE"""),104.0)</f>
        <v>104</v>
      </c>
      <c r="L140" s="1">
        <f>IFERROR(__xludf.DUMMYFUNCTION("""COMPUTED_VALUE"""),3.0)</f>
        <v>3</v>
      </c>
      <c r="M140" s="1" t="str">
        <f>IFERROR(__xludf.DUMMYFUNCTION("""COMPUTED_VALUE"""),"")</f>
        <v/>
      </c>
      <c r="N140" s="1" t="str">
        <f>IFERROR(__xludf.DUMMYFUNCTION("""COMPUTED_VALUE"""),"")</f>
        <v/>
      </c>
      <c r="O140" s="3">
        <f>IFERROR(__xludf.DUMMYFUNCTION("""COMPUTED_VALUE"""),5504452.0)</f>
        <v>5504452</v>
      </c>
      <c r="P140" s="1" t="str">
        <f>IFERROR(__xludf.DUMMYFUNCTION("""COMPUTED_VALUE"""),"Africa")</f>
        <v>Africa</v>
      </c>
      <c r="Q140" s="3">
        <f>IFERROR(__xludf.DUMMYFUNCTION("""COMPUTED_VALUE"""),9640.0)</f>
        <v>9640</v>
      </c>
      <c r="R140" s="3">
        <f>IFERROR(__xludf.DUMMYFUNCTION("""COMPUTED_VALUE"""),289708.0)</f>
        <v>289708</v>
      </c>
      <c r="S140" s="1" t="str">
        <f>IFERROR(__xludf.DUMMYFUNCTION("""COMPUTED_VALUE"""),"")</f>
        <v/>
      </c>
    </row>
    <row r="141">
      <c r="A141" s="1">
        <f>IFERROR(__xludf.DUMMYFUNCTION("""COMPUTED_VALUE"""),132.0)</f>
        <v>132</v>
      </c>
      <c r="B141" s="1" t="str">
        <f>IFERROR(__xludf.DUMMYFUNCTION("""COMPUTED_VALUE"""),"Jamaica")</f>
        <v>Jamaica</v>
      </c>
      <c r="C141" s="1">
        <f>IFERROR(__xludf.DUMMYFUNCTION("""COMPUTED_VALUE"""),569.0)</f>
        <v>569</v>
      </c>
      <c r="D141" s="1" t="str">
        <f>IFERROR(__xludf.DUMMYFUNCTION("""COMPUTED_VALUE"""),"")</f>
        <v/>
      </c>
      <c r="E141" s="1">
        <f>IFERROR(__xludf.DUMMYFUNCTION("""COMPUTED_VALUE"""),9.0)</f>
        <v>9</v>
      </c>
      <c r="F141" s="1" t="str">
        <f>IFERROR(__xludf.DUMMYFUNCTION("""COMPUTED_VALUE"""),"")</f>
        <v/>
      </c>
      <c r="G141" s="1">
        <f>IFERROR(__xludf.DUMMYFUNCTION("""COMPUTED_VALUE"""),284.0)</f>
        <v>284</v>
      </c>
      <c r="H141" s="1" t="str">
        <f>IFERROR(__xludf.DUMMYFUNCTION("""COMPUTED_VALUE"""),"+5")</f>
        <v>+5</v>
      </c>
      <c r="I141" s="1">
        <f>IFERROR(__xludf.DUMMYFUNCTION("""COMPUTED_VALUE"""),276.0)</f>
        <v>276</v>
      </c>
      <c r="J141" s="1">
        <f>IFERROR(__xludf.DUMMYFUNCTION("""COMPUTED_VALUE"""),2.0)</f>
        <v>2</v>
      </c>
      <c r="K141" s="1">
        <f>IFERROR(__xludf.DUMMYFUNCTION("""COMPUTED_VALUE"""),192.0)</f>
        <v>192</v>
      </c>
      <c r="L141" s="1">
        <f>IFERROR(__xludf.DUMMYFUNCTION("""COMPUTED_VALUE"""),3.0)</f>
        <v>3</v>
      </c>
      <c r="M141" s="3">
        <f>IFERROR(__xludf.DUMMYFUNCTION("""COMPUTED_VALUE"""),11460.0)</f>
        <v>11460</v>
      </c>
      <c r="N141" s="3">
        <f>IFERROR(__xludf.DUMMYFUNCTION("""COMPUTED_VALUE"""),3872.0)</f>
        <v>3872</v>
      </c>
      <c r="O141" s="3">
        <f>IFERROR(__xludf.DUMMYFUNCTION("""COMPUTED_VALUE"""),2960012.0)</f>
        <v>2960012</v>
      </c>
      <c r="P141" s="1" t="str">
        <f>IFERROR(__xludf.DUMMYFUNCTION("""COMPUTED_VALUE"""),"North America")</f>
        <v>North America</v>
      </c>
      <c r="Q141" s="3">
        <f>IFERROR(__xludf.DUMMYFUNCTION("""COMPUTED_VALUE"""),5202.0)</f>
        <v>5202</v>
      </c>
      <c r="R141" s="3">
        <f>IFERROR(__xludf.DUMMYFUNCTION("""COMPUTED_VALUE"""),328890.0)</f>
        <v>328890</v>
      </c>
      <c r="S141" s="1">
        <f>IFERROR(__xludf.DUMMYFUNCTION("""COMPUTED_VALUE"""),258.0)</f>
        <v>258</v>
      </c>
    </row>
    <row r="142">
      <c r="A142" s="1">
        <f>IFERROR(__xludf.DUMMYFUNCTION("""COMPUTED_VALUE"""),133.0)</f>
        <v>133</v>
      </c>
      <c r="B142" s="1" t="str">
        <f>IFERROR(__xludf.DUMMYFUNCTION("""COMPUTED_VALUE"""),"Channel Islands")</f>
        <v>Channel Islands</v>
      </c>
      <c r="C142" s="1">
        <f>IFERROR(__xludf.DUMMYFUNCTION("""COMPUTED_VALUE"""),560.0)</f>
        <v>560</v>
      </c>
      <c r="D142" s="1" t="str">
        <f>IFERROR(__xludf.DUMMYFUNCTION("""COMPUTED_VALUE"""),"")</f>
        <v/>
      </c>
      <c r="E142" s="1">
        <f>IFERROR(__xludf.DUMMYFUNCTION("""COMPUTED_VALUE"""),45.0)</f>
        <v>45</v>
      </c>
      <c r="F142" s="1" t="str">
        <f>IFERROR(__xludf.DUMMYFUNCTION("""COMPUTED_VALUE"""),"")</f>
        <v/>
      </c>
      <c r="G142" s="1">
        <f>IFERROR(__xludf.DUMMYFUNCTION("""COMPUTED_VALUE"""),512.0)</f>
        <v>512</v>
      </c>
      <c r="H142" s="1" t="str">
        <f>IFERROR(__xludf.DUMMYFUNCTION("""COMPUTED_VALUE"""),"")</f>
        <v/>
      </c>
      <c r="I142" s="1">
        <f>IFERROR(__xludf.DUMMYFUNCTION("""COMPUTED_VALUE"""),3.0)</f>
        <v>3</v>
      </c>
      <c r="J142" s="1" t="str">
        <f>IFERROR(__xludf.DUMMYFUNCTION("""COMPUTED_VALUE"""),"")</f>
        <v/>
      </c>
      <c r="K142" s="3">
        <f>IFERROR(__xludf.DUMMYFUNCTION("""COMPUTED_VALUE"""),3224.0)</f>
        <v>3224</v>
      </c>
      <c r="L142" s="1">
        <f>IFERROR(__xludf.DUMMYFUNCTION("""COMPUTED_VALUE"""),259.0)</f>
        <v>259</v>
      </c>
      <c r="M142" s="3">
        <f>IFERROR(__xludf.DUMMYFUNCTION("""COMPUTED_VALUE"""),10255.0)</f>
        <v>10255</v>
      </c>
      <c r="N142" s="3">
        <f>IFERROR(__xludf.DUMMYFUNCTION("""COMPUTED_VALUE"""),59033.0)</f>
        <v>59033</v>
      </c>
      <c r="O142" s="3">
        <f>IFERROR(__xludf.DUMMYFUNCTION("""COMPUTED_VALUE"""),173716.0)</f>
        <v>173716</v>
      </c>
      <c r="P142" s="1" t="str">
        <f>IFERROR(__xludf.DUMMYFUNCTION("""COMPUTED_VALUE"""),"Europe")</f>
        <v>Europe</v>
      </c>
      <c r="Q142" s="1">
        <f>IFERROR(__xludf.DUMMYFUNCTION("""COMPUTED_VALUE"""),310.0)</f>
        <v>310</v>
      </c>
      <c r="R142" s="3">
        <f>IFERROR(__xludf.DUMMYFUNCTION("""COMPUTED_VALUE"""),3860.0)</f>
        <v>3860</v>
      </c>
      <c r="S142" s="1">
        <f>IFERROR(__xludf.DUMMYFUNCTION("""COMPUTED_VALUE"""),17.0)</f>
        <v>17</v>
      </c>
    </row>
    <row r="143">
      <c r="A143" s="1">
        <f>IFERROR(__xludf.DUMMYFUNCTION("""COMPUTED_VALUE"""),134.0)</f>
        <v>134</v>
      </c>
      <c r="B143" s="1" t="str">
        <f>IFERROR(__xludf.DUMMYFUNCTION("""COMPUTED_VALUE"""),"Tanzania")</f>
        <v>Tanzania</v>
      </c>
      <c r="C143" s="1">
        <f>IFERROR(__xludf.DUMMYFUNCTION("""COMPUTED_VALUE"""),509.0)</f>
        <v>509</v>
      </c>
      <c r="D143" s="1" t="str">
        <f>IFERROR(__xludf.DUMMYFUNCTION("""COMPUTED_VALUE"""),"")</f>
        <v/>
      </c>
      <c r="E143" s="1">
        <f>IFERROR(__xludf.DUMMYFUNCTION("""COMPUTED_VALUE"""),21.0)</f>
        <v>21</v>
      </c>
      <c r="F143" s="1" t="str">
        <f>IFERROR(__xludf.DUMMYFUNCTION("""COMPUTED_VALUE"""),"")</f>
        <v/>
      </c>
      <c r="G143" s="1">
        <f>IFERROR(__xludf.DUMMYFUNCTION("""COMPUTED_VALUE"""),183.0)</f>
        <v>183</v>
      </c>
      <c r="H143" s="1" t="str">
        <f>IFERROR(__xludf.DUMMYFUNCTION("""COMPUTED_VALUE"""),"")</f>
        <v/>
      </c>
      <c r="I143" s="1">
        <f>IFERROR(__xludf.DUMMYFUNCTION("""COMPUTED_VALUE"""),305.0)</f>
        <v>305</v>
      </c>
      <c r="J143" s="1">
        <f>IFERROR(__xludf.DUMMYFUNCTION("""COMPUTED_VALUE"""),7.0)</f>
        <v>7</v>
      </c>
      <c r="K143" s="1">
        <f>IFERROR(__xludf.DUMMYFUNCTION("""COMPUTED_VALUE"""),9.0)</f>
        <v>9</v>
      </c>
      <c r="L143" s="1">
        <f>IFERROR(__xludf.DUMMYFUNCTION("""COMPUTED_VALUE"""),0.4)</f>
        <v>0.4</v>
      </c>
      <c r="M143" s="1" t="str">
        <f>IFERROR(__xludf.DUMMYFUNCTION("""COMPUTED_VALUE"""),"")</f>
        <v/>
      </c>
      <c r="N143" s="1" t="str">
        <f>IFERROR(__xludf.DUMMYFUNCTION("""COMPUTED_VALUE"""),"")</f>
        <v/>
      </c>
      <c r="O143" s="3">
        <f>IFERROR(__xludf.DUMMYFUNCTION("""COMPUTED_VALUE"""),5.9559672E7)</f>
        <v>59559672</v>
      </c>
      <c r="P143" s="1" t="str">
        <f>IFERROR(__xludf.DUMMYFUNCTION("""COMPUTED_VALUE"""),"Africa")</f>
        <v>Africa</v>
      </c>
      <c r="Q143" s="3">
        <f>IFERROR(__xludf.DUMMYFUNCTION("""COMPUTED_VALUE"""),117013.0)</f>
        <v>117013</v>
      </c>
      <c r="R143" s="3">
        <f>IFERROR(__xludf.DUMMYFUNCTION("""COMPUTED_VALUE"""),2836175.0)</f>
        <v>2836175</v>
      </c>
      <c r="S143" s="1" t="str">
        <f>IFERROR(__xludf.DUMMYFUNCTION("""COMPUTED_VALUE"""),"")</f>
        <v/>
      </c>
    </row>
    <row r="144">
      <c r="A144" s="1">
        <f>IFERROR(__xludf.DUMMYFUNCTION("""COMPUTED_VALUE"""),135.0)</f>
        <v>135</v>
      </c>
      <c r="B144" s="1" t="str">
        <f>IFERROR(__xludf.DUMMYFUNCTION("""COMPUTED_VALUE"""),"Réunion")</f>
        <v>Réunion</v>
      </c>
      <c r="C144" s="1">
        <f>IFERROR(__xludf.DUMMYFUNCTION("""COMPUTED_VALUE"""),465.0)</f>
        <v>465</v>
      </c>
      <c r="D144" s="1" t="str">
        <f>IFERROR(__xludf.DUMMYFUNCTION("""COMPUTED_VALUE"""),"")</f>
        <v/>
      </c>
      <c r="E144" s="1">
        <f>IFERROR(__xludf.DUMMYFUNCTION("""COMPUTED_VALUE"""),1.0)</f>
        <v>1</v>
      </c>
      <c r="F144" s="1" t="str">
        <f>IFERROR(__xludf.DUMMYFUNCTION("""COMPUTED_VALUE"""),"")</f>
        <v/>
      </c>
      <c r="G144" s="1">
        <f>IFERROR(__xludf.DUMMYFUNCTION("""COMPUTED_VALUE"""),411.0)</f>
        <v>411</v>
      </c>
      <c r="H144" s="1" t="str">
        <f>IFERROR(__xludf.DUMMYFUNCTION("""COMPUTED_VALUE"""),"")</f>
        <v/>
      </c>
      <c r="I144" s="1">
        <f>IFERROR(__xludf.DUMMYFUNCTION("""COMPUTED_VALUE"""),53.0)</f>
        <v>53</v>
      </c>
      <c r="J144" s="1">
        <f>IFERROR(__xludf.DUMMYFUNCTION("""COMPUTED_VALUE"""),1.0)</f>
        <v>1</v>
      </c>
      <c r="K144" s="1">
        <f>IFERROR(__xludf.DUMMYFUNCTION("""COMPUTED_VALUE"""),520.0)</f>
        <v>520</v>
      </c>
      <c r="L144" s="1">
        <f>IFERROR(__xludf.DUMMYFUNCTION("""COMPUTED_VALUE"""),1.0)</f>
        <v>1</v>
      </c>
      <c r="M144" s="3">
        <f>IFERROR(__xludf.DUMMYFUNCTION("""COMPUTED_VALUE"""),17200.0)</f>
        <v>17200</v>
      </c>
      <c r="N144" s="3">
        <f>IFERROR(__xludf.DUMMYFUNCTION("""COMPUTED_VALUE"""),19224.0)</f>
        <v>19224</v>
      </c>
      <c r="O144" s="3">
        <f>IFERROR(__xludf.DUMMYFUNCTION("""COMPUTED_VALUE"""),894731.0)</f>
        <v>894731</v>
      </c>
      <c r="P144" s="1" t="str">
        <f>IFERROR(__xludf.DUMMYFUNCTION("""COMPUTED_VALUE"""),"Africa")</f>
        <v>Africa</v>
      </c>
      <c r="Q144" s="3">
        <f>IFERROR(__xludf.DUMMYFUNCTION("""COMPUTED_VALUE"""),1924.0)</f>
        <v>1924</v>
      </c>
      <c r="R144" s="3">
        <f>IFERROR(__xludf.DUMMYFUNCTION("""COMPUTED_VALUE"""),894731.0)</f>
        <v>894731</v>
      </c>
      <c r="S144" s="1">
        <f>IFERROR(__xludf.DUMMYFUNCTION("""COMPUTED_VALUE"""),52.0)</f>
        <v>52</v>
      </c>
    </row>
    <row r="145">
      <c r="A145" s="1">
        <f>IFERROR(__xludf.DUMMYFUNCTION("""COMPUTED_VALUE"""),136.0)</f>
        <v>136</v>
      </c>
      <c r="B145" s="1" t="str">
        <f>IFERROR(__xludf.DUMMYFUNCTION("""COMPUTED_VALUE"""),"Sao Tome and Principe")</f>
        <v>Sao Tome and Principe</v>
      </c>
      <c r="C145" s="1">
        <f>IFERROR(__xludf.DUMMYFUNCTION("""COMPUTED_VALUE"""),458.0)</f>
        <v>458</v>
      </c>
      <c r="D145" s="1" t="str">
        <f>IFERROR(__xludf.DUMMYFUNCTION("""COMPUTED_VALUE"""),"")</f>
        <v/>
      </c>
      <c r="E145" s="1">
        <f>IFERROR(__xludf.DUMMYFUNCTION("""COMPUTED_VALUE"""),12.0)</f>
        <v>12</v>
      </c>
      <c r="F145" s="1" t="str">
        <f>IFERROR(__xludf.DUMMYFUNCTION("""COMPUTED_VALUE"""),"")</f>
        <v/>
      </c>
      <c r="G145" s="1">
        <f>IFERROR(__xludf.DUMMYFUNCTION("""COMPUTED_VALUE"""),68.0)</f>
        <v>68</v>
      </c>
      <c r="H145" s="1" t="str">
        <f>IFERROR(__xludf.DUMMYFUNCTION("""COMPUTED_VALUE"""),"")</f>
        <v/>
      </c>
      <c r="I145" s="1">
        <f>IFERROR(__xludf.DUMMYFUNCTION("""COMPUTED_VALUE"""),378.0)</f>
        <v>378</v>
      </c>
      <c r="J145" s="1" t="str">
        <f>IFERROR(__xludf.DUMMYFUNCTION("""COMPUTED_VALUE"""),"")</f>
        <v/>
      </c>
      <c r="K145" s="3">
        <f>IFERROR(__xludf.DUMMYFUNCTION("""COMPUTED_VALUE"""),2094.0)</f>
        <v>2094</v>
      </c>
      <c r="L145" s="1">
        <f>IFERROR(__xludf.DUMMYFUNCTION("""COMPUTED_VALUE"""),55.0)</f>
        <v>55</v>
      </c>
      <c r="M145" s="1">
        <f>IFERROR(__xludf.DUMMYFUNCTION("""COMPUTED_VALUE"""),175.0)</f>
        <v>175</v>
      </c>
      <c r="N145" s="1">
        <f>IFERROR(__xludf.DUMMYFUNCTION("""COMPUTED_VALUE"""),800.0)</f>
        <v>800</v>
      </c>
      <c r="O145" s="3">
        <f>IFERROR(__xludf.DUMMYFUNCTION("""COMPUTED_VALUE"""),218764.0)</f>
        <v>218764</v>
      </c>
      <c r="P145" s="1" t="str">
        <f>IFERROR(__xludf.DUMMYFUNCTION("""COMPUTED_VALUE"""),"Africa")</f>
        <v>Africa</v>
      </c>
      <c r="Q145" s="1">
        <f>IFERROR(__xludf.DUMMYFUNCTION("""COMPUTED_VALUE"""),478.0)</f>
        <v>478</v>
      </c>
      <c r="R145" s="3">
        <f>IFERROR(__xludf.DUMMYFUNCTION("""COMPUTED_VALUE"""),18230.0)</f>
        <v>18230</v>
      </c>
      <c r="S145" s="3">
        <f>IFERROR(__xludf.DUMMYFUNCTION("""COMPUTED_VALUE"""),1250.0)</f>
        <v>1250</v>
      </c>
    </row>
    <row r="146">
      <c r="A146" s="1">
        <f>IFERROR(__xludf.DUMMYFUNCTION("""COMPUTED_VALUE"""),137.0)</f>
        <v>137</v>
      </c>
      <c r="B146" s="1" t="str">
        <f>IFERROR(__xludf.DUMMYFUNCTION("""COMPUTED_VALUE"""),"Palestine")</f>
        <v>Palestine</v>
      </c>
      <c r="C146" s="1">
        <f>IFERROR(__xludf.DUMMYFUNCTION("""COMPUTED_VALUE"""),446.0)</f>
        <v>446</v>
      </c>
      <c r="D146" s="1" t="str">
        <f>IFERROR(__xludf.DUMMYFUNCTION("""COMPUTED_VALUE"""),"")</f>
        <v/>
      </c>
      <c r="E146" s="1">
        <f>IFERROR(__xludf.DUMMYFUNCTION("""COMPUTED_VALUE"""),3.0)</f>
        <v>3</v>
      </c>
      <c r="F146" s="1" t="str">
        <f>IFERROR(__xludf.DUMMYFUNCTION("""COMPUTED_VALUE"""),"")</f>
        <v/>
      </c>
      <c r="G146" s="1">
        <f>IFERROR(__xludf.DUMMYFUNCTION("""COMPUTED_VALUE"""),368.0)</f>
        <v>368</v>
      </c>
      <c r="H146" s="1" t="str">
        <f>IFERROR(__xludf.DUMMYFUNCTION("""COMPUTED_VALUE"""),"")</f>
        <v/>
      </c>
      <c r="I146" s="1">
        <f>IFERROR(__xludf.DUMMYFUNCTION("""COMPUTED_VALUE"""),75.0)</f>
        <v>75</v>
      </c>
      <c r="J146" s="1" t="str">
        <f>IFERROR(__xludf.DUMMYFUNCTION("""COMPUTED_VALUE"""),"")</f>
        <v/>
      </c>
      <c r="K146" s="1">
        <f>IFERROR(__xludf.DUMMYFUNCTION("""COMPUTED_VALUE"""),88.0)</f>
        <v>88</v>
      </c>
      <c r="L146" s="1">
        <f>IFERROR(__xludf.DUMMYFUNCTION("""COMPUTED_VALUE"""),0.6)</f>
        <v>0.6</v>
      </c>
      <c r="M146" s="3">
        <f>IFERROR(__xludf.DUMMYFUNCTION("""COMPUTED_VALUE"""),44876.0)</f>
        <v>44876</v>
      </c>
      <c r="N146" s="3">
        <f>IFERROR(__xludf.DUMMYFUNCTION("""COMPUTED_VALUE"""),8817.0)</f>
        <v>8817</v>
      </c>
      <c r="O146" s="3">
        <f>IFERROR(__xludf.DUMMYFUNCTION("""COMPUTED_VALUE"""),5089600.0)</f>
        <v>5089600</v>
      </c>
      <c r="P146" s="1" t="str">
        <f>IFERROR(__xludf.DUMMYFUNCTION("""COMPUTED_VALUE"""),"Asia")</f>
        <v>Asia</v>
      </c>
      <c r="Q146" s="3">
        <f>IFERROR(__xludf.DUMMYFUNCTION("""COMPUTED_VALUE"""),11412.0)</f>
        <v>11412</v>
      </c>
      <c r="R146" s="3">
        <f>IFERROR(__xludf.DUMMYFUNCTION("""COMPUTED_VALUE"""),1696533.0)</f>
        <v>1696533</v>
      </c>
      <c r="S146" s="1">
        <f>IFERROR(__xludf.DUMMYFUNCTION("""COMPUTED_VALUE"""),113.0)</f>
        <v>113</v>
      </c>
    </row>
    <row r="147">
      <c r="A147" s="1">
        <f>IFERROR(__xludf.DUMMYFUNCTION("""COMPUTED_VALUE"""),138.0)</f>
        <v>138</v>
      </c>
      <c r="B147" s="1" t="str">
        <f>IFERROR(__xludf.DUMMYFUNCTION("""COMPUTED_VALUE"""),"Taiwan")</f>
        <v>Taiwan</v>
      </c>
      <c r="C147" s="1">
        <f>IFERROR(__xludf.DUMMYFUNCTION("""COMPUTED_VALUE"""),441.0)</f>
        <v>441</v>
      </c>
      <c r="D147" s="1" t="str">
        <f>IFERROR(__xludf.DUMMYFUNCTION("""COMPUTED_VALUE"""),"")</f>
        <v/>
      </c>
      <c r="E147" s="1">
        <f>IFERROR(__xludf.DUMMYFUNCTION("""COMPUTED_VALUE"""),7.0)</f>
        <v>7</v>
      </c>
      <c r="F147" s="1" t="str">
        <f>IFERROR(__xludf.DUMMYFUNCTION("""COMPUTED_VALUE"""),"")</f>
        <v/>
      </c>
      <c r="G147" s="1">
        <f>IFERROR(__xludf.DUMMYFUNCTION("""COMPUTED_VALUE"""),420.0)</f>
        <v>420</v>
      </c>
      <c r="H147" s="1" t="str">
        <f>IFERROR(__xludf.DUMMYFUNCTION("""COMPUTED_VALUE"""),"")</f>
        <v/>
      </c>
      <c r="I147" s="1">
        <f>IFERROR(__xludf.DUMMYFUNCTION("""COMPUTED_VALUE"""),14.0)</f>
        <v>14</v>
      </c>
      <c r="J147" s="1" t="str">
        <f>IFERROR(__xludf.DUMMYFUNCTION("""COMPUTED_VALUE"""),"")</f>
        <v/>
      </c>
      <c r="K147" s="1">
        <f>IFERROR(__xludf.DUMMYFUNCTION("""COMPUTED_VALUE"""),19.0)</f>
        <v>19</v>
      </c>
      <c r="L147" s="1">
        <f>IFERROR(__xludf.DUMMYFUNCTION("""COMPUTED_VALUE"""),0.3)</f>
        <v>0.3</v>
      </c>
      <c r="M147" s="3">
        <f>IFERROR(__xludf.DUMMYFUNCTION("""COMPUTED_VALUE"""),71581.0)</f>
        <v>71581</v>
      </c>
      <c r="N147" s="3">
        <f>IFERROR(__xludf.DUMMYFUNCTION("""COMPUTED_VALUE"""),3006.0)</f>
        <v>3006</v>
      </c>
      <c r="O147" s="3">
        <f>IFERROR(__xludf.DUMMYFUNCTION("""COMPUTED_VALUE"""),2.3812979E7)</f>
        <v>23812979</v>
      </c>
      <c r="P147" s="1" t="str">
        <f>IFERROR(__xludf.DUMMYFUNCTION("""COMPUTED_VALUE"""),"Asia")</f>
        <v>Asia</v>
      </c>
      <c r="Q147" s="3">
        <f>IFERROR(__xludf.DUMMYFUNCTION("""COMPUTED_VALUE"""),53998.0)</f>
        <v>53998</v>
      </c>
      <c r="R147" s="3">
        <f>IFERROR(__xludf.DUMMYFUNCTION("""COMPUTED_VALUE"""),3401854.0)</f>
        <v>3401854</v>
      </c>
      <c r="S147" s="1">
        <f>IFERROR(__xludf.DUMMYFUNCTION("""COMPUTED_VALUE"""),333.0)</f>
        <v>333</v>
      </c>
    </row>
    <row r="148">
      <c r="A148" s="1">
        <f>IFERROR(__xludf.DUMMYFUNCTION("""COMPUTED_VALUE"""),139.0)</f>
        <v>139</v>
      </c>
      <c r="B148" s="1" t="str">
        <f>IFERROR(__xludf.DUMMYFUNCTION("""COMPUTED_VALUE"""),"French Guiana")</f>
        <v>French Guiana</v>
      </c>
      <c r="C148" s="1">
        <f>IFERROR(__xludf.DUMMYFUNCTION("""COMPUTED_VALUE"""),436.0)</f>
        <v>436</v>
      </c>
      <c r="D148" s="1" t="str">
        <f>IFERROR(__xludf.DUMMYFUNCTION("""COMPUTED_VALUE"""),"")</f>
        <v/>
      </c>
      <c r="E148" s="1">
        <f>IFERROR(__xludf.DUMMYFUNCTION("""COMPUTED_VALUE"""),1.0)</f>
        <v>1</v>
      </c>
      <c r="F148" s="1" t="str">
        <f>IFERROR(__xludf.DUMMYFUNCTION("""COMPUTED_VALUE"""),"")</f>
        <v/>
      </c>
      <c r="G148" s="1">
        <f>IFERROR(__xludf.DUMMYFUNCTION("""COMPUTED_VALUE"""),161.0)</f>
        <v>161</v>
      </c>
      <c r="H148" s="1" t="str">
        <f>IFERROR(__xludf.DUMMYFUNCTION("""COMPUTED_VALUE"""),"")</f>
        <v/>
      </c>
      <c r="I148" s="1">
        <f>IFERROR(__xludf.DUMMYFUNCTION("""COMPUTED_VALUE"""),274.0)</f>
        <v>274</v>
      </c>
      <c r="J148" s="1">
        <f>IFERROR(__xludf.DUMMYFUNCTION("""COMPUTED_VALUE"""),2.0)</f>
        <v>2</v>
      </c>
      <c r="K148" s="3">
        <f>IFERROR(__xludf.DUMMYFUNCTION("""COMPUTED_VALUE"""),1464.0)</f>
        <v>1464</v>
      </c>
      <c r="L148" s="1">
        <f>IFERROR(__xludf.DUMMYFUNCTION("""COMPUTED_VALUE"""),3.0)</f>
        <v>3</v>
      </c>
      <c r="M148" s="1" t="str">
        <f>IFERROR(__xludf.DUMMYFUNCTION("""COMPUTED_VALUE"""),"")</f>
        <v/>
      </c>
      <c r="N148" s="1" t="str">
        <f>IFERROR(__xludf.DUMMYFUNCTION("""COMPUTED_VALUE"""),"")</f>
        <v/>
      </c>
      <c r="O148" s="3">
        <f>IFERROR(__xludf.DUMMYFUNCTION("""COMPUTED_VALUE"""),297899.0)</f>
        <v>297899</v>
      </c>
      <c r="P148" s="1" t="str">
        <f>IFERROR(__xludf.DUMMYFUNCTION("""COMPUTED_VALUE"""),"South America")</f>
        <v>South America</v>
      </c>
      <c r="Q148" s="1">
        <f>IFERROR(__xludf.DUMMYFUNCTION("""COMPUTED_VALUE"""),683.0)</f>
        <v>683</v>
      </c>
      <c r="R148" s="3">
        <f>IFERROR(__xludf.DUMMYFUNCTION("""COMPUTED_VALUE"""),297899.0)</f>
        <v>297899</v>
      </c>
      <c r="S148" s="1" t="str">
        <f>IFERROR(__xludf.DUMMYFUNCTION("""COMPUTED_VALUE"""),"")</f>
        <v/>
      </c>
    </row>
    <row r="149">
      <c r="A149" s="1">
        <f>IFERROR(__xludf.DUMMYFUNCTION("""COMPUTED_VALUE"""),140.0)</f>
        <v>140</v>
      </c>
      <c r="B149" s="1" t="str">
        <f>IFERROR(__xludf.DUMMYFUNCTION("""COMPUTED_VALUE"""),"Togo")</f>
        <v>Togo</v>
      </c>
      <c r="C149" s="1">
        <f>IFERROR(__xludf.DUMMYFUNCTION("""COMPUTED_VALUE"""),422.0)</f>
        <v>422</v>
      </c>
      <c r="D149" s="1" t="str">
        <f>IFERROR(__xludf.DUMMYFUNCTION("""COMPUTED_VALUE"""),"")</f>
        <v/>
      </c>
      <c r="E149" s="1">
        <f>IFERROR(__xludf.DUMMYFUNCTION("""COMPUTED_VALUE"""),13.0)</f>
        <v>13</v>
      </c>
      <c r="F149" s="1" t="str">
        <f>IFERROR(__xludf.DUMMYFUNCTION("""COMPUTED_VALUE"""),"")</f>
        <v/>
      </c>
      <c r="G149" s="1">
        <f>IFERROR(__xludf.DUMMYFUNCTION("""COMPUTED_VALUE"""),197.0)</f>
        <v>197</v>
      </c>
      <c r="H149" s="1" t="str">
        <f>IFERROR(__xludf.DUMMYFUNCTION("""COMPUTED_VALUE"""),"")</f>
        <v/>
      </c>
      <c r="I149" s="1">
        <f>IFERROR(__xludf.DUMMYFUNCTION("""COMPUTED_VALUE"""),212.0)</f>
        <v>212</v>
      </c>
      <c r="J149" s="1" t="str">
        <f>IFERROR(__xludf.DUMMYFUNCTION("""COMPUTED_VALUE"""),"")</f>
        <v/>
      </c>
      <c r="K149" s="1">
        <f>IFERROR(__xludf.DUMMYFUNCTION("""COMPUTED_VALUE"""),51.0)</f>
        <v>51</v>
      </c>
      <c r="L149" s="1">
        <f>IFERROR(__xludf.DUMMYFUNCTION("""COMPUTED_VALUE"""),2.0)</f>
        <v>2</v>
      </c>
      <c r="M149" s="3">
        <f>IFERROR(__xludf.DUMMYFUNCTION("""COMPUTED_VALUE"""),18696.0)</f>
        <v>18696</v>
      </c>
      <c r="N149" s="3">
        <f>IFERROR(__xludf.DUMMYFUNCTION("""COMPUTED_VALUE"""),2264.0)</f>
        <v>2264</v>
      </c>
      <c r="O149" s="3">
        <f>IFERROR(__xludf.DUMMYFUNCTION("""COMPUTED_VALUE"""),8259373.0)</f>
        <v>8259373</v>
      </c>
      <c r="P149" s="1" t="str">
        <f>IFERROR(__xludf.DUMMYFUNCTION("""COMPUTED_VALUE"""),"Africa")</f>
        <v>Africa</v>
      </c>
      <c r="Q149" s="3">
        <f>IFERROR(__xludf.DUMMYFUNCTION("""COMPUTED_VALUE"""),19572.0)</f>
        <v>19572</v>
      </c>
      <c r="R149" s="3">
        <f>IFERROR(__xludf.DUMMYFUNCTION("""COMPUTED_VALUE"""),635336.0)</f>
        <v>635336</v>
      </c>
      <c r="S149" s="1">
        <f>IFERROR(__xludf.DUMMYFUNCTION("""COMPUTED_VALUE"""),442.0)</f>
        <v>442</v>
      </c>
    </row>
    <row r="150">
      <c r="A150" s="1">
        <f>IFERROR(__xludf.DUMMYFUNCTION("""COMPUTED_VALUE"""),141.0)</f>
        <v>141</v>
      </c>
      <c r="B150" s="1" t="str">
        <f>IFERROR(__xludf.DUMMYFUNCTION("""COMPUTED_VALUE"""),"Cabo Verde")</f>
        <v>Cabo Verde</v>
      </c>
      <c r="C150" s="1">
        <f>IFERROR(__xludf.DUMMYFUNCTION("""COMPUTED_VALUE"""),390.0)</f>
        <v>390</v>
      </c>
      <c r="D150" s="1" t="str">
        <f>IFERROR(__xludf.DUMMYFUNCTION("""COMPUTED_VALUE"""),"")</f>
        <v/>
      </c>
      <c r="E150" s="1">
        <f>IFERROR(__xludf.DUMMYFUNCTION("""COMPUTED_VALUE"""),4.0)</f>
        <v>4</v>
      </c>
      <c r="F150" s="1" t="str">
        <f>IFERROR(__xludf.DUMMYFUNCTION("""COMPUTED_VALUE"""),"")</f>
        <v/>
      </c>
      <c r="G150" s="1">
        <f>IFERROR(__xludf.DUMMYFUNCTION("""COMPUTED_VALUE"""),155.0)</f>
        <v>155</v>
      </c>
      <c r="H150" s="1" t="str">
        <f>IFERROR(__xludf.DUMMYFUNCTION("""COMPUTED_VALUE"""),"")</f>
        <v/>
      </c>
      <c r="I150" s="1">
        <f>IFERROR(__xludf.DUMMYFUNCTION("""COMPUTED_VALUE"""),231.0)</f>
        <v>231</v>
      </c>
      <c r="J150" s="1" t="str">
        <f>IFERROR(__xludf.DUMMYFUNCTION("""COMPUTED_VALUE"""),"")</f>
        <v/>
      </c>
      <c r="K150" s="1">
        <f>IFERROR(__xludf.DUMMYFUNCTION("""COMPUTED_VALUE"""),702.0)</f>
        <v>702</v>
      </c>
      <c r="L150" s="1">
        <f>IFERROR(__xludf.DUMMYFUNCTION("""COMPUTED_VALUE"""),7.0)</f>
        <v>7</v>
      </c>
      <c r="M150" s="3">
        <f>IFERROR(__xludf.DUMMYFUNCTION("""COMPUTED_VALUE"""),1307.0)</f>
        <v>1307</v>
      </c>
      <c r="N150" s="3">
        <f>IFERROR(__xludf.DUMMYFUNCTION("""COMPUTED_VALUE"""),2353.0)</f>
        <v>2353</v>
      </c>
      <c r="O150" s="3">
        <f>IFERROR(__xludf.DUMMYFUNCTION("""COMPUTED_VALUE"""),555426.0)</f>
        <v>555426</v>
      </c>
      <c r="P150" s="1" t="str">
        <f>IFERROR(__xludf.DUMMYFUNCTION("""COMPUTED_VALUE"""),"Africa")</f>
        <v>Africa</v>
      </c>
      <c r="Q150" s="3">
        <f>IFERROR(__xludf.DUMMYFUNCTION("""COMPUTED_VALUE"""),1424.0)</f>
        <v>1424</v>
      </c>
      <c r="R150" s="3">
        <f>IFERROR(__xludf.DUMMYFUNCTION("""COMPUTED_VALUE"""),138857.0)</f>
        <v>138857</v>
      </c>
      <c r="S150" s="1">
        <f>IFERROR(__xludf.DUMMYFUNCTION("""COMPUTED_VALUE"""),425.0)</f>
        <v>425</v>
      </c>
    </row>
    <row r="151">
      <c r="A151" s="1">
        <f>IFERROR(__xludf.DUMMYFUNCTION("""COMPUTED_VALUE"""),142.0)</f>
        <v>142</v>
      </c>
      <c r="B151" s="1" t="str">
        <f>IFERROR(__xludf.DUMMYFUNCTION("""COMPUTED_VALUE"""),"Rwanda")</f>
        <v>Rwanda</v>
      </c>
      <c r="C151" s="1">
        <f>IFERROR(__xludf.DUMMYFUNCTION("""COMPUTED_VALUE"""),349.0)</f>
        <v>349</v>
      </c>
      <c r="D151" s="1" t="str">
        <f>IFERROR(__xludf.DUMMYFUNCTION("""COMPUTED_VALUE"""),"")</f>
        <v/>
      </c>
      <c r="E151" s="1" t="str">
        <f>IFERROR(__xludf.DUMMYFUNCTION("""COMPUTED_VALUE"""),"")</f>
        <v/>
      </c>
      <c r="F151" s="1" t="str">
        <f>IFERROR(__xludf.DUMMYFUNCTION("""COMPUTED_VALUE"""),"")</f>
        <v/>
      </c>
      <c r="G151" s="1">
        <f>IFERROR(__xludf.DUMMYFUNCTION("""COMPUTED_VALUE"""),245.0)</f>
        <v>245</v>
      </c>
      <c r="H151" s="1" t="str">
        <f>IFERROR(__xludf.DUMMYFUNCTION("""COMPUTED_VALUE"""),"")</f>
        <v/>
      </c>
      <c r="I151" s="1">
        <f>IFERROR(__xludf.DUMMYFUNCTION("""COMPUTED_VALUE"""),104.0)</f>
        <v>104</v>
      </c>
      <c r="J151" s="1" t="str">
        <f>IFERROR(__xludf.DUMMYFUNCTION("""COMPUTED_VALUE"""),"")</f>
        <v/>
      </c>
      <c r="K151" s="1">
        <f>IFERROR(__xludf.DUMMYFUNCTION("""COMPUTED_VALUE"""),27.0)</f>
        <v>27</v>
      </c>
      <c r="L151" s="1" t="str">
        <f>IFERROR(__xludf.DUMMYFUNCTION("""COMPUTED_VALUE"""),"")</f>
        <v/>
      </c>
      <c r="M151" s="3">
        <f>IFERROR(__xludf.DUMMYFUNCTION("""COMPUTED_VALUE"""),64268.0)</f>
        <v>64268</v>
      </c>
      <c r="N151" s="3">
        <f>IFERROR(__xludf.DUMMYFUNCTION("""COMPUTED_VALUE"""),4974.0)</f>
        <v>4974</v>
      </c>
      <c r="O151" s="3">
        <f>IFERROR(__xludf.DUMMYFUNCTION("""COMPUTED_VALUE"""),1.2919954E7)</f>
        <v>12919954</v>
      </c>
      <c r="P151" s="1" t="str">
        <f>IFERROR(__xludf.DUMMYFUNCTION("""COMPUTED_VALUE"""),"Africa")</f>
        <v>Africa</v>
      </c>
      <c r="Q151" s="3">
        <f>IFERROR(__xludf.DUMMYFUNCTION("""COMPUTED_VALUE"""),37020.0)</f>
        <v>37020</v>
      </c>
      <c r="R151" s="1" t="str">
        <f>IFERROR(__xludf.DUMMYFUNCTION("""COMPUTED_VALUE"""),"")</f>
        <v/>
      </c>
      <c r="S151" s="1">
        <f>IFERROR(__xludf.DUMMYFUNCTION("""COMPUTED_VALUE"""),201.0)</f>
        <v>201</v>
      </c>
    </row>
    <row r="152">
      <c r="A152" s="1">
        <f>IFERROR(__xludf.DUMMYFUNCTION("""COMPUTED_VALUE"""),143.0)</f>
        <v>143</v>
      </c>
      <c r="B152" s="1" t="str">
        <f>IFERROR(__xludf.DUMMYFUNCTION("""COMPUTED_VALUE"""),"Mauritania")</f>
        <v>Mauritania</v>
      </c>
      <c r="C152" s="1">
        <f>IFERROR(__xludf.DUMMYFUNCTION("""COMPUTED_VALUE"""),346.0)</f>
        <v>346</v>
      </c>
      <c r="D152" s="1" t="str">
        <f>IFERROR(__xludf.DUMMYFUNCTION("""COMPUTED_VALUE"""),"")</f>
        <v/>
      </c>
      <c r="E152" s="1">
        <f>IFERROR(__xludf.DUMMYFUNCTION("""COMPUTED_VALUE"""),19.0)</f>
        <v>19</v>
      </c>
      <c r="F152" s="1" t="str">
        <f>IFERROR(__xludf.DUMMYFUNCTION("""COMPUTED_VALUE"""),"")</f>
        <v/>
      </c>
      <c r="G152" s="1">
        <f>IFERROR(__xludf.DUMMYFUNCTION("""COMPUTED_VALUE"""),15.0)</f>
        <v>15</v>
      </c>
      <c r="H152" s="1" t="str">
        <f>IFERROR(__xludf.DUMMYFUNCTION("""COMPUTED_VALUE"""),"")</f>
        <v/>
      </c>
      <c r="I152" s="1">
        <f>IFERROR(__xludf.DUMMYFUNCTION("""COMPUTED_VALUE"""),312.0)</f>
        <v>312</v>
      </c>
      <c r="J152" s="1" t="str">
        <f>IFERROR(__xludf.DUMMYFUNCTION("""COMPUTED_VALUE"""),"")</f>
        <v/>
      </c>
      <c r="K152" s="1">
        <f>IFERROR(__xludf.DUMMYFUNCTION("""COMPUTED_VALUE"""),75.0)</f>
        <v>75</v>
      </c>
      <c r="L152" s="1">
        <f>IFERROR(__xludf.DUMMYFUNCTION("""COMPUTED_VALUE"""),4.0)</f>
        <v>4</v>
      </c>
      <c r="M152" s="3">
        <f>IFERROR(__xludf.DUMMYFUNCTION("""COMPUTED_VALUE"""),2583.0)</f>
        <v>2583</v>
      </c>
      <c r="N152" s="1">
        <f>IFERROR(__xludf.DUMMYFUNCTION("""COMPUTED_VALUE"""),557.0)</f>
        <v>557</v>
      </c>
      <c r="O152" s="3">
        <f>IFERROR(__xludf.DUMMYFUNCTION("""COMPUTED_VALUE"""),4637273.0)</f>
        <v>4637273</v>
      </c>
      <c r="P152" s="1" t="str">
        <f>IFERROR(__xludf.DUMMYFUNCTION("""COMPUTED_VALUE"""),"Africa")</f>
        <v>Africa</v>
      </c>
      <c r="Q152" s="3">
        <f>IFERROR(__xludf.DUMMYFUNCTION("""COMPUTED_VALUE"""),13403.0)</f>
        <v>13403</v>
      </c>
      <c r="R152" s="3">
        <f>IFERROR(__xludf.DUMMYFUNCTION("""COMPUTED_VALUE"""),244067.0)</f>
        <v>244067</v>
      </c>
      <c r="S152" s="3">
        <f>IFERROR(__xludf.DUMMYFUNCTION("""COMPUTED_VALUE"""),1795.0)</f>
        <v>1795</v>
      </c>
    </row>
    <row r="153">
      <c r="A153" s="1">
        <f>IFERROR(__xludf.DUMMYFUNCTION("""COMPUTED_VALUE"""),144.0)</f>
        <v>144</v>
      </c>
      <c r="B153" s="1" t="str">
        <f>IFERROR(__xludf.DUMMYFUNCTION("""COMPUTED_VALUE"""),"Isle of Man")</f>
        <v>Isle of Man</v>
      </c>
      <c r="C153" s="1">
        <f>IFERROR(__xludf.DUMMYFUNCTION("""COMPUTED_VALUE"""),336.0)</f>
        <v>336</v>
      </c>
      <c r="D153" s="1" t="str">
        <f>IFERROR(__xludf.DUMMYFUNCTION("""COMPUTED_VALUE"""),"")</f>
        <v/>
      </c>
      <c r="E153" s="1">
        <f>IFERROR(__xludf.DUMMYFUNCTION("""COMPUTED_VALUE"""),24.0)</f>
        <v>24</v>
      </c>
      <c r="F153" s="1" t="str">
        <f>IFERROR(__xludf.DUMMYFUNCTION("""COMPUTED_VALUE"""),"")</f>
        <v/>
      </c>
      <c r="G153" s="1">
        <f>IFERROR(__xludf.DUMMYFUNCTION("""COMPUTED_VALUE"""),306.0)</f>
        <v>306</v>
      </c>
      <c r="H153" s="1" t="str">
        <f>IFERROR(__xludf.DUMMYFUNCTION("""COMPUTED_VALUE"""),"")</f>
        <v/>
      </c>
      <c r="I153" s="1">
        <f>IFERROR(__xludf.DUMMYFUNCTION("""COMPUTED_VALUE"""),6.0)</f>
        <v>6</v>
      </c>
      <c r="J153" s="1">
        <f>IFERROR(__xludf.DUMMYFUNCTION("""COMPUTED_VALUE"""),2.0)</f>
        <v>2</v>
      </c>
      <c r="K153" s="3">
        <f>IFERROR(__xludf.DUMMYFUNCTION("""COMPUTED_VALUE"""),3953.0)</f>
        <v>3953</v>
      </c>
      <c r="L153" s="1">
        <f>IFERROR(__xludf.DUMMYFUNCTION("""COMPUTED_VALUE"""),282.0)</f>
        <v>282</v>
      </c>
      <c r="M153" s="3">
        <f>IFERROR(__xludf.DUMMYFUNCTION("""COMPUTED_VALUE"""),4732.0)</f>
        <v>4732</v>
      </c>
      <c r="N153" s="3">
        <f>IFERROR(__xludf.DUMMYFUNCTION("""COMPUTED_VALUE"""),55675.0)</f>
        <v>55675</v>
      </c>
      <c r="O153" s="3">
        <f>IFERROR(__xludf.DUMMYFUNCTION("""COMPUTED_VALUE"""),84993.0)</f>
        <v>84993</v>
      </c>
      <c r="P153" s="1" t="str">
        <f>IFERROR(__xludf.DUMMYFUNCTION("""COMPUTED_VALUE"""),"Europe")</f>
        <v>Europe</v>
      </c>
      <c r="Q153" s="1">
        <f>IFERROR(__xludf.DUMMYFUNCTION("""COMPUTED_VALUE"""),253.0)</f>
        <v>253</v>
      </c>
      <c r="R153" s="3">
        <f>IFERROR(__xludf.DUMMYFUNCTION("""COMPUTED_VALUE"""),3541.0)</f>
        <v>3541</v>
      </c>
      <c r="S153" s="1">
        <f>IFERROR(__xludf.DUMMYFUNCTION("""COMPUTED_VALUE"""),18.0)</f>
        <v>18</v>
      </c>
    </row>
    <row r="154">
      <c r="A154" s="1">
        <f>IFERROR(__xludf.DUMMYFUNCTION("""COMPUTED_VALUE"""),145.0)</f>
        <v>145</v>
      </c>
      <c r="B154" s="1" t="str">
        <f>IFERROR(__xludf.DUMMYFUNCTION("""COMPUTED_VALUE"""),"Mauritius")</f>
        <v>Mauritius</v>
      </c>
      <c r="C154" s="1">
        <f>IFERROR(__xludf.DUMMYFUNCTION("""COMPUTED_VALUE"""),334.0)</f>
        <v>334</v>
      </c>
      <c r="D154" s="1" t="str">
        <f>IFERROR(__xludf.DUMMYFUNCTION("""COMPUTED_VALUE"""),"")</f>
        <v/>
      </c>
      <c r="E154" s="1">
        <f>IFERROR(__xludf.DUMMYFUNCTION("""COMPUTED_VALUE"""),10.0)</f>
        <v>10</v>
      </c>
      <c r="F154" s="1" t="str">
        <f>IFERROR(__xludf.DUMMYFUNCTION("""COMPUTED_VALUE"""),"")</f>
        <v/>
      </c>
      <c r="G154" s="1">
        <f>IFERROR(__xludf.DUMMYFUNCTION("""COMPUTED_VALUE"""),322.0)</f>
        <v>322</v>
      </c>
      <c r="H154" s="1" t="str">
        <f>IFERROR(__xludf.DUMMYFUNCTION("""COMPUTED_VALUE"""),"")</f>
        <v/>
      </c>
      <c r="I154" s="1">
        <f>IFERROR(__xludf.DUMMYFUNCTION("""COMPUTED_VALUE"""),2.0)</f>
        <v>2</v>
      </c>
      <c r="J154" s="1" t="str">
        <f>IFERROR(__xludf.DUMMYFUNCTION("""COMPUTED_VALUE"""),"")</f>
        <v/>
      </c>
      <c r="K154" s="1">
        <f>IFERROR(__xludf.DUMMYFUNCTION("""COMPUTED_VALUE"""),263.0)</f>
        <v>263</v>
      </c>
      <c r="L154" s="1">
        <f>IFERROR(__xludf.DUMMYFUNCTION("""COMPUTED_VALUE"""),8.0)</f>
        <v>8</v>
      </c>
      <c r="M154" s="3">
        <f>IFERROR(__xludf.DUMMYFUNCTION("""COMPUTED_VALUE"""),111358.0)</f>
        <v>111358</v>
      </c>
      <c r="N154" s="3">
        <f>IFERROR(__xludf.DUMMYFUNCTION("""COMPUTED_VALUE"""),87574.0)</f>
        <v>87574</v>
      </c>
      <c r="O154" s="3">
        <f>IFERROR(__xludf.DUMMYFUNCTION("""COMPUTED_VALUE"""),1271582.0)</f>
        <v>1271582</v>
      </c>
      <c r="P154" s="1" t="str">
        <f>IFERROR(__xludf.DUMMYFUNCTION("""COMPUTED_VALUE"""),"Africa")</f>
        <v>Africa</v>
      </c>
      <c r="Q154" s="3">
        <f>IFERROR(__xludf.DUMMYFUNCTION("""COMPUTED_VALUE"""),3807.0)</f>
        <v>3807</v>
      </c>
      <c r="R154" s="3">
        <f>IFERROR(__xludf.DUMMYFUNCTION("""COMPUTED_VALUE"""),127158.0)</f>
        <v>127158</v>
      </c>
      <c r="S154" s="1">
        <f>IFERROR(__xludf.DUMMYFUNCTION("""COMPUTED_VALUE"""),11.0)</f>
        <v>11</v>
      </c>
    </row>
    <row r="155">
      <c r="A155" s="1">
        <f>IFERROR(__xludf.DUMMYFUNCTION("""COMPUTED_VALUE"""),146.0)</f>
        <v>146</v>
      </c>
      <c r="B155" s="1" t="str">
        <f>IFERROR(__xludf.DUMMYFUNCTION("""COMPUTED_VALUE"""),"Vietnam")</f>
        <v>Vietnam</v>
      </c>
      <c r="C155" s="1">
        <f>IFERROR(__xludf.DUMMYFUNCTION("""COMPUTED_VALUE"""),327.0)</f>
        <v>327</v>
      </c>
      <c r="D155" s="1" t="str">
        <f>IFERROR(__xludf.DUMMYFUNCTION("""COMPUTED_VALUE"""),"")</f>
        <v/>
      </c>
      <c r="E155" s="1" t="str">
        <f>IFERROR(__xludf.DUMMYFUNCTION("""COMPUTED_VALUE"""),"")</f>
        <v/>
      </c>
      <c r="F155" s="1" t="str">
        <f>IFERROR(__xludf.DUMMYFUNCTION("""COMPUTED_VALUE"""),"")</f>
        <v/>
      </c>
      <c r="G155" s="1">
        <f>IFERROR(__xludf.DUMMYFUNCTION("""COMPUTED_VALUE"""),278.0)</f>
        <v>278</v>
      </c>
      <c r="H155" s="1" t="str">
        <f>IFERROR(__xludf.DUMMYFUNCTION("""COMPUTED_VALUE"""),"")</f>
        <v/>
      </c>
      <c r="I155" s="1">
        <f>IFERROR(__xludf.DUMMYFUNCTION("""COMPUTED_VALUE"""),49.0)</f>
        <v>49</v>
      </c>
      <c r="J155" s="1">
        <f>IFERROR(__xludf.DUMMYFUNCTION("""COMPUTED_VALUE"""),1.0)</f>
        <v>1</v>
      </c>
      <c r="K155" s="1">
        <f>IFERROR(__xludf.DUMMYFUNCTION("""COMPUTED_VALUE"""),3.0)</f>
        <v>3</v>
      </c>
      <c r="L155" s="1" t="str">
        <f>IFERROR(__xludf.DUMMYFUNCTION("""COMPUTED_VALUE"""),"")</f>
        <v/>
      </c>
      <c r="M155" s="3">
        <f>IFERROR(__xludf.DUMMYFUNCTION("""COMPUTED_VALUE"""),275000.0)</f>
        <v>275000</v>
      </c>
      <c r="N155" s="3">
        <f>IFERROR(__xludf.DUMMYFUNCTION("""COMPUTED_VALUE"""),2828.0)</f>
        <v>2828</v>
      </c>
      <c r="O155" s="3">
        <f>IFERROR(__xludf.DUMMYFUNCTION("""COMPUTED_VALUE"""),9.7258136E7)</f>
        <v>97258136</v>
      </c>
      <c r="P155" s="1" t="str">
        <f>IFERROR(__xludf.DUMMYFUNCTION("""COMPUTED_VALUE"""),"Asia")</f>
        <v>Asia</v>
      </c>
      <c r="Q155" s="3">
        <f>IFERROR(__xludf.DUMMYFUNCTION("""COMPUTED_VALUE"""),297425.0)</f>
        <v>297425</v>
      </c>
      <c r="R155" s="1" t="str">
        <f>IFERROR(__xludf.DUMMYFUNCTION("""COMPUTED_VALUE"""),"")</f>
        <v/>
      </c>
      <c r="S155" s="1">
        <f>IFERROR(__xludf.DUMMYFUNCTION("""COMPUTED_VALUE"""),354.0)</f>
        <v>354</v>
      </c>
    </row>
    <row r="156">
      <c r="A156" s="1">
        <f>IFERROR(__xludf.DUMMYFUNCTION("""COMPUTED_VALUE"""),147.0)</f>
        <v>147</v>
      </c>
      <c r="B156" s="1" t="str">
        <f>IFERROR(__xludf.DUMMYFUNCTION("""COMPUTED_VALUE"""),"Montenegro")</f>
        <v>Montenegro</v>
      </c>
      <c r="C156" s="1">
        <f>IFERROR(__xludf.DUMMYFUNCTION("""COMPUTED_VALUE"""),324.0)</f>
        <v>324</v>
      </c>
      <c r="D156" s="1" t="str">
        <f>IFERROR(__xludf.DUMMYFUNCTION("""COMPUTED_VALUE"""),"")</f>
        <v/>
      </c>
      <c r="E156" s="1">
        <f>IFERROR(__xludf.DUMMYFUNCTION("""COMPUTED_VALUE"""),9.0)</f>
        <v>9</v>
      </c>
      <c r="F156" s="1" t="str">
        <f>IFERROR(__xludf.DUMMYFUNCTION("""COMPUTED_VALUE"""),"")</f>
        <v/>
      </c>
      <c r="G156" s="1">
        <f>IFERROR(__xludf.DUMMYFUNCTION("""COMPUTED_VALUE"""),315.0)</f>
        <v>315</v>
      </c>
      <c r="H156" s="1" t="str">
        <f>IFERROR(__xludf.DUMMYFUNCTION("""COMPUTED_VALUE"""),"")</f>
        <v/>
      </c>
      <c r="I156" s="1">
        <f>IFERROR(__xludf.DUMMYFUNCTION("""COMPUTED_VALUE"""),0.0)</f>
        <v>0</v>
      </c>
      <c r="J156" s="1" t="str">
        <f>IFERROR(__xludf.DUMMYFUNCTION("""COMPUTED_VALUE"""),"")</f>
        <v/>
      </c>
      <c r="K156" s="1">
        <f>IFERROR(__xludf.DUMMYFUNCTION("""COMPUTED_VALUE"""),516.0)</f>
        <v>516</v>
      </c>
      <c r="L156" s="1">
        <f>IFERROR(__xludf.DUMMYFUNCTION("""COMPUTED_VALUE"""),14.0)</f>
        <v>14</v>
      </c>
      <c r="M156" s="3">
        <f>IFERROR(__xludf.DUMMYFUNCTION("""COMPUTED_VALUE"""),10167.0)</f>
        <v>10167</v>
      </c>
      <c r="N156" s="3">
        <f>IFERROR(__xludf.DUMMYFUNCTION("""COMPUTED_VALUE"""),16188.0)</f>
        <v>16188</v>
      </c>
      <c r="O156" s="3">
        <f>IFERROR(__xludf.DUMMYFUNCTION("""COMPUTED_VALUE"""),628059.0)</f>
        <v>628059</v>
      </c>
      <c r="P156" s="1" t="str">
        <f>IFERROR(__xludf.DUMMYFUNCTION("""COMPUTED_VALUE"""),"Europe")</f>
        <v>Europe</v>
      </c>
      <c r="Q156" s="3">
        <f>IFERROR(__xludf.DUMMYFUNCTION("""COMPUTED_VALUE"""),1938.0)</f>
        <v>1938</v>
      </c>
      <c r="R156" s="3">
        <f>IFERROR(__xludf.DUMMYFUNCTION("""COMPUTED_VALUE"""),69784.0)</f>
        <v>69784</v>
      </c>
      <c r="S156" s="1">
        <f>IFERROR(__xludf.DUMMYFUNCTION("""COMPUTED_VALUE"""),62.0)</f>
        <v>62</v>
      </c>
    </row>
    <row r="157">
      <c r="A157" s="1">
        <f>IFERROR(__xludf.DUMMYFUNCTION("""COMPUTED_VALUE"""),148.0)</f>
        <v>148</v>
      </c>
      <c r="B157" s="1" t="str">
        <f>IFERROR(__xludf.DUMMYFUNCTION("""COMPUTED_VALUE"""),"Uganda")</f>
        <v>Uganda</v>
      </c>
      <c r="C157" s="1">
        <f>IFERROR(__xludf.DUMMYFUNCTION("""COMPUTED_VALUE"""),317.0)</f>
        <v>317</v>
      </c>
      <c r="D157" s="1" t="str">
        <f>IFERROR(__xludf.DUMMYFUNCTION("""COMPUTED_VALUE"""),"")</f>
        <v/>
      </c>
      <c r="E157" s="1" t="str">
        <f>IFERROR(__xludf.DUMMYFUNCTION("""COMPUTED_VALUE"""),"")</f>
        <v/>
      </c>
      <c r="F157" s="1" t="str">
        <f>IFERROR(__xludf.DUMMYFUNCTION("""COMPUTED_VALUE"""),"")</f>
        <v/>
      </c>
      <c r="G157" s="1">
        <f>IFERROR(__xludf.DUMMYFUNCTION("""COMPUTED_VALUE"""),69.0)</f>
        <v>69</v>
      </c>
      <c r="H157" s="1" t="str">
        <f>IFERROR(__xludf.DUMMYFUNCTION("""COMPUTED_VALUE"""),"")</f>
        <v/>
      </c>
      <c r="I157" s="1">
        <f>IFERROR(__xludf.DUMMYFUNCTION("""COMPUTED_VALUE"""),248.0)</f>
        <v>248</v>
      </c>
      <c r="J157" s="1" t="str">
        <f>IFERROR(__xludf.DUMMYFUNCTION("""COMPUTED_VALUE"""),"")</f>
        <v/>
      </c>
      <c r="K157" s="1">
        <f>IFERROR(__xludf.DUMMYFUNCTION("""COMPUTED_VALUE"""),7.0)</f>
        <v>7</v>
      </c>
      <c r="L157" s="1" t="str">
        <f>IFERROR(__xludf.DUMMYFUNCTION("""COMPUTED_VALUE"""),"")</f>
        <v/>
      </c>
      <c r="M157" s="3">
        <f>IFERROR(__xludf.DUMMYFUNCTION("""COMPUTED_VALUE"""),90832.0)</f>
        <v>90832</v>
      </c>
      <c r="N157" s="3">
        <f>IFERROR(__xludf.DUMMYFUNCTION("""COMPUTED_VALUE"""),1992.0)</f>
        <v>1992</v>
      </c>
      <c r="O157" s="3">
        <f>IFERROR(__xludf.DUMMYFUNCTION("""COMPUTED_VALUE"""),4.5590239E7)</f>
        <v>45590239</v>
      </c>
      <c r="P157" s="1" t="str">
        <f>IFERROR(__xludf.DUMMYFUNCTION("""COMPUTED_VALUE"""),"Africa")</f>
        <v>Africa</v>
      </c>
      <c r="Q157" s="3">
        <f>IFERROR(__xludf.DUMMYFUNCTION("""COMPUTED_VALUE"""),143818.0)</f>
        <v>143818</v>
      </c>
      <c r="R157" s="1" t="str">
        <f>IFERROR(__xludf.DUMMYFUNCTION("""COMPUTED_VALUE"""),"")</f>
        <v/>
      </c>
      <c r="S157" s="1">
        <f>IFERROR(__xludf.DUMMYFUNCTION("""COMPUTED_VALUE"""),502.0)</f>
        <v>502</v>
      </c>
    </row>
    <row r="158">
      <c r="A158" s="1">
        <f>IFERROR(__xludf.DUMMYFUNCTION("""COMPUTED_VALUE"""),149.0)</f>
        <v>149</v>
      </c>
      <c r="B158" s="1" t="str">
        <f>IFERROR(__xludf.DUMMYFUNCTION("""COMPUTED_VALUE"""),"Eswatini")</f>
        <v>Eswatini</v>
      </c>
      <c r="C158" s="1">
        <f>IFERROR(__xludf.DUMMYFUNCTION("""COMPUTED_VALUE"""),279.0)</f>
        <v>279</v>
      </c>
      <c r="D158" s="1" t="str">
        <f>IFERROR(__xludf.DUMMYFUNCTION("""COMPUTED_VALUE"""),"")</f>
        <v/>
      </c>
      <c r="E158" s="1">
        <f>IFERROR(__xludf.DUMMYFUNCTION("""COMPUTED_VALUE"""),2.0)</f>
        <v>2</v>
      </c>
      <c r="F158" s="1" t="str">
        <f>IFERROR(__xludf.DUMMYFUNCTION("""COMPUTED_VALUE"""),"")</f>
        <v/>
      </c>
      <c r="G158" s="1">
        <f>IFERROR(__xludf.DUMMYFUNCTION("""COMPUTED_VALUE"""),168.0)</f>
        <v>168</v>
      </c>
      <c r="H158" s="1" t="str">
        <f>IFERROR(__xludf.DUMMYFUNCTION("""COMPUTED_VALUE"""),"")</f>
        <v/>
      </c>
      <c r="I158" s="1">
        <f>IFERROR(__xludf.DUMMYFUNCTION("""COMPUTED_VALUE"""),109.0)</f>
        <v>109</v>
      </c>
      <c r="J158" s="1" t="str">
        <f>IFERROR(__xludf.DUMMYFUNCTION("""COMPUTED_VALUE"""),"")</f>
        <v/>
      </c>
      <c r="K158" s="1">
        <f>IFERROR(__xludf.DUMMYFUNCTION("""COMPUTED_VALUE"""),241.0)</f>
        <v>241</v>
      </c>
      <c r="L158" s="1">
        <f>IFERROR(__xludf.DUMMYFUNCTION("""COMPUTED_VALUE"""),2.0)</f>
        <v>2</v>
      </c>
      <c r="M158" s="3">
        <f>IFERROR(__xludf.DUMMYFUNCTION("""COMPUTED_VALUE"""),4994.0)</f>
        <v>4994</v>
      </c>
      <c r="N158" s="3">
        <f>IFERROR(__xludf.DUMMYFUNCTION("""COMPUTED_VALUE"""),4309.0)</f>
        <v>4309</v>
      </c>
      <c r="O158" s="3">
        <f>IFERROR(__xludf.DUMMYFUNCTION("""COMPUTED_VALUE"""),1159052.0)</f>
        <v>1159052</v>
      </c>
      <c r="P158" s="1" t="str">
        <f>IFERROR(__xludf.DUMMYFUNCTION("""COMPUTED_VALUE"""),"Africa")</f>
        <v>Africa</v>
      </c>
      <c r="Q158" s="3">
        <f>IFERROR(__xludf.DUMMYFUNCTION("""COMPUTED_VALUE"""),4154.0)</f>
        <v>4154</v>
      </c>
      <c r="R158" s="3">
        <f>IFERROR(__xludf.DUMMYFUNCTION("""COMPUTED_VALUE"""),579526.0)</f>
        <v>579526</v>
      </c>
      <c r="S158" s="1">
        <f>IFERROR(__xludf.DUMMYFUNCTION("""COMPUTED_VALUE"""),232.0)</f>
        <v>232</v>
      </c>
    </row>
    <row r="159">
      <c r="A159" s="1">
        <f>IFERROR(__xludf.DUMMYFUNCTION("""COMPUTED_VALUE"""),150.0)</f>
        <v>150</v>
      </c>
      <c r="B159" s="1" t="str">
        <f>IFERROR(__xludf.DUMMYFUNCTION("""COMPUTED_VALUE"""),"Yemen")</f>
        <v>Yemen</v>
      </c>
      <c r="C159" s="1">
        <f>IFERROR(__xludf.DUMMYFUNCTION("""COMPUTED_VALUE"""),278.0)</f>
        <v>278</v>
      </c>
      <c r="D159" s="1" t="str">
        <f>IFERROR(__xludf.DUMMYFUNCTION("""COMPUTED_VALUE"""),"")</f>
        <v/>
      </c>
      <c r="E159" s="1">
        <f>IFERROR(__xludf.DUMMYFUNCTION("""COMPUTED_VALUE"""),57.0)</f>
        <v>57</v>
      </c>
      <c r="F159" s="1" t="str">
        <f>IFERROR(__xludf.DUMMYFUNCTION("""COMPUTED_VALUE"""),"")</f>
        <v/>
      </c>
      <c r="G159" s="1">
        <f>IFERROR(__xludf.DUMMYFUNCTION("""COMPUTED_VALUE"""),11.0)</f>
        <v>11</v>
      </c>
      <c r="H159" s="1" t="str">
        <f>IFERROR(__xludf.DUMMYFUNCTION("""COMPUTED_VALUE"""),"")</f>
        <v/>
      </c>
      <c r="I159" s="1">
        <f>IFERROR(__xludf.DUMMYFUNCTION("""COMPUTED_VALUE"""),210.0)</f>
        <v>210</v>
      </c>
      <c r="J159" s="1" t="str">
        <f>IFERROR(__xludf.DUMMYFUNCTION("""COMPUTED_VALUE"""),"")</f>
        <v/>
      </c>
      <c r="K159" s="1">
        <f>IFERROR(__xludf.DUMMYFUNCTION("""COMPUTED_VALUE"""),9.0)</f>
        <v>9</v>
      </c>
      <c r="L159" s="1">
        <f>IFERROR(__xludf.DUMMYFUNCTION("""COMPUTED_VALUE"""),2.0)</f>
        <v>2</v>
      </c>
      <c r="M159" s="1">
        <f>IFERROR(__xludf.DUMMYFUNCTION("""COMPUTED_VALUE"""),120.0)</f>
        <v>120</v>
      </c>
      <c r="N159" s="1">
        <f>IFERROR(__xludf.DUMMYFUNCTION("""COMPUTED_VALUE"""),4.0)</f>
        <v>4</v>
      </c>
      <c r="O159" s="3">
        <f>IFERROR(__xludf.DUMMYFUNCTION("""COMPUTED_VALUE"""),2.976097E7)</f>
        <v>29760970</v>
      </c>
      <c r="P159" s="1" t="str">
        <f>IFERROR(__xludf.DUMMYFUNCTION("""COMPUTED_VALUE"""),"Asia")</f>
        <v>Asia</v>
      </c>
      <c r="Q159" s="3">
        <f>IFERROR(__xludf.DUMMYFUNCTION("""COMPUTED_VALUE"""),107054.0)</f>
        <v>107054</v>
      </c>
      <c r="R159" s="3">
        <f>IFERROR(__xludf.DUMMYFUNCTION("""COMPUTED_VALUE"""),522122.0)</f>
        <v>522122</v>
      </c>
      <c r="S159" s="3">
        <f>IFERROR(__xludf.DUMMYFUNCTION("""COMPUTED_VALUE"""),248008.0)</f>
        <v>248008</v>
      </c>
    </row>
    <row r="160">
      <c r="A160" s="1">
        <f>IFERROR(__xludf.DUMMYFUNCTION("""COMPUTED_VALUE"""),151.0)</f>
        <v>151</v>
      </c>
      <c r="B160" s="1" t="str">
        <f>IFERROR(__xludf.DUMMYFUNCTION("""COMPUTED_VALUE"""),"Liberia")</f>
        <v>Liberia</v>
      </c>
      <c r="C160" s="1">
        <f>IFERROR(__xludf.DUMMYFUNCTION("""COMPUTED_VALUE"""),269.0)</f>
        <v>269</v>
      </c>
      <c r="D160" s="1" t="str">
        <f>IFERROR(__xludf.DUMMYFUNCTION("""COMPUTED_VALUE"""),"")</f>
        <v/>
      </c>
      <c r="E160" s="1">
        <f>IFERROR(__xludf.DUMMYFUNCTION("""COMPUTED_VALUE"""),27.0)</f>
        <v>27</v>
      </c>
      <c r="F160" s="1" t="str">
        <f>IFERROR(__xludf.DUMMYFUNCTION("""COMPUTED_VALUE"""),"")</f>
        <v/>
      </c>
      <c r="G160" s="1">
        <f>IFERROR(__xludf.DUMMYFUNCTION("""COMPUTED_VALUE"""),144.0)</f>
        <v>144</v>
      </c>
      <c r="H160" s="1" t="str">
        <f>IFERROR(__xludf.DUMMYFUNCTION("""COMPUTED_VALUE"""),"")</f>
        <v/>
      </c>
      <c r="I160" s="1">
        <f>IFERROR(__xludf.DUMMYFUNCTION("""COMPUTED_VALUE"""),98.0)</f>
        <v>98</v>
      </c>
      <c r="J160" s="1" t="str">
        <f>IFERROR(__xludf.DUMMYFUNCTION("""COMPUTED_VALUE"""),"")</f>
        <v/>
      </c>
      <c r="K160" s="1">
        <f>IFERROR(__xludf.DUMMYFUNCTION("""COMPUTED_VALUE"""),53.0)</f>
        <v>53</v>
      </c>
      <c r="L160" s="1">
        <f>IFERROR(__xludf.DUMMYFUNCTION("""COMPUTED_VALUE"""),5.0)</f>
        <v>5</v>
      </c>
      <c r="M160" s="1" t="str">
        <f>IFERROR(__xludf.DUMMYFUNCTION("""COMPUTED_VALUE"""),"")</f>
        <v/>
      </c>
      <c r="N160" s="1" t="str">
        <f>IFERROR(__xludf.DUMMYFUNCTION("""COMPUTED_VALUE"""),"")</f>
        <v/>
      </c>
      <c r="O160" s="3">
        <f>IFERROR(__xludf.DUMMYFUNCTION("""COMPUTED_VALUE"""),5045821.0)</f>
        <v>5045821</v>
      </c>
      <c r="P160" s="1" t="str">
        <f>IFERROR(__xludf.DUMMYFUNCTION("""COMPUTED_VALUE"""),"Africa")</f>
        <v>Africa</v>
      </c>
      <c r="Q160" s="3">
        <f>IFERROR(__xludf.DUMMYFUNCTION("""COMPUTED_VALUE"""),18758.0)</f>
        <v>18758</v>
      </c>
      <c r="R160" s="3">
        <f>IFERROR(__xludf.DUMMYFUNCTION("""COMPUTED_VALUE"""),186882.0)</f>
        <v>186882</v>
      </c>
      <c r="S160" s="1" t="str">
        <f>IFERROR(__xludf.DUMMYFUNCTION("""COMPUTED_VALUE"""),"")</f>
        <v/>
      </c>
    </row>
    <row r="161">
      <c r="A161" s="1">
        <f>IFERROR(__xludf.DUMMYFUNCTION("""COMPUTED_VALUE"""),152.0)</f>
        <v>152</v>
      </c>
      <c r="B161" s="1" t="str">
        <f>IFERROR(__xludf.DUMMYFUNCTION("""COMPUTED_VALUE"""),"Mozambique")</f>
        <v>Mozambique</v>
      </c>
      <c r="C161" s="1">
        <f>IFERROR(__xludf.DUMMYFUNCTION("""COMPUTED_VALUE"""),233.0)</f>
        <v>233</v>
      </c>
      <c r="D161" s="1" t="str">
        <f>IFERROR(__xludf.DUMMYFUNCTION("""COMPUTED_VALUE"""),"")</f>
        <v/>
      </c>
      <c r="E161" s="1">
        <f>IFERROR(__xludf.DUMMYFUNCTION("""COMPUTED_VALUE"""),2.0)</f>
        <v>2</v>
      </c>
      <c r="F161" s="1" t="str">
        <f>IFERROR(__xludf.DUMMYFUNCTION("""COMPUTED_VALUE"""),"")</f>
        <v/>
      </c>
      <c r="G161" s="1">
        <f>IFERROR(__xludf.DUMMYFUNCTION("""COMPUTED_VALUE"""),82.0)</f>
        <v>82</v>
      </c>
      <c r="H161" s="1" t="str">
        <f>IFERROR(__xludf.DUMMYFUNCTION("""COMPUTED_VALUE"""),"")</f>
        <v/>
      </c>
      <c r="I161" s="1">
        <f>IFERROR(__xludf.DUMMYFUNCTION("""COMPUTED_VALUE"""),149.0)</f>
        <v>149</v>
      </c>
      <c r="J161" s="1" t="str">
        <f>IFERROR(__xludf.DUMMYFUNCTION("""COMPUTED_VALUE"""),"")</f>
        <v/>
      </c>
      <c r="K161" s="1">
        <f>IFERROR(__xludf.DUMMYFUNCTION("""COMPUTED_VALUE"""),7.0)</f>
        <v>7</v>
      </c>
      <c r="L161" s="1">
        <f>IFERROR(__xludf.DUMMYFUNCTION("""COMPUTED_VALUE"""),0.06)</f>
        <v>0.06</v>
      </c>
      <c r="M161" s="3">
        <f>IFERROR(__xludf.DUMMYFUNCTION("""COMPUTED_VALUE"""),9036.0)</f>
        <v>9036</v>
      </c>
      <c r="N161" s="1">
        <f>IFERROR(__xludf.DUMMYFUNCTION("""COMPUTED_VALUE"""),290.0)</f>
        <v>290</v>
      </c>
      <c r="O161" s="3">
        <f>IFERROR(__xludf.DUMMYFUNCTION("""COMPUTED_VALUE"""),3.1165836E7)</f>
        <v>31165836</v>
      </c>
      <c r="P161" s="1" t="str">
        <f>IFERROR(__xludf.DUMMYFUNCTION("""COMPUTED_VALUE"""),"Africa")</f>
        <v>Africa</v>
      </c>
      <c r="Q161" s="3">
        <f>IFERROR(__xludf.DUMMYFUNCTION("""COMPUTED_VALUE"""),133759.0)</f>
        <v>133759</v>
      </c>
      <c r="R161" s="3">
        <f>IFERROR(__xludf.DUMMYFUNCTION("""COMPUTED_VALUE"""),1.5582918E7)</f>
        <v>15582918</v>
      </c>
      <c r="S161" s="3">
        <f>IFERROR(__xludf.DUMMYFUNCTION("""COMPUTED_VALUE"""),3449.0)</f>
        <v>3449</v>
      </c>
    </row>
    <row r="162">
      <c r="A162" s="1">
        <f>IFERROR(__xludf.DUMMYFUNCTION("""COMPUTED_VALUE"""),153.0)</f>
        <v>153</v>
      </c>
      <c r="B162" s="1" t="str">
        <f>IFERROR(__xludf.DUMMYFUNCTION("""COMPUTED_VALUE"""),"Benin")</f>
        <v>Benin</v>
      </c>
      <c r="C162" s="1">
        <f>IFERROR(__xludf.DUMMYFUNCTION("""COMPUTED_VALUE"""),210.0)</f>
        <v>210</v>
      </c>
      <c r="D162" s="1" t="str">
        <f>IFERROR(__xludf.DUMMYFUNCTION("""COMPUTED_VALUE"""),"")</f>
        <v/>
      </c>
      <c r="E162" s="1">
        <f>IFERROR(__xludf.DUMMYFUNCTION("""COMPUTED_VALUE"""),3.0)</f>
        <v>3</v>
      </c>
      <c r="F162" s="1" t="str">
        <f>IFERROR(__xludf.DUMMYFUNCTION("""COMPUTED_VALUE"""),"")</f>
        <v/>
      </c>
      <c r="G162" s="1">
        <f>IFERROR(__xludf.DUMMYFUNCTION("""COMPUTED_VALUE"""),134.0)</f>
        <v>134</v>
      </c>
      <c r="H162" s="1" t="str">
        <f>IFERROR(__xludf.DUMMYFUNCTION("""COMPUTED_VALUE"""),"")</f>
        <v/>
      </c>
      <c r="I162" s="1">
        <f>IFERROR(__xludf.DUMMYFUNCTION("""COMPUTED_VALUE"""),73.0)</f>
        <v>73</v>
      </c>
      <c r="J162" s="1" t="str">
        <f>IFERROR(__xludf.DUMMYFUNCTION("""COMPUTED_VALUE"""),"")</f>
        <v/>
      </c>
      <c r="K162" s="1">
        <f>IFERROR(__xludf.DUMMYFUNCTION("""COMPUTED_VALUE"""),17.0)</f>
        <v>17</v>
      </c>
      <c r="L162" s="1">
        <f>IFERROR(__xludf.DUMMYFUNCTION("""COMPUTED_VALUE"""),0.2)</f>
        <v>0.2</v>
      </c>
      <c r="M162" s="3">
        <f>IFERROR(__xludf.DUMMYFUNCTION("""COMPUTED_VALUE"""),28324.0)</f>
        <v>28324</v>
      </c>
      <c r="N162" s="3">
        <f>IFERROR(__xludf.DUMMYFUNCTION("""COMPUTED_VALUE"""),2343.0)</f>
        <v>2343</v>
      </c>
      <c r="O162" s="3">
        <f>IFERROR(__xludf.DUMMYFUNCTION("""COMPUTED_VALUE"""),1.2091039E7)</f>
        <v>12091039</v>
      </c>
      <c r="P162" s="1" t="str">
        <f>IFERROR(__xludf.DUMMYFUNCTION("""COMPUTED_VALUE"""),"Africa")</f>
        <v>Africa</v>
      </c>
      <c r="Q162" s="3">
        <f>IFERROR(__xludf.DUMMYFUNCTION("""COMPUTED_VALUE"""),57576.0)</f>
        <v>57576</v>
      </c>
      <c r="R162" s="3">
        <f>IFERROR(__xludf.DUMMYFUNCTION("""COMPUTED_VALUE"""),4030346.0)</f>
        <v>4030346</v>
      </c>
      <c r="S162" s="1">
        <f>IFERROR(__xludf.DUMMYFUNCTION("""COMPUTED_VALUE"""),427.0)</f>
        <v>427</v>
      </c>
    </row>
    <row r="163">
      <c r="A163" s="1">
        <f>IFERROR(__xludf.DUMMYFUNCTION("""COMPUTED_VALUE"""),154.0)</f>
        <v>154</v>
      </c>
      <c r="B163" s="1" t="str">
        <f>IFERROR(__xludf.DUMMYFUNCTION("""COMPUTED_VALUE"""),"Myanmar")</f>
        <v>Myanmar</v>
      </c>
      <c r="C163" s="1">
        <f>IFERROR(__xludf.DUMMYFUNCTION("""COMPUTED_VALUE"""),206.0)</f>
        <v>206</v>
      </c>
      <c r="D163" s="1" t="str">
        <f>IFERROR(__xludf.DUMMYFUNCTION("""COMPUTED_VALUE"""),"")</f>
        <v/>
      </c>
      <c r="E163" s="1">
        <f>IFERROR(__xludf.DUMMYFUNCTION("""COMPUTED_VALUE"""),6.0)</f>
        <v>6</v>
      </c>
      <c r="F163" s="1" t="str">
        <f>IFERROR(__xludf.DUMMYFUNCTION("""COMPUTED_VALUE"""),"")</f>
        <v/>
      </c>
      <c r="G163" s="1">
        <f>IFERROR(__xludf.DUMMYFUNCTION("""COMPUTED_VALUE"""),126.0)</f>
        <v>126</v>
      </c>
      <c r="H163" s="1" t="str">
        <f>IFERROR(__xludf.DUMMYFUNCTION("""COMPUTED_VALUE"""),"")</f>
        <v/>
      </c>
      <c r="I163" s="1">
        <f>IFERROR(__xludf.DUMMYFUNCTION("""COMPUTED_VALUE"""),74.0)</f>
        <v>74</v>
      </c>
      <c r="J163" s="1" t="str">
        <f>IFERROR(__xludf.DUMMYFUNCTION("""COMPUTED_VALUE"""),"")</f>
        <v/>
      </c>
      <c r="K163" s="1">
        <f>IFERROR(__xludf.DUMMYFUNCTION("""COMPUTED_VALUE"""),4.0)</f>
        <v>4</v>
      </c>
      <c r="L163" s="1">
        <f>IFERROR(__xludf.DUMMYFUNCTION("""COMPUTED_VALUE"""),0.1)</f>
        <v>0.1</v>
      </c>
      <c r="M163" s="3">
        <f>IFERROR(__xludf.DUMMYFUNCTION("""COMPUTED_VALUE"""),22791.0)</f>
        <v>22791</v>
      </c>
      <c r="N163" s="1">
        <f>IFERROR(__xludf.DUMMYFUNCTION("""COMPUTED_VALUE"""),419.0)</f>
        <v>419</v>
      </c>
      <c r="O163" s="3">
        <f>IFERROR(__xludf.DUMMYFUNCTION("""COMPUTED_VALUE"""),5.4376742E7)</f>
        <v>54376742</v>
      </c>
      <c r="P163" s="1" t="str">
        <f>IFERROR(__xludf.DUMMYFUNCTION("""COMPUTED_VALUE"""),"Asia")</f>
        <v>Asia</v>
      </c>
      <c r="Q163" s="3">
        <f>IFERROR(__xludf.DUMMYFUNCTION("""COMPUTED_VALUE"""),263965.0)</f>
        <v>263965</v>
      </c>
      <c r="R163" s="3">
        <f>IFERROR(__xludf.DUMMYFUNCTION("""COMPUTED_VALUE"""),9062790.0)</f>
        <v>9062790</v>
      </c>
      <c r="S163" s="3">
        <f>IFERROR(__xludf.DUMMYFUNCTION("""COMPUTED_VALUE"""),2386.0)</f>
        <v>2386</v>
      </c>
    </row>
    <row r="164">
      <c r="A164" s="1">
        <f>IFERROR(__xludf.DUMMYFUNCTION("""COMPUTED_VALUE"""),155.0)</f>
        <v>155</v>
      </c>
      <c r="B164" s="1" t="str">
        <f>IFERROR(__xludf.DUMMYFUNCTION("""COMPUTED_VALUE"""),"Malawi")</f>
        <v>Malawi</v>
      </c>
      <c r="C164" s="1">
        <f>IFERROR(__xludf.DUMMYFUNCTION("""COMPUTED_VALUE"""),203.0)</f>
        <v>203</v>
      </c>
      <c r="D164" s="1" t="str">
        <f>IFERROR(__xludf.DUMMYFUNCTION("""COMPUTED_VALUE"""),"")</f>
        <v/>
      </c>
      <c r="E164" s="1">
        <f>IFERROR(__xludf.DUMMYFUNCTION("""COMPUTED_VALUE"""),4.0)</f>
        <v>4</v>
      </c>
      <c r="F164" s="1" t="str">
        <f>IFERROR(__xludf.DUMMYFUNCTION("""COMPUTED_VALUE"""),"")</f>
        <v/>
      </c>
      <c r="G164" s="1">
        <f>IFERROR(__xludf.DUMMYFUNCTION("""COMPUTED_VALUE"""),37.0)</f>
        <v>37</v>
      </c>
      <c r="H164" s="1" t="str">
        <f>IFERROR(__xludf.DUMMYFUNCTION("""COMPUTED_VALUE"""),"")</f>
        <v/>
      </c>
      <c r="I164" s="1">
        <f>IFERROR(__xludf.DUMMYFUNCTION("""COMPUTED_VALUE"""),162.0)</f>
        <v>162</v>
      </c>
      <c r="J164" s="1">
        <f>IFERROR(__xludf.DUMMYFUNCTION("""COMPUTED_VALUE"""),1.0)</f>
        <v>1</v>
      </c>
      <c r="K164" s="1">
        <f>IFERROR(__xludf.DUMMYFUNCTION("""COMPUTED_VALUE"""),11.0)</f>
        <v>11</v>
      </c>
      <c r="L164" s="1">
        <f>IFERROR(__xludf.DUMMYFUNCTION("""COMPUTED_VALUE"""),0.2)</f>
        <v>0.2</v>
      </c>
      <c r="M164" s="3">
        <f>IFERROR(__xludf.DUMMYFUNCTION("""COMPUTED_VALUE"""),3372.0)</f>
        <v>3372</v>
      </c>
      <c r="N164" s="1">
        <f>IFERROR(__xludf.DUMMYFUNCTION("""COMPUTED_VALUE"""),177.0)</f>
        <v>177</v>
      </c>
      <c r="O164" s="3">
        <f>IFERROR(__xludf.DUMMYFUNCTION("""COMPUTED_VALUE"""),1.9079984E7)</f>
        <v>19079984</v>
      </c>
      <c r="P164" s="1" t="str">
        <f>IFERROR(__xludf.DUMMYFUNCTION("""COMPUTED_VALUE"""),"Africa")</f>
        <v>Africa</v>
      </c>
      <c r="Q164" s="3">
        <f>IFERROR(__xludf.DUMMYFUNCTION("""COMPUTED_VALUE"""),93990.0)</f>
        <v>93990</v>
      </c>
      <c r="R164" s="3">
        <f>IFERROR(__xludf.DUMMYFUNCTION("""COMPUTED_VALUE"""),4769996.0)</f>
        <v>4769996</v>
      </c>
      <c r="S164" s="3">
        <f>IFERROR(__xludf.DUMMYFUNCTION("""COMPUTED_VALUE"""),5658.0)</f>
        <v>5658</v>
      </c>
    </row>
    <row r="165">
      <c r="A165" s="1">
        <f>IFERROR(__xludf.DUMMYFUNCTION("""COMPUTED_VALUE"""),156.0)</f>
        <v>156</v>
      </c>
      <c r="B165" s="1" t="str">
        <f>IFERROR(__xludf.DUMMYFUNCTION("""COMPUTED_VALUE"""),"Martinique")</f>
        <v>Martinique</v>
      </c>
      <c r="C165" s="1">
        <f>IFERROR(__xludf.DUMMYFUNCTION("""COMPUTED_VALUE"""),197.0)</f>
        <v>197</v>
      </c>
      <c r="D165" s="1" t="str">
        <f>IFERROR(__xludf.DUMMYFUNCTION("""COMPUTED_VALUE"""),"")</f>
        <v/>
      </c>
      <c r="E165" s="1">
        <f>IFERROR(__xludf.DUMMYFUNCTION("""COMPUTED_VALUE"""),14.0)</f>
        <v>14</v>
      </c>
      <c r="F165" s="1" t="str">
        <f>IFERROR(__xludf.DUMMYFUNCTION("""COMPUTED_VALUE"""),"")</f>
        <v/>
      </c>
      <c r="G165" s="1">
        <f>IFERROR(__xludf.DUMMYFUNCTION("""COMPUTED_VALUE"""),91.0)</f>
        <v>91</v>
      </c>
      <c r="H165" s="1" t="str">
        <f>IFERROR(__xludf.DUMMYFUNCTION("""COMPUTED_VALUE"""),"")</f>
        <v/>
      </c>
      <c r="I165" s="1">
        <f>IFERROR(__xludf.DUMMYFUNCTION("""COMPUTED_VALUE"""),92.0)</f>
        <v>92</v>
      </c>
      <c r="J165" s="1" t="str">
        <f>IFERROR(__xludf.DUMMYFUNCTION("""COMPUTED_VALUE"""),"")</f>
        <v/>
      </c>
      <c r="K165" s="1">
        <f>IFERROR(__xludf.DUMMYFUNCTION("""COMPUTED_VALUE"""),525.0)</f>
        <v>525</v>
      </c>
      <c r="L165" s="1">
        <f>IFERROR(__xludf.DUMMYFUNCTION("""COMPUTED_VALUE"""),37.0)</f>
        <v>37</v>
      </c>
      <c r="M165" s="1" t="str">
        <f>IFERROR(__xludf.DUMMYFUNCTION("""COMPUTED_VALUE"""),"")</f>
        <v/>
      </c>
      <c r="N165" s="1" t="str">
        <f>IFERROR(__xludf.DUMMYFUNCTION("""COMPUTED_VALUE"""),"")</f>
        <v/>
      </c>
      <c r="O165" s="3">
        <f>IFERROR(__xludf.DUMMYFUNCTION("""COMPUTED_VALUE"""),375290.0)</f>
        <v>375290</v>
      </c>
      <c r="P165" s="1" t="str">
        <f>IFERROR(__xludf.DUMMYFUNCTION("""COMPUTED_VALUE"""),"North America")</f>
        <v>North America</v>
      </c>
      <c r="Q165" s="3">
        <f>IFERROR(__xludf.DUMMYFUNCTION("""COMPUTED_VALUE"""),1905.0)</f>
        <v>1905</v>
      </c>
      <c r="R165" s="3">
        <f>IFERROR(__xludf.DUMMYFUNCTION("""COMPUTED_VALUE"""),26806.0)</f>
        <v>26806</v>
      </c>
      <c r="S165" s="1" t="str">
        <f>IFERROR(__xludf.DUMMYFUNCTION("""COMPUTED_VALUE"""),"")</f>
        <v/>
      </c>
    </row>
    <row r="166">
      <c r="A166" s="1">
        <f>IFERROR(__xludf.DUMMYFUNCTION("""COMPUTED_VALUE"""),157.0)</f>
        <v>157</v>
      </c>
      <c r="B166" s="1" t="str">
        <f>IFERROR(__xludf.DUMMYFUNCTION("""COMPUTED_VALUE"""),"Faeroe Islands")</f>
        <v>Faeroe Islands</v>
      </c>
      <c r="C166" s="1">
        <f>IFERROR(__xludf.DUMMYFUNCTION("""COMPUTED_VALUE"""),187.0)</f>
        <v>187</v>
      </c>
      <c r="D166" s="1" t="str">
        <f>IFERROR(__xludf.DUMMYFUNCTION("""COMPUTED_VALUE"""),"")</f>
        <v/>
      </c>
      <c r="E166" s="1" t="str">
        <f>IFERROR(__xludf.DUMMYFUNCTION("""COMPUTED_VALUE"""),"")</f>
        <v/>
      </c>
      <c r="F166" s="1" t="str">
        <f>IFERROR(__xludf.DUMMYFUNCTION("""COMPUTED_VALUE"""),"")</f>
        <v/>
      </c>
      <c r="G166" s="1">
        <f>IFERROR(__xludf.DUMMYFUNCTION("""COMPUTED_VALUE"""),187.0)</f>
        <v>187</v>
      </c>
      <c r="H166" s="1" t="str">
        <f>IFERROR(__xludf.DUMMYFUNCTION("""COMPUTED_VALUE"""),"")</f>
        <v/>
      </c>
      <c r="I166" s="1">
        <f>IFERROR(__xludf.DUMMYFUNCTION("""COMPUTED_VALUE"""),0.0)</f>
        <v>0</v>
      </c>
      <c r="J166" s="1" t="str">
        <f>IFERROR(__xludf.DUMMYFUNCTION("""COMPUTED_VALUE"""),"")</f>
        <v/>
      </c>
      <c r="K166" s="3">
        <f>IFERROR(__xludf.DUMMYFUNCTION("""COMPUTED_VALUE"""),3828.0)</f>
        <v>3828</v>
      </c>
      <c r="L166" s="1" t="str">
        <f>IFERROR(__xludf.DUMMYFUNCTION("""COMPUTED_VALUE"""),"")</f>
        <v/>
      </c>
      <c r="M166" s="3">
        <f>IFERROR(__xludf.DUMMYFUNCTION("""COMPUTED_VALUE"""),9466.0)</f>
        <v>9466</v>
      </c>
      <c r="N166" s="3">
        <f>IFERROR(__xludf.DUMMYFUNCTION("""COMPUTED_VALUE"""),193793.0)</f>
        <v>193793</v>
      </c>
      <c r="O166" s="3">
        <f>IFERROR(__xludf.DUMMYFUNCTION("""COMPUTED_VALUE"""),48846.0)</f>
        <v>48846</v>
      </c>
      <c r="P166" s="1" t="str">
        <f>IFERROR(__xludf.DUMMYFUNCTION("""COMPUTED_VALUE"""),"Europe")</f>
        <v>Europe</v>
      </c>
      <c r="Q166" s="1">
        <f>IFERROR(__xludf.DUMMYFUNCTION("""COMPUTED_VALUE"""),261.0)</f>
        <v>261</v>
      </c>
      <c r="R166" s="1" t="str">
        <f>IFERROR(__xludf.DUMMYFUNCTION("""COMPUTED_VALUE"""),"")</f>
        <v/>
      </c>
      <c r="S166" s="1">
        <f>IFERROR(__xludf.DUMMYFUNCTION("""COMPUTED_VALUE"""),5.0)</f>
        <v>5</v>
      </c>
    </row>
    <row r="167">
      <c r="A167" s="1">
        <f>IFERROR(__xludf.DUMMYFUNCTION("""COMPUTED_VALUE"""),158.0)</f>
        <v>158</v>
      </c>
      <c r="B167" s="1" t="str">
        <f>IFERROR(__xludf.DUMMYFUNCTION("""COMPUTED_VALUE"""),"Mongolia")</f>
        <v>Mongolia</v>
      </c>
      <c r="C167" s="1">
        <f>IFERROR(__xludf.DUMMYFUNCTION("""COMPUTED_VALUE"""),179.0)</f>
        <v>179</v>
      </c>
      <c r="D167" s="1" t="str">
        <f>IFERROR(__xludf.DUMMYFUNCTION("""COMPUTED_VALUE"""),"+18")</f>
        <v>+18</v>
      </c>
      <c r="E167" s="1" t="str">
        <f>IFERROR(__xludf.DUMMYFUNCTION("""COMPUTED_VALUE"""),"")</f>
        <v/>
      </c>
      <c r="F167" s="1" t="str">
        <f>IFERROR(__xludf.DUMMYFUNCTION("""COMPUTED_VALUE"""),"")</f>
        <v/>
      </c>
      <c r="G167" s="1">
        <f>IFERROR(__xludf.DUMMYFUNCTION("""COMPUTED_VALUE"""),43.0)</f>
        <v>43</v>
      </c>
      <c r="H167" s="1" t="str">
        <f>IFERROR(__xludf.DUMMYFUNCTION("""COMPUTED_VALUE"""),"")</f>
        <v/>
      </c>
      <c r="I167" s="1">
        <f>IFERROR(__xludf.DUMMYFUNCTION("""COMPUTED_VALUE"""),136.0)</f>
        <v>136</v>
      </c>
      <c r="J167" s="1">
        <f>IFERROR(__xludf.DUMMYFUNCTION("""COMPUTED_VALUE"""),11.0)</f>
        <v>11</v>
      </c>
      <c r="K167" s="1">
        <f>IFERROR(__xludf.DUMMYFUNCTION("""COMPUTED_VALUE"""),55.0)</f>
        <v>55</v>
      </c>
      <c r="L167" s="1" t="str">
        <f>IFERROR(__xludf.DUMMYFUNCTION("""COMPUTED_VALUE"""),"")</f>
        <v/>
      </c>
      <c r="M167" s="3">
        <f>IFERROR(__xludf.DUMMYFUNCTION("""COMPUTED_VALUE"""),13594.0)</f>
        <v>13594</v>
      </c>
      <c r="N167" s="3">
        <f>IFERROR(__xludf.DUMMYFUNCTION("""COMPUTED_VALUE"""),4153.0)</f>
        <v>4153</v>
      </c>
      <c r="O167" s="3">
        <f>IFERROR(__xludf.DUMMYFUNCTION("""COMPUTED_VALUE"""),3273239.0)</f>
        <v>3273239</v>
      </c>
      <c r="P167" s="1" t="str">
        <f>IFERROR(__xludf.DUMMYFUNCTION("""COMPUTED_VALUE"""),"Asia")</f>
        <v>Asia</v>
      </c>
      <c r="Q167" s="3">
        <f>IFERROR(__xludf.DUMMYFUNCTION("""COMPUTED_VALUE"""),18286.0)</f>
        <v>18286</v>
      </c>
      <c r="R167" s="1" t="str">
        <f>IFERROR(__xludf.DUMMYFUNCTION("""COMPUTED_VALUE"""),"")</f>
        <v/>
      </c>
      <c r="S167" s="1">
        <f>IFERROR(__xludf.DUMMYFUNCTION("""COMPUTED_VALUE"""),241.0)</f>
        <v>241</v>
      </c>
    </row>
    <row r="168">
      <c r="A168" s="1">
        <f>IFERROR(__xludf.DUMMYFUNCTION("""COMPUTED_VALUE"""),159.0)</f>
        <v>159</v>
      </c>
      <c r="B168" s="1" t="str">
        <f>IFERROR(__xludf.DUMMYFUNCTION("""COMPUTED_VALUE"""),"Guadeloupe")</f>
        <v>Guadeloupe</v>
      </c>
      <c r="C168" s="1">
        <f>IFERROR(__xludf.DUMMYFUNCTION("""COMPUTED_VALUE"""),161.0)</f>
        <v>161</v>
      </c>
      <c r="D168" s="1" t="str">
        <f>IFERROR(__xludf.DUMMYFUNCTION("""COMPUTED_VALUE"""),"")</f>
        <v/>
      </c>
      <c r="E168" s="1">
        <f>IFERROR(__xludf.DUMMYFUNCTION("""COMPUTED_VALUE"""),14.0)</f>
        <v>14</v>
      </c>
      <c r="F168" s="1" t="str">
        <f>IFERROR(__xludf.DUMMYFUNCTION("""COMPUTED_VALUE"""),"")</f>
        <v/>
      </c>
      <c r="G168" s="1">
        <f>IFERROR(__xludf.DUMMYFUNCTION("""COMPUTED_VALUE"""),115.0)</f>
        <v>115</v>
      </c>
      <c r="H168" s="1" t="str">
        <f>IFERROR(__xludf.DUMMYFUNCTION("""COMPUTED_VALUE"""),"")</f>
        <v/>
      </c>
      <c r="I168" s="1">
        <f>IFERROR(__xludf.DUMMYFUNCTION("""COMPUTED_VALUE"""),32.0)</f>
        <v>32</v>
      </c>
      <c r="J168" s="1">
        <f>IFERROR(__xludf.DUMMYFUNCTION("""COMPUTED_VALUE"""),3.0)</f>
        <v>3</v>
      </c>
      <c r="K168" s="1">
        <f>IFERROR(__xludf.DUMMYFUNCTION("""COMPUTED_VALUE"""),402.0)</f>
        <v>402</v>
      </c>
      <c r="L168" s="1">
        <f>IFERROR(__xludf.DUMMYFUNCTION("""COMPUTED_VALUE"""),35.0)</f>
        <v>35</v>
      </c>
      <c r="M168" s="3">
        <f>IFERROR(__xludf.DUMMYFUNCTION("""COMPUTED_VALUE"""),3573.0)</f>
        <v>3573</v>
      </c>
      <c r="N168" s="3">
        <f>IFERROR(__xludf.DUMMYFUNCTION("""COMPUTED_VALUE"""),8930.0)</f>
        <v>8930</v>
      </c>
      <c r="O168" s="3">
        <f>IFERROR(__xludf.DUMMYFUNCTION("""COMPUTED_VALUE"""),400118.0)</f>
        <v>400118</v>
      </c>
      <c r="P168" s="1" t="str">
        <f>IFERROR(__xludf.DUMMYFUNCTION("""COMPUTED_VALUE"""),"North America")</f>
        <v>North America</v>
      </c>
      <c r="Q168" s="3">
        <f>IFERROR(__xludf.DUMMYFUNCTION("""COMPUTED_VALUE"""),2485.0)</f>
        <v>2485</v>
      </c>
      <c r="R168" s="3">
        <f>IFERROR(__xludf.DUMMYFUNCTION("""COMPUTED_VALUE"""),28580.0)</f>
        <v>28580</v>
      </c>
      <c r="S168" s="1">
        <f>IFERROR(__xludf.DUMMYFUNCTION("""COMPUTED_VALUE"""),112.0)</f>
        <v>112</v>
      </c>
    </row>
    <row r="169">
      <c r="A169" s="1">
        <f>IFERROR(__xludf.DUMMYFUNCTION("""COMPUTED_VALUE"""),160.0)</f>
        <v>160</v>
      </c>
      <c r="B169" s="1" t="str">
        <f>IFERROR(__xludf.DUMMYFUNCTION("""COMPUTED_VALUE"""),"Gibraltar")</f>
        <v>Gibraltar</v>
      </c>
      <c r="C169" s="1">
        <f>IFERROR(__xludf.DUMMYFUNCTION("""COMPUTED_VALUE"""),158.0)</f>
        <v>158</v>
      </c>
      <c r="D169" s="1" t="str">
        <f>IFERROR(__xludf.DUMMYFUNCTION("""COMPUTED_VALUE"""),"")</f>
        <v/>
      </c>
      <c r="E169" s="1" t="str">
        <f>IFERROR(__xludf.DUMMYFUNCTION("""COMPUTED_VALUE"""),"")</f>
        <v/>
      </c>
      <c r="F169" s="1" t="str">
        <f>IFERROR(__xludf.DUMMYFUNCTION("""COMPUTED_VALUE"""),"")</f>
        <v/>
      </c>
      <c r="G169" s="1">
        <f>IFERROR(__xludf.DUMMYFUNCTION("""COMPUTED_VALUE"""),147.0)</f>
        <v>147</v>
      </c>
      <c r="H169" s="1" t="str">
        <f>IFERROR(__xludf.DUMMYFUNCTION("""COMPUTED_VALUE"""),"")</f>
        <v/>
      </c>
      <c r="I169" s="1">
        <f>IFERROR(__xludf.DUMMYFUNCTION("""COMPUTED_VALUE"""),11.0)</f>
        <v>11</v>
      </c>
      <c r="J169" s="1" t="str">
        <f>IFERROR(__xludf.DUMMYFUNCTION("""COMPUTED_VALUE"""),"")</f>
        <v/>
      </c>
      <c r="K169" s="3">
        <f>IFERROR(__xludf.DUMMYFUNCTION("""COMPUTED_VALUE"""),4690.0)</f>
        <v>4690</v>
      </c>
      <c r="L169" s="1" t="str">
        <f>IFERROR(__xludf.DUMMYFUNCTION("""COMPUTED_VALUE"""),"")</f>
        <v/>
      </c>
      <c r="M169" s="3">
        <f>IFERROR(__xludf.DUMMYFUNCTION("""COMPUTED_VALUE"""),7073.0)</f>
        <v>7073</v>
      </c>
      <c r="N169" s="3">
        <f>IFERROR(__xludf.DUMMYFUNCTION("""COMPUTED_VALUE"""),209931.0)</f>
        <v>209931</v>
      </c>
      <c r="O169" s="3">
        <f>IFERROR(__xludf.DUMMYFUNCTION("""COMPUTED_VALUE"""),33692.0)</f>
        <v>33692</v>
      </c>
      <c r="P169" s="1" t="str">
        <f>IFERROR(__xludf.DUMMYFUNCTION("""COMPUTED_VALUE"""),"Europe")</f>
        <v>Europe</v>
      </c>
      <c r="Q169" s="1">
        <f>IFERROR(__xludf.DUMMYFUNCTION("""COMPUTED_VALUE"""),213.0)</f>
        <v>213</v>
      </c>
      <c r="R169" s="1" t="str">
        <f>IFERROR(__xludf.DUMMYFUNCTION("""COMPUTED_VALUE"""),"")</f>
        <v/>
      </c>
      <c r="S169" s="1">
        <f>IFERROR(__xludf.DUMMYFUNCTION("""COMPUTED_VALUE"""),5.0)</f>
        <v>5</v>
      </c>
    </row>
    <row r="170">
      <c r="A170" s="1">
        <f>IFERROR(__xludf.DUMMYFUNCTION("""COMPUTED_VALUE"""),161.0)</f>
        <v>161</v>
      </c>
      <c r="B170" s="1" t="str">
        <f>IFERROR(__xludf.DUMMYFUNCTION("""COMPUTED_VALUE"""),"Guyana")</f>
        <v>Guyana</v>
      </c>
      <c r="C170" s="1">
        <f>IFERROR(__xludf.DUMMYFUNCTION("""COMPUTED_VALUE"""),150.0)</f>
        <v>150</v>
      </c>
      <c r="D170" s="1" t="str">
        <f>IFERROR(__xludf.DUMMYFUNCTION("""COMPUTED_VALUE"""),"")</f>
        <v/>
      </c>
      <c r="E170" s="1">
        <f>IFERROR(__xludf.DUMMYFUNCTION("""COMPUTED_VALUE"""),11.0)</f>
        <v>11</v>
      </c>
      <c r="F170" s="1" t="str">
        <f>IFERROR(__xludf.DUMMYFUNCTION("""COMPUTED_VALUE"""),"")</f>
        <v/>
      </c>
      <c r="G170" s="1">
        <f>IFERROR(__xludf.DUMMYFUNCTION("""COMPUTED_VALUE"""),67.0)</f>
        <v>67</v>
      </c>
      <c r="H170" s="1" t="str">
        <f>IFERROR(__xludf.DUMMYFUNCTION("""COMPUTED_VALUE"""),"")</f>
        <v/>
      </c>
      <c r="I170" s="1">
        <f>IFERROR(__xludf.DUMMYFUNCTION("""COMPUTED_VALUE"""),72.0)</f>
        <v>72</v>
      </c>
      <c r="J170" s="1">
        <f>IFERROR(__xludf.DUMMYFUNCTION("""COMPUTED_VALUE"""),2.0)</f>
        <v>2</v>
      </c>
      <c r="K170" s="1">
        <f>IFERROR(__xludf.DUMMYFUNCTION("""COMPUTED_VALUE"""),191.0)</f>
        <v>191</v>
      </c>
      <c r="L170" s="1">
        <f>IFERROR(__xludf.DUMMYFUNCTION("""COMPUTED_VALUE"""),14.0)</f>
        <v>14</v>
      </c>
      <c r="M170" s="3">
        <f>IFERROR(__xludf.DUMMYFUNCTION("""COMPUTED_VALUE"""),1559.0)</f>
        <v>1559</v>
      </c>
      <c r="N170" s="3">
        <f>IFERROR(__xludf.DUMMYFUNCTION("""COMPUTED_VALUE"""),1983.0)</f>
        <v>1983</v>
      </c>
      <c r="O170" s="3">
        <f>IFERROR(__xludf.DUMMYFUNCTION("""COMPUTED_VALUE"""),786212.0)</f>
        <v>786212</v>
      </c>
      <c r="P170" s="1" t="str">
        <f>IFERROR(__xludf.DUMMYFUNCTION("""COMPUTED_VALUE"""),"South America")</f>
        <v>South America</v>
      </c>
      <c r="Q170" s="3">
        <f>IFERROR(__xludf.DUMMYFUNCTION("""COMPUTED_VALUE"""),5241.0)</f>
        <v>5241</v>
      </c>
      <c r="R170" s="3">
        <f>IFERROR(__xludf.DUMMYFUNCTION("""COMPUTED_VALUE"""),71474.0)</f>
        <v>71474</v>
      </c>
      <c r="S170" s="1">
        <f>IFERROR(__xludf.DUMMYFUNCTION("""COMPUTED_VALUE"""),504.0)</f>
        <v>504</v>
      </c>
    </row>
    <row r="171">
      <c r="A171" s="1">
        <f>IFERROR(__xludf.DUMMYFUNCTION("""COMPUTED_VALUE"""),162.0)</f>
        <v>162</v>
      </c>
      <c r="B171" s="1" t="str">
        <f>IFERROR(__xludf.DUMMYFUNCTION("""COMPUTED_VALUE"""),"Zimbabwe")</f>
        <v>Zimbabwe</v>
      </c>
      <c r="C171" s="1">
        <f>IFERROR(__xludf.DUMMYFUNCTION("""COMPUTED_VALUE"""),149.0)</f>
        <v>149</v>
      </c>
      <c r="D171" s="1" t="str">
        <f>IFERROR(__xludf.DUMMYFUNCTION("""COMPUTED_VALUE"""),"")</f>
        <v/>
      </c>
      <c r="E171" s="1">
        <f>IFERROR(__xludf.DUMMYFUNCTION("""COMPUTED_VALUE"""),4.0)</f>
        <v>4</v>
      </c>
      <c r="F171" s="1" t="str">
        <f>IFERROR(__xludf.DUMMYFUNCTION("""COMPUTED_VALUE"""),"")</f>
        <v/>
      </c>
      <c r="G171" s="1">
        <f>IFERROR(__xludf.DUMMYFUNCTION("""COMPUTED_VALUE"""),28.0)</f>
        <v>28</v>
      </c>
      <c r="H171" s="1" t="str">
        <f>IFERROR(__xludf.DUMMYFUNCTION("""COMPUTED_VALUE"""),"")</f>
        <v/>
      </c>
      <c r="I171" s="1">
        <f>IFERROR(__xludf.DUMMYFUNCTION("""COMPUTED_VALUE"""),117.0)</f>
        <v>117</v>
      </c>
      <c r="J171" s="1" t="str">
        <f>IFERROR(__xludf.DUMMYFUNCTION("""COMPUTED_VALUE"""),"")</f>
        <v/>
      </c>
      <c r="K171" s="1">
        <f>IFERROR(__xludf.DUMMYFUNCTION("""COMPUTED_VALUE"""),10.0)</f>
        <v>10</v>
      </c>
      <c r="L171" s="1">
        <f>IFERROR(__xludf.DUMMYFUNCTION("""COMPUTED_VALUE"""),0.3)</f>
        <v>0.3</v>
      </c>
      <c r="M171" s="3">
        <f>IFERROR(__xludf.DUMMYFUNCTION("""COMPUTED_VALUE"""),37039.0)</f>
        <v>37039</v>
      </c>
      <c r="N171" s="3">
        <f>IFERROR(__xludf.DUMMYFUNCTION("""COMPUTED_VALUE"""),2495.0)</f>
        <v>2495</v>
      </c>
      <c r="O171" s="3">
        <f>IFERROR(__xludf.DUMMYFUNCTION("""COMPUTED_VALUE"""),1.4842405E7)</f>
        <v>14842405</v>
      </c>
      <c r="P171" s="1" t="str">
        <f>IFERROR(__xludf.DUMMYFUNCTION("""COMPUTED_VALUE"""),"Africa")</f>
        <v>Africa</v>
      </c>
      <c r="Q171" s="3">
        <f>IFERROR(__xludf.DUMMYFUNCTION("""COMPUTED_VALUE"""),99613.0)</f>
        <v>99613</v>
      </c>
      <c r="R171" s="3">
        <f>IFERROR(__xludf.DUMMYFUNCTION("""COMPUTED_VALUE"""),3710601.0)</f>
        <v>3710601</v>
      </c>
      <c r="S171" s="1">
        <f>IFERROR(__xludf.DUMMYFUNCTION("""COMPUTED_VALUE"""),401.0)</f>
        <v>401</v>
      </c>
    </row>
    <row r="172">
      <c r="A172" s="1">
        <f>IFERROR(__xludf.DUMMYFUNCTION("""COMPUTED_VALUE"""),163.0)</f>
        <v>163</v>
      </c>
      <c r="B172" s="1" t="str">
        <f>IFERROR(__xludf.DUMMYFUNCTION("""COMPUTED_VALUE"""),"Brunei")</f>
        <v>Brunei</v>
      </c>
      <c r="C172" s="1">
        <f>IFERROR(__xludf.DUMMYFUNCTION("""COMPUTED_VALUE"""),141.0)</f>
        <v>141</v>
      </c>
      <c r="D172" s="1" t="str">
        <f>IFERROR(__xludf.DUMMYFUNCTION("""COMPUTED_VALUE"""),"")</f>
        <v/>
      </c>
      <c r="E172" s="1">
        <f>IFERROR(__xludf.DUMMYFUNCTION("""COMPUTED_VALUE"""),2.0)</f>
        <v>2</v>
      </c>
      <c r="F172" s="1" t="str">
        <f>IFERROR(__xludf.DUMMYFUNCTION("""COMPUTED_VALUE"""),"")</f>
        <v/>
      </c>
      <c r="G172" s="1">
        <f>IFERROR(__xludf.DUMMYFUNCTION("""COMPUTED_VALUE"""),138.0)</f>
        <v>138</v>
      </c>
      <c r="H172" s="1" t="str">
        <f>IFERROR(__xludf.DUMMYFUNCTION("""COMPUTED_VALUE"""),"")</f>
        <v/>
      </c>
      <c r="I172" s="1">
        <f>IFERROR(__xludf.DUMMYFUNCTION("""COMPUTED_VALUE"""),1.0)</f>
        <v>1</v>
      </c>
      <c r="J172" s="1">
        <f>IFERROR(__xludf.DUMMYFUNCTION("""COMPUTED_VALUE"""),2.0)</f>
        <v>2</v>
      </c>
      <c r="K172" s="1">
        <f>IFERROR(__xludf.DUMMYFUNCTION("""COMPUTED_VALUE"""),323.0)</f>
        <v>323</v>
      </c>
      <c r="L172" s="1">
        <f>IFERROR(__xludf.DUMMYFUNCTION("""COMPUTED_VALUE"""),5.0)</f>
        <v>5</v>
      </c>
      <c r="M172" s="3">
        <f>IFERROR(__xludf.DUMMYFUNCTION("""COMPUTED_VALUE"""),18707.0)</f>
        <v>18707</v>
      </c>
      <c r="N172" s="3">
        <f>IFERROR(__xludf.DUMMYFUNCTION("""COMPUTED_VALUE"""),42799.0)</f>
        <v>42799</v>
      </c>
      <c r="O172" s="3">
        <f>IFERROR(__xludf.DUMMYFUNCTION("""COMPUTED_VALUE"""),437093.0)</f>
        <v>437093</v>
      </c>
      <c r="P172" s="1" t="str">
        <f>IFERROR(__xludf.DUMMYFUNCTION("""COMPUTED_VALUE"""),"Asia")</f>
        <v>Asia</v>
      </c>
      <c r="Q172" s="3">
        <f>IFERROR(__xludf.DUMMYFUNCTION("""COMPUTED_VALUE"""),3100.0)</f>
        <v>3100</v>
      </c>
      <c r="R172" s="3">
        <f>IFERROR(__xludf.DUMMYFUNCTION("""COMPUTED_VALUE"""),218547.0)</f>
        <v>218547</v>
      </c>
      <c r="S172" s="1">
        <f>IFERROR(__xludf.DUMMYFUNCTION("""COMPUTED_VALUE"""),23.0)</f>
        <v>23</v>
      </c>
    </row>
    <row r="173">
      <c r="A173" s="1">
        <f>IFERROR(__xludf.DUMMYFUNCTION("""COMPUTED_VALUE"""),164.0)</f>
        <v>164</v>
      </c>
      <c r="B173" s="1" t="str">
        <f>IFERROR(__xludf.DUMMYFUNCTION("""COMPUTED_VALUE"""),"Bermuda")</f>
        <v>Bermuda</v>
      </c>
      <c r="C173" s="1">
        <f>IFERROR(__xludf.DUMMYFUNCTION("""COMPUTED_VALUE"""),140.0)</f>
        <v>140</v>
      </c>
      <c r="D173" s="1" t="str">
        <f>IFERROR(__xludf.DUMMYFUNCTION("""COMPUTED_VALUE"""),"")</f>
        <v/>
      </c>
      <c r="E173" s="1">
        <f>IFERROR(__xludf.DUMMYFUNCTION("""COMPUTED_VALUE"""),9.0)</f>
        <v>9</v>
      </c>
      <c r="F173" s="1" t="str">
        <f>IFERROR(__xludf.DUMMYFUNCTION("""COMPUTED_VALUE"""),"")</f>
        <v/>
      </c>
      <c r="G173" s="1">
        <f>IFERROR(__xludf.DUMMYFUNCTION("""COMPUTED_VALUE"""),92.0)</f>
        <v>92</v>
      </c>
      <c r="H173" s="1" t="str">
        <f>IFERROR(__xludf.DUMMYFUNCTION("""COMPUTED_VALUE"""),"")</f>
        <v/>
      </c>
      <c r="I173" s="1">
        <f>IFERROR(__xludf.DUMMYFUNCTION("""COMPUTED_VALUE"""),39.0)</f>
        <v>39</v>
      </c>
      <c r="J173" s="1">
        <f>IFERROR(__xludf.DUMMYFUNCTION("""COMPUTED_VALUE"""),2.0)</f>
        <v>2</v>
      </c>
      <c r="K173" s="3">
        <f>IFERROR(__xludf.DUMMYFUNCTION("""COMPUTED_VALUE"""),2247.0)</f>
        <v>2247</v>
      </c>
      <c r="L173" s="1">
        <f>IFERROR(__xludf.DUMMYFUNCTION("""COMPUTED_VALUE"""),144.0)</f>
        <v>144</v>
      </c>
      <c r="M173" s="3">
        <f>IFERROR(__xludf.DUMMYFUNCTION("""COMPUTED_VALUE"""),6941.0)</f>
        <v>6941</v>
      </c>
      <c r="N173" s="3">
        <f>IFERROR(__xludf.DUMMYFUNCTION("""COMPUTED_VALUE"""),111416.0)</f>
        <v>111416</v>
      </c>
      <c r="O173" s="3">
        <f>IFERROR(__xludf.DUMMYFUNCTION("""COMPUTED_VALUE"""),62298.0)</f>
        <v>62298</v>
      </c>
      <c r="P173" s="1" t="str">
        <f>IFERROR(__xludf.DUMMYFUNCTION("""COMPUTED_VALUE"""),"North America")</f>
        <v>North America</v>
      </c>
      <c r="Q173" s="1">
        <f>IFERROR(__xludf.DUMMYFUNCTION("""COMPUTED_VALUE"""),445.0)</f>
        <v>445</v>
      </c>
      <c r="R173" s="3">
        <f>IFERROR(__xludf.DUMMYFUNCTION("""COMPUTED_VALUE"""),6922.0)</f>
        <v>6922</v>
      </c>
      <c r="S173" s="1">
        <f>IFERROR(__xludf.DUMMYFUNCTION("""COMPUTED_VALUE"""),9.0)</f>
        <v>9</v>
      </c>
    </row>
    <row r="174">
      <c r="A174" s="1">
        <f>IFERROR(__xludf.DUMMYFUNCTION("""COMPUTED_VALUE"""),165.0)</f>
        <v>165</v>
      </c>
      <c r="B174" s="1" t="str">
        <f>IFERROR(__xludf.DUMMYFUNCTION("""COMPUTED_VALUE"""),"Cayman Islands")</f>
        <v>Cayman Islands</v>
      </c>
      <c r="C174" s="1">
        <f>IFERROR(__xludf.DUMMYFUNCTION("""COMPUTED_VALUE"""),140.0)</f>
        <v>140</v>
      </c>
      <c r="D174" s="1" t="str">
        <f>IFERROR(__xludf.DUMMYFUNCTION("""COMPUTED_VALUE"""),"")</f>
        <v/>
      </c>
      <c r="E174" s="1">
        <f>IFERROR(__xludf.DUMMYFUNCTION("""COMPUTED_VALUE"""),1.0)</f>
        <v>1</v>
      </c>
      <c r="F174" s="1" t="str">
        <f>IFERROR(__xludf.DUMMYFUNCTION("""COMPUTED_VALUE"""),"")</f>
        <v/>
      </c>
      <c r="G174" s="1">
        <f>IFERROR(__xludf.DUMMYFUNCTION("""COMPUTED_VALUE"""),67.0)</f>
        <v>67</v>
      </c>
      <c r="H174" s="1" t="str">
        <f>IFERROR(__xludf.DUMMYFUNCTION("""COMPUTED_VALUE"""),"")</f>
        <v/>
      </c>
      <c r="I174" s="1">
        <f>IFERROR(__xludf.DUMMYFUNCTION("""COMPUTED_VALUE"""),72.0)</f>
        <v>72</v>
      </c>
      <c r="J174" s="1" t="str">
        <f>IFERROR(__xludf.DUMMYFUNCTION("""COMPUTED_VALUE"""),"")</f>
        <v/>
      </c>
      <c r="K174" s="3">
        <f>IFERROR(__xludf.DUMMYFUNCTION("""COMPUTED_VALUE"""),2133.0)</f>
        <v>2133</v>
      </c>
      <c r="L174" s="1">
        <f>IFERROR(__xludf.DUMMYFUNCTION("""COMPUTED_VALUE"""),15.0)</f>
        <v>15</v>
      </c>
      <c r="M174" s="3">
        <f>IFERROR(__xludf.DUMMYFUNCTION("""COMPUTED_VALUE"""),10466.0)</f>
        <v>10466</v>
      </c>
      <c r="N174" s="3">
        <f>IFERROR(__xludf.DUMMYFUNCTION("""COMPUTED_VALUE"""),159421.0)</f>
        <v>159421</v>
      </c>
      <c r="O174" s="3">
        <f>IFERROR(__xludf.DUMMYFUNCTION("""COMPUTED_VALUE"""),65650.0)</f>
        <v>65650</v>
      </c>
      <c r="P174" s="1" t="str">
        <f>IFERROR(__xludf.DUMMYFUNCTION("""COMPUTED_VALUE"""),"North America")</f>
        <v>North America</v>
      </c>
      <c r="Q174" s="1">
        <f>IFERROR(__xludf.DUMMYFUNCTION("""COMPUTED_VALUE"""),469.0)</f>
        <v>469</v>
      </c>
      <c r="R174" s="3">
        <f>IFERROR(__xludf.DUMMYFUNCTION("""COMPUTED_VALUE"""),65650.0)</f>
        <v>65650</v>
      </c>
      <c r="S174" s="1">
        <f>IFERROR(__xludf.DUMMYFUNCTION("""COMPUTED_VALUE"""),6.0)</f>
        <v>6</v>
      </c>
    </row>
    <row r="175">
      <c r="A175" s="1">
        <f>IFERROR(__xludf.DUMMYFUNCTION("""COMPUTED_VALUE"""),166.0)</f>
        <v>166</v>
      </c>
      <c r="B175" s="1" t="str">
        <f>IFERROR(__xludf.DUMMYFUNCTION("""COMPUTED_VALUE"""),"Cambodia")</f>
        <v>Cambodia</v>
      </c>
      <c r="C175" s="1">
        <f>IFERROR(__xludf.DUMMYFUNCTION("""COMPUTED_VALUE"""),124.0)</f>
        <v>124</v>
      </c>
      <c r="D175" s="1" t="str">
        <f>IFERROR(__xludf.DUMMYFUNCTION("""COMPUTED_VALUE"""),"")</f>
        <v/>
      </c>
      <c r="E175" s="1" t="str">
        <f>IFERROR(__xludf.DUMMYFUNCTION("""COMPUTED_VALUE"""),"")</f>
        <v/>
      </c>
      <c r="F175" s="1" t="str">
        <f>IFERROR(__xludf.DUMMYFUNCTION("""COMPUTED_VALUE"""),"")</f>
        <v/>
      </c>
      <c r="G175" s="1">
        <f>IFERROR(__xludf.DUMMYFUNCTION("""COMPUTED_VALUE"""),122.0)</f>
        <v>122</v>
      </c>
      <c r="H175" s="1" t="str">
        <f>IFERROR(__xludf.DUMMYFUNCTION("""COMPUTED_VALUE"""),"")</f>
        <v/>
      </c>
      <c r="I175" s="1">
        <f>IFERROR(__xludf.DUMMYFUNCTION("""COMPUTED_VALUE"""),2.0)</f>
        <v>2</v>
      </c>
      <c r="J175" s="1">
        <f>IFERROR(__xludf.DUMMYFUNCTION("""COMPUTED_VALUE"""),1.0)</f>
        <v>1</v>
      </c>
      <c r="K175" s="1">
        <f>IFERROR(__xludf.DUMMYFUNCTION("""COMPUTED_VALUE"""),7.0)</f>
        <v>7</v>
      </c>
      <c r="L175" s="1" t="str">
        <f>IFERROR(__xludf.DUMMYFUNCTION("""COMPUTED_VALUE"""),"")</f>
        <v/>
      </c>
      <c r="M175" s="3">
        <f>IFERROR(__xludf.DUMMYFUNCTION("""COMPUTED_VALUE"""),19457.0)</f>
        <v>19457</v>
      </c>
      <c r="N175" s="3">
        <f>IFERROR(__xludf.DUMMYFUNCTION("""COMPUTED_VALUE"""),1165.0)</f>
        <v>1165</v>
      </c>
      <c r="O175" s="3">
        <f>IFERROR(__xludf.DUMMYFUNCTION("""COMPUTED_VALUE"""),1.6697111E7)</f>
        <v>16697111</v>
      </c>
      <c r="P175" s="1" t="str">
        <f>IFERROR(__xludf.DUMMYFUNCTION("""COMPUTED_VALUE"""),"Asia")</f>
        <v>Asia</v>
      </c>
      <c r="Q175" s="3">
        <f>IFERROR(__xludf.DUMMYFUNCTION("""COMPUTED_VALUE"""),134654.0)</f>
        <v>134654</v>
      </c>
      <c r="R175" s="1" t="str">
        <f>IFERROR(__xludf.DUMMYFUNCTION("""COMPUTED_VALUE"""),"")</f>
        <v/>
      </c>
      <c r="S175" s="1">
        <f>IFERROR(__xludf.DUMMYFUNCTION("""COMPUTED_VALUE"""),858.0)</f>
        <v>858</v>
      </c>
    </row>
    <row r="176">
      <c r="A176" s="1">
        <f>IFERROR(__xludf.DUMMYFUNCTION("""COMPUTED_VALUE"""),167.0)</f>
        <v>167</v>
      </c>
      <c r="B176" s="1" t="str">
        <f>IFERROR(__xludf.DUMMYFUNCTION("""COMPUTED_VALUE"""),"Syria")</f>
        <v>Syria</v>
      </c>
      <c r="C176" s="1">
        <f>IFERROR(__xludf.DUMMYFUNCTION("""COMPUTED_VALUE"""),122.0)</f>
        <v>122</v>
      </c>
      <c r="D176" s="1" t="str">
        <f>IFERROR(__xludf.DUMMYFUNCTION("""COMPUTED_VALUE"""),"")</f>
        <v/>
      </c>
      <c r="E176" s="1">
        <f>IFERROR(__xludf.DUMMYFUNCTION("""COMPUTED_VALUE"""),4.0)</f>
        <v>4</v>
      </c>
      <c r="F176" s="1" t="str">
        <f>IFERROR(__xludf.DUMMYFUNCTION("""COMPUTED_VALUE"""),"")</f>
        <v/>
      </c>
      <c r="G176" s="1">
        <f>IFERROR(__xludf.DUMMYFUNCTION("""COMPUTED_VALUE"""),43.0)</f>
        <v>43</v>
      </c>
      <c r="H176" s="1" t="str">
        <f>IFERROR(__xludf.DUMMYFUNCTION("""COMPUTED_VALUE"""),"")</f>
        <v/>
      </c>
      <c r="I176" s="1">
        <f>IFERROR(__xludf.DUMMYFUNCTION("""COMPUTED_VALUE"""),75.0)</f>
        <v>75</v>
      </c>
      <c r="J176" s="1" t="str">
        <f>IFERROR(__xludf.DUMMYFUNCTION("""COMPUTED_VALUE"""),"")</f>
        <v/>
      </c>
      <c r="K176" s="1">
        <f>IFERROR(__xludf.DUMMYFUNCTION("""COMPUTED_VALUE"""),7.0)</f>
        <v>7</v>
      </c>
      <c r="L176" s="1">
        <f>IFERROR(__xludf.DUMMYFUNCTION("""COMPUTED_VALUE"""),0.2)</f>
        <v>0.2</v>
      </c>
      <c r="M176" s="1" t="str">
        <f>IFERROR(__xludf.DUMMYFUNCTION("""COMPUTED_VALUE"""),"")</f>
        <v/>
      </c>
      <c r="N176" s="1" t="str">
        <f>IFERROR(__xludf.DUMMYFUNCTION("""COMPUTED_VALUE"""),"")</f>
        <v/>
      </c>
      <c r="O176" s="3">
        <f>IFERROR(__xludf.DUMMYFUNCTION("""COMPUTED_VALUE"""),1.7458055E7)</f>
        <v>17458055</v>
      </c>
      <c r="P176" s="1" t="str">
        <f>IFERROR(__xludf.DUMMYFUNCTION("""COMPUTED_VALUE"""),"Asia")</f>
        <v>Asia</v>
      </c>
      <c r="Q176" s="3">
        <f>IFERROR(__xludf.DUMMYFUNCTION("""COMPUTED_VALUE"""),143099.0)</f>
        <v>143099</v>
      </c>
      <c r="R176" s="3">
        <f>IFERROR(__xludf.DUMMYFUNCTION("""COMPUTED_VALUE"""),4364514.0)</f>
        <v>4364514</v>
      </c>
      <c r="S176" s="1" t="str">
        <f>IFERROR(__xludf.DUMMYFUNCTION("""COMPUTED_VALUE"""),"")</f>
        <v/>
      </c>
    </row>
    <row r="177">
      <c r="A177" s="1">
        <f>IFERROR(__xludf.DUMMYFUNCTION("""COMPUTED_VALUE"""),168.0)</f>
        <v>168</v>
      </c>
      <c r="B177" s="1" t="str">
        <f>IFERROR(__xludf.DUMMYFUNCTION("""COMPUTED_VALUE"""),"Trinidad and Tobago")</f>
        <v>Trinidad and Tobago</v>
      </c>
      <c r="C177" s="1">
        <f>IFERROR(__xludf.DUMMYFUNCTION("""COMPUTED_VALUE"""),116.0)</f>
        <v>116</v>
      </c>
      <c r="D177" s="1" t="str">
        <f>IFERROR(__xludf.DUMMYFUNCTION("""COMPUTED_VALUE"""),"")</f>
        <v/>
      </c>
      <c r="E177" s="1">
        <f>IFERROR(__xludf.DUMMYFUNCTION("""COMPUTED_VALUE"""),8.0)</f>
        <v>8</v>
      </c>
      <c r="F177" s="1" t="str">
        <f>IFERROR(__xludf.DUMMYFUNCTION("""COMPUTED_VALUE"""),"")</f>
        <v/>
      </c>
      <c r="G177" s="1">
        <f>IFERROR(__xludf.DUMMYFUNCTION("""COMPUTED_VALUE"""),108.0)</f>
        <v>108</v>
      </c>
      <c r="H177" s="1" t="str">
        <f>IFERROR(__xludf.DUMMYFUNCTION("""COMPUTED_VALUE"""),"")</f>
        <v/>
      </c>
      <c r="I177" s="1">
        <f>IFERROR(__xludf.DUMMYFUNCTION("""COMPUTED_VALUE"""),0.0)</f>
        <v>0</v>
      </c>
      <c r="J177" s="1" t="str">
        <f>IFERROR(__xludf.DUMMYFUNCTION("""COMPUTED_VALUE"""),"")</f>
        <v/>
      </c>
      <c r="K177" s="1">
        <f>IFERROR(__xludf.DUMMYFUNCTION("""COMPUTED_VALUE"""),83.0)</f>
        <v>83</v>
      </c>
      <c r="L177" s="1">
        <f>IFERROR(__xludf.DUMMYFUNCTION("""COMPUTED_VALUE"""),6.0)</f>
        <v>6</v>
      </c>
      <c r="M177" s="3">
        <f>IFERROR(__xludf.DUMMYFUNCTION("""COMPUTED_VALUE"""),3115.0)</f>
        <v>3115</v>
      </c>
      <c r="N177" s="3">
        <f>IFERROR(__xludf.DUMMYFUNCTION("""COMPUTED_VALUE"""),2226.0)</f>
        <v>2226</v>
      </c>
      <c r="O177" s="3">
        <f>IFERROR(__xludf.DUMMYFUNCTION("""COMPUTED_VALUE"""),1399086.0)</f>
        <v>1399086</v>
      </c>
      <c r="P177" s="1" t="str">
        <f>IFERROR(__xludf.DUMMYFUNCTION("""COMPUTED_VALUE"""),"North America")</f>
        <v>North America</v>
      </c>
      <c r="Q177" s="3">
        <f>IFERROR(__xludf.DUMMYFUNCTION("""COMPUTED_VALUE"""),12061.0)</f>
        <v>12061</v>
      </c>
      <c r="R177" s="3">
        <f>IFERROR(__xludf.DUMMYFUNCTION("""COMPUTED_VALUE"""),174886.0)</f>
        <v>174886</v>
      </c>
      <c r="S177" s="1">
        <f>IFERROR(__xludf.DUMMYFUNCTION("""COMPUTED_VALUE"""),449.0)</f>
        <v>449</v>
      </c>
    </row>
    <row r="178">
      <c r="A178" s="1">
        <f>IFERROR(__xludf.DUMMYFUNCTION("""COMPUTED_VALUE"""),169.0)</f>
        <v>169</v>
      </c>
      <c r="B178" s="1" t="str">
        <f>IFERROR(__xludf.DUMMYFUNCTION("""COMPUTED_VALUE"""),"Libya")</f>
        <v>Libya</v>
      </c>
      <c r="C178" s="1">
        <f>IFERROR(__xludf.DUMMYFUNCTION("""COMPUTED_VALUE"""),105.0)</f>
        <v>105</v>
      </c>
      <c r="D178" s="1" t="str">
        <f>IFERROR(__xludf.DUMMYFUNCTION("""COMPUTED_VALUE"""),"")</f>
        <v/>
      </c>
      <c r="E178" s="1">
        <f>IFERROR(__xludf.DUMMYFUNCTION("""COMPUTED_VALUE"""),5.0)</f>
        <v>5</v>
      </c>
      <c r="F178" s="1" t="str">
        <f>IFERROR(__xludf.DUMMYFUNCTION("""COMPUTED_VALUE"""),"")</f>
        <v/>
      </c>
      <c r="G178" s="1">
        <f>IFERROR(__xludf.DUMMYFUNCTION("""COMPUTED_VALUE"""),41.0)</f>
        <v>41</v>
      </c>
      <c r="H178" s="1" t="str">
        <f>IFERROR(__xludf.DUMMYFUNCTION("""COMPUTED_VALUE"""),"")</f>
        <v/>
      </c>
      <c r="I178" s="1">
        <f>IFERROR(__xludf.DUMMYFUNCTION("""COMPUTED_VALUE"""),59.0)</f>
        <v>59</v>
      </c>
      <c r="J178" s="1" t="str">
        <f>IFERROR(__xludf.DUMMYFUNCTION("""COMPUTED_VALUE"""),"")</f>
        <v/>
      </c>
      <c r="K178" s="1">
        <f>IFERROR(__xludf.DUMMYFUNCTION("""COMPUTED_VALUE"""),15.0)</f>
        <v>15</v>
      </c>
      <c r="L178" s="1">
        <f>IFERROR(__xludf.DUMMYFUNCTION("""COMPUTED_VALUE"""),0.7)</f>
        <v>0.7</v>
      </c>
      <c r="M178" s="3">
        <f>IFERROR(__xludf.DUMMYFUNCTION("""COMPUTED_VALUE"""),5154.0)</f>
        <v>5154</v>
      </c>
      <c r="N178" s="1">
        <f>IFERROR(__xludf.DUMMYFUNCTION("""COMPUTED_VALUE"""),751.0)</f>
        <v>751</v>
      </c>
      <c r="O178" s="3">
        <f>IFERROR(__xludf.DUMMYFUNCTION("""COMPUTED_VALUE"""),6862479.0)</f>
        <v>6862479</v>
      </c>
      <c r="P178" s="1" t="str">
        <f>IFERROR(__xludf.DUMMYFUNCTION("""COMPUTED_VALUE"""),"Africa")</f>
        <v>Africa</v>
      </c>
      <c r="Q178" s="3">
        <f>IFERROR(__xludf.DUMMYFUNCTION("""COMPUTED_VALUE"""),65357.0)</f>
        <v>65357</v>
      </c>
      <c r="R178" s="3">
        <f>IFERROR(__xludf.DUMMYFUNCTION("""COMPUTED_VALUE"""),1372496.0)</f>
        <v>1372496</v>
      </c>
      <c r="S178" s="3">
        <f>IFERROR(__xludf.DUMMYFUNCTION("""COMPUTED_VALUE"""),1331.0)</f>
        <v>1331</v>
      </c>
    </row>
    <row r="179">
      <c r="A179" s="1">
        <f>IFERROR(__xludf.DUMMYFUNCTION("""COMPUTED_VALUE"""),170.0)</f>
        <v>170</v>
      </c>
      <c r="B179" s="1" t="str">
        <f>IFERROR(__xludf.DUMMYFUNCTION("""COMPUTED_VALUE"""),"Bahamas")</f>
        <v>Bahamas</v>
      </c>
      <c r="C179" s="1">
        <f>IFERROR(__xludf.DUMMYFUNCTION("""COMPUTED_VALUE"""),101.0)</f>
        <v>101</v>
      </c>
      <c r="D179" s="1" t="str">
        <f>IFERROR(__xludf.DUMMYFUNCTION("""COMPUTED_VALUE"""),"+1")</f>
        <v>+1</v>
      </c>
      <c r="E179" s="1">
        <f>IFERROR(__xludf.DUMMYFUNCTION("""COMPUTED_VALUE"""),11.0)</f>
        <v>11</v>
      </c>
      <c r="F179" s="1" t="str">
        <f>IFERROR(__xludf.DUMMYFUNCTION("""COMPUTED_VALUE"""),"")</f>
        <v/>
      </c>
      <c r="G179" s="1">
        <f>IFERROR(__xludf.DUMMYFUNCTION("""COMPUTED_VALUE"""),47.0)</f>
        <v>47</v>
      </c>
      <c r="H179" s="1" t="str">
        <f>IFERROR(__xludf.DUMMYFUNCTION("""COMPUTED_VALUE"""),"+1")</f>
        <v>+1</v>
      </c>
      <c r="I179" s="1">
        <f>IFERROR(__xludf.DUMMYFUNCTION("""COMPUTED_VALUE"""),43.0)</f>
        <v>43</v>
      </c>
      <c r="J179" s="1">
        <f>IFERROR(__xludf.DUMMYFUNCTION("""COMPUTED_VALUE"""),1.0)</f>
        <v>1</v>
      </c>
      <c r="K179" s="1">
        <f>IFERROR(__xludf.DUMMYFUNCTION("""COMPUTED_VALUE"""),257.0)</f>
        <v>257</v>
      </c>
      <c r="L179" s="1">
        <f>IFERROR(__xludf.DUMMYFUNCTION("""COMPUTED_VALUE"""),28.0)</f>
        <v>28</v>
      </c>
      <c r="M179" s="3">
        <f>IFERROR(__xludf.DUMMYFUNCTION("""COMPUTED_VALUE"""),2050.0)</f>
        <v>2050</v>
      </c>
      <c r="N179" s="3">
        <f>IFERROR(__xludf.DUMMYFUNCTION("""COMPUTED_VALUE"""),5218.0)</f>
        <v>5218</v>
      </c>
      <c r="O179" s="3">
        <f>IFERROR(__xludf.DUMMYFUNCTION("""COMPUTED_VALUE"""),392898.0)</f>
        <v>392898</v>
      </c>
      <c r="P179" s="1" t="str">
        <f>IFERROR(__xludf.DUMMYFUNCTION("""COMPUTED_VALUE"""),"North America")</f>
        <v>North America</v>
      </c>
      <c r="Q179" s="3">
        <f>IFERROR(__xludf.DUMMYFUNCTION("""COMPUTED_VALUE"""),3890.0)</f>
        <v>3890</v>
      </c>
      <c r="R179" s="3">
        <f>IFERROR(__xludf.DUMMYFUNCTION("""COMPUTED_VALUE"""),35718.0)</f>
        <v>35718</v>
      </c>
      <c r="S179" s="1">
        <f>IFERROR(__xludf.DUMMYFUNCTION("""COMPUTED_VALUE"""),192.0)</f>
        <v>192</v>
      </c>
    </row>
    <row r="180">
      <c r="A180" s="1">
        <f>IFERROR(__xludf.DUMMYFUNCTION("""COMPUTED_VALUE"""),171.0)</f>
        <v>171</v>
      </c>
      <c r="B180" s="1" t="str">
        <f>IFERROR(__xludf.DUMMYFUNCTION("""COMPUTED_VALUE"""),"Aruba")</f>
        <v>Aruba</v>
      </c>
      <c r="C180" s="1">
        <f>IFERROR(__xludf.DUMMYFUNCTION("""COMPUTED_VALUE"""),101.0)</f>
        <v>101</v>
      </c>
      <c r="D180" s="1" t="str">
        <f>IFERROR(__xludf.DUMMYFUNCTION("""COMPUTED_VALUE"""),"")</f>
        <v/>
      </c>
      <c r="E180" s="1">
        <f>IFERROR(__xludf.DUMMYFUNCTION("""COMPUTED_VALUE"""),3.0)</f>
        <v>3</v>
      </c>
      <c r="F180" s="1" t="str">
        <f>IFERROR(__xludf.DUMMYFUNCTION("""COMPUTED_VALUE"""),"")</f>
        <v/>
      </c>
      <c r="G180" s="1">
        <f>IFERROR(__xludf.DUMMYFUNCTION("""COMPUTED_VALUE"""),98.0)</f>
        <v>98</v>
      </c>
      <c r="H180" s="1" t="str">
        <f>IFERROR(__xludf.DUMMYFUNCTION("""COMPUTED_VALUE"""),"")</f>
        <v/>
      </c>
      <c r="I180" s="1">
        <f>IFERROR(__xludf.DUMMYFUNCTION("""COMPUTED_VALUE"""),0.0)</f>
        <v>0</v>
      </c>
      <c r="J180" s="1" t="str">
        <f>IFERROR(__xludf.DUMMYFUNCTION("""COMPUTED_VALUE"""),"")</f>
        <v/>
      </c>
      <c r="K180" s="1">
        <f>IFERROR(__xludf.DUMMYFUNCTION("""COMPUTED_VALUE"""),946.0)</f>
        <v>946</v>
      </c>
      <c r="L180" s="1">
        <f>IFERROR(__xludf.DUMMYFUNCTION("""COMPUTED_VALUE"""),28.0)</f>
        <v>28</v>
      </c>
      <c r="M180" s="3">
        <f>IFERROR(__xludf.DUMMYFUNCTION("""COMPUTED_VALUE"""),2105.0)</f>
        <v>2105</v>
      </c>
      <c r="N180" s="3">
        <f>IFERROR(__xludf.DUMMYFUNCTION("""COMPUTED_VALUE"""),19723.0)</f>
        <v>19723</v>
      </c>
      <c r="O180" s="3">
        <f>IFERROR(__xludf.DUMMYFUNCTION("""COMPUTED_VALUE"""),106726.0)</f>
        <v>106726</v>
      </c>
      <c r="P180" s="1" t="str">
        <f>IFERROR(__xludf.DUMMYFUNCTION("""COMPUTED_VALUE"""),"North America")</f>
        <v>North America</v>
      </c>
      <c r="Q180" s="3">
        <f>IFERROR(__xludf.DUMMYFUNCTION("""COMPUTED_VALUE"""),1057.0)</f>
        <v>1057</v>
      </c>
      <c r="R180" s="3">
        <f>IFERROR(__xludf.DUMMYFUNCTION("""COMPUTED_VALUE"""),35575.0)</f>
        <v>35575</v>
      </c>
      <c r="S180" s="1">
        <f>IFERROR(__xludf.DUMMYFUNCTION("""COMPUTED_VALUE"""),51.0)</f>
        <v>51</v>
      </c>
    </row>
    <row r="181">
      <c r="A181" s="1">
        <f>IFERROR(__xludf.DUMMYFUNCTION("""COMPUTED_VALUE"""),172.0)</f>
        <v>172</v>
      </c>
      <c r="B181" s="1" t="str">
        <f>IFERROR(__xludf.DUMMYFUNCTION("""COMPUTED_VALUE"""),"Monaco")</f>
        <v>Monaco</v>
      </c>
      <c r="C181" s="1">
        <f>IFERROR(__xludf.DUMMYFUNCTION("""COMPUTED_VALUE"""),98.0)</f>
        <v>98</v>
      </c>
      <c r="D181" s="1" t="str">
        <f>IFERROR(__xludf.DUMMYFUNCTION("""COMPUTED_VALUE"""),"")</f>
        <v/>
      </c>
      <c r="E181" s="1">
        <f>IFERROR(__xludf.DUMMYFUNCTION("""COMPUTED_VALUE"""),4.0)</f>
        <v>4</v>
      </c>
      <c r="F181" s="1" t="str">
        <f>IFERROR(__xludf.DUMMYFUNCTION("""COMPUTED_VALUE"""),"")</f>
        <v/>
      </c>
      <c r="G181" s="1">
        <f>IFERROR(__xludf.DUMMYFUNCTION("""COMPUTED_VALUE"""),90.0)</f>
        <v>90</v>
      </c>
      <c r="H181" s="1" t="str">
        <f>IFERROR(__xludf.DUMMYFUNCTION("""COMPUTED_VALUE"""),"")</f>
        <v/>
      </c>
      <c r="I181" s="1">
        <f>IFERROR(__xludf.DUMMYFUNCTION("""COMPUTED_VALUE"""),4.0)</f>
        <v>4</v>
      </c>
      <c r="J181" s="1">
        <f>IFERROR(__xludf.DUMMYFUNCTION("""COMPUTED_VALUE"""),2.0)</f>
        <v>2</v>
      </c>
      <c r="K181" s="3">
        <f>IFERROR(__xludf.DUMMYFUNCTION("""COMPUTED_VALUE"""),2499.0)</f>
        <v>2499</v>
      </c>
      <c r="L181" s="1">
        <f>IFERROR(__xludf.DUMMYFUNCTION("""COMPUTED_VALUE"""),102.0)</f>
        <v>102</v>
      </c>
      <c r="M181" s="1" t="str">
        <f>IFERROR(__xludf.DUMMYFUNCTION("""COMPUTED_VALUE"""),"")</f>
        <v/>
      </c>
      <c r="N181" s="1" t="str">
        <f>IFERROR(__xludf.DUMMYFUNCTION("""COMPUTED_VALUE"""),"")</f>
        <v/>
      </c>
      <c r="O181" s="3">
        <f>IFERROR(__xludf.DUMMYFUNCTION("""COMPUTED_VALUE"""),39217.0)</f>
        <v>39217</v>
      </c>
      <c r="P181" s="1" t="str">
        <f>IFERROR(__xludf.DUMMYFUNCTION("""COMPUTED_VALUE"""),"Europe")</f>
        <v>Europe</v>
      </c>
      <c r="Q181" s="1">
        <f>IFERROR(__xludf.DUMMYFUNCTION("""COMPUTED_VALUE"""),400.0)</f>
        <v>400</v>
      </c>
      <c r="R181" s="3">
        <f>IFERROR(__xludf.DUMMYFUNCTION("""COMPUTED_VALUE"""),9804.0)</f>
        <v>9804</v>
      </c>
      <c r="S181" s="1" t="str">
        <f>IFERROR(__xludf.DUMMYFUNCTION("""COMPUTED_VALUE"""),"")</f>
        <v/>
      </c>
    </row>
    <row r="182">
      <c r="A182" s="1">
        <f>IFERROR(__xludf.DUMMYFUNCTION("""COMPUTED_VALUE"""),173.0)</f>
        <v>173</v>
      </c>
      <c r="B182" s="1" t="str">
        <f>IFERROR(__xludf.DUMMYFUNCTION("""COMPUTED_VALUE"""),"Barbados")</f>
        <v>Barbados</v>
      </c>
      <c r="C182" s="1">
        <f>IFERROR(__xludf.DUMMYFUNCTION("""COMPUTED_VALUE"""),92.0)</f>
        <v>92</v>
      </c>
      <c r="D182" s="1" t="str">
        <f>IFERROR(__xludf.DUMMYFUNCTION("""COMPUTED_VALUE"""),"")</f>
        <v/>
      </c>
      <c r="E182" s="1">
        <f>IFERROR(__xludf.DUMMYFUNCTION("""COMPUTED_VALUE"""),7.0)</f>
        <v>7</v>
      </c>
      <c r="F182" s="1" t="str">
        <f>IFERROR(__xludf.DUMMYFUNCTION("""COMPUTED_VALUE"""),"")</f>
        <v/>
      </c>
      <c r="G182" s="1">
        <f>IFERROR(__xludf.DUMMYFUNCTION("""COMPUTED_VALUE"""),76.0)</f>
        <v>76</v>
      </c>
      <c r="H182" s="1" t="str">
        <f>IFERROR(__xludf.DUMMYFUNCTION("""COMPUTED_VALUE"""),"")</f>
        <v/>
      </c>
      <c r="I182" s="1">
        <f>IFERROR(__xludf.DUMMYFUNCTION("""COMPUTED_VALUE"""),9.0)</f>
        <v>9</v>
      </c>
      <c r="J182" s="1">
        <f>IFERROR(__xludf.DUMMYFUNCTION("""COMPUTED_VALUE"""),1.0)</f>
        <v>1</v>
      </c>
      <c r="K182" s="1">
        <f>IFERROR(__xludf.DUMMYFUNCTION("""COMPUTED_VALUE"""),320.0)</f>
        <v>320</v>
      </c>
      <c r="L182" s="1">
        <f>IFERROR(__xludf.DUMMYFUNCTION("""COMPUTED_VALUE"""),24.0)</f>
        <v>24</v>
      </c>
      <c r="M182" s="3">
        <f>IFERROR(__xludf.DUMMYFUNCTION("""COMPUTED_VALUE"""),5201.0)</f>
        <v>5201</v>
      </c>
      <c r="N182" s="3">
        <f>IFERROR(__xludf.DUMMYFUNCTION("""COMPUTED_VALUE"""),18100.0)</f>
        <v>18100</v>
      </c>
      <c r="O182" s="3">
        <f>IFERROR(__xludf.DUMMYFUNCTION("""COMPUTED_VALUE"""),287344.0)</f>
        <v>287344</v>
      </c>
      <c r="P182" s="1" t="str">
        <f>IFERROR(__xludf.DUMMYFUNCTION("""COMPUTED_VALUE"""),"North America")</f>
        <v>North America</v>
      </c>
      <c r="Q182" s="3">
        <f>IFERROR(__xludf.DUMMYFUNCTION("""COMPUTED_VALUE"""),3123.0)</f>
        <v>3123</v>
      </c>
      <c r="R182" s="3">
        <f>IFERROR(__xludf.DUMMYFUNCTION("""COMPUTED_VALUE"""),41049.0)</f>
        <v>41049</v>
      </c>
      <c r="S182" s="1">
        <f>IFERROR(__xludf.DUMMYFUNCTION("""COMPUTED_VALUE"""),55.0)</f>
        <v>55</v>
      </c>
    </row>
    <row r="183">
      <c r="A183" s="1">
        <f>IFERROR(__xludf.DUMMYFUNCTION("""COMPUTED_VALUE"""),174.0)</f>
        <v>174</v>
      </c>
      <c r="B183" s="1" t="str">
        <f>IFERROR(__xludf.DUMMYFUNCTION("""COMPUTED_VALUE"""),"Comoros")</f>
        <v>Comoros</v>
      </c>
      <c r="C183" s="1">
        <f>IFERROR(__xludf.DUMMYFUNCTION("""COMPUTED_VALUE"""),87.0)</f>
        <v>87</v>
      </c>
      <c r="D183" s="1" t="str">
        <f>IFERROR(__xludf.DUMMYFUNCTION("""COMPUTED_VALUE"""),"")</f>
        <v/>
      </c>
      <c r="E183" s="1">
        <f>IFERROR(__xludf.DUMMYFUNCTION("""COMPUTED_VALUE"""),2.0)</f>
        <v>2</v>
      </c>
      <c r="F183" s="1" t="str">
        <f>IFERROR(__xludf.DUMMYFUNCTION("""COMPUTED_VALUE"""),"")</f>
        <v/>
      </c>
      <c r="G183" s="1">
        <f>IFERROR(__xludf.DUMMYFUNCTION("""COMPUTED_VALUE"""),24.0)</f>
        <v>24</v>
      </c>
      <c r="H183" s="1" t="str">
        <f>IFERROR(__xludf.DUMMYFUNCTION("""COMPUTED_VALUE"""),"")</f>
        <v/>
      </c>
      <c r="I183" s="1">
        <f>IFERROR(__xludf.DUMMYFUNCTION("""COMPUTED_VALUE"""),61.0)</f>
        <v>61</v>
      </c>
      <c r="J183" s="1" t="str">
        <f>IFERROR(__xludf.DUMMYFUNCTION("""COMPUTED_VALUE"""),"")</f>
        <v/>
      </c>
      <c r="K183" s="1">
        <f>IFERROR(__xludf.DUMMYFUNCTION("""COMPUTED_VALUE"""),100.0)</f>
        <v>100</v>
      </c>
      <c r="L183" s="1">
        <f>IFERROR(__xludf.DUMMYFUNCTION("""COMPUTED_VALUE"""),2.0)</f>
        <v>2</v>
      </c>
      <c r="M183" s="1" t="str">
        <f>IFERROR(__xludf.DUMMYFUNCTION("""COMPUTED_VALUE"""),"")</f>
        <v/>
      </c>
      <c r="N183" s="1" t="str">
        <f>IFERROR(__xludf.DUMMYFUNCTION("""COMPUTED_VALUE"""),"")</f>
        <v/>
      </c>
      <c r="O183" s="3">
        <f>IFERROR(__xludf.DUMMYFUNCTION("""COMPUTED_VALUE"""),867776.0)</f>
        <v>867776</v>
      </c>
      <c r="P183" s="1" t="str">
        <f>IFERROR(__xludf.DUMMYFUNCTION("""COMPUTED_VALUE"""),"Africa")</f>
        <v>Africa</v>
      </c>
      <c r="Q183" s="3">
        <f>IFERROR(__xludf.DUMMYFUNCTION("""COMPUTED_VALUE"""),9974.0)</f>
        <v>9974</v>
      </c>
      <c r="R183" s="3">
        <f>IFERROR(__xludf.DUMMYFUNCTION("""COMPUTED_VALUE"""),433888.0)</f>
        <v>433888</v>
      </c>
      <c r="S183" s="1" t="str">
        <f>IFERROR(__xludf.DUMMYFUNCTION("""COMPUTED_VALUE"""),"")</f>
        <v/>
      </c>
    </row>
    <row r="184">
      <c r="A184" s="1">
        <f>IFERROR(__xludf.DUMMYFUNCTION("""COMPUTED_VALUE"""),175.0)</f>
        <v>175</v>
      </c>
      <c r="B184" s="1" t="str">
        <f>IFERROR(__xludf.DUMMYFUNCTION("""COMPUTED_VALUE"""),"Liechtenstein")</f>
        <v>Liechtenstein</v>
      </c>
      <c r="C184" s="1">
        <f>IFERROR(__xludf.DUMMYFUNCTION("""COMPUTED_VALUE"""),82.0)</f>
        <v>82</v>
      </c>
      <c r="D184" s="1" t="str">
        <f>IFERROR(__xludf.DUMMYFUNCTION("""COMPUTED_VALUE"""),"")</f>
        <v/>
      </c>
      <c r="E184" s="1">
        <f>IFERROR(__xludf.DUMMYFUNCTION("""COMPUTED_VALUE"""),1.0)</f>
        <v>1</v>
      </c>
      <c r="F184" s="1" t="str">
        <f>IFERROR(__xludf.DUMMYFUNCTION("""COMPUTED_VALUE"""),"")</f>
        <v/>
      </c>
      <c r="G184" s="1">
        <f>IFERROR(__xludf.DUMMYFUNCTION("""COMPUTED_VALUE"""),55.0)</f>
        <v>55</v>
      </c>
      <c r="H184" s="1" t="str">
        <f>IFERROR(__xludf.DUMMYFUNCTION("""COMPUTED_VALUE"""),"")</f>
        <v/>
      </c>
      <c r="I184" s="1">
        <f>IFERROR(__xludf.DUMMYFUNCTION("""COMPUTED_VALUE"""),26.0)</f>
        <v>26</v>
      </c>
      <c r="J184" s="1" t="str">
        <f>IFERROR(__xludf.DUMMYFUNCTION("""COMPUTED_VALUE"""),"")</f>
        <v/>
      </c>
      <c r="K184" s="3">
        <f>IFERROR(__xludf.DUMMYFUNCTION("""COMPUTED_VALUE"""),2151.0)</f>
        <v>2151</v>
      </c>
      <c r="L184" s="1">
        <f>IFERROR(__xludf.DUMMYFUNCTION("""COMPUTED_VALUE"""),26.0)</f>
        <v>26</v>
      </c>
      <c r="M184" s="1">
        <f>IFERROR(__xludf.DUMMYFUNCTION("""COMPUTED_VALUE"""),900.0)</f>
        <v>900</v>
      </c>
      <c r="N184" s="3">
        <f>IFERROR(__xludf.DUMMYFUNCTION("""COMPUTED_VALUE"""),23611.0)</f>
        <v>23611</v>
      </c>
      <c r="O184" s="3">
        <f>IFERROR(__xludf.DUMMYFUNCTION("""COMPUTED_VALUE"""),38118.0)</f>
        <v>38118</v>
      </c>
      <c r="P184" s="1" t="str">
        <f>IFERROR(__xludf.DUMMYFUNCTION("""COMPUTED_VALUE"""),"Europe")</f>
        <v>Europe</v>
      </c>
      <c r="Q184" s="1">
        <f>IFERROR(__xludf.DUMMYFUNCTION("""COMPUTED_VALUE"""),465.0)</f>
        <v>465</v>
      </c>
      <c r="R184" s="3">
        <f>IFERROR(__xludf.DUMMYFUNCTION("""COMPUTED_VALUE"""),38118.0)</f>
        <v>38118</v>
      </c>
      <c r="S184" s="1">
        <f>IFERROR(__xludf.DUMMYFUNCTION("""COMPUTED_VALUE"""),42.0)</f>
        <v>42</v>
      </c>
    </row>
    <row r="185">
      <c r="A185" s="1">
        <f>IFERROR(__xludf.DUMMYFUNCTION("""COMPUTED_VALUE"""),176.0)</f>
        <v>176</v>
      </c>
      <c r="B185" s="1" t="str">
        <f>IFERROR(__xludf.DUMMYFUNCTION("""COMPUTED_VALUE"""),"Sint Maarten")</f>
        <v>Sint Maarten</v>
      </c>
      <c r="C185" s="1">
        <f>IFERROR(__xludf.DUMMYFUNCTION("""COMPUTED_VALUE"""),77.0)</f>
        <v>77</v>
      </c>
      <c r="D185" s="1" t="str">
        <f>IFERROR(__xludf.DUMMYFUNCTION("""COMPUTED_VALUE"""),"")</f>
        <v/>
      </c>
      <c r="E185" s="1">
        <f>IFERROR(__xludf.DUMMYFUNCTION("""COMPUTED_VALUE"""),15.0)</f>
        <v>15</v>
      </c>
      <c r="F185" s="1" t="str">
        <f>IFERROR(__xludf.DUMMYFUNCTION("""COMPUTED_VALUE"""),"")</f>
        <v/>
      </c>
      <c r="G185" s="1">
        <f>IFERROR(__xludf.DUMMYFUNCTION("""COMPUTED_VALUE"""),60.0)</f>
        <v>60</v>
      </c>
      <c r="H185" s="1" t="str">
        <f>IFERROR(__xludf.DUMMYFUNCTION("""COMPUTED_VALUE"""),"")</f>
        <v/>
      </c>
      <c r="I185" s="1">
        <f>IFERROR(__xludf.DUMMYFUNCTION("""COMPUTED_VALUE"""),2.0)</f>
        <v>2</v>
      </c>
      <c r="J185" s="1">
        <f>IFERROR(__xludf.DUMMYFUNCTION("""COMPUTED_VALUE"""),1.0)</f>
        <v>1</v>
      </c>
      <c r="K185" s="3">
        <f>IFERROR(__xludf.DUMMYFUNCTION("""COMPUTED_VALUE"""),1798.0)</f>
        <v>1798</v>
      </c>
      <c r="L185" s="1">
        <f>IFERROR(__xludf.DUMMYFUNCTION("""COMPUTED_VALUE"""),350.0)</f>
        <v>350</v>
      </c>
      <c r="M185" s="1">
        <f>IFERROR(__xludf.DUMMYFUNCTION("""COMPUTED_VALUE"""),438.0)</f>
        <v>438</v>
      </c>
      <c r="N185" s="3">
        <f>IFERROR(__xludf.DUMMYFUNCTION("""COMPUTED_VALUE"""),10226.0)</f>
        <v>10226</v>
      </c>
      <c r="O185" s="3">
        <f>IFERROR(__xludf.DUMMYFUNCTION("""COMPUTED_VALUE"""),42831.0)</f>
        <v>42831</v>
      </c>
      <c r="P185" s="1" t="str">
        <f>IFERROR(__xludf.DUMMYFUNCTION("""COMPUTED_VALUE"""),"North America")</f>
        <v>North America</v>
      </c>
      <c r="Q185" s="1">
        <f>IFERROR(__xludf.DUMMYFUNCTION("""COMPUTED_VALUE"""),556.0)</f>
        <v>556</v>
      </c>
      <c r="R185" s="3">
        <f>IFERROR(__xludf.DUMMYFUNCTION("""COMPUTED_VALUE"""),2855.0)</f>
        <v>2855</v>
      </c>
      <c r="S185" s="1">
        <f>IFERROR(__xludf.DUMMYFUNCTION("""COMPUTED_VALUE"""),98.0)</f>
        <v>98</v>
      </c>
    </row>
    <row r="186">
      <c r="A186" s="1">
        <f>IFERROR(__xludf.DUMMYFUNCTION("""COMPUTED_VALUE"""),177.0)</f>
        <v>177</v>
      </c>
      <c r="B186" s="1" t="str">
        <f>IFERROR(__xludf.DUMMYFUNCTION("""COMPUTED_VALUE"""),"Angola")</f>
        <v>Angola</v>
      </c>
      <c r="C186" s="1">
        <f>IFERROR(__xludf.DUMMYFUNCTION("""COMPUTED_VALUE"""),74.0)</f>
        <v>74</v>
      </c>
      <c r="D186" s="1" t="str">
        <f>IFERROR(__xludf.DUMMYFUNCTION("""COMPUTED_VALUE"""),"")</f>
        <v/>
      </c>
      <c r="E186" s="1">
        <f>IFERROR(__xludf.DUMMYFUNCTION("""COMPUTED_VALUE"""),4.0)</f>
        <v>4</v>
      </c>
      <c r="F186" s="1" t="str">
        <f>IFERROR(__xludf.DUMMYFUNCTION("""COMPUTED_VALUE"""),"")</f>
        <v/>
      </c>
      <c r="G186" s="1">
        <f>IFERROR(__xludf.DUMMYFUNCTION("""COMPUTED_VALUE"""),18.0)</f>
        <v>18</v>
      </c>
      <c r="H186" s="1" t="str">
        <f>IFERROR(__xludf.DUMMYFUNCTION("""COMPUTED_VALUE"""),"")</f>
        <v/>
      </c>
      <c r="I186" s="1">
        <f>IFERROR(__xludf.DUMMYFUNCTION("""COMPUTED_VALUE"""),52.0)</f>
        <v>52</v>
      </c>
      <c r="J186" s="1" t="str">
        <f>IFERROR(__xludf.DUMMYFUNCTION("""COMPUTED_VALUE"""),"")</f>
        <v/>
      </c>
      <c r="K186" s="1">
        <f>IFERROR(__xludf.DUMMYFUNCTION("""COMPUTED_VALUE"""),2.0)</f>
        <v>2</v>
      </c>
      <c r="L186" s="1">
        <f>IFERROR(__xludf.DUMMYFUNCTION("""COMPUTED_VALUE"""),0.1)</f>
        <v>0.1</v>
      </c>
      <c r="M186" s="3">
        <f>IFERROR(__xludf.DUMMYFUNCTION("""COMPUTED_VALUE"""),10000.0)</f>
        <v>10000</v>
      </c>
      <c r="N186" s="1">
        <f>IFERROR(__xludf.DUMMYFUNCTION("""COMPUTED_VALUE"""),305.0)</f>
        <v>305</v>
      </c>
      <c r="O186" s="3">
        <f>IFERROR(__xludf.DUMMYFUNCTION("""COMPUTED_VALUE"""),3.2759848E7)</f>
        <v>32759848</v>
      </c>
      <c r="P186" s="1" t="str">
        <f>IFERROR(__xludf.DUMMYFUNCTION("""COMPUTED_VALUE"""),"Africa")</f>
        <v>Africa</v>
      </c>
      <c r="Q186" s="3">
        <f>IFERROR(__xludf.DUMMYFUNCTION("""COMPUTED_VALUE"""),442701.0)</f>
        <v>442701</v>
      </c>
      <c r="R186" s="3">
        <f>IFERROR(__xludf.DUMMYFUNCTION("""COMPUTED_VALUE"""),8189962.0)</f>
        <v>8189962</v>
      </c>
      <c r="S186" s="3">
        <f>IFERROR(__xludf.DUMMYFUNCTION("""COMPUTED_VALUE"""),3276.0)</f>
        <v>3276</v>
      </c>
    </row>
    <row r="187">
      <c r="A187" s="1">
        <f>IFERROR(__xludf.DUMMYFUNCTION("""COMPUTED_VALUE"""),178.0)</f>
        <v>178</v>
      </c>
      <c r="B187" s="1" t="str">
        <f>IFERROR(__xludf.DUMMYFUNCTION("""COMPUTED_VALUE"""),"French Polynesia")</f>
        <v>French Polynesia</v>
      </c>
      <c r="C187" s="1">
        <f>IFERROR(__xludf.DUMMYFUNCTION("""COMPUTED_VALUE"""),60.0)</f>
        <v>60</v>
      </c>
      <c r="D187" s="1" t="str">
        <f>IFERROR(__xludf.DUMMYFUNCTION("""COMPUTED_VALUE"""),"")</f>
        <v/>
      </c>
      <c r="E187" s="1" t="str">
        <f>IFERROR(__xludf.DUMMYFUNCTION("""COMPUTED_VALUE"""),"")</f>
        <v/>
      </c>
      <c r="F187" s="1" t="str">
        <f>IFERROR(__xludf.DUMMYFUNCTION("""COMPUTED_VALUE"""),"")</f>
        <v/>
      </c>
      <c r="G187" s="1">
        <f>IFERROR(__xludf.DUMMYFUNCTION("""COMPUTED_VALUE"""),60.0)</f>
        <v>60</v>
      </c>
      <c r="H187" s="1" t="str">
        <f>IFERROR(__xludf.DUMMYFUNCTION("""COMPUTED_VALUE"""),"")</f>
        <v/>
      </c>
      <c r="I187" s="1">
        <f>IFERROR(__xludf.DUMMYFUNCTION("""COMPUTED_VALUE"""),0.0)</f>
        <v>0</v>
      </c>
      <c r="J187" s="1" t="str">
        <f>IFERROR(__xludf.DUMMYFUNCTION("""COMPUTED_VALUE"""),"")</f>
        <v/>
      </c>
      <c r="K187" s="1">
        <f>IFERROR(__xludf.DUMMYFUNCTION("""COMPUTED_VALUE"""),214.0)</f>
        <v>214</v>
      </c>
      <c r="L187" s="1" t="str">
        <f>IFERROR(__xludf.DUMMYFUNCTION("""COMPUTED_VALUE"""),"")</f>
        <v/>
      </c>
      <c r="M187" s="3">
        <f>IFERROR(__xludf.DUMMYFUNCTION("""COMPUTED_VALUE"""),4006.0)</f>
        <v>4006</v>
      </c>
      <c r="N187" s="3">
        <f>IFERROR(__xludf.DUMMYFUNCTION("""COMPUTED_VALUE"""),14268.0)</f>
        <v>14268</v>
      </c>
      <c r="O187" s="3">
        <f>IFERROR(__xludf.DUMMYFUNCTION("""COMPUTED_VALUE"""),280762.0)</f>
        <v>280762</v>
      </c>
      <c r="P187" s="1" t="str">
        <f>IFERROR(__xludf.DUMMYFUNCTION("""COMPUTED_VALUE"""),"Australia/Oceania")</f>
        <v>Australia/Oceania</v>
      </c>
      <c r="Q187" s="3">
        <f>IFERROR(__xludf.DUMMYFUNCTION("""COMPUTED_VALUE"""),4679.0)</f>
        <v>4679</v>
      </c>
      <c r="R187" s="1" t="str">
        <f>IFERROR(__xludf.DUMMYFUNCTION("""COMPUTED_VALUE"""),"")</f>
        <v/>
      </c>
      <c r="S187" s="1">
        <f>IFERROR(__xludf.DUMMYFUNCTION("""COMPUTED_VALUE"""),70.0)</f>
        <v>70</v>
      </c>
    </row>
    <row r="188">
      <c r="A188" s="1">
        <f>IFERROR(__xludf.DUMMYFUNCTION("""COMPUTED_VALUE"""),179.0)</f>
        <v>179</v>
      </c>
      <c r="B188" s="1" t="str">
        <f>IFERROR(__xludf.DUMMYFUNCTION("""COMPUTED_VALUE"""),"Macao")</f>
        <v>Macao</v>
      </c>
      <c r="C188" s="1">
        <f>IFERROR(__xludf.DUMMYFUNCTION("""COMPUTED_VALUE"""),45.0)</f>
        <v>45</v>
      </c>
      <c r="D188" s="1" t="str">
        <f>IFERROR(__xludf.DUMMYFUNCTION("""COMPUTED_VALUE"""),"")</f>
        <v/>
      </c>
      <c r="E188" s="1" t="str">
        <f>IFERROR(__xludf.DUMMYFUNCTION("""COMPUTED_VALUE"""),"")</f>
        <v/>
      </c>
      <c r="F188" s="1" t="str">
        <f>IFERROR(__xludf.DUMMYFUNCTION("""COMPUTED_VALUE"""),"")</f>
        <v/>
      </c>
      <c r="G188" s="1">
        <f>IFERROR(__xludf.DUMMYFUNCTION("""COMPUTED_VALUE"""),45.0)</f>
        <v>45</v>
      </c>
      <c r="H188" s="1" t="str">
        <f>IFERROR(__xludf.DUMMYFUNCTION("""COMPUTED_VALUE"""),"")</f>
        <v/>
      </c>
      <c r="I188" s="1">
        <f>IFERROR(__xludf.DUMMYFUNCTION("""COMPUTED_VALUE"""),0.0)</f>
        <v>0</v>
      </c>
      <c r="J188" s="1" t="str">
        <f>IFERROR(__xludf.DUMMYFUNCTION("""COMPUTED_VALUE"""),"")</f>
        <v/>
      </c>
      <c r="K188" s="1">
        <f>IFERROR(__xludf.DUMMYFUNCTION("""COMPUTED_VALUE"""),69.0)</f>
        <v>69</v>
      </c>
      <c r="L188" s="1" t="str">
        <f>IFERROR(__xludf.DUMMYFUNCTION("""COMPUTED_VALUE"""),"")</f>
        <v/>
      </c>
      <c r="M188" s="1" t="str">
        <f>IFERROR(__xludf.DUMMYFUNCTION("""COMPUTED_VALUE"""),"")</f>
        <v/>
      </c>
      <c r="N188" s="1" t="str">
        <f>IFERROR(__xludf.DUMMYFUNCTION("""COMPUTED_VALUE"""),"")</f>
        <v/>
      </c>
      <c r="O188" s="3">
        <f>IFERROR(__xludf.DUMMYFUNCTION("""COMPUTED_VALUE"""),648500.0)</f>
        <v>648500</v>
      </c>
      <c r="P188" s="1" t="str">
        <f>IFERROR(__xludf.DUMMYFUNCTION("""COMPUTED_VALUE"""),"Asia")</f>
        <v>Asia</v>
      </c>
      <c r="Q188" s="3">
        <f>IFERROR(__xludf.DUMMYFUNCTION("""COMPUTED_VALUE"""),14411.0)</f>
        <v>14411</v>
      </c>
      <c r="R188" s="1" t="str">
        <f>IFERROR(__xludf.DUMMYFUNCTION("""COMPUTED_VALUE"""),"")</f>
        <v/>
      </c>
      <c r="S188" s="1" t="str">
        <f>IFERROR(__xludf.DUMMYFUNCTION("""COMPUTED_VALUE"""),"")</f>
        <v/>
      </c>
    </row>
    <row r="189">
      <c r="A189" s="1">
        <f>IFERROR(__xludf.DUMMYFUNCTION("""COMPUTED_VALUE"""),180.0)</f>
        <v>180</v>
      </c>
      <c r="B189" s="1" t="str">
        <f>IFERROR(__xludf.DUMMYFUNCTION("""COMPUTED_VALUE"""),"Burundi")</f>
        <v>Burundi</v>
      </c>
      <c r="C189" s="1">
        <f>IFERROR(__xludf.DUMMYFUNCTION("""COMPUTED_VALUE"""),42.0)</f>
        <v>42</v>
      </c>
      <c r="D189" s="1" t="str">
        <f>IFERROR(__xludf.DUMMYFUNCTION("""COMPUTED_VALUE"""),"")</f>
        <v/>
      </c>
      <c r="E189" s="1">
        <f>IFERROR(__xludf.DUMMYFUNCTION("""COMPUTED_VALUE"""),1.0)</f>
        <v>1</v>
      </c>
      <c r="F189" s="1" t="str">
        <f>IFERROR(__xludf.DUMMYFUNCTION("""COMPUTED_VALUE"""),"")</f>
        <v/>
      </c>
      <c r="G189" s="1">
        <f>IFERROR(__xludf.DUMMYFUNCTION("""COMPUTED_VALUE"""),20.0)</f>
        <v>20</v>
      </c>
      <c r="H189" s="1" t="str">
        <f>IFERROR(__xludf.DUMMYFUNCTION("""COMPUTED_VALUE"""),"")</f>
        <v/>
      </c>
      <c r="I189" s="1">
        <f>IFERROR(__xludf.DUMMYFUNCTION("""COMPUTED_VALUE"""),21.0)</f>
        <v>21</v>
      </c>
      <c r="J189" s="1" t="str">
        <f>IFERROR(__xludf.DUMMYFUNCTION("""COMPUTED_VALUE"""),"")</f>
        <v/>
      </c>
      <c r="K189" s="1">
        <f>IFERROR(__xludf.DUMMYFUNCTION("""COMPUTED_VALUE"""),4.0)</f>
        <v>4</v>
      </c>
      <c r="L189" s="1">
        <f>IFERROR(__xludf.DUMMYFUNCTION("""COMPUTED_VALUE"""),0.08)</f>
        <v>0.08</v>
      </c>
      <c r="M189" s="1">
        <f>IFERROR(__xludf.DUMMYFUNCTION("""COMPUTED_VALUE"""),284.0)</f>
        <v>284</v>
      </c>
      <c r="N189" s="1">
        <f>IFERROR(__xludf.DUMMYFUNCTION("""COMPUTED_VALUE"""),24.0)</f>
        <v>24</v>
      </c>
      <c r="O189" s="3">
        <f>IFERROR(__xludf.DUMMYFUNCTION("""COMPUTED_VALUE"""),1.185419E7)</f>
        <v>11854190</v>
      </c>
      <c r="P189" s="1" t="str">
        <f>IFERROR(__xludf.DUMMYFUNCTION("""COMPUTED_VALUE"""),"Africa")</f>
        <v>Africa</v>
      </c>
      <c r="Q189" s="3">
        <f>IFERROR(__xludf.DUMMYFUNCTION("""COMPUTED_VALUE"""),282243.0)</f>
        <v>282243</v>
      </c>
      <c r="R189" s="3">
        <f>IFERROR(__xludf.DUMMYFUNCTION("""COMPUTED_VALUE"""),1.185419E7)</f>
        <v>11854190</v>
      </c>
      <c r="S189" s="3">
        <f>IFERROR(__xludf.DUMMYFUNCTION("""COMPUTED_VALUE"""),41740.0)</f>
        <v>41740</v>
      </c>
    </row>
    <row r="190">
      <c r="A190" s="1">
        <f>IFERROR(__xludf.DUMMYFUNCTION("""COMPUTED_VALUE"""),181.0)</f>
        <v>181</v>
      </c>
      <c r="B190" s="1" t="str">
        <f>IFERROR(__xludf.DUMMYFUNCTION("""COMPUTED_VALUE"""),"Saint Martin")</f>
        <v>Saint Martin</v>
      </c>
      <c r="C190" s="1">
        <f>IFERROR(__xludf.DUMMYFUNCTION("""COMPUTED_VALUE"""),40.0)</f>
        <v>40</v>
      </c>
      <c r="D190" s="1" t="str">
        <f>IFERROR(__xludf.DUMMYFUNCTION("""COMPUTED_VALUE"""),"")</f>
        <v/>
      </c>
      <c r="E190" s="1">
        <f>IFERROR(__xludf.DUMMYFUNCTION("""COMPUTED_VALUE"""),3.0)</f>
        <v>3</v>
      </c>
      <c r="F190" s="1" t="str">
        <f>IFERROR(__xludf.DUMMYFUNCTION("""COMPUTED_VALUE"""),"")</f>
        <v/>
      </c>
      <c r="G190" s="1">
        <f>IFERROR(__xludf.DUMMYFUNCTION("""COMPUTED_VALUE"""),33.0)</f>
        <v>33</v>
      </c>
      <c r="H190" s="1" t="str">
        <f>IFERROR(__xludf.DUMMYFUNCTION("""COMPUTED_VALUE"""),"")</f>
        <v/>
      </c>
      <c r="I190" s="1">
        <f>IFERROR(__xludf.DUMMYFUNCTION("""COMPUTED_VALUE"""),4.0)</f>
        <v>4</v>
      </c>
      <c r="J190" s="1">
        <f>IFERROR(__xludf.DUMMYFUNCTION("""COMPUTED_VALUE"""),1.0)</f>
        <v>1</v>
      </c>
      <c r="K190" s="3">
        <f>IFERROR(__xludf.DUMMYFUNCTION("""COMPUTED_VALUE"""),1036.0)</f>
        <v>1036</v>
      </c>
      <c r="L190" s="1">
        <f>IFERROR(__xludf.DUMMYFUNCTION("""COMPUTED_VALUE"""),78.0)</f>
        <v>78</v>
      </c>
      <c r="M190" s="1">
        <f>IFERROR(__xludf.DUMMYFUNCTION("""COMPUTED_VALUE"""),553.0)</f>
        <v>553</v>
      </c>
      <c r="N190" s="3">
        <f>IFERROR(__xludf.DUMMYFUNCTION("""COMPUTED_VALUE"""),14325.0)</f>
        <v>14325</v>
      </c>
      <c r="O190" s="3">
        <f>IFERROR(__xludf.DUMMYFUNCTION("""COMPUTED_VALUE"""),38603.0)</f>
        <v>38603</v>
      </c>
      <c r="P190" s="1" t="str">
        <f>IFERROR(__xludf.DUMMYFUNCTION("""COMPUTED_VALUE"""),"North America")</f>
        <v>North America</v>
      </c>
      <c r="Q190" s="1">
        <f>IFERROR(__xludf.DUMMYFUNCTION("""COMPUTED_VALUE"""),965.0)</f>
        <v>965</v>
      </c>
      <c r="R190" s="3">
        <f>IFERROR(__xludf.DUMMYFUNCTION("""COMPUTED_VALUE"""),12868.0)</f>
        <v>12868</v>
      </c>
      <c r="S190" s="1">
        <f>IFERROR(__xludf.DUMMYFUNCTION("""COMPUTED_VALUE"""),70.0)</f>
        <v>70</v>
      </c>
    </row>
    <row r="191">
      <c r="A191" s="1">
        <f>IFERROR(__xludf.DUMMYFUNCTION("""COMPUTED_VALUE"""),182.0)</f>
        <v>182</v>
      </c>
      <c r="B191" s="1" t="str">
        <f>IFERROR(__xludf.DUMMYFUNCTION("""COMPUTED_VALUE"""),"Eritrea")</f>
        <v>Eritrea</v>
      </c>
      <c r="C191" s="1">
        <f>IFERROR(__xludf.DUMMYFUNCTION("""COMPUTED_VALUE"""),39.0)</f>
        <v>39</v>
      </c>
      <c r="D191" s="1" t="str">
        <f>IFERROR(__xludf.DUMMYFUNCTION("""COMPUTED_VALUE"""),"")</f>
        <v/>
      </c>
      <c r="E191" s="1" t="str">
        <f>IFERROR(__xludf.DUMMYFUNCTION("""COMPUTED_VALUE"""),"")</f>
        <v/>
      </c>
      <c r="F191" s="1" t="str">
        <f>IFERROR(__xludf.DUMMYFUNCTION("""COMPUTED_VALUE"""),"")</f>
        <v/>
      </c>
      <c r="G191" s="1">
        <f>IFERROR(__xludf.DUMMYFUNCTION("""COMPUTED_VALUE"""),39.0)</f>
        <v>39</v>
      </c>
      <c r="H191" s="1" t="str">
        <f>IFERROR(__xludf.DUMMYFUNCTION("""COMPUTED_VALUE"""),"")</f>
        <v/>
      </c>
      <c r="I191" s="1">
        <f>IFERROR(__xludf.DUMMYFUNCTION("""COMPUTED_VALUE"""),0.0)</f>
        <v>0</v>
      </c>
      <c r="J191" s="1" t="str">
        <f>IFERROR(__xludf.DUMMYFUNCTION("""COMPUTED_VALUE"""),"")</f>
        <v/>
      </c>
      <c r="K191" s="1">
        <f>IFERROR(__xludf.DUMMYFUNCTION("""COMPUTED_VALUE"""),11.0)</f>
        <v>11</v>
      </c>
      <c r="L191" s="1" t="str">
        <f>IFERROR(__xludf.DUMMYFUNCTION("""COMPUTED_VALUE"""),"")</f>
        <v/>
      </c>
      <c r="M191" s="1" t="str">
        <f>IFERROR(__xludf.DUMMYFUNCTION("""COMPUTED_VALUE"""),"")</f>
        <v/>
      </c>
      <c r="N191" s="1" t="str">
        <f>IFERROR(__xludf.DUMMYFUNCTION("""COMPUTED_VALUE"""),"")</f>
        <v/>
      </c>
      <c r="O191" s="3">
        <f>IFERROR(__xludf.DUMMYFUNCTION("""COMPUTED_VALUE"""),3541785.0)</f>
        <v>3541785</v>
      </c>
      <c r="P191" s="1" t="str">
        <f>IFERROR(__xludf.DUMMYFUNCTION("""COMPUTED_VALUE"""),"Africa")</f>
        <v>Africa</v>
      </c>
      <c r="Q191" s="3">
        <f>IFERROR(__xludf.DUMMYFUNCTION("""COMPUTED_VALUE"""),90815.0)</f>
        <v>90815</v>
      </c>
      <c r="R191" s="1" t="str">
        <f>IFERROR(__xludf.DUMMYFUNCTION("""COMPUTED_VALUE"""),"")</f>
        <v/>
      </c>
      <c r="S191" s="1" t="str">
        <f>IFERROR(__xludf.DUMMYFUNCTION("""COMPUTED_VALUE"""),"")</f>
        <v/>
      </c>
    </row>
    <row r="192">
      <c r="A192" s="1">
        <f>IFERROR(__xludf.DUMMYFUNCTION("""COMPUTED_VALUE"""),183.0)</f>
        <v>183</v>
      </c>
      <c r="B192" s="1" t="str">
        <f>IFERROR(__xludf.DUMMYFUNCTION("""COMPUTED_VALUE"""),"Botswana")</f>
        <v>Botswana</v>
      </c>
      <c r="C192" s="1">
        <f>IFERROR(__xludf.DUMMYFUNCTION("""COMPUTED_VALUE"""),35.0)</f>
        <v>35</v>
      </c>
      <c r="D192" s="1" t="str">
        <f>IFERROR(__xludf.DUMMYFUNCTION("""COMPUTED_VALUE"""),"")</f>
        <v/>
      </c>
      <c r="E192" s="1">
        <f>IFERROR(__xludf.DUMMYFUNCTION("""COMPUTED_VALUE"""),1.0)</f>
        <v>1</v>
      </c>
      <c r="F192" s="1" t="str">
        <f>IFERROR(__xludf.DUMMYFUNCTION("""COMPUTED_VALUE"""),"")</f>
        <v/>
      </c>
      <c r="G192" s="1">
        <f>IFERROR(__xludf.DUMMYFUNCTION("""COMPUTED_VALUE"""),20.0)</f>
        <v>20</v>
      </c>
      <c r="H192" s="1" t="str">
        <f>IFERROR(__xludf.DUMMYFUNCTION("""COMPUTED_VALUE"""),"")</f>
        <v/>
      </c>
      <c r="I192" s="1">
        <f>IFERROR(__xludf.DUMMYFUNCTION("""COMPUTED_VALUE"""),14.0)</f>
        <v>14</v>
      </c>
      <c r="J192" s="1" t="str">
        <f>IFERROR(__xludf.DUMMYFUNCTION("""COMPUTED_VALUE"""),"")</f>
        <v/>
      </c>
      <c r="K192" s="1">
        <f>IFERROR(__xludf.DUMMYFUNCTION("""COMPUTED_VALUE"""),15.0)</f>
        <v>15</v>
      </c>
      <c r="L192" s="1">
        <f>IFERROR(__xludf.DUMMYFUNCTION("""COMPUTED_VALUE"""),0.4)</f>
        <v>0.4</v>
      </c>
      <c r="M192" s="3">
        <f>IFERROR(__xludf.DUMMYFUNCTION("""COMPUTED_VALUE"""),17991.0)</f>
        <v>17991</v>
      </c>
      <c r="N192" s="3">
        <f>IFERROR(__xludf.DUMMYFUNCTION("""COMPUTED_VALUE"""),7666.0)</f>
        <v>7666</v>
      </c>
      <c r="O192" s="3">
        <f>IFERROR(__xludf.DUMMYFUNCTION("""COMPUTED_VALUE"""),2346977.0)</f>
        <v>2346977</v>
      </c>
      <c r="P192" s="1" t="str">
        <f>IFERROR(__xludf.DUMMYFUNCTION("""COMPUTED_VALUE"""),"Africa")</f>
        <v>Africa</v>
      </c>
      <c r="Q192" s="3">
        <f>IFERROR(__xludf.DUMMYFUNCTION("""COMPUTED_VALUE"""),67056.0)</f>
        <v>67056</v>
      </c>
      <c r="R192" s="3">
        <f>IFERROR(__xludf.DUMMYFUNCTION("""COMPUTED_VALUE"""),2346977.0)</f>
        <v>2346977</v>
      </c>
      <c r="S192" s="1">
        <f>IFERROR(__xludf.DUMMYFUNCTION("""COMPUTED_VALUE"""),130.0)</f>
        <v>130</v>
      </c>
    </row>
    <row r="193">
      <c r="A193" s="1">
        <f>IFERROR(__xludf.DUMMYFUNCTION("""COMPUTED_VALUE"""),184.0)</f>
        <v>184</v>
      </c>
      <c r="B193" s="1" t="str">
        <f>IFERROR(__xludf.DUMMYFUNCTION("""COMPUTED_VALUE"""),"Bhutan")</f>
        <v>Bhutan</v>
      </c>
      <c r="C193" s="1">
        <f>IFERROR(__xludf.DUMMYFUNCTION("""COMPUTED_VALUE"""),31.0)</f>
        <v>31</v>
      </c>
      <c r="D193" s="1" t="str">
        <f>IFERROR(__xludf.DUMMYFUNCTION("""COMPUTED_VALUE"""),"")</f>
        <v/>
      </c>
      <c r="E193" s="1" t="str">
        <f>IFERROR(__xludf.DUMMYFUNCTION("""COMPUTED_VALUE"""),"")</f>
        <v/>
      </c>
      <c r="F193" s="1" t="str">
        <f>IFERROR(__xludf.DUMMYFUNCTION("""COMPUTED_VALUE"""),"")</f>
        <v/>
      </c>
      <c r="G193" s="1">
        <f>IFERROR(__xludf.DUMMYFUNCTION("""COMPUTED_VALUE"""),6.0)</f>
        <v>6</v>
      </c>
      <c r="H193" s="1" t="str">
        <f>IFERROR(__xludf.DUMMYFUNCTION("""COMPUTED_VALUE"""),"")</f>
        <v/>
      </c>
      <c r="I193" s="1">
        <f>IFERROR(__xludf.DUMMYFUNCTION("""COMPUTED_VALUE"""),25.0)</f>
        <v>25</v>
      </c>
      <c r="J193" s="1" t="str">
        <f>IFERROR(__xludf.DUMMYFUNCTION("""COMPUTED_VALUE"""),"")</f>
        <v/>
      </c>
      <c r="K193" s="1">
        <f>IFERROR(__xludf.DUMMYFUNCTION("""COMPUTED_VALUE"""),40.0)</f>
        <v>40</v>
      </c>
      <c r="L193" s="1" t="str">
        <f>IFERROR(__xludf.DUMMYFUNCTION("""COMPUTED_VALUE"""),"")</f>
        <v/>
      </c>
      <c r="M193" s="3">
        <f>IFERROR(__xludf.DUMMYFUNCTION("""COMPUTED_VALUE"""),15862.0)</f>
        <v>15862</v>
      </c>
      <c r="N193" s="3">
        <f>IFERROR(__xludf.DUMMYFUNCTION("""COMPUTED_VALUE"""),20578.0)</f>
        <v>20578</v>
      </c>
      <c r="O193" s="3">
        <f>IFERROR(__xludf.DUMMYFUNCTION("""COMPUTED_VALUE"""),770818.0)</f>
        <v>770818</v>
      </c>
      <c r="P193" s="1" t="str">
        <f>IFERROR(__xludf.DUMMYFUNCTION("""COMPUTED_VALUE"""),"Asia")</f>
        <v>Asia</v>
      </c>
      <c r="Q193" s="3">
        <f>IFERROR(__xludf.DUMMYFUNCTION("""COMPUTED_VALUE"""),24865.0)</f>
        <v>24865</v>
      </c>
      <c r="R193" s="1" t="str">
        <f>IFERROR(__xludf.DUMMYFUNCTION("""COMPUTED_VALUE"""),"")</f>
        <v/>
      </c>
      <c r="S193" s="1">
        <f>IFERROR(__xludf.DUMMYFUNCTION("""COMPUTED_VALUE"""),49.0)</f>
        <v>49</v>
      </c>
    </row>
    <row r="194">
      <c r="A194" s="1">
        <f>IFERROR(__xludf.DUMMYFUNCTION("""COMPUTED_VALUE"""),185.0)</f>
        <v>185</v>
      </c>
      <c r="B194" s="1" t="str">
        <f>IFERROR(__xludf.DUMMYFUNCTION("""COMPUTED_VALUE"""),"Antigua and Barbuda")</f>
        <v>Antigua and Barbuda</v>
      </c>
      <c r="C194" s="1">
        <f>IFERROR(__xludf.DUMMYFUNCTION("""COMPUTED_VALUE"""),25.0)</f>
        <v>25</v>
      </c>
      <c r="D194" s="1" t="str">
        <f>IFERROR(__xludf.DUMMYFUNCTION("""COMPUTED_VALUE"""),"")</f>
        <v/>
      </c>
      <c r="E194" s="1">
        <f>IFERROR(__xludf.DUMMYFUNCTION("""COMPUTED_VALUE"""),3.0)</f>
        <v>3</v>
      </c>
      <c r="F194" s="1" t="str">
        <f>IFERROR(__xludf.DUMMYFUNCTION("""COMPUTED_VALUE"""),"")</f>
        <v/>
      </c>
      <c r="G194" s="1">
        <f>IFERROR(__xludf.DUMMYFUNCTION("""COMPUTED_VALUE"""),19.0)</f>
        <v>19</v>
      </c>
      <c r="H194" s="1" t="str">
        <f>IFERROR(__xludf.DUMMYFUNCTION("""COMPUTED_VALUE"""),"")</f>
        <v/>
      </c>
      <c r="I194" s="1">
        <f>IFERROR(__xludf.DUMMYFUNCTION("""COMPUTED_VALUE"""),3.0)</f>
        <v>3</v>
      </c>
      <c r="J194" s="1">
        <f>IFERROR(__xludf.DUMMYFUNCTION("""COMPUTED_VALUE"""),1.0)</f>
        <v>1</v>
      </c>
      <c r="K194" s="1">
        <f>IFERROR(__xludf.DUMMYFUNCTION("""COMPUTED_VALUE"""),255.0)</f>
        <v>255</v>
      </c>
      <c r="L194" s="1">
        <f>IFERROR(__xludf.DUMMYFUNCTION("""COMPUTED_VALUE"""),31.0)</f>
        <v>31</v>
      </c>
      <c r="M194" s="1">
        <f>IFERROR(__xludf.DUMMYFUNCTION("""COMPUTED_VALUE"""),183.0)</f>
        <v>183</v>
      </c>
      <c r="N194" s="3">
        <f>IFERROR(__xludf.DUMMYFUNCTION("""COMPUTED_VALUE"""),1870.0)</f>
        <v>1870</v>
      </c>
      <c r="O194" s="3">
        <f>IFERROR(__xludf.DUMMYFUNCTION("""COMPUTED_VALUE"""),97855.0)</f>
        <v>97855</v>
      </c>
      <c r="P194" s="1" t="str">
        <f>IFERROR(__xludf.DUMMYFUNCTION("""COMPUTED_VALUE"""),"North America")</f>
        <v>North America</v>
      </c>
      <c r="Q194" s="3">
        <f>IFERROR(__xludf.DUMMYFUNCTION("""COMPUTED_VALUE"""),3914.0)</f>
        <v>3914</v>
      </c>
      <c r="R194" s="3">
        <f>IFERROR(__xludf.DUMMYFUNCTION("""COMPUTED_VALUE"""),32618.0)</f>
        <v>32618</v>
      </c>
      <c r="S194" s="1">
        <f>IFERROR(__xludf.DUMMYFUNCTION("""COMPUTED_VALUE"""),535.0)</f>
        <v>535</v>
      </c>
    </row>
    <row r="195">
      <c r="A195" s="1">
        <f>IFERROR(__xludf.DUMMYFUNCTION("""COMPUTED_VALUE"""),186.0)</f>
        <v>186</v>
      </c>
      <c r="B195" s="1" t="str">
        <f>IFERROR(__xludf.DUMMYFUNCTION("""COMPUTED_VALUE"""),"Gambia")</f>
        <v>Gambia</v>
      </c>
      <c r="C195" s="1">
        <f>IFERROR(__xludf.DUMMYFUNCTION("""COMPUTED_VALUE"""),25.0)</f>
        <v>25</v>
      </c>
      <c r="D195" s="1" t="str">
        <f>IFERROR(__xludf.DUMMYFUNCTION("""COMPUTED_VALUE"""),"")</f>
        <v/>
      </c>
      <c r="E195" s="1">
        <f>IFERROR(__xludf.DUMMYFUNCTION("""COMPUTED_VALUE"""),1.0)</f>
        <v>1</v>
      </c>
      <c r="F195" s="1" t="str">
        <f>IFERROR(__xludf.DUMMYFUNCTION("""COMPUTED_VALUE"""),"")</f>
        <v/>
      </c>
      <c r="G195" s="1">
        <f>IFERROR(__xludf.DUMMYFUNCTION("""COMPUTED_VALUE"""),19.0)</f>
        <v>19</v>
      </c>
      <c r="H195" s="1" t="str">
        <f>IFERROR(__xludf.DUMMYFUNCTION("""COMPUTED_VALUE"""),"")</f>
        <v/>
      </c>
      <c r="I195" s="1">
        <f>IFERROR(__xludf.DUMMYFUNCTION("""COMPUTED_VALUE"""),5.0)</f>
        <v>5</v>
      </c>
      <c r="J195" s="1" t="str">
        <f>IFERROR(__xludf.DUMMYFUNCTION("""COMPUTED_VALUE"""),"")</f>
        <v/>
      </c>
      <c r="K195" s="1">
        <f>IFERROR(__xludf.DUMMYFUNCTION("""COMPUTED_VALUE"""),10.0)</f>
        <v>10</v>
      </c>
      <c r="L195" s="1">
        <f>IFERROR(__xludf.DUMMYFUNCTION("""COMPUTED_VALUE"""),0.4)</f>
        <v>0.4</v>
      </c>
      <c r="M195" s="3">
        <f>IFERROR(__xludf.DUMMYFUNCTION("""COMPUTED_VALUE"""),1730.0)</f>
        <v>1730</v>
      </c>
      <c r="N195" s="1">
        <f>IFERROR(__xludf.DUMMYFUNCTION("""COMPUTED_VALUE"""),718.0)</f>
        <v>718</v>
      </c>
      <c r="O195" s="3">
        <f>IFERROR(__xludf.DUMMYFUNCTION("""COMPUTED_VALUE"""),2409718.0)</f>
        <v>2409718</v>
      </c>
      <c r="P195" s="1" t="str">
        <f>IFERROR(__xludf.DUMMYFUNCTION("""COMPUTED_VALUE"""),"Africa")</f>
        <v>Africa</v>
      </c>
      <c r="Q195" s="3">
        <f>IFERROR(__xludf.DUMMYFUNCTION("""COMPUTED_VALUE"""),96389.0)</f>
        <v>96389</v>
      </c>
      <c r="R195" s="3">
        <f>IFERROR(__xludf.DUMMYFUNCTION("""COMPUTED_VALUE"""),2409718.0)</f>
        <v>2409718</v>
      </c>
      <c r="S195" s="3">
        <f>IFERROR(__xludf.DUMMYFUNCTION("""COMPUTED_VALUE"""),1393.0)</f>
        <v>1393</v>
      </c>
    </row>
    <row r="196">
      <c r="A196" s="1">
        <f>IFERROR(__xludf.DUMMYFUNCTION("""COMPUTED_VALUE"""),187.0)</f>
        <v>187</v>
      </c>
      <c r="B196" s="1" t="str">
        <f>IFERROR(__xludf.DUMMYFUNCTION("""COMPUTED_VALUE"""),"St. Vincent Grenadines")</f>
        <v>St. Vincent Grenadines</v>
      </c>
      <c r="C196" s="1">
        <f>IFERROR(__xludf.DUMMYFUNCTION("""COMPUTED_VALUE"""),25.0)</f>
        <v>25</v>
      </c>
      <c r="D196" s="1" t="str">
        <f>IFERROR(__xludf.DUMMYFUNCTION("""COMPUTED_VALUE"""),"")</f>
        <v/>
      </c>
      <c r="E196" s="1" t="str">
        <f>IFERROR(__xludf.DUMMYFUNCTION("""COMPUTED_VALUE"""),"")</f>
        <v/>
      </c>
      <c r="F196" s="1" t="str">
        <f>IFERROR(__xludf.DUMMYFUNCTION("""COMPUTED_VALUE"""),"")</f>
        <v/>
      </c>
      <c r="G196" s="1">
        <f>IFERROR(__xludf.DUMMYFUNCTION("""COMPUTED_VALUE"""),14.0)</f>
        <v>14</v>
      </c>
      <c r="H196" s="1" t="str">
        <f>IFERROR(__xludf.DUMMYFUNCTION("""COMPUTED_VALUE"""),"")</f>
        <v/>
      </c>
      <c r="I196" s="1">
        <f>IFERROR(__xludf.DUMMYFUNCTION("""COMPUTED_VALUE"""),11.0)</f>
        <v>11</v>
      </c>
      <c r="J196" s="1" t="str">
        <f>IFERROR(__xludf.DUMMYFUNCTION("""COMPUTED_VALUE"""),"")</f>
        <v/>
      </c>
      <c r="K196" s="1">
        <f>IFERROR(__xludf.DUMMYFUNCTION("""COMPUTED_VALUE"""),225.0)</f>
        <v>225</v>
      </c>
      <c r="L196" s="1" t="str">
        <f>IFERROR(__xludf.DUMMYFUNCTION("""COMPUTED_VALUE"""),"")</f>
        <v/>
      </c>
      <c r="M196" s="1">
        <f>IFERROR(__xludf.DUMMYFUNCTION("""COMPUTED_VALUE"""),216.0)</f>
        <v>216</v>
      </c>
      <c r="N196" s="3">
        <f>IFERROR(__xludf.DUMMYFUNCTION("""COMPUTED_VALUE"""),1948.0)</f>
        <v>1948</v>
      </c>
      <c r="O196" s="3">
        <f>IFERROR(__xludf.DUMMYFUNCTION("""COMPUTED_VALUE"""),110909.0)</f>
        <v>110909</v>
      </c>
      <c r="P196" s="1" t="str">
        <f>IFERROR(__xludf.DUMMYFUNCTION("""COMPUTED_VALUE"""),"North America")</f>
        <v>North America</v>
      </c>
      <c r="Q196" s="3">
        <f>IFERROR(__xludf.DUMMYFUNCTION("""COMPUTED_VALUE"""),4436.0)</f>
        <v>4436</v>
      </c>
      <c r="R196" s="1" t="str">
        <f>IFERROR(__xludf.DUMMYFUNCTION("""COMPUTED_VALUE"""),"")</f>
        <v/>
      </c>
      <c r="S196" s="1">
        <f>IFERROR(__xludf.DUMMYFUNCTION("""COMPUTED_VALUE"""),513.0)</f>
        <v>513</v>
      </c>
    </row>
    <row r="197">
      <c r="A197" s="1">
        <f>IFERROR(__xludf.DUMMYFUNCTION("""COMPUTED_VALUE"""),188.0)</f>
        <v>188</v>
      </c>
      <c r="B197" s="1" t="str">
        <f>IFERROR(__xludf.DUMMYFUNCTION("""COMPUTED_VALUE"""),"Timor-Leste")</f>
        <v>Timor-Leste</v>
      </c>
      <c r="C197" s="1">
        <f>IFERROR(__xludf.DUMMYFUNCTION("""COMPUTED_VALUE"""),24.0)</f>
        <v>24</v>
      </c>
      <c r="D197" s="1" t="str">
        <f>IFERROR(__xludf.DUMMYFUNCTION("""COMPUTED_VALUE"""),"")</f>
        <v/>
      </c>
      <c r="E197" s="1" t="str">
        <f>IFERROR(__xludf.DUMMYFUNCTION("""COMPUTED_VALUE"""),"")</f>
        <v/>
      </c>
      <c r="F197" s="1" t="str">
        <f>IFERROR(__xludf.DUMMYFUNCTION("""COMPUTED_VALUE"""),"")</f>
        <v/>
      </c>
      <c r="G197" s="1">
        <f>IFERROR(__xludf.DUMMYFUNCTION("""COMPUTED_VALUE"""),24.0)</f>
        <v>24</v>
      </c>
      <c r="H197" s="1" t="str">
        <f>IFERROR(__xludf.DUMMYFUNCTION("""COMPUTED_VALUE"""),"")</f>
        <v/>
      </c>
      <c r="I197" s="1">
        <f>IFERROR(__xludf.DUMMYFUNCTION("""COMPUTED_VALUE"""),0.0)</f>
        <v>0</v>
      </c>
      <c r="J197" s="1" t="str">
        <f>IFERROR(__xludf.DUMMYFUNCTION("""COMPUTED_VALUE"""),"")</f>
        <v/>
      </c>
      <c r="K197" s="1">
        <f>IFERROR(__xludf.DUMMYFUNCTION("""COMPUTED_VALUE"""),18.0)</f>
        <v>18</v>
      </c>
      <c r="L197" s="1" t="str">
        <f>IFERROR(__xludf.DUMMYFUNCTION("""COMPUTED_VALUE"""),"")</f>
        <v/>
      </c>
      <c r="M197" s="3">
        <f>IFERROR(__xludf.DUMMYFUNCTION("""COMPUTED_VALUE"""),1290.0)</f>
        <v>1290</v>
      </c>
      <c r="N197" s="1">
        <f>IFERROR(__xludf.DUMMYFUNCTION("""COMPUTED_VALUE"""),980.0)</f>
        <v>980</v>
      </c>
      <c r="O197" s="3">
        <f>IFERROR(__xludf.DUMMYFUNCTION("""COMPUTED_VALUE"""),1316002.0)</f>
        <v>1316002</v>
      </c>
      <c r="P197" s="1" t="str">
        <f>IFERROR(__xludf.DUMMYFUNCTION("""COMPUTED_VALUE"""),"Asia")</f>
        <v>Asia</v>
      </c>
      <c r="Q197" s="3">
        <f>IFERROR(__xludf.DUMMYFUNCTION("""COMPUTED_VALUE"""),54833.0)</f>
        <v>54833</v>
      </c>
      <c r="R197" s="1" t="str">
        <f>IFERROR(__xludf.DUMMYFUNCTION("""COMPUTED_VALUE"""),"")</f>
        <v/>
      </c>
      <c r="S197" s="3">
        <f>IFERROR(__xludf.DUMMYFUNCTION("""COMPUTED_VALUE"""),1020.0)</f>
        <v>1020</v>
      </c>
    </row>
    <row r="198">
      <c r="A198" s="1">
        <f>IFERROR(__xludf.DUMMYFUNCTION("""COMPUTED_VALUE"""),189.0)</f>
        <v>189</v>
      </c>
      <c r="B198" s="1" t="str">
        <f>IFERROR(__xludf.DUMMYFUNCTION("""COMPUTED_VALUE"""),"Grenada")</f>
        <v>Grenada</v>
      </c>
      <c r="C198" s="1">
        <f>IFERROR(__xludf.DUMMYFUNCTION("""COMPUTED_VALUE"""),23.0)</f>
        <v>23</v>
      </c>
      <c r="D198" s="1" t="str">
        <f>IFERROR(__xludf.DUMMYFUNCTION("""COMPUTED_VALUE"""),"")</f>
        <v/>
      </c>
      <c r="E198" s="1" t="str">
        <f>IFERROR(__xludf.DUMMYFUNCTION("""COMPUTED_VALUE"""),"")</f>
        <v/>
      </c>
      <c r="F198" s="1" t="str">
        <f>IFERROR(__xludf.DUMMYFUNCTION("""COMPUTED_VALUE"""),"")</f>
        <v/>
      </c>
      <c r="G198" s="1">
        <f>IFERROR(__xludf.DUMMYFUNCTION("""COMPUTED_VALUE"""),18.0)</f>
        <v>18</v>
      </c>
      <c r="H198" s="1" t="str">
        <f>IFERROR(__xludf.DUMMYFUNCTION("""COMPUTED_VALUE"""),"")</f>
        <v/>
      </c>
      <c r="I198" s="1">
        <f>IFERROR(__xludf.DUMMYFUNCTION("""COMPUTED_VALUE"""),5.0)</f>
        <v>5</v>
      </c>
      <c r="J198" s="1">
        <f>IFERROR(__xludf.DUMMYFUNCTION("""COMPUTED_VALUE"""),4.0)</f>
        <v>4</v>
      </c>
      <c r="K198" s="1">
        <f>IFERROR(__xludf.DUMMYFUNCTION("""COMPUTED_VALUE"""),204.0)</f>
        <v>204</v>
      </c>
      <c r="L198" s="1" t="str">
        <f>IFERROR(__xludf.DUMMYFUNCTION("""COMPUTED_VALUE"""),"")</f>
        <v/>
      </c>
      <c r="M198" s="3">
        <f>IFERROR(__xludf.DUMMYFUNCTION("""COMPUTED_VALUE"""),3007.0)</f>
        <v>3007</v>
      </c>
      <c r="N198" s="3">
        <f>IFERROR(__xludf.DUMMYFUNCTION("""COMPUTED_VALUE"""),26735.0)</f>
        <v>26735</v>
      </c>
      <c r="O198" s="3">
        <f>IFERROR(__xludf.DUMMYFUNCTION("""COMPUTED_VALUE"""),112476.0)</f>
        <v>112476</v>
      </c>
      <c r="P198" s="1" t="str">
        <f>IFERROR(__xludf.DUMMYFUNCTION("""COMPUTED_VALUE"""),"North America")</f>
        <v>North America</v>
      </c>
      <c r="Q198" s="3">
        <f>IFERROR(__xludf.DUMMYFUNCTION("""COMPUTED_VALUE"""),4890.0)</f>
        <v>4890</v>
      </c>
      <c r="R198" s="1" t="str">
        <f>IFERROR(__xludf.DUMMYFUNCTION("""COMPUTED_VALUE"""),"")</f>
        <v/>
      </c>
      <c r="S198" s="1">
        <f>IFERROR(__xludf.DUMMYFUNCTION("""COMPUTED_VALUE"""),37.0)</f>
        <v>37</v>
      </c>
    </row>
    <row r="199">
      <c r="A199" s="1">
        <f>IFERROR(__xludf.DUMMYFUNCTION("""COMPUTED_VALUE"""),190.0)</f>
        <v>190</v>
      </c>
      <c r="B199" s="1" t="str">
        <f>IFERROR(__xludf.DUMMYFUNCTION("""COMPUTED_VALUE"""),"Namibia")</f>
        <v>Namibia</v>
      </c>
      <c r="C199" s="1">
        <f>IFERROR(__xludf.DUMMYFUNCTION("""COMPUTED_VALUE"""),22.0)</f>
        <v>22</v>
      </c>
      <c r="D199" s="1" t="str">
        <f>IFERROR(__xludf.DUMMYFUNCTION("""COMPUTED_VALUE"""),"")</f>
        <v/>
      </c>
      <c r="E199" s="1" t="str">
        <f>IFERROR(__xludf.DUMMYFUNCTION("""COMPUTED_VALUE"""),"")</f>
        <v/>
      </c>
      <c r="F199" s="1" t="str">
        <f>IFERROR(__xludf.DUMMYFUNCTION("""COMPUTED_VALUE"""),"")</f>
        <v/>
      </c>
      <c r="G199" s="1">
        <f>IFERROR(__xludf.DUMMYFUNCTION("""COMPUTED_VALUE"""),14.0)</f>
        <v>14</v>
      </c>
      <c r="H199" s="1" t="str">
        <f>IFERROR(__xludf.DUMMYFUNCTION("""COMPUTED_VALUE"""),"")</f>
        <v/>
      </c>
      <c r="I199" s="1">
        <f>IFERROR(__xludf.DUMMYFUNCTION("""COMPUTED_VALUE"""),8.0)</f>
        <v>8</v>
      </c>
      <c r="J199" s="1" t="str">
        <f>IFERROR(__xludf.DUMMYFUNCTION("""COMPUTED_VALUE"""),"")</f>
        <v/>
      </c>
      <c r="K199" s="1">
        <f>IFERROR(__xludf.DUMMYFUNCTION("""COMPUTED_VALUE"""),9.0)</f>
        <v>9</v>
      </c>
      <c r="L199" s="1" t="str">
        <f>IFERROR(__xludf.DUMMYFUNCTION("""COMPUTED_VALUE"""),"")</f>
        <v/>
      </c>
      <c r="M199" s="3">
        <f>IFERROR(__xludf.DUMMYFUNCTION("""COMPUTED_VALUE"""),3370.0)</f>
        <v>3370</v>
      </c>
      <c r="N199" s="3">
        <f>IFERROR(__xludf.DUMMYFUNCTION("""COMPUTED_VALUE"""),1329.0)</f>
        <v>1329</v>
      </c>
      <c r="O199" s="3">
        <f>IFERROR(__xludf.DUMMYFUNCTION("""COMPUTED_VALUE"""),2536452.0)</f>
        <v>2536452</v>
      </c>
      <c r="P199" s="1" t="str">
        <f>IFERROR(__xludf.DUMMYFUNCTION("""COMPUTED_VALUE"""),"Africa")</f>
        <v>Africa</v>
      </c>
      <c r="Q199" s="3">
        <f>IFERROR(__xludf.DUMMYFUNCTION("""COMPUTED_VALUE"""),115293.0)</f>
        <v>115293</v>
      </c>
      <c r="R199" s="1" t="str">
        <f>IFERROR(__xludf.DUMMYFUNCTION("""COMPUTED_VALUE"""),"")</f>
        <v/>
      </c>
      <c r="S199" s="1">
        <f>IFERROR(__xludf.DUMMYFUNCTION("""COMPUTED_VALUE"""),753.0)</f>
        <v>753</v>
      </c>
    </row>
    <row r="200">
      <c r="A200" s="1">
        <f>IFERROR(__xludf.DUMMYFUNCTION("""COMPUTED_VALUE"""),191.0)</f>
        <v>191</v>
      </c>
      <c r="B200" s="1" t="str">
        <f>IFERROR(__xludf.DUMMYFUNCTION("""COMPUTED_VALUE"""),"Laos")</f>
        <v>Laos</v>
      </c>
      <c r="C200" s="1">
        <f>IFERROR(__xludf.DUMMYFUNCTION("""COMPUTED_VALUE"""),19.0)</f>
        <v>19</v>
      </c>
      <c r="D200" s="1" t="str">
        <f>IFERROR(__xludf.DUMMYFUNCTION("""COMPUTED_VALUE"""),"")</f>
        <v/>
      </c>
      <c r="E200" s="1" t="str">
        <f>IFERROR(__xludf.DUMMYFUNCTION("""COMPUTED_VALUE"""),"")</f>
        <v/>
      </c>
      <c r="F200" s="1" t="str">
        <f>IFERROR(__xludf.DUMMYFUNCTION("""COMPUTED_VALUE"""),"")</f>
        <v/>
      </c>
      <c r="G200" s="1">
        <f>IFERROR(__xludf.DUMMYFUNCTION("""COMPUTED_VALUE"""),16.0)</f>
        <v>16</v>
      </c>
      <c r="H200" s="1" t="str">
        <f>IFERROR(__xludf.DUMMYFUNCTION("""COMPUTED_VALUE"""),"")</f>
        <v/>
      </c>
      <c r="I200" s="1">
        <f>IFERROR(__xludf.DUMMYFUNCTION("""COMPUTED_VALUE"""),3.0)</f>
        <v>3</v>
      </c>
      <c r="J200" s="1" t="str">
        <f>IFERROR(__xludf.DUMMYFUNCTION("""COMPUTED_VALUE"""),"")</f>
        <v/>
      </c>
      <c r="K200" s="1">
        <f>IFERROR(__xludf.DUMMYFUNCTION("""COMPUTED_VALUE"""),3.0)</f>
        <v>3</v>
      </c>
      <c r="L200" s="1" t="str">
        <f>IFERROR(__xludf.DUMMYFUNCTION("""COMPUTED_VALUE"""),"")</f>
        <v/>
      </c>
      <c r="M200" s="3">
        <f>IFERROR(__xludf.DUMMYFUNCTION("""COMPUTED_VALUE"""),6066.0)</f>
        <v>6066</v>
      </c>
      <c r="N200" s="1">
        <f>IFERROR(__xludf.DUMMYFUNCTION("""COMPUTED_VALUE"""),835.0)</f>
        <v>835</v>
      </c>
      <c r="O200" s="3">
        <f>IFERROR(__xludf.DUMMYFUNCTION("""COMPUTED_VALUE"""),7265550.0)</f>
        <v>7265550</v>
      </c>
      <c r="P200" s="1" t="str">
        <f>IFERROR(__xludf.DUMMYFUNCTION("""COMPUTED_VALUE"""),"Asia")</f>
        <v>Asia</v>
      </c>
      <c r="Q200" s="3">
        <f>IFERROR(__xludf.DUMMYFUNCTION("""COMPUTED_VALUE"""),382397.0)</f>
        <v>382397</v>
      </c>
      <c r="R200" s="1" t="str">
        <f>IFERROR(__xludf.DUMMYFUNCTION("""COMPUTED_VALUE"""),"")</f>
        <v/>
      </c>
      <c r="S200" s="3">
        <f>IFERROR(__xludf.DUMMYFUNCTION("""COMPUTED_VALUE"""),1198.0)</f>
        <v>1198</v>
      </c>
    </row>
    <row r="201">
      <c r="A201" s="1">
        <f>IFERROR(__xludf.DUMMYFUNCTION("""COMPUTED_VALUE"""),192.0)</f>
        <v>192</v>
      </c>
      <c r="B201" s="1" t="str">
        <f>IFERROR(__xludf.DUMMYFUNCTION("""COMPUTED_VALUE"""),"New Caledonia")</f>
        <v>New Caledonia</v>
      </c>
      <c r="C201" s="1">
        <f>IFERROR(__xludf.DUMMYFUNCTION("""COMPUTED_VALUE"""),19.0)</f>
        <v>19</v>
      </c>
      <c r="D201" s="1" t="str">
        <f>IFERROR(__xludf.DUMMYFUNCTION("""COMPUTED_VALUE"""),"")</f>
        <v/>
      </c>
      <c r="E201" s="1" t="str">
        <f>IFERROR(__xludf.DUMMYFUNCTION("""COMPUTED_VALUE"""),"")</f>
        <v/>
      </c>
      <c r="F201" s="1" t="str">
        <f>IFERROR(__xludf.DUMMYFUNCTION("""COMPUTED_VALUE"""),"")</f>
        <v/>
      </c>
      <c r="G201" s="1">
        <f>IFERROR(__xludf.DUMMYFUNCTION("""COMPUTED_VALUE"""),18.0)</f>
        <v>18</v>
      </c>
      <c r="H201" s="1" t="str">
        <f>IFERROR(__xludf.DUMMYFUNCTION("""COMPUTED_VALUE"""),"")</f>
        <v/>
      </c>
      <c r="I201" s="1">
        <f>IFERROR(__xludf.DUMMYFUNCTION("""COMPUTED_VALUE"""),1.0)</f>
        <v>1</v>
      </c>
      <c r="J201" s="1" t="str">
        <f>IFERROR(__xludf.DUMMYFUNCTION("""COMPUTED_VALUE"""),"")</f>
        <v/>
      </c>
      <c r="K201" s="1">
        <f>IFERROR(__xludf.DUMMYFUNCTION("""COMPUTED_VALUE"""),67.0)</f>
        <v>67</v>
      </c>
      <c r="L201" s="1" t="str">
        <f>IFERROR(__xludf.DUMMYFUNCTION("""COMPUTED_VALUE"""),"")</f>
        <v/>
      </c>
      <c r="M201" s="3">
        <f>IFERROR(__xludf.DUMMYFUNCTION("""COMPUTED_VALUE"""),6416.0)</f>
        <v>6416</v>
      </c>
      <c r="N201" s="3">
        <f>IFERROR(__xludf.DUMMYFUNCTION("""COMPUTED_VALUE"""),22493.0)</f>
        <v>22493</v>
      </c>
      <c r="O201" s="3">
        <f>IFERROR(__xludf.DUMMYFUNCTION("""COMPUTED_VALUE"""),285245.0)</f>
        <v>285245</v>
      </c>
      <c r="P201" s="1" t="str">
        <f>IFERROR(__xludf.DUMMYFUNCTION("""COMPUTED_VALUE"""),"Australia/Oceania")</f>
        <v>Australia/Oceania</v>
      </c>
      <c r="Q201" s="3">
        <f>IFERROR(__xludf.DUMMYFUNCTION("""COMPUTED_VALUE"""),15013.0)</f>
        <v>15013</v>
      </c>
      <c r="R201" s="1" t="str">
        <f>IFERROR(__xludf.DUMMYFUNCTION("""COMPUTED_VALUE"""),"")</f>
        <v/>
      </c>
      <c r="S201" s="1">
        <f>IFERROR(__xludf.DUMMYFUNCTION("""COMPUTED_VALUE"""),44.0)</f>
        <v>44</v>
      </c>
    </row>
    <row r="202">
      <c r="A202" s="1">
        <f>IFERROR(__xludf.DUMMYFUNCTION("""COMPUTED_VALUE"""),193.0)</f>
        <v>193</v>
      </c>
      <c r="B202" s="1" t="str">
        <f>IFERROR(__xludf.DUMMYFUNCTION("""COMPUTED_VALUE"""),"Belize")</f>
        <v>Belize</v>
      </c>
      <c r="C202" s="1">
        <f>IFERROR(__xludf.DUMMYFUNCTION("""COMPUTED_VALUE"""),18.0)</f>
        <v>18</v>
      </c>
      <c r="D202" s="1" t="str">
        <f>IFERROR(__xludf.DUMMYFUNCTION("""COMPUTED_VALUE"""),"")</f>
        <v/>
      </c>
      <c r="E202" s="1">
        <f>IFERROR(__xludf.DUMMYFUNCTION("""COMPUTED_VALUE"""),2.0)</f>
        <v>2</v>
      </c>
      <c r="F202" s="1" t="str">
        <f>IFERROR(__xludf.DUMMYFUNCTION("""COMPUTED_VALUE"""),"")</f>
        <v/>
      </c>
      <c r="G202" s="1">
        <f>IFERROR(__xludf.DUMMYFUNCTION("""COMPUTED_VALUE"""),16.0)</f>
        <v>16</v>
      </c>
      <c r="H202" s="1" t="str">
        <f>IFERROR(__xludf.DUMMYFUNCTION("""COMPUTED_VALUE"""),"")</f>
        <v/>
      </c>
      <c r="I202" s="1">
        <f>IFERROR(__xludf.DUMMYFUNCTION("""COMPUTED_VALUE"""),0.0)</f>
        <v>0</v>
      </c>
      <c r="J202" s="1" t="str">
        <f>IFERROR(__xludf.DUMMYFUNCTION("""COMPUTED_VALUE"""),"")</f>
        <v/>
      </c>
      <c r="K202" s="1">
        <f>IFERROR(__xludf.DUMMYFUNCTION("""COMPUTED_VALUE"""),45.0)</f>
        <v>45</v>
      </c>
      <c r="L202" s="1">
        <f>IFERROR(__xludf.DUMMYFUNCTION("""COMPUTED_VALUE"""),5.0)</f>
        <v>5</v>
      </c>
      <c r="M202" s="3">
        <f>IFERROR(__xludf.DUMMYFUNCTION("""COMPUTED_VALUE"""),1517.0)</f>
        <v>1517</v>
      </c>
      <c r="N202" s="3">
        <f>IFERROR(__xludf.DUMMYFUNCTION("""COMPUTED_VALUE"""),3822.0)</f>
        <v>3822</v>
      </c>
      <c r="O202" s="3">
        <f>IFERROR(__xludf.DUMMYFUNCTION("""COMPUTED_VALUE"""),396929.0)</f>
        <v>396929</v>
      </c>
      <c r="P202" s="1" t="str">
        <f>IFERROR(__xludf.DUMMYFUNCTION("""COMPUTED_VALUE"""),"North America")</f>
        <v>North America</v>
      </c>
      <c r="Q202" s="3">
        <f>IFERROR(__xludf.DUMMYFUNCTION("""COMPUTED_VALUE"""),22052.0)</f>
        <v>22052</v>
      </c>
      <c r="R202" s="3">
        <f>IFERROR(__xludf.DUMMYFUNCTION("""COMPUTED_VALUE"""),198465.0)</f>
        <v>198465</v>
      </c>
      <c r="S202" s="1">
        <f>IFERROR(__xludf.DUMMYFUNCTION("""COMPUTED_VALUE"""),262.0)</f>
        <v>262</v>
      </c>
    </row>
    <row r="203">
      <c r="A203" s="1">
        <f>IFERROR(__xludf.DUMMYFUNCTION("""COMPUTED_VALUE"""),194.0)</f>
        <v>194</v>
      </c>
      <c r="B203" s="1" t="str">
        <f>IFERROR(__xludf.DUMMYFUNCTION("""COMPUTED_VALUE"""),"Curaçao")</f>
        <v>Curaçao</v>
      </c>
      <c r="C203" s="1">
        <f>IFERROR(__xludf.DUMMYFUNCTION("""COMPUTED_VALUE"""),18.0)</f>
        <v>18</v>
      </c>
      <c r="D203" s="1" t="str">
        <f>IFERROR(__xludf.DUMMYFUNCTION("""COMPUTED_VALUE"""),"")</f>
        <v/>
      </c>
      <c r="E203" s="1">
        <f>IFERROR(__xludf.DUMMYFUNCTION("""COMPUTED_VALUE"""),1.0)</f>
        <v>1</v>
      </c>
      <c r="F203" s="1" t="str">
        <f>IFERROR(__xludf.DUMMYFUNCTION("""COMPUTED_VALUE"""),"")</f>
        <v/>
      </c>
      <c r="G203" s="1">
        <f>IFERROR(__xludf.DUMMYFUNCTION("""COMPUTED_VALUE"""),14.0)</f>
        <v>14</v>
      </c>
      <c r="H203" s="1" t="str">
        <f>IFERROR(__xludf.DUMMYFUNCTION("""COMPUTED_VALUE"""),"")</f>
        <v/>
      </c>
      <c r="I203" s="1">
        <f>IFERROR(__xludf.DUMMYFUNCTION("""COMPUTED_VALUE"""),3.0)</f>
        <v>3</v>
      </c>
      <c r="J203" s="1" t="str">
        <f>IFERROR(__xludf.DUMMYFUNCTION("""COMPUTED_VALUE"""),"")</f>
        <v/>
      </c>
      <c r="K203" s="1">
        <f>IFERROR(__xludf.DUMMYFUNCTION("""COMPUTED_VALUE"""),110.0)</f>
        <v>110</v>
      </c>
      <c r="L203" s="1">
        <f>IFERROR(__xludf.DUMMYFUNCTION("""COMPUTED_VALUE"""),6.0)</f>
        <v>6</v>
      </c>
      <c r="M203" s="1">
        <f>IFERROR(__xludf.DUMMYFUNCTION("""COMPUTED_VALUE"""),572.0)</f>
        <v>572</v>
      </c>
      <c r="N203" s="3">
        <f>IFERROR(__xludf.DUMMYFUNCTION("""COMPUTED_VALUE"""),3487.0)</f>
        <v>3487</v>
      </c>
      <c r="O203" s="3">
        <f>IFERROR(__xludf.DUMMYFUNCTION("""COMPUTED_VALUE"""),164033.0)</f>
        <v>164033</v>
      </c>
      <c r="P203" s="1" t="str">
        <f>IFERROR(__xludf.DUMMYFUNCTION("""COMPUTED_VALUE"""),"North America")</f>
        <v>North America</v>
      </c>
      <c r="Q203" s="3">
        <f>IFERROR(__xludf.DUMMYFUNCTION("""COMPUTED_VALUE"""),9113.0)</f>
        <v>9113</v>
      </c>
      <c r="R203" s="3">
        <f>IFERROR(__xludf.DUMMYFUNCTION("""COMPUTED_VALUE"""),164033.0)</f>
        <v>164033</v>
      </c>
      <c r="S203" s="1">
        <f>IFERROR(__xludf.DUMMYFUNCTION("""COMPUTED_VALUE"""),287.0)</f>
        <v>287</v>
      </c>
    </row>
    <row r="204">
      <c r="A204" s="1">
        <f>IFERROR(__xludf.DUMMYFUNCTION("""COMPUTED_VALUE"""),195.0)</f>
        <v>195</v>
      </c>
      <c r="B204" s="1" t="str">
        <f>IFERROR(__xludf.DUMMYFUNCTION("""COMPUTED_VALUE"""),"Fiji")</f>
        <v>Fiji</v>
      </c>
      <c r="C204" s="1">
        <f>IFERROR(__xludf.DUMMYFUNCTION("""COMPUTED_VALUE"""),18.0)</f>
        <v>18</v>
      </c>
      <c r="D204" s="1" t="str">
        <f>IFERROR(__xludf.DUMMYFUNCTION("""COMPUTED_VALUE"""),"")</f>
        <v/>
      </c>
      <c r="E204" s="1" t="str">
        <f>IFERROR(__xludf.DUMMYFUNCTION("""COMPUTED_VALUE"""),"")</f>
        <v/>
      </c>
      <c r="F204" s="1" t="str">
        <f>IFERROR(__xludf.DUMMYFUNCTION("""COMPUTED_VALUE"""),"")</f>
        <v/>
      </c>
      <c r="G204" s="1">
        <f>IFERROR(__xludf.DUMMYFUNCTION("""COMPUTED_VALUE"""),15.0)</f>
        <v>15</v>
      </c>
      <c r="H204" s="1" t="str">
        <f>IFERROR(__xludf.DUMMYFUNCTION("""COMPUTED_VALUE"""),"")</f>
        <v/>
      </c>
      <c r="I204" s="1">
        <f>IFERROR(__xludf.DUMMYFUNCTION("""COMPUTED_VALUE"""),3.0)</f>
        <v>3</v>
      </c>
      <c r="J204" s="1" t="str">
        <f>IFERROR(__xludf.DUMMYFUNCTION("""COMPUTED_VALUE"""),"")</f>
        <v/>
      </c>
      <c r="K204" s="1">
        <f>IFERROR(__xludf.DUMMYFUNCTION("""COMPUTED_VALUE"""),20.0)</f>
        <v>20</v>
      </c>
      <c r="L204" s="1" t="str">
        <f>IFERROR(__xludf.DUMMYFUNCTION("""COMPUTED_VALUE"""),"")</f>
        <v/>
      </c>
      <c r="M204" s="3">
        <f>IFERROR(__xludf.DUMMYFUNCTION("""COMPUTED_VALUE"""),2431.0)</f>
        <v>2431</v>
      </c>
      <c r="N204" s="3">
        <f>IFERROR(__xludf.DUMMYFUNCTION("""COMPUTED_VALUE"""),2714.0)</f>
        <v>2714</v>
      </c>
      <c r="O204" s="3">
        <f>IFERROR(__xludf.DUMMYFUNCTION("""COMPUTED_VALUE"""),895854.0)</f>
        <v>895854</v>
      </c>
      <c r="P204" s="1" t="str">
        <f>IFERROR(__xludf.DUMMYFUNCTION("""COMPUTED_VALUE"""),"Australia/Oceania")</f>
        <v>Australia/Oceania</v>
      </c>
      <c r="Q204" s="3">
        <f>IFERROR(__xludf.DUMMYFUNCTION("""COMPUTED_VALUE"""),49770.0)</f>
        <v>49770</v>
      </c>
      <c r="R204" s="1" t="str">
        <f>IFERROR(__xludf.DUMMYFUNCTION("""COMPUTED_VALUE"""),"")</f>
        <v/>
      </c>
      <c r="S204" s="1">
        <f>IFERROR(__xludf.DUMMYFUNCTION("""COMPUTED_VALUE"""),369.0)</f>
        <v>369</v>
      </c>
    </row>
    <row r="205">
      <c r="A205" s="1">
        <f>IFERROR(__xludf.DUMMYFUNCTION("""COMPUTED_VALUE"""),196.0)</f>
        <v>196</v>
      </c>
      <c r="B205" s="1" t="str">
        <f>IFERROR(__xludf.DUMMYFUNCTION("""COMPUTED_VALUE"""),"Saint Lucia")</f>
        <v>Saint Lucia</v>
      </c>
      <c r="C205" s="1">
        <f>IFERROR(__xludf.DUMMYFUNCTION("""COMPUTED_VALUE"""),18.0)</f>
        <v>18</v>
      </c>
      <c r="D205" s="1" t="str">
        <f>IFERROR(__xludf.DUMMYFUNCTION("""COMPUTED_VALUE"""),"")</f>
        <v/>
      </c>
      <c r="E205" s="1" t="str">
        <f>IFERROR(__xludf.DUMMYFUNCTION("""COMPUTED_VALUE"""),"")</f>
        <v/>
      </c>
      <c r="F205" s="1" t="str">
        <f>IFERROR(__xludf.DUMMYFUNCTION("""COMPUTED_VALUE"""),"")</f>
        <v/>
      </c>
      <c r="G205" s="1">
        <f>IFERROR(__xludf.DUMMYFUNCTION("""COMPUTED_VALUE"""),18.0)</f>
        <v>18</v>
      </c>
      <c r="H205" s="1" t="str">
        <f>IFERROR(__xludf.DUMMYFUNCTION("""COMPUTED_VALUE"""),"")</f>
        <v/>
      </c>
      <c r="I205" s="1">
        <f>IFERROR(__xludf.DUMMYFUNCTION("""COMPUTED_VALUE"""),0.0)</f>
        <v>0</v>
      </c>
      <c r="J205" s="1" t="str">
        <f>IFERROR(__xludf.DUMMYFUNCTION("""COMPUTED_VALUE"""),"")</f>
        <v/>
      </c>
      <c r="K205" s="1">
        <f>IFERROR(__xludf.DUMMYFUNCTION("""COMPUTED_VALUE"""),98.0)</f>
        <v>98</v>
      </c>
      <c r="L205" s="1" t="str">
        <f>IFERROR(__xludf.DUMMYFUNCTION("""COMPUTED_VALUE"""),"")</f>
        <v/>
      </c>
      <c r="M205" s="1">
        <f>IFERROR(__xludf.DUMMYFUNCTION("""COMPUTED_VALUE"""),965.0)</f>
        <v>965</v>
      </c>
      <c r="N205" s="3">
        <f>IFERROR(__xludf.DUMMYFUNCTION("""COMPUTED_VALUE"""),5257.0)</f>
        <v>5257</v>
      </c>
      <c r="O205" s="3">
        <f>IFERROR(__xludf.DUMMYFUNCTION("""COMPUTED_VALUE"""),183552.0)</f>
        <v>183552</v>
      </c>
      <c r="P205" s="1" t="str">
        <f>IFERROR(__xludf.DUMMYFUNCTION("""COMPUTED_VALUE"""),"North America")</f>
        <v>North America</v>
      </c>
      <c r="Q205" s="3">
        <f>IFERROR(__xludf.DUMMYFUNCTION("""COMPUTED_VALUE"""),10197.0)</f>
        <v>10197</v>
      </c>
      <c r="R205" s="1" t="str">
        <f>IFERROR(__xludf.DUMMYFUNCTION("""COMPUTED_VALUE"""),"")</f>
        <v/>
      </c>
      <c r="S205" s="1">
        <f>IFERROR(__xludf.DUMMYFUNCTION("""COMPUTED_VALUE"""),190.0)</f>
        <v>190</v>
      </c>
    </row>
    <row r="206">
      <c r="A206" s="1">
        <f>IFERROR(__xludf.DUMMYFUNCTION("""COMPUTED_VALUE"""),197.0)</f>
        <v>197</v>
      </c>
      <c r="B206" s="1" t="str">
        <f>IFERROR(__xludf.DUMMYFUNCTION("""COMPUTED_VALUE"""),"Dominica")</f>
        <v>Dominica</v>
      </c>
      <c r="C206" s="1">
        <f>IFERROR(__xludf.DUMMYFUNCTION("""COMPUTED_VALUE"""),16.0)</f>
        <v>16</v>
      </c>
      <c r="D206" s="1" t="str">
        <f>IFERROR(__xludf.DUMMYFUNCTION("""COMPUTED_VALUE"""),"")</f>
        <v/>
      </c>
      <c r="E206" s="1" t="str">
        <f>IFERROR(__xludf.DUMMYFUNCTION("""COMPUTED_VALUE"""),"")</f>
        <v/>
      </c>
      <c r="F206" s="1" t="str">
        <f>IFERROR(__xludf.DUMMYFUNCTION("""COMPUTED_VALUE"""),"")</f>
        <v/>
      </c>
      <c r="G206" s="1">
        <f>IFERROR(__xludf.DUMMYFUNCTION("""COMPUTED_VALUE"""),16.0)</f>
        <v>16</v>
      </c>
      <c r="H206" s="1" t="str">
        <f>IFERROR(__xludf.DUMMYFUNCTION("""COMPUTED_VALUE"""),"")</f>
        <v/>
      </c>
      <c r="I206" s="1">
        <f>IFERROR(__xludf.DUMMYFUNCTION("""COMPUTED_VALUE"""),0.0)</f>
        <v>0</v>
      </c>
      <c r="J206" s="1" t="str">
        <f>IFERROR(__xludf.DUMMYFUNCTION("""COMPUTED_VALUE"""),"")</f>
        <v/>
      </c>
      <c r="K206" s="1">
        <f>IFERROR(__xludf.DUMMYFUNCTION("""COMPUTED_VALUE"""),222.0)</f>
        <v>222</v>
      </c>
      <c r="L206" s="1" t="str">
        <f>IFERROR(__xludf.DUMMYFUNCTION("""COMPUTED_VALUE"""),"")</f>
        <v/>
      </c>
      <c r="M206" s="1">
        <f>IFERROR(__xludf.DUMMYFUNCTION("""COMPUTED_VALUE"""),433.0)</f>
        <v>433</v>
      </c>
      <c r="N206" s="3">
        <f>IFERROR(__xludf.DUMMYFUNCTION("""COMPUTED_VALUE"""),6016.0)</f>
        <v>6016</v>
      </c>
      <c r="O206" s="3">
        <f>IFERROR(__xludf.DUMMYFUNCTION("""COMPUTED_VALUE"""),71970.0)</f>
        <v>71970</v>
      </c>
      <c r="P206" s="1" t="str">
        <f>IFERROR(__xludf.DUMMYFUNCTION("""COMPUTED_VALUE"""),"North America")</f>
        <v>North America</v>
      </c>
      <c r="Q206" s="3">
        <f>IFERROR(__xludf.DUMMYFUNCTION("""COMPUTED_VALUE"""),4498.0)</f>
        <v>4498</v>
      </c>
      <c r="R206" s="1" t="str">
        <f>IFERROR(__xludf.DUMMYFUNCTION("""COMPUTED_VALUE"""),"")</f>
        <v/>
      </c>
      <c r="S206" s="1">
        <f>IFERROR(__xludf.DUMMYFUNCTION("""COMPUTED_VALUE"""),166.0)</f>
        <v>166</v>
      </c>
    </row>
    <row r="207">
      <c r="A207" s="1">
        <f>IFERROR(__xludf.DUMMYFUNCTION("""COMPUTED_VALUE"""),198.0)</f>
        <v>198</v>
      </c>
      <c r="B207" s="1" t="str">
        <f>IFERROR(__xludf.DUMMYFUNCTION("""COMPUTED_VALUE"""),"Saint Kitts and Nevis")</f>
        <v>Saint Kitts and Nevis</v>
      </c>
      <c r="C207" s="1">
        <f>IFERROR(__xludf.DUMMYFUNCTION("""COMPUTED_VALUE"""),15.0)</f>
        <v>15</v>
      </c>
      <c r="D207" s="1" t="str">
        <f>IFERROR(__xludf.DUMMYFUNCTION("""COMPUTED_VALUE"""),"")</f>
        <v/>
      </c>
      <c r="E207" s="1" t="str">
        <f>IFERROR(__xludf.DUMMYFUNCTION("""COMPUTED_VALUE"""),"")</f>
        <v/>
      </c>
      <c r="F207" s="1" t="str">
        <f>IFERROR(__xludf.DUMMYFUNCTION("""COMPUTED_VALUE"""),"")</f>
        <v/>
      </c>
      <c r="G207" s="1">
        <f>IFERROR(__xludf.DUMMYFUNCTION("""COMPUTED_VALUE"""),15.0)</f>
        <v>15</v>
      </c>
      <c r="H207" s="1" t="str">
        <f>IFERROR(__xludf.DUMMYFUNCTION("""COMPUTED_VALUE"""),"")</f>
        <v/>
      </c>
      <c r="I207" s="1">
        <f>IFERROR(__xludf.DUMMYFUNCTION("""COMPUTED_VALUE"""),0.0)</f>
        <v>0</v>
      </c>
      <c r="J207" s="1" t="str">
        <f>IFERROR(__xludf.DUMMYFUNCTION("""COMPUTED_VALUE"""),"")</f>
        <v/>
      </c>
      <c r="K207" s="1">
        <f>IFERROR(__xludf.DUMMYFUNCTION("""COMPUTED_VALUE"""),282.0)</f>
        <v>282</v>
      </c>
      <c r="L207" s="1" t="str">
        <f>IFERROR(__xludf.DUMMYFUNCTION("""COMPUTED_VALUE"""),"")</f>
        <v/>
      </c>
      <c r="M207" s="1">
        <f>IFERROR(__xludf.DUMMYFUNCTION("""COMPUTED_VALUE"""),394.0)</f>
        <v>394</v>
      </c>
      <c r="N207" s="3">
        <f>IFERROR(__xludf.DUMMYFUNCTION("""COMPUTED_VALUE"""),7411.0)</f>
        <v>7411</v>
      </c>
      <c r="O207" s="3">
        <f>IFERROR(__xludf.DUMMYFUNCTION("""COMPUTED_VALUE"""),53165.0)</f>
        <v>53165</v>
      </c>
      <c r="P207" s="1" t="str">
        <f>IFERROR(__xludf.DUMMYFUNCTION("""COMPUTED_VALUE"""),"North America")</f>
        <v>North America</v>
      </c>
      <c r="Q207" s="3">
        <f>IFERROR(__xludf.DUMMYFUNCTION("""COMPUTED_VALUE"""),3544.0)</f>
        <v>3544</v>
      </c>
      <c r="R207" s="1" t="str">
        <f>IFERROR(__xludf.DUMMYFUNCTION("""COMPUTED_VALUE"""),"")</f>
        <v/>
      </c>
      <c r="S207" s="1">
        <f>IFERROR(__xludf.DUMMYFUNCTION("""COMPUTED_VALUE"""),135.0)</f>
        <v>135</v>
      </c>
    </row>
    <row r="208">
      <c r="A208" s="1">
        <f>IFERROR(__xludf.DUMMYFUNCTION("""COMPUTED_VALUE"""),199.0)</f>
        <v>199</v>
      </c>
      <c r="B208" s="1" t="str">
        <f>IFERROR(__xludf.DUMMYFUNCTION("""COMPUTED_VALUE"""),"Falkland Islands")</f>
        <v>Falkland Islands</v>
      </c>
      <c r="C208" s="1">
        <f>IFERROR(__xludf.DUMMYFUNCTION("""COMPUTED_VALUE"""),13.0)</f>
        <v>13</v>
      </c>
      <c r="D208" s="1" t="str">
        <f>IFERROR(__xludf.DUMMYFUNCTION("""COMPUTED_VALUE"""),"")</f>
        <v/>
      </c>
      <c r="E208" s="1" t="str">
        <f>IFERROR(__xludf.DUMMYFUNCTION("""COMPUTED_VALUE"""),"")</f>
        <v/>
      </c>
      <c r="F208" s="1" t="str">
        <f>IFERROR(__xludf.DUMMYFUNCTION("""COMPUTED_VALUE"""),"")</f>
        <v/>
      </c>
      <c r="G208" s="1">
        <f>IFERROR(__xludf.DUMMYFUNCTION("""COMPUTED_VALUE"""),13.0)</f>
        <v>13</v>
      </c>
      <c r="H208" s="1" t="str">
        <f>IFERROR(__xludf.DUMMYFUNCTION("""COMPUTED_VALUE"""),"")</f>
        <v/>
      </c>
      <c r="I208" s="1">
        <f>IFERROR(__xludf.DUMMYFUNCTION("""COMPUTED_VALUE"""),0.0)</f>
        <v>0</v>
      </c>
      <c r="J208" s="1" t="str">
        <f>IFERROR(__xludf.DUMMYFUNCTION("""COMPUTED_VALUE"""),"")</f>
        <v/>
      </c>
      <c r="K208" s="3">
        <f>IFERROR(__xludf.DUMMYFUNCTION("""COMPUTED_VALUE"""),3746.0)</f>
        <v>3746</v>
      </c>
      <c r="L208" s="1" t="str">
        <f>IFERROR(__xludf.DUMMYFUNCTION("""COMPUTED_VALUE"""),"")</f>
        <v/>
      </c>
      <c r="M208" s="1">
        <f>IFERROR(__xludf.DUMMYFUNCTION("""COMPUTED_VALUE"""),503.0)</f>
        <v>503</v>
      </c>
      <c r="N208" s="3">
        <f>IFERROR(__xludf.DUMMYFUNCTION("""COMPUTED_VALUE"""),144957.0)</f>
        <v>144957</v>
      </c>
      <c r="O208" s="3">
        <f>IFERROR(__xludf.DUMMYFUNCTION("""COMPUTED_VALUE"""),3470.0)</f>
        <v>3470</v>
      </c>
      <c r="P208" s="1" t="str">
        <f>IFERROR(__xludf.DUMMYFUNCTION("""COMPUTED_VALUE"""),"South America")</f>
        <v>South America</v>
      </c>
      <c r="Q208" s="1">
        <f>IFERROR(__xludf.DUMMYFUNCTION("""COMPUTED_VALUE"""),267.0)</f>
        <v>267</v>
      </c>
      <c r="R208" s="1" t="str">
        <f>IFERROR(__xludf.DUMMYFUNCTION("""COMPUTED_VALUE"""),"")</f>
        <v/>
      </c>
      <c r="S208" s="1">
        <f>IFERROR(__xludf.DUMMYFUNCTION("""COMPUTED_VALUE"""),7.0)</f>
        <v>7</v>
      </c>
    </row>
    <row r="209">
      <c r="A209" s="1">
        <f>IFERROR(__xludf.DUMMYFUNCTION("""COMPUTED_VALUE"""),200.0)</f>
        <v>200</v>
      </c>
      <c r="B209" s="1" t="str">
        <f>IFERROR(__xludf.DUMMYFUNCTION("""COMPUTED_VALUE"""),"Greenland")</f>
        <v>Greenland</v>
      </c>
      <c r="C209" s="1">
        <f>IFERROR(__xludf.DUMMYFUNCTION("""COMPUTED_VALUE"""),13.0)</f>
        <v>13</v>
      </c>
      <c r="D209" s="1" t="str">
        <f>IFERROR(__xludf.DUMMYFUNCTION("""COMPUTED_VALUE"""),"")</f>
        <v/>
      </c>
      <c r="E209" s="1" t="str">
        <f>IFERROR(__xludf.DUMMYFUNCTION("""COMPUTED_VALUE"""),"")</f>
        <v/>
      </c>
      <c r="F209" s="1" t="str">
        <f>IFERROR(__xludf.DUMMYFUNCTION("""COMPUTED_VALUE"""),"")</f>
        <v/>
      </c>
      <c r="G209" s="1">
        <f>IFERROR(__xludf.DUMMYFUNCTION("""COMPUTED_VALUE"""),11.0)</f>
        <v>11</v>
      </c>
      <c r="H209" s="1" t="str">
        <f>IFERROR(__xludf.DUMMYFUNCTION("""COMPUTED_VALUE"""),"")</f>
        <v/>
      </c>
      <c r="I209" s="1">
        <f>IFERROR(__xludf.DUMMYFUNCTION("""COMPUTED_VALUE"""),2.0)</f>
        <v>2</v>
      </c>
      <c r="J209" s="1" t="str">
        <f>IFERROR(__xludf.DUMMYFUNCTION("""COMPUTED_VALUE"""),"")</f>
        <v/>
      </c>
      <c r="K209" s="1">
        <f>IFERROR(__xludf.DUMMYFUNCTION("""COMPUTED_VALUE"""),229.0)</f>
        <v>229</v>
      </c>
      <c r="L209" s="1" t="str">
        <f>IFERROR(__xludf.DUMMYFUNCTION("""COMPUTED_VALUE"""),"")</f>
        <v/>
      </c>
      <c r="M209" s="3">
        <f>IFERROR(__xludf.DUMMYFUNCTION("""COMPUTED_VALUE"""),2030.0)</f>
        <v>2030</v>
      </c>
      <c r="N209" s="3">
        <f>IFERROR(__xludf.DUMMYFUNCTION("""COMPUTED_VALUE"""),35764.0)</f>
        <v>35764</v>
      </c>
      <c r="O209" s="3">
        <f>IFERROR(__xludf.DUMMYFUNCTION("""COMPUTED_VALUE"""),56761.0)</f>
        <v>56761</v>
      </c>
      <c r="P209" s="1" t="str">
        <f>IFERROR(__xludf.DUMMYFUNCTION("""COMPUTED_VALUE"""),"North America")</f>
        <v>North America</v>
      </c>
      <c r="Q209" s="3">
        <f>IFERROR(__xludf.DUMMYFUNCTION("""COMPUTED_VALUE"""),4366.0)</f>
        <v>4366</v>
      </c>
      <c r="R209" s="1" t="str">
        <f>IFERROR(__xludf.DUMMYFUNCTION("""COMPUTED_VALUE"""),"")</f>
        <v/>
      </c>
      <c r="S209" s="1">
        <f>IFERROR(__xludf.DUMMYFUNCTION("""COMPUTED_VALUE"""),28.0)</f>
        <v>28</v>
      </c>
    </row>
    <row r="210">
      <c r="A210" s="1">
        <f>IFERROR(__xludf.DUMMYFUNCTION("""COMPUTED_VALUE"""),201.0)</f>
        <v>201</v>
      </c>
      <c r="B210" s="1" t="str">
        <f>IFERROR(__xludf.DUMMYFUNCTION("""COMPUTED_VALUE"""),"Suriname")</f>
        <v>Suriname</v>
      </c>
      <c r="C210" s="1">
        <f>IFERROR(__xludf.DUMMYFUNCTION("""COMPUTED_VALUE"""),12.0)</f>
        <v>12</v>
      </c>
      <c r="D210" s="1" t="str">
        <f>IFERROR(__xludf.DUMMYFUNCTION("""COMPUTED_VALUE"""),"")</f>
        <v/>
      </c>
      <c r="E210" s="1">
        <f>IFERROR(__xludf.DUMMYFUNCTION("""COMPUTED_VALUE"""),1.0)</f>
        <v>1</v>
      </c>
      <c r="F210" s="1" t="str">
        <f>IFERROR(__xludf.DUMMYFUNCTION("""COMPUTED_VALUE"""),"")</f>
        <v/>
      </c>
      <c r="G210" s="1">
        <f>IFERROR(__xludf.DUMMYFUNCTION("""COMPUTED_VALUE"""),9.0)</f>
        <v>9</v>
      </c>
      <c r="H210" s="1" t="str">
        <f>IFERROR(__xludf.DUMMYFUNCTION("""COMPUTED_VALUE"""),"")</f>
        <v/>
      </c>
      <c r="I210" s="1">
        <f>IFERROR(__xludf.DUMMYFUNCTION("""COMPUTED_VALUE"""),2.0)</f>
        <v>2</v>
      </c>
      <c r="J210" s="1" t="str">
        <f>IFERROR(__xludf.DUMMYFUNCTION("""COMPUTED_VALUE"""),"")</f>
        <v/>
      </c>
      <c r="K210" s="1">
        <f>IFERROR(__xludf.DUMMYFUNCTION("""COMPUTED_VALUE"""),20.0)</f>
        <v>20</v>
      </c>
      <c r="L210" s="1">
        <f>IFERROR(__xludf.DUMMYFUNCTION("""COMPUTED_VALUE"""),2.0)</f>
        <v>2</v>
      </c>
      <c r="M210" s="1">
        <f>IFERROR(__xludf.DUMMYFUNCTION("""COMPUTED_VALUE"""),782.0)</f>
        <v>782</v>
      </c>
      <c r="N210" s="3">
        <f>IFERROR(__xludf.DUMMYFUNCTION("""COMPUTED_VALUE"""),1334.0)</f>
        <v>1334</v>
      </c>
      <c r="O210" s="3">
        <f>IFERROR(__xludf.DUMMYFUNCTION("""COMPUTED_VALUE"""),586149.0)</f>
        <v>586149</v>
      </c>
      <c r="P210" s="1" t="str">
        <f>IFERROR(__xludf.DUMMYFUNCTION("""COMPUTED_VALUE"""),"South America")</f>
        <v>South America</v>
      </c>
      <c r="Q210" s="3">
        <f>IFERROR(__xludf.DUMMYFUNCTION("""COMPUTED_VALUE"""),48846.0)</f>
        <v>48846</v>
      </c>
      <c r="R210" s="3">
        <f>IFERROR(__xludf.DUMMYFUNCTION("""COMPUTED_VALUE"""),586149.0)</f>
        <v>586149</v>
      </c>
      <c r="S210" s="1">
        <f>IFERROR(__xludf.DUMMYFUNCTION("""COMPUTED_VALUE"""),750.0)</f>
        <v>750</v>
      </c>
    </row>
    <row r="211">
      <c r="A211" s="1">
        <f>IFERROR(__xludf.DUMMYFUNCTION("""COMPUTED_VALUE"""),202.0)</f>
        <v>202</v>
      </c>
      <c r="B211" s="1" t="str">
        <f>IFERROR(__xludf.DUMMYFUNCTION("""COMPUTED_VALUE"""),"Turks and Caicos")</f>
        <v>Turks and Caicos</v>
      </c>
      <c r="C211" s="1">
        <f>IFERROR(__xludf.DUMMYFUNCTION("""COMPUTED_VALUE"""),12.0)</f>
        <v>12</v>
      </c>
      <c r="D211" s="1" t="str">
        <f>IFERROR(__xludf.DUMMYFUNCTION("""COMPUTED_VALUE"""),"")</f>
        <v/>
      </c>
      <c r="E211" s="1">
        <f>IFERROR(__xludf.DUMMYFUNCTION("""COMPUTED_VALUE"""),1.0)</f>
        <v>1</v>
      </c>
      <c r="F211" s="1" t="str">
        <f>IFERROR(__xludf.DUMMYFUNCTION("""COMPUTED_VALUE"""),"")</f>
        <v/>
      </c>
      <c r="G211" s="1">
        <f>IFERROR(__xludf.DUMMYFUNCTION("""COMPUTED_VALUE"""),10.0)</f>
        <v>10</v>
      </c>
      <c r="H211" s="1" t="str">
        <f>IFERROR(__xludf.DUMMYFUNCTION("""COMPUTED_VALUE"""),"")</f>
        <v/>
      </c>
      <c r="I211" s="1">
        <f>IFERROR(__xludf.DUMMYFUNCTION("""COMPUTED_VALUE"""),1.0)</f>
        <v>1</v>
      </c>
      <c r="J211" s="1" t="str">
        <f>IFERROR(__xludf.DUMMYFUNCTION("""COMPUTED_VALUE"""),"")</f>
        <v/>
      </c>
      <c r="K211" s="1">
        <f>IFERROR(__xludf.DUMMYFUNCTION("""COMPUTED_VALUE"""),310.0)</f>
        <v>310</v>
      </c>
      <c r="L211" s="1">
        <f>IFERROR(__xludf.DUMMYFUNCTION("""COMPUTED_VALUE"""),26.0)</f>
        <v>26</v>
      </c>
      <c r="M211" s="1">
        <f>IFERROR(__xludf.DUMMYFUNCTION("""COMPUTED_VALUE"""),129.0)</f>
        <v>129</v>
      </c>
      <c r="N211" s="3">
        <f>IFERROR(__xludf.DUMMYFUNCTION("""COMPUTED_VALUE"""),3336.0)</f>
        <v>3336</v>
      </c>
      <c r="O211" s="3">
        <f>IFERROR(__xludf.DUMMYFUNCTION("""COMPUTED_VALUE"""),38668.0)</f>
        <v>38668</v>
      </c>
      <c r="P211" s="1" t="str">
        <f>IFERROR(__xludf.DUMMYFUNCTION("""COMPUTED_VALUE"""),"North America")</f>
        <v>North America</v>
      </c>
      <c r="Q211" s="3">
        <f>IFERROR(__xludf.DUMMYFUNCTION("""COMPUTED_VALUE"""),3222.0)</f>
        <v>3222</v>
      </c>
      <c r="R211" s="3">
        <f>IFERROR(__xludf.DUMMYFUNCTION("""COMPUTED_VALUE"""),38668.0)</f>
        <v>38668</v>
      </c>
      <c r="S211" s="1">
        <f>IFERROR(__xludf.DUMMYFUNCTION("""COMPUTED_VALUE"""),300.0)</f>
        <v>300</v>
      </c>
    </row>
    <row r="212">
      <c r="A212" s="1">
        <f>IFERROR(__xludf.DUMMYFUNCTION("""COMPUTED_VALUE"""),203.0)</f>
        <v>203</v>
      </c>
      <c r="B212" s="1" t="str">
        <f>IFERROR(__xludf.DUMMYFUNCTION("""COMPUTED_VALUE"""),"Vatican City")</f>
        <v>Vatican City</v>
      </c>
      <c r="C212" s="1">
        <f>IFERROR(__xludf.DUMMYFUNCTION("""COMPUTED_VALUE"""),12.0)</f>
        <v>12</v>
      </c>
      <c r="D212" s="1" t="str">
        <f>IFERROR(__xludf.DUMMYFUNCTION("""COMPUTED_VALUE"""),"")</f>
        <v/>
      </c>
      <c r="E212" s="1" t="str">
        <f>IFERROR(__xludf.DUMMYFUNCTION("""COMPUTED_VALUE"""),"")</f>
        <v/>
      </c>
      <c r="F212" s="1" t="str">
        <f>IFERROR(__xludf.DUMMYFUNCTION("""COMPUTED_VALUE"""),"")</f>
        <v/>
      </c>
      <c r="G212" s="1">
        <f>IFERROR(__xludf.DUMMYFUNCTION("""COMPUTED_VALUE"""),2.0)</f>
        <v>2</v>
      </c>
      <c r="H212" s="1" t="str">
        <f>IFERROR(__xludf.DUMMYFUNCTION("""COMPUTED_VALUE"""),"")</f>
        <v/>
      </c>
      <c r="I212" s="1">
        <f>IFERROR(__xludf.DUMMYFUNCTION("""COMPUTED_VALUE"""),10.0)</f>
        <v>10</v>
      </c>
      <c r="J212" s="1" t="str">
        <f>IFERROR(__xludf.DUMMYFUNCTION("""COMPUTED_VALUE"""),"")</f>
        <v/>
      </c>
      <c r="K212" s="3">
        <f>IFERROR(__xludf.DUMMYFUNCTION("""COMPUTED_VALUE"""),14981.0)</f>
        <v>14981</v>
      </c>
      <c r="L212" s="1" t="str">
        <f>IFERROR(__xludf.DUMMYFUNCTION("""COMPUTED_VALUE"""),"")</f>
        <v/>
      </c>
      <c r="M212" s="1" t="str">
        <f>IFERROR(__xludf.DUMMYFUNCTION("""COMPUTED_VALUE"""),"")</f>
        <v/>
      </c>
      <c r="N212" s="1" t="str">
        <f>IFERROR(__xludf.DUMMYFUNCTION("""COMPUTED_VALUE"""),"")</f>
        <v/>
      </c>
      <c r="O212" s="1">
        <f>IFERROR(__xludf.DUMMYFUNCTION("""COMPUTED_VALUE"""),801.0)</f>
        <v>801</v>
      </c>
      <c r="P212" s="1" t="str">
        <f>IFERROR(__xludf.DUMMYFUNCTION("""COMPUTED_VALUE"""),"Europe")</f>
        <v>Europe</v>
      </c>
      <c r="Q212" s="1">
        <f>IFERROR(__xludf.DUMMYFUNCTION("""COMPUTED_VALUE"""),67.0)</f>
        <v>67</v>
      </c>
      <c r="R212" s="1" t="str">
        <f>IFERROR(__xludf.DUMMYFUNCTION("""COMPUTED_VALUE"""),"")</f>
        <v/>
      </c>
      <c r="S212" s="1" t="str">
        <f>IFERROR(__xludf.DUMMYFUNCTION("""COMPUTED_VALUE"""),"")</f>
        <v/>
      </c>
    </row>
    <row r="213">
      <c r="A213" s="1">
        <f>IFERROR(__xludf.DUMMYFUNCTION("""COMPUTED_VALUE"""),204.0)</f>
        <v>204</v>
      </c>
      <c r="B213" s="1" t="str">
        <f>IFERROR(__xludf.DUMMYFUNCTION("""COMPUTED_VALUE"""),"Montserrat")</f>
        <v>Montserrat</v>
      </c>
      <c r="C213" s="1">
        <f>IFERROR(__xludf.DUMMYFUNCTION("""COMPUTED_VALUE"""),11.0)</f>
        <v>11</v>
      </c>
      <c r="D213" s="1" t="str">
        <f>IFERROR(__xludf.DUMMYFUNCTION("""COMPUTED_VALUE"""),"")</f>
        <v/>
      </c>
      <c r="E213" s="1">
        <f>IFERROR(__xludf.DUMMYFUNCTION("""COMPUTED_VALUE"""),1.0)</f>
        <v>1</v>
      </c>
      <c r="F213" s="1" t="str">
        <f>IFERROR(__xludf.DUMMYFUNCTION("""COMPUTED_VALUE"""),"")</f>
        <v/>
      </c>
      <c r="G213" s="1">
        <f>IFERROR(__xludf.DUMMYFUNCTION("""COMPUTED_VALUE"""),10.0)</f>
        <v>10</v>
      </c>
      <c r="H213" s="1" t="str">
        <f>IFERROR(__xludf.DUMMYFUNCTION("""COMPUTED_VALUE"""),"")</f>
        <v/>
      </c>
      <c r="I213" s="1">
        <f>IFERROR(__xludf.DUMMYFUNCTION("""COMPUTED_VALUE"""),0.0)</f>
        <v>0</v>
      </c>
      <c r="J213" s="1" t="str">
        <f>IFERROR(__xludf.DUMMYFUNCTION("""COMPUTED_VALUE"""),"")</f>
        <v/>
      </c>
      <c r="K213" s="3">
        <f>IFERROR(__xludf.DUMMYFUNCTION("""COMPUTED_VALUE"""),2204.0)</f>
        <v>2204</v>
      </c>
      <c r="L213" s="1">
        <f>IFERROR(__xludf.DUMMYFUNCTION("""COMPUTED_VALUE"""),200.0)</f>
        <v>200</v>
      </c>
      <c r="M213" s="1">
        <f>IFERROR(__xludf.DUMMYFUNCTION("""COMPUTED_VALUE"""),36.0)</f>
        <v>36</v>
      </c>
      <c r="N213" s="3">
        <f>IFERROR(__xludf.DUMMYFUNCTION("""COMPUTED_VALUE"""),7212.0)</f>
        <v>7212</v>
      </c>
      <c r="O213" s="3">
        <f>IFERROR(__xludf.DUMMYFUNCTION("""COMPUTED_VALUE"""),4992.0)</f>
        <v>4992</v>
      </c>
      <c r="P213" s="1" t="str">
        <f>IFERROR(__xludf.DUMMYFUNCTION("""COMPUTED_VALUE"""),"North America")</f>
        <v>North America</v>
      </c>
      <c r="Q213" s="1">
        <f>IFERROR(__xludf.DUMMYFUNCTION("""COMPUTED_VALUE"""),454.0)</f>
        <v>454</v>
      </c>
      <c r="R213" s="3">
        <f>IFERROR(__xludf.DUMMYFUNCTION("""COMPUTED_VALUE"""),4992.0)</f>
        <v>4992</v>
      </c>
      <c r="S213" s="1">
        <f>IFERROR(__xludf.DUMMYFUNCTION("""COMPUTED_VALUE"""),139.0)</f>
        <v>139</v>
      </c>
    </row>
    <row r="214">
      <c r="A214" s="1">
        <f>IFERROR(__xludf.DUMMYFUNCTION("""COMPUTED_VALUE"""),205.0)</f>
        <v>205</v>
      </c>
      <c r="B214" s="1" t="str">
        <f>IFERROR(__xludf.DUMMYFUNCTION("""COMPUTED_VALUE"""),"Seychelles")</f>
        <v>Seychelles</v>
      </c>
      <c r="C214" s="1">
        <f>IFERROR(__xludf.DUMMYFUNCTION("""COMPUTED_VALUE"""),11.0)</f>
        <v>11</v>
      </c>
      <c r="D214" s="1" t="str">
        <f>IFERROR(__xludf.DUMMYFUNCTION("""COMPUTED_VALUE"""),"")</f>
        <v/>
      </c>
      <c r="E214" s="1" t="str">
        <f>IFERROR(__xludf.DUMMYFUNCTION("""COMPUTED_VALUE"""),"")</f>
        <v/>
      </c>
      <c r="F214" s="1" t="str">
        <f>IFERROR(__xludf.DUMMYFUNCTION("""COMPUTED_VALUE"""),"")</f>
        <v/>
      </c>
      <c r="G214" s="1">
        <f>IFERROR(__xludf.DUMMYFUNCTION("""COMPUTED_VALUE"""),11.0)</f>
        <v>11</v>
      </c>
      <c r="H214" s="1" t="str">
        <f>IFERROR(__xludf.DUMMYFUNCTION("""COMPUTED_VALUE"""),"")</f>
        <v/>
      </c>
      <c r="I214" s="1">
        <f>IFERROR(__xludf.DUMMYFUNCTION("""COMPUTED_VALUE"""),0.0)</f>
        <v>0</v>
      </c>
      <c r="J214" s="1" t="str">
        <f>IFERROR(__xludf.DUMMYFUNCTION("""COMPUTED_VALUE"""),"")</f>
        <v/>
      </c>
      <c r="K214" s="1">
        <f>IFERROR(__xludf.DUMMYFUNCTION("""COMPUTED_VALUE"""),112.0)</f>
        <v>112</v>
      </c>
      <c r="L214" s="1" t="str">
        <f>IFERROR(__xludf.DUMMYFUNCTION("""COMPUTED_VALUE"""),"")</f>
        <v/>
      </c>
      <c r="M214" s="1" t="str">
        <f>IFERROR(__xludf.DUMMYFUNCTION("""COMPUTED_VALUE"""),"")</f>
        <v/>
      </c>
      <c r="N214" s="1" t="str">
        <f>IFERROR(__xludf.DUMMYFUNCTION("""COMPUTED_VALUE"""),"")</f>
        <v/>
      </c>
      <c r="O214" s="3">
        <f>IFERROR(__xludf.DUMMYFUNCTION("""COMPUTED_VALUE"""),98292.0)</f>
        <v>98292</v>
      </c>
      <c r="P214" s="1" t="str">
        <f>IFERROR(__xludf.DUMMYFUNCTION("""COMPUTED_VALUE"""),"Africa")</f>
        <v>Africa</v>
      </c>
      <c r="Q214" s="3">
        <f>IFERROR(__xludf.DUMMYFUNCTION("""COMPUTED_VALUE"""),8936.0)</f>
        <v>8936</v>
      </c>
      <c r="R214" s="1" t="str">
        <f>IFERROR(__xludf.DUMMYFUNCTION("""COMPUTED_VALUE"""),"")</f>
        <v/>
      </c>
      <c r="S214" s="1" t="str">
        <f>IFERROR(__xludf.DUMMYFUNCTION("""COMPUTED_VALUE"""),"")</f>
        <v/>
      </c>
    </row>
    <row r="215">
      <c r="A215" s="1">
        <f>IFERROR(__xludf.DUMMYFUNCTION("""COMPUTED_VALUE"""),206.0)</f>
        <v>206</v>
      </c>
      <c r="B215" s="1" t="str">
        <f>IFERROR(__xludf.DUMMYFUNCTION("""COMPUTED_VALUE"""),"MS Zaandam")</f>
        <v>MS Zaandam</v>
      </c>
      <c r="C215" s="1">
        <f>IFERROR(__xludf.DUMMYFUNCTION("""COMPUTED_VALUE"""),9.0)</f>
        <v>9</v>
      </c>
      <c r="D215" s="1" t="str">
        <f>IFERROR(__xludf.DUMMYFUNCTION("""COMPUTED_VALUE"""),"")</f>
        <v/>
      </c>
      <c r="E215" s="1">
        <f>IFERROR(__xludf.DUMMYFUNCTION("""COMPUTED_VALUE"""),2.0)</f>
        <v>2</v>
      </c>
      <c r="F215" s="1" t="str">
        <f>IFERROR(__xludf.DUMMYFUNCTION("""COMPUTED_VALUE"""),"")</f>
        <v/>
      </c>
      <c r="G215" s="1" t="str">
        <f>IFERROR(__xludf.DUMMYFUNCTION("""COMPUTED_VALUE"""),"")</f>
        <v/>
      </c>
      <c r="H215" s="1" t="str">
        <f>IFERROR(__xludf.DUMMYFUNCTION("""COMPUTED_VALUE"""),"")</f>
        <v/>
      </c>
      <c r="I215" s="1">
        <f>IFERROR(__xludf.DUMMYFUNCTION("""COMPUTED_VALUE"""),7.0)</f>
        <v>7</v>
      </c>
      <c r="J215" s="1" t="str">
        <f>IFERROR(__xludf.DUMMYFUNCTION("""COMPUTED_VALUE"""),"")</f>
        <v/>
      </c>
      <c r="K215" s="1" t="str">
        <f>IFERROR(__xludf.DUMMYFUNCTION("""COMPUTED_VALUE"""),"")</f>
        <v/>
      </c>
      <c r="L215" s="1" t="str">
        <f>IFERROR(__xludf.DUMMYFUNCTION("""COMPUTED_VALUE"""),"")</f>
        <v/>
      </c>
      <c r="M215" s="1" t="str">
        <f>IFERROR(__xludf.DUMMYFUNCTION("""COMPUTED_VALUE"""),"")</f>
        <v/>
      </c>
      <c r="N215" s="1" t="str">
        <f>IFERROR(__xludf.DUMMYFUNCTION("""COMPUTED_VALUE"""),"")</f>
        <v/>
      </c>
      <c r="O215" s="1" t="str">
        <f>IFERROR(__xludf.DUMMYFUNCTION("""COMPUTED_VALUE"""),"")</f>
        <v/>
      </c>
      <c r="P215" s="1" t="str">
        <f>IFERROR(__xludf.DUMMYFUNCTION("""COMPUTED_VALUE"""),"")</f>
        <v/>
      </c>
      <c r="Q215" s="1" t="str">
        <f>IFERROR(__xludf.DUMMYFUNCTION("""COMPUTED_VALUE"""),"")</f>
        <v/>
      </c>
      <c r="R215" s="1" t="str">
        <f>IFERROR(__xludf.DUMMYFUNCTION("""COMPUTED_VALUE"""),"")</f>
        <v/>
      </c>
      <c r="S215" s="1" t="str">
        <f>IFERROR(__xludf.DUMMYFUNCTION("""COMPUTED_VALUE"""),"")</f>
        <v/>
      </c>
    </row>
    <row r="216">
      <c r="A216" s="1">
        <f>IFERROR(__xludf.DUMMYFUNCTION("""COMPUTED_VALUE"""),207.0)</f>
        <v>207</v>
      </c>
      <c r="B216" s="1" t="str">
        <f>IFERROR(__xludf.DUMMYFUNCTION("""COMPUTED_VALUE"""),"Western Sahara")</f>
        <v>Western Sahara</v>
      </c>
      <c r="C216" s="1">
        <f>IFERROR(__xludf.DUMMYFUNCTION("""COMPUTED_VALUE"""),9.0)</f>
        <v>9</v>
      </c>
      <c r="D216" s="1" t="str">
        <f>IFERROR(__xludf.DUMMYFUNCTION("""COMPUTED_VALUE"""),"")</f>
        <v/>
      </c>
      <c r="E216" s="1">
        <f>IFERROR(__xludf.DUMMYFUNCTION("""COMPUTED_VALUE"""),1.0)</f>
        <v>1</v>
      </c>
      <c r="F216" s="1" t="str">
        <f>IFERROR(__xludf.DUMMYFUNCTION("""COMPUTED_VALUE"""),"")</f>
        <v/>
      </c>
      <c r="G216" s="1">
        <f>IFERROR(__xludf.DUMMYFUNCTION("""COMPUTED_VALUE"""),6.0)</f>
        <v>6</v>
      </c>
      <c r="H216" s="1" t="str">
        <f>IFERROR(__xludf.DUMMYFUNCTION("""COMPUTED_VALUE"""),"")</f>
        <v/>
      </c>
      <c r="I216" s="1">
        <f>IFERROR(__xludf.DUMMYFUNCTION("""COMPUTED_VALUE"""),2.0)</f>
        <v>2</v>
      </c>
      <c r="J216" s="1" t="str">
        <f>IFERROR(__xludf.DUMMYFUNCTION("""COMPUTED_VALUE"""),"")</f>
        <v/>
      </c>
      <c r="K216" s="1">
        <f>IFERROR(__xludf.DUMMYFUNCTION("""COMPUTED_VALUE"""),15.0)</f>
        <v>15</v>
      </c>
      <c r="L216" s="1">
        <f>IFERROR(__xludf.DUMMYFUNCTION("""COMPUTED_VALUE"""),2.0)</f>
        <v>2</v>
      </c>
      <c r="M216" s="1" t="str">
        <f>IFERROR(__xludf.DUMMYFUNCTION("""COMPUTED_VALUE"""),"")</f>
        <v/>
      </c>
      <c r="N216" s="1" t="str">
        <f>IFERROR(__xludf.DUMMYFUNCTION("""COMPUTED_VALUE"""),"")</f>
        <v/>
      </c>
      <c r="O216" s="3">
        <f>IFERROR(__xludf.DUMMYFUNCTION("""COMPUTED_VALUE"""),595865.0)</f>
        <v>595865</v>
      </c>
      <c r="P216" s="1" t="str">
        <f>IFERROR(__xludf.DUMMYFUNCTION("""COMPUTED_VALUE"""),"Africa")</f>
        <v>Africa</v>
      </c>
      <c r="Q216" s="3">
        <f>IFERROR(__xludf.DUMMYFUNCTION("""COMPUTED_VALUE"""),66207.0)</f>
        <v>66207</v>
      </c>
      <c r="R216" s="3">
        <f>IFERROR(__xludf.DUMMYFUNCTION("""COMPUTED_VALUE"""),595865.0)</f>
        <v>595865</v>
      </c>
      <c r="S216" s="1" t="str">
        <f>IFERROR(__xludf.DUMMYFUNCTION("""COMPUTED_VALUE"""),"")</f>
        <v/>
      </c>
    </row>
    <row r="217">
      <c r="A217" s="1">
        <f>IFERROR(__xludf.DUMMYFUNCTION("""COMPUTED_VALUE"""),208.0)</f>
        <v>208</v>
      </c>
      <c r="B217" s="1" t="str">
        <f>IFERROR(__xludf.DUMMYFUNCTION("""COMPUTED_VALUE"""),"British Virgin Islands")</f>
        <v>British Virgin Islands</v>
      </c>
      <c r="C217" s="1">
        <f>IFERROR(__xludf.DUMMYFUNCTION("""COMPUTED_VALUE"""),8.0)</f>
        <v>8</v>
      </c>
      <c r="D217" s="1" t="str">
        <f>IFERROR(__xludf.DUMMYFUNCTION("""COMPUTED_VALUE"""),"")</f>
        <v/>
      </c>
      <c r="E217" s="1">
        <f>IFERROR(__xludf.DUMMYFUNCTION("""COMPUTED_VALUE"""),1.0)</f>
        <v>1</v>
      </c>
      <c r="F217" s="1" t="str">
        <f>IFERROR(__xludf.DUMMYFUNCTION("""COMPUTED_VALUE"""),"")</f>
        <v/>
      </c>
      <c r="G217" s="1">
        <f>IFERROR(__xludf.DUMMYFUNCTION("""COMPUTED_VALUE"""),7.0)</f>
        <v>7</v>
      </c>
      <c r="H217" s="1" t="str">
        <f>IFERROR(__xludf.DUMMYFUNCTION("""COMPUTED_VALUE"""),"")</f>
        <v/>
      </c>
      <c r="I217" s="1">
        <f>IFERROR(__xludf.DUMMYFUNCTION("""COMPUTED_VALUE"""),0.0)</f>
        <v>0</v>
      </c>
      <c r="J217" s="1" t="str">
        <f>IFERROR(__xludf.DUMMYFUNCTION("""COMPUTED_VALUE"""),"")</f>
        <v/>
      </c>
      <c r="K217" s="1">
        <f>IFERROR(__xludf.DUMMYFUNCTION("""COMPUTED_VALUE"""),265.0)</f>
        <v>265</v>
      </c>
      <c r="L217" s="1">
        <f>IFERROR(__xludf.DUMMYFUNCTION("""COMPUTED_VALUE"""),33.0)</f>
        <v>33</v>
      </c>
      <c r="M217" s="1">
        <f>IFERROR(__xludf.DUMMYFUNCTION("""COMPUTED_VALUE"""),167.0)</f>
        <v>167</v>
      </c>
      <c r="N217" s="3">
        <f>IFERROR(__xludf.DUMMYFUNCTION("""COMPUTED_VALUE"""),5527.0)</f>
        <v>5527</v>
      </c>
      <c r="O217" s="3">
        <f>IFERROR(__xludf.DUMMYFUNCTION("""COMPUTED_VALUE"""),30213.0)</f>
        <v>30213</v>
      </c>
      <c r="P217" s="1" t="str">
        <f>IFERROR(__xludf.DUMMYFUNCTION("""COMPUTED_VALUE"""),"North America")</f>
        <v>North America</v>
      </c>
      <c r="Q217" s="3">
        <f>IFERROR(__xludf.DUMMYFUNCTION("""COMPUTED_VALUE"""),3777.0)</f>
        <v>3777</v>
      </c>
      <c r="R217" s="3">
        <f>IFERROR(__xludf.DUMMYFUNCTION("""COMPUTED_VALUE"""),30213.0)</f>
        <v>30213</v>
      </c>
      <c r="S217" s="1">
        <f>IFERROR(__xludf.DUMMYFUNCTION("""COMPUTED_VALUE"""),181.0)</f>
        <v>181</v>
      </c>
    </row>
    <row r="218">
      <c r="A218" s="1">
        <f>IFERROR(__xludf.DUMMYFUNCTION("""COMPUTED_VALUE"""),209.0)</f>
        <v>209</v>
      </c>
      <c r="B218" s="1" t="str">
        <f>IFERROR(__xludf.DUMMYFUNCTION("""COMPUTED_VALUE"""),"Papua New Guinea")</f>
        <v>Papua New Guinea</v>
      </c>
      <c r="C218" s="1">
        <f>IFERROR(__xludf.DUMMYFUNCTION("""COMPUTED_VALUE"""),8.0)</f>
        <v>8</v>
      </c>
      <c r="D218" s="1" t="str">
        <f>IFERROR(__xludf.DUMMYFUNCTION("""COMPUTED_VALUE"""),"")</f>
        <v/>
      </c>
      <c r="E218" s="1" t="str">
        <f>IFERROR(__xludf.DUMMYFUNCTION("""COMPUTED_VALUE"""),"")</f>
        <v/>
      </c>
      <c r="F218" s="1" t="str">
        <f>IFERROR(__xludf.DUMMYFUNCTION("""COMPUTED_VALUE"""),"")</f>
        <v/>
      </c>
      <c r="G218" s="1">
        <f>IFERROR(__xludf.DUMMYFUNCTION("""COMPUTED_VALUE"""),8.0)</f>
        <v>8</v>
      </c>
      <c r="H218" s="1" t="str">
        <f>IFERROR(__xludf.DUMMYFUNCTION("""COMPUTED_VALUE"""),"")</f>
        <v/>
      </c>
      <c r="I218" s="1">
        <f>IFERROR(__xludf.DUMMYFUNCTION("""COMPUTED_VALUE"""),0.0)</f>
        <v>0</v>
      </c>
      <c r="J218" s="1" t="str">
        <f>IFERROR(__xludf.DUMMYFUNCTION("""COMPUTED_VALUE"""),"")</f>
        <v/>
      </c>
      <c r="K218" s="1">
        <f>IFERROR(__xludf.DUMMYFUNCTION("""COMPUTED_VALUE"""),0.9)</f>
        <v>0.9</v>
      </c>
      <c r="L218" s="1" t="str">
        <f>IFERROR(__xludf.DUMMYFUNCTION("""COMPUTED_VALUE"""),"")</f>
        <v/>
      </c>
      <c r="M218" s="3">
        <f>IFERROR(__xludf.DUMMYFUNCTION("""COMPUTED_VALUE"""),2402.0)</f>
        <v>2402</v>
      </c>
      <c r="N218" s="1">
        <f>IFERROR(__xludf.DUMMYFUNCTION("""COMPUTED_VALUE"""),269.0)</f>
        <v>269</v>
      </c>
      <c r="O218" s="3">
        <f>IFERROR(__xludf.DUMMYFUNCTION("""COMPUTED_VALUE"""),8930545.0)</f>
        <v>8930545</v>
      </c>
      <c r="P218" s="1" t="str">
        <f>IFERROR(__xludf.DUMMYFUNCTION("""COMPUTED_VALUE"""),"Australia/Oceania")</f>
        <v>Australia/Oceania</v>
      </c>
      <c r="Q218" s="3">
        <f>IFERROR(__xludf.DUMMYFUNCTION("""COMPUTED_VALUE"""),1116318.0)</f>
        <v>1116318</v>
      </c>
      <c r="R218" s="1" t="str">
        <f>IFERROR(__xludf.DUMMYFUNCTION("""COMPUTED_VALUE"""),"")</f>
        <v/>
      </c>
      <c r="S218" s="3">
        <f>IFERROR(__xludf.DUMMYFUNCTION("""COMPUTED_VALUE"""),3718.0)</f>
        <v>3718</v>
      </c>
    </row>
    <row r="219">
      <c r="A219" s="1">
        <f>IFERROR(__xludf.DUMMYFUNCTION("""COMPUTED_VALUE"""),210.0)</f>
        <v>210</v>
      </c>
      <c r="B219" s="1" t="str">
        <f>IFERROR(__xludf.DUMMYFUNCTION("""COMPUTED_VALUE"""),"Caribbean Netherlands")</f>
        <v>Caribbean Netherlands</v>
      </c>
      <c r="C219" s="1">
        <f>IFERROR(__xludf.DUMMYFUNCTION("""COMPUTED_VALUE"""),6.0)</f>
        <v>6</v>
      </c>
      <c r="D219" s="1" t="str">
        <f>IFERROR(__xludf.DUMMYFUNCTION("""COMPUTED_VALUE"""),"")</f>
        <v/>
      </c>
      <c r="E219" s="1" t="str">
        <f>IFERROR(__xludf.DUMMYFUNCTION("""COMPUTED_VALUE"""),"")</f>
        <v/>
      </c>
      <c r="F219" s="1" t="str">
        <f>IFERROR(__xludf.DUMMYFUNCTION("""COMPUTED_VALUE"""),"")</f>
        <v/>
      </c>
      <c r="G219" s="1">
        <f>IFERROR(__xludf.DUMMYFUNCTION("""COMPUTED_VALUE"""),6.0)</f>
        <v>6</v>
      </c>
      <c r="H219" s="1" t="str">
        <f>IFERROR(__xludf.DUMMYFUNCTION("""COMPUTED_VALUE"""),"")</f>
        <v/>
      </c>
      <c r="I219" s="1">
        <f>IFERROR(__xludf.DUMMYFUNCTION("""COMPUTED_VALUE"""),0.0)</f>
        <v>0</v>
      </c>
      <c r="J219" s="1" t="str">
        <f>IFERROR(__xludf.DUMMYFUNCTION("""COMPUTED_VALUE"""),"")</f>
        <v/>
      </c>
      <c r="K219" s="1">
        <f>IFERROR(__xludf.DUMMYFUNCTION("""COMPUTED_VALUE"""),229.0)</f>
        <v>229</v>
      </c>
      <c r="L219" s="1" t="str">
        <f>IFERROR(__xludf.DUMMYFUNCTION("""COMPUTED_VALUE"""),"")</f>
        <v/>
      </c>
      <c r="M219" s="1">
        <f>IFERROR(__xludf.DUMMYFUNCTION("""COMPUTED_VALUE"""),424.0)</f>
        <v>424</v>
      </c>
      <c r="N219" s="3">
        <f>IFERROR(__xludf.DUMMYFUNCTION("""COMPUTED_VALUE"""),16183.0)</f>
        <v>16183</v>
      </c>
      <c r="O219" s="3">
        <f>IFERROR(__xludf.DUMMYFUNCTION("""COMPUTED_VALUE"""),26201.0)</f>
        <v>26201</v>
      </c>
      <c r="P219" s="1" t="str">
        <f>IFERROR(__xludf.DUMMYFUNCTION("""COMPUTED_VALUE"""),"North America")</f>
        <v>North America</v>
      </c>
      <c r="Q219" s="3">
        <f>IFERROR(__xludf.DUMMYFUNCTION("""COMPUTED_VALUE"""),4367.0)</f>
        <v>4367</v>
      </c>
      <c r="R219" s="1" t="str">
        <f>IFERROR(__xludf.DUMMYFUNCTION("""COMPUTED_VALUE"""),"")</f>
        <v/>
      </c>
      <c r="S219" s="1">
        <f>IFERROR(__xludf.DUMMYFUNCTION("""COMPUTED_VALUE"""),62.0)</f>
        <v>62</v>
      </c>
    </row>
    <row r="220">
      <c r="A220" s="1">
        <f>IFERROR(__xludf.DUMMYFUNCTION("""COMPUTED_VALUE"""),211.0)</f>
        <v>211</v>
      </c>
      <c r="B220" s="1" t="str">
        <f>IFERROR(__xludf.DUMMYFUNCTION("""COMPUTED_VALUE"""),"St. Barth")</f>
        <v>St. Barth</v>
      </c>
      <c r="C220" s="1">
        <f>IFERROR(__xludf.DUMMYFUNCTION("""COMPUTED_VALUE"""),6.0)</f>
        <v>6</v>
      </c>
      <c r="D220" s="1" t="str">
        <f>IFERROR(__xludf.DUMMYFUNCTION("""COMPUTED_VALUE"""),"")</f>
        <v/>
      </c>
      <c r="E220" s="1" t="str">
        <f>IFERROR(__xludf.DUMMYFUNCTION("""COMPUTED_VALUE"""),"")</f>
        <v/>
      </c>
      <c r="F220" s="1" t="str">
        <f>IFERROR(__xludf.DUMMYFUNCTION("""COMPUTED_VALUE"""),"")</f>
        <v/>
      </c>
      <c r="G220" s="1">
        <f>IFERROR(__xludf.DUMMYFUNCTION("""COMPUTED_VALUE"""),6.0)</f>
        <v>6</v>
      </c>
      <c r="H220" s="1" t="str">
        <f>IFERROR(__xludf.DUMMYFUNCTION("""COMPUTED_VALUE"""),"")</f>
        <v/>
      </c>
      <c r="I220" s="1">
        <f>IFERROR(__xludf.DUMMYFUNCTION("""COMPUTED_VALUE"""),0.0)</f>
        <v>0</v>
      </c>
      <c r="J220" s="1" t="str">
        <f>IFERROR(__xludf.DUMMYFUNCTION("""COMPUTED_VALUE"""),"")</f>
        <v/>
      </c>
      <c r="K220" s="1">
        <f>IFERROR(__xludf.DUMMYFUNCTION("""COMPUTED_VALUE"""),608.0)</f>
        <v>608</v>
      </c>
      <c r="L220" s="1" t="str">
        <f>IFERROR(__xludf.DUMMYFUNCTION("""COMPUTED_VALUE"""),"")</f>
        <v/>
      </c>
      <c r="M220" s="1">
        <f>IFERROR(__xludf.DUMMYFUNCTION("""COMPUTED_VALUE"""),137.0)</f>
        <v>137</v>
      </c>
      <c r="N220" s="3">
        <f>IFERROR(__xludf.DUMMYFUNCTION("""COMPUTED_VALUE"""),13875.0)</f>
        <v>13875</v>
      </c>
      <c r="O220" s="3">
        <f>IFERROR(__xludf.DUMMYFUNCTION("""COMPUTED_VALUE"""),9874.0)</f>
        <v>9874</v>
      </c>
      <c r="P220" s="1" t="str">
        <f>IFERROR(__xludf.DUMMYFUNCTION("""COMPUTED_VALUE"""),"North America")</f>
        <v>North America</v>
      </c>
      <c r="Q220" s="3">
        <f>IFERROR(__xludf.DUMMYFUNCTION("""COMPUTED_VALUE"""),1646.0)</f>
        <v>1646</v>
      </c>
      <c r="R220" s="1" t="str">
        <f>IFERROR(__xludf.DUMMYFUNCTION("""COMPUTED_VALUE"""),"")</f>
        <v/>
      </c>
      <c r="S220" s="1">
        <f>IFERROR(__xludf.DUMMYFUNCTION("""COMPUTED_VALUE"""),72.0)</f>
        <v>72</v>
      </c>
    </row>
    <row r="221">
      <c r="A221" s="1">
        <f>IFERROR(__xludf.DUMMYFUNCTION("""COMPUTED_VALUE"""),212.0)</f>
        <v>212</v>
      </c>
      <c r="B221" s="1" t="str">
        <f>IFERROR(__xludf.DUMMYFUNCTION("""COMPUTED_VALUE"""),"Anguilla")</f>
        <v>Anguilla</v>
      </c>
      <c r="C221" s="1">
        <f>IFERROR(__xludf.DUMMYFUNCTION("""COMPUTED_VALUE"""),3.0)</f>
        <v>3</v>
      </c>
      <c r="D221" s="1" t="str">
        <f>IFERROR(__xludf.DUMMYFUNCTION("""COMPUTED_VALUE"""),"")</f>
        <v/>
      </c>
      <c r="E221" s="1" t="str">
        <f>IFERROR(__xludf.DUMMYFUNCTION("""COMPUTED_VALUE"""),"")</f>
        <v/>
      </c>
      <c r="F221" s="1" t="str">
        <f>IFERROR(__xludf.DUMMYFUNCTION("""COMPUTED_VALUE"""),"")</f>
        <v/>
      </c>
      <c r="G221" s="1">
        <f>IFERROR(__xludf.DUMMYFUNCTION("""COMPUTED_VALUE"""),3.0)</f>
        <v>3</v>
      </c>
      <c r="H221" s="1" t="str">
        <f>IFERROR(__xludf.DUMMYFUNCTION("""COMPUTED_VALUE"""),"")</f>
        <v/>
      </c>
      <c r="I221" s="1">
        <f>IFERROR(__xludf.DUMMYFUNCTION("""COMPUTED_VALUE"""),0.0)</f>
        <v>0</v>
      </c>
      <c r="J221" s="1" t="str">
        <f>IFERROR(__xludf.DUMMYFUNCTION("""COMPUTED_VALUE"""),"")</f>
        <v/>
      </c>
      <c r="K221" s="1">
        <f>IFERROR(__xludf.DUMMYFUNCTION("""COMPUTED_VALUE"""),200.0)</f>
        <v>200</v>
      </c>
      <c r="L221" s="1" t="str">
        <f>IFERROR(__xludf.DUMMYFUNCTION("""COMPUTED_VALUE"""),"")</f>
        <v/>
      </c>
      <c r="M221" s="1">
        <f>IFERROR(__xludf.DUMMYFUNCTION("""COMPUTED_VALUE"""),30.0)</f>
        <v>30</v>
      </c>
      <c r="N221" s="3">
        <f>IFERROR(__xludf.DUMMYFUNCTION("""COMPUTED_VALUE"""),2001.0)</f>
        <v>2001</v>
      </c>
      <c r="O221" s="3">
        <f>IFERROR(__xludf.DUMMYFUNCTION("""COMPUTED_VALUE"""),14991.0)</f>
        <v>14991</v>
      </c>
      <c r="P221" s="1" t="str">
        <f>IFERROR(__xludf.DUMMYFUNCTION("""COMPUTED_VALUE"""),"North America")</f>
        <v>North America</v>
      </c>
      <c r="Q221" s="3">
        <f>IFERROR(__xludf.DUMMYFUNCTION("""COMPUTED_VALUE"""),4997.0)</f>
        <v>4997</v>
      </c>
      <c r="R221" s="1" t="str">
        <f>IFERROR(__xludf.DUMMYFUNCTION("""COMPUTED_VALUE"""),"")</f>
        <v/>
      </c>
      <c r="S221" s="1">
        <f>IFERROR(__xludf.DUMMYFUNCTION("""COMPUTED_VALUE"""),500.0)</f>
        <v>500</v>
      </c>
    </row>
    <row r="222">
      <c r="A222" s="1">
        <f>IFERROR(__xludf.DUMMYFUNCTION("""COMPUTED_VALUE"""),213.0)</f>
        <v>213</v>
      </c>
      <c r="B222" s="1" t="str">
        <f>IFERROR(__xludf.DUMMYFUNCTION("""COMPUTED_VALUE"""),"Lesotho")</f>
        <v>Lesotho</v>
      </c>
      <c r="C222" s="1">
        <f>IFERROR(__xludf.DUMMYFUNCTION("""COMPUTED_VALUE"""),2.0)</f>
        <v>2</v>
      </c>
      <c r="D222" s="1" t="str">
        <f>IFERROR(__xludf.DUMMYFUNCTION("""COMPUTED_VALUE"""),"")</f>
        <v/>
      </c>
      <c r="E222" s="1" t="str">
        <f>IFERROR(__xludf.DUMMYFUNCTION("""COMPUTED_VALUE"""),"")</f>
        <v/>
      </c>
      <c r="F222" s="1" t="str">
        <f>IFERROR(__xludf.DUMMYFUNCTION("""COMPUTED_VALUE"""),"")</f>
        <v/>
      </c>
      <c r="G222" s="1">
        <f>IFERROR(__xludf.DUMMYFUNCTION("""COMPUTED_VALUE"""),1.0)</f>
        <v>1</v>
      </c>
      <c r="H222" s="1" t="str">
        <f>IFERROR(__xludf.DUMMYFUNCTION("""COMPUTED_VALUE"""),"")</f>
        <v/>
      </c>
      <c r="I222" s="1">
        <f>IFERROR(__xludf.DUMMYFUNCTION("""COMPUTED_VALUE"""),1.0)</f>
        <v>1</v>
      </c>
      <c r="J222" s="1" t="str">
        <f>IFERROR(__xludf.DUMMYFUNCTION("""COMPUTED_VALUE"""),"")</f>
        <v/>
      </c>
      <c r="K222" s="1">
        <f>IFERROR(__xludf.DUMMYFUNCTION("""COMPUTED_VALUE"""),0.9)</f>
        <v>0.9</v>
      </c>
      <c r="L222" s="1" t="str">
        <f>IFERROR(__xludf.DUMMYFUNCTION("""COMPUTED_VALUE"""),"")</f>
        <v/>
      </c>
      <c r="M222" s="1">
        <f>IFERROR(__xludf.DUMMYFUNCTION("""COMPUTED_VALUE"""),283.0)</f>
        <v>283</v>
      </c>
      <c r="N222" s="1">
        <f>IFERROR(__xludf.DUMMYFUNCTION("""COMPUTED_VALUE"""),132.0)</f>
        <v>132</v>
      </c>
      <c r="O222" s="3">
        <f>IFERROR(__xludf.DUMMYFUNCTION("""COMPUTED_VALUE"""),2140699.0)</f>
        <v>2140699</v>
      </c>
      <c r="P222" s="1" t="str">
        <f>IFERROR(__xludf.DUMMYFUNCTION("""COMPUTED_VALUE"""),"Africa")</f>
        <v>Africa</v>
      </c>
      <c r="Q222" s="3">
        <f>IFERROR(__xludf.DUMMYFUNCTION("""COMPUTED_VALUE"""),1070350.0)</f>
        <v>1070350</v>
      </c>
      <c r="R222" s="1" t="str">
        <f>IFERROR(__xludf.DUMMYFUNCTION("""COMPUTED_VALUE"""),"")</f>
        <v/>
      </c>
      <c r="S222" s="3">
        <f>IFERROR(__xludf.DUMMYFUNCTION("""COMPUTED_VALUE"""),7564.0)</f>
        <v>7564</v>
      </c>
    </row>
    <row r="223">
      <c r="A223" s="1">
        <f>IFERROR(__xludf.DUMMYFUNCTION("""COMPUTED_VALUE"""),214.0)</f>
        <v>214</v>
      </c>
      <c r="B223" s="1" t="str">
        <f>IFERROR(__xludf.DUMMYFUNCTION("""COMPUTED_VALUE"""),"Saint Pierre Miquelon")</f>
        <v>Saint Pierre Miquelon</v>
      </c>
      <c r="C223" s="1">
        <f>IFERROR(__xludf.DUMMYFUNCTION("""COMPUTED_VALUE"""),1.0)</f>
        <v>1</v>
      </c>
      <c r="D223" s="1" t="str">
        <f>IFERROR(__xludf.DUMMYFUNCTION("""COMPUTED_VALUE"""),"")</f>
        <v/>
      </c>
      <c r="E223" s="1" t="str">
        <f>IFERROR(__xludf.DUMMYFUNCTION("""COMPUTED_VALUE"""),"")</f>
        <v/>
      </c>
      <c r="F223" s="1" t="str">
        <f>IFERROR(__xludf.DUMMYFUNCTION("""COMPUTED_VALUE"""),"")</f>
        <v/>
      </c>
      <c r="G223" s="1">
        <f>IFERROR(__xludf.DUMMYFUNCTION("""COMPUTED_VALUE"""),1.0)</f>
        <v>1</v>
      </c>
      <c r="H223" s="1" t="str">
        <f>IFERROR(__xludf.DUMMYFUNCTION("""COMPUTED_VALUE"""),"")</f>
        <v/>
      </c>
      <c r="I223" s="1">
        <f>IFERROR(__xludf.DUMMYFUNCTION("""COMPUTED_VALUE"""),0.0)</f>
        <v>0</v>
      </c>
      <c r="J223" s="1" t="str">
        <f>IFERROR(__xludf.DUMMYFUNCTION("""COMPUTED_VALUE"""),"")</f>
        <v/>
      </c>
      <c r="K223" s="1">
        <f>IFERROR(__xludf.DUMMYFUNCTION("""COMPUTED_VALUE"""),173.0)</f>
        <v>173</v>
      </c>
      <c r="L223" s="1" t="str">
        <f>IFERROR(__xludf.DUMMYFUNCTION("""COMPUTED_VALUE"""),"")</f>
        <v/>
      </c>
      <c r="M223" s="1" t="str">
        <f>IFERROR(__xludf.DUMMYFUNCTION("""COMPUTED_VALUE"""),"")</f>
        <v/>
      </c>
      <c r="N223" s="1" t="str">
        <f>IFERROR(__xludf.DUMMYFUNCTION("""COMPUTED_VALUE"""),"")</f>
        <v/>
      </c>
      <c r="O223" s="3">
        <f>IFERROR(__xludf.DUMMYFUNCTION("""COMPUTED_VALUE"""),5796.0)</f>
        <v>5796</v>
      </c>
      <c r="P223" s="1" t="str">
        <f>IFERROR(__xludf.DUMMYFUNCTION("""COMPUTED_VALUE"""),"North America")</f>
        <v>North America</v>
      </c>
      <c r="Q223" s="3">
        <f>IFERROR(__xludf.DUMMYFUNCTION("""COMPUTED_VALUE"""),5796.0)</f>
        <v>5796</v>
      </c>
      <c r="R223" s="1" t="str">
        <f>IFERROR(__xludf.DUMMYFUNCTION("""COMPUTED_VALUE"""),"")</f>
        <v/>
      </c>
      <c r="S223" s="1" t="str">
        <f>IFERROR(__xludf.DUMMYFUNCTION("""COMPUTED_VALUE"""),"")</f>
        <v/>
      </c>
    </row>
    <row r="224">
      <c r="A224" s="1">
        <f>IFERROR(__xludf.DUMMYFUNCTION("""COMPUTED_VALUE"""),215.0)</f>
        <v>215</v>
      </c>
      <c r="B224" s="1" t="str">
        <f>IFERROR(__xludf.DUMMYFUNCTION("""COMPUTED_VALUE"""),"China")</f>
        <v>China</v>
      </c>
      <c r="C224" s="3">
        <f>IFERROR(__xludf.DUMMYFUNCTION("""COMPUTED_VALUE"""),82995.0)</f>
        <v>82995</v>
      </c>
      <c r="D224" s="1" t="str">
        <f>IFERROR(__xludf.DUMMYFUNCTION("""COMPUTED_VALUE"""),"")</f>
        <v/>
      </c>
      <c r="E224" s="3">
        <f>IFERROR(__xludf.DUMMYFUNCTION("""COMPUTED_VALUE"""),4634.0)</f>
        <v>4634</v>
      </c>
      <c r="F224" s="1" t="str">
        <f>IFERROR(__xludf.DUMMYFUNCTION("""COMPUTED_VALUE"""),"")</f>
        <v/>
      </c>
      <c r="G224" s="3">
        <f>IFERROR(__xludf.DUMMYFUNCTION("""COMPUTED_VALUE"""),78291.0)</f>
        <v>78291</v>
      </c>
      <c r="H224" s="1" t="str">
        <f>IFERROR(__xludf.DUMMYFUNCTION("""COMPUTED_VALUE"""),"+3")</f>
        <v>+3</v>
      </c>
      <c r="I224" s="1">
        <f>IFERROR(__xludf.DUMMYFUNCTION("""COMPUTED_VALUE"""),70.0)</f>
        <v>70</v>
      </c>
      <c r="J224" s="1">
        <f>IFERROR(__xludf.DUMMYFUNCTION("""COMPUTED_VALUE"""),4.0)</f>
        <v>4</v>
      </c>
      <c r="K224" s="1">
        <f>IFERROR(__xludf.DUMMYFUNCTION("""COMPUTED_VALUE"""),58.0)</f>
        <v>58</v>
      </c>
      <c r="L224" s="1">
        <f>IFERROR(__xludf.DUMMYFUNCTION("""COMPUTED_VALUE"""),3.0)</f>
        <v>3</v>
      </c>
      <c r="M224" s="1" t="str">
        <f>IFERROR(__xludf.DUMMYFUNCTION("""COMPUTED_VALUE"""),"")</f>
        <v/>
      </c>
      <c r="N224" s="1" t="str">
        <f>IFERROR(__xludf.DUMMYFUNCTION("""COMPUTED_VALUE"""),"")</f>
        <v/>
      </c>
      <c r="O224" s="3">
        <f>IFERROR(__xludf.DUMMYFUNCTION("""COMPUTED_VALUE"""),1.439323776E9)</f>
        <v>1439323776</v>
      </c>
      <c r="P224" s="1" t="str">
        <f>IFERROR(__xludf.DUMMYFUNCTION("""COMPUTED_VALUE"""),"Asia")</f>
        <v>Asia</v>
      </c>
      <c r="Q224" s="3">
        <f>IFERROR(__xludf.DUMMYFUNCTION("""COMPUTED_VALUE"""),17342.0)</f>
        <v>17342</v>
      </c>
      <c r="R224" s="3">
        <f>IFERROR(__xludf.DUMMYFUNCTION("""COMPUTED_VALUE"""),310601.0)</f>
        <v>310601</v>
      </c>
      <c r="S224" s="1" t="str">
        <f>IFERROR(__xludf.DUMMYFUNCTION("""COMPUTED_VALUE"""),"")</f>
        <v/>
      </c>
    </row>
    <row r="225">
      <c r="A225" s="1" t="str">
        <f>IFERROR(__xludf.DUMMYFUNCTION("""COMPUTED_VALUE"""),"")</f>
        <v/>
      </c>
      <c r="B225" s="1" t="str">
        <f>IFERROR(__xludf.DUMMYFUNCTION("""COMPUTED_VALUE"""),"*Total:*")</f>
        <v>*Total:*</v>
      </c>
      <c r="C225" s="3">
        <f>IFERROR(__xludf.DUMMYFUNCTION("""COMPUTED_VALUE"""),1985003.0)</f>
        <v>1985003</v>
      </c>
      <c r="D225" s="1" t="str">
        <f>IFERROR(__xludf.DUMMYFUNCTION("""COMPUTED_VALUE"""),"+3,816")</f>
        <v>+3,816</v>
      </c>
      <c r="E225" s="3">
        <f>IFERROR(__xludf.DUMMYFUNCTION("""COMPUTED_VALUE"""),120636.0)</f>
        <v>120636</v>
      </c>
      <c r="F225" s="1" t="str">
        <f>IFERROR(__xludf.DUMMYFUNCTION("""COMPUTED_VALUE"""),"+462")</f>
        <v>+462</v>
      </c>
      <c r="G225" s="3">
        <f>IFERROR(__xludf.DUMMYFUNCTION("""COMPUTED_VALUE"""),624660.0)</f>
        <v>624660</v>
      </c>
      <c r="H225" s="1" t="str">
        <f>IFERROR(__xludf.DUMMYFUNCTION("""COMPUTED_VALUE"""),"+2,359")</f>
        <v>+2,359</v>
      </c>
      <c r="I225" s="3">
        <f>IFERROR(__xludf.DUMMYFUNCTION("""COMPUTED_VALUE"""),1239707.0)</f>
        <v>1239707</v>
      </c>
      <c r="J225" s="3">
        <f>IFERROR(__xludf.DUMMYFUNCTION("""COMPUTED_VALUE"""),19458.0)</f>
        <v>19458</v>
      </c>
      <c r="K225" s="1" t="str">
        <f>IFERROR(__xludf.DUMMYFUNCTION("""COMPUTED_VALUE"""),"")</f>
        <v/>
      </c>
      <c r="L225" s="1" t="str">
        <f>IFERROR(__xludf.DUMMYFUNCTION("""COMPUTED_VALUE"""),"")</f>
        <v/>
      </c>
      <c r="M225" s="1" t="str">
        <f>IFERROR(__xludf.DUMMYFUNCTION("""COMPUTED_VALUE"""),"")</f>
        <v/>
      </c>
      <c r="N225" s="1" t="str">
        <f>IFERROR(__xludf.DUMMYFUNCTION("""COMPUTED_VALUE"""),"")</f>
        <v/>
      </c>
      <c r="O225" s="1" t="str">
        <f>IFERROR(__xludf.DUMMYFUNCTION("""COMPUTED_VALUE"""),"")</f>
        <v/>
      </c>
      <c r="P225" s="1" t="str">
        <f>IFERROR(__xludf.DUMMYFUNCTION("""COMPUTED_VALUE"""),"North America")</f>
        <v>North America</v>
      </c>
      <c r="Q225" s="1" t="str">
        <f>IFERROR(__xludf.DUMMYFUNCTION("""COMPUTED_VALUE"""),"")</f>
        <v/>
      </c>
      <c r="R225" s="1" t="str">
        <f>IFERROR(__xludf.DUMMYFUNCTION("""COMPUTED_VALUE"""),"")</f>
        <v/>
      </c>
      <c r="S225" s="1" t="str">
        <f>IFERROR(__xludf.DUMMYFUNCTION("""COMPUTED_VALUE"""),"")</f>
        <v/>
      </c>
    </row>
    <row r="226">
      <c r="A226" s="1" t="str">
        <f>IFERROR(__xludf.DUMMYFUNCTION("""COMPUTED_VALUE"""),"")</f>
        <v/>
      </c>
      <c r="B226" s="1" t="str">
        <f>IFERROR(__xludf.DUMMYFUNCTION("""COMPUTED_VALUE"""),"*Total:*")</f>
        <v>*Total:*</v>
      </c>
      <c r="C226" s="3">
        <f>IFERROR(__xludf.DUMMYFUNCTION("""COMPUTED_VALUE"""),758107.0)</f>
        <v>758107</v>
      </c>
      <c r="D226" s="1" t="str">
        <f>IFERROR(__xludf.DUMMYFUNCTION("""COMPUTED_VALUE"""),"+619")</f>
        <v>+619</v>
      </c>
      <c r="E226" s="3">
        <f>IFERROR(__xludf.DUMMYFUNCTION("""COMPUTED_VALUE"""),36746.0)</f>
        <v>36746</v>
      </c>
      <c r="F226" s="1" t="str">
        <f>IFERROR(__xludf.DUMMYFUNCTION("""COMPUTED_VALUE"""),"+13")</f>
        <v>+13</v>
      </c>
      <c r="G226" s="3">
        <f>IFERROR(__xludf.DUMMYFUNCTION("""COMPUTED_VALUE"""),320826.0)</f>
        <v>320826</v>
      </c>
      <c r="H226" s="1" t="str">
        <f>IFERROR(__xludf.DUMMYFUNCTION("""COMPUTED_VALUE"""),"+49")</f>
        <v>+49</v>
      </c>
      <c r="I226" s="3">
        <f>IFERROR(__xludf.DUMMYFUNCTION("""COMPUTED_VALUE"""),400535.0)</f>
        <v>400535</v>
      </c>
      <c r="J226" s="3">
        <f>IFERROR(__xludf.DUMMYFUNCTION("""COMPUTED_VALUE"""),11077.0)</f>
        <v>11077</v>
      </c>
      <c r="K226" s="1" t="str">
        <f>IFERROR(__xludf.DUMMYFUNCTION("""COMPUTED_VALUE"""),"")</f>
        <v/>
      </c>
      <c r="L226" s="1" t="str">
        <f>IFERROR(__xludf.DUMMYFUNCTION("""COMPUTED_VALUE"""),"")</f>
        <v/>
      </c>
      <c r="M226" s="1" t="str">
        <f>IFERROR(__xludf.DUMMYFUNCTION("""COMPUTED_VALUE"""),"")</f>
        <v/>
      </c>
      <c r="N226" s="1" t="str">
        <f>IFERROR(__xludf.DUMMYFUNCTION("""COMPUTED_VALUE"""),"")</f>
        <v/>
      </c>
      <c r="O226" s="1" t="str">
        <f>IFERROR(__xludf.DUMMYFUNCTION("""COMPUTED_VALUE"""),"")</f>
        <v/>
      </c>
      <c r="P226" s="1" t="str">
        <f>IFERROR(__xludf.DUMMYFUNCTION("""COMPUTED_VALUE"""),"South America")</f>
        <v>South America</v>
      </c>
      <c r="Q226" s="1" t="str">
        <f>IFERROR(__xludf.DUMMYFUNCTION("""COMPUTED_VALUE"""),"")</f>
        <v/>
      </c>
      <c r="R226" s="1" t="str">
        <f>IFERROR(__xludf.DUMMYFUNCTION("""COMPUTED_VALUE"""),"")</f>
        <v/>
      </c>
      <c r="S226" s="1" t="str">
        <f>IFERROR(__xludf.DUMMYFUNCTION("""COMPUTED_VALUE"""),"")</f>
        <v/>
      </c>
    </row>
    <row r="227">
      <c r="A227" s="1" t="str">
        <f>IFERROR(__xludf.DUMMYFUNCTION("""COMPUTED_VALUE"""),"")</f>
        <v/>
      </c>
      <c r="B227" s="1" t="str">
        <f>IFERROR(__xludf.DUMMYFUNCTION("""COMPUTED_VALUE"""),"*Total:*")</f>
        <v>*Total:*</v>
      </c>
      <c r="C227" s="3">
        <f>IFERROR(__xludf.DUMMYFUNCTION("""COMPUTED_VALUE"""),1969899.0)</f>
        <v>1969899</v>
      </c>
      <c r="D227" s="1" t="str">
        <f>IFERROR(__xludf.DUMMYFUNCTION("""COMPUTED_VALUE"""),"")</f>
        <v/>
      </c>
      <c r="E227" s="3">
        <f>IFERROR(__xludf.DUMMYFUNCTION("""COMPUTED_VALUE"""),171568.0)</f>
        <v>171568</v>
      </c>
      <c r="F227" s="1" t="str">
        <f>IFERROR(__xludf.DUMMYFUNCTION("""COMPUTED_VALUE"""),"")</f>
        <v/>
      </c>
      <c r="G227" s="3">
        <f>IFERROR(__xludf.DUMMYFUNCTION("""COMPUTED_VALUE"""),948496.0)</f>
        <v>948496</v>
      </c>
      <c r="H227" s="1" t="str">
        <f>IFERROR(__xludf.DUMMYFUNCTION("""COMPUTED_VALUE"""),"")</f>
        <v/>
      </c>
      <c r="I227" s="3">
        <f>IFERROR(__xludf.DUMMYFUNCTION("""COMPUTED_VALUE"""),849835.0)</f>
        <v>849835</v>
      </c>
      <c r="J227" s="3">
        <f>IFERROR(__xludf.DUMMYFUNCTION("""COMPUTED_VALUE"""),9377.0)</f>
        <v>9377</v>
      </c>
      <c r="K227" s="1" t="str">
        <f>IFERROR(__xludf.DUMMYFUNCTION("""COMPUTED_VALUE"""),"")</f>
        <v/>
      </c>
      <c r="L227" s="1" t="str">
        <f>IFERROR(__xludf.DUMMYFUNCTION("""COMPUTED_VALUE"""),"")</f>
        <v/>
      </c>
      <c r="M227" s="1" t="str">
        <f>IFERROR(__xludf.DUMMYFUNCTION("""COMPUTED_VALUE"""),"")</f>
        <v/>
      </c>
      <c r="N227" s="1" t="str">
        <f>IFERROR(__xludf.DUMMYFUNCTION("""COMPUTED_VALUE"""),"")</f>
        <v/>
      </c>
      <c r="O227" s="1" t="str">
        <f>IFERROR(__xludf.DUMMYFUNCTION("""COMPUTED_VALUE"""),"")</f>
        <v/>
      </c>
      <c r="P227" s="1" t="str">
        <f>IFERROR(__xludf.DUMMYFUNCTION("""COMPUTED_VALUE"""),"Europe")</f>
        <v>Europe</v>
      </c>
      <c r="Q227" s="1" t="str">
        <f>IFERROR(__xludf.DUMMYFUNCTION("""COMPUTED_VALUE"""),"")</f>
        <v/>
      </c>
      <c r="R227" s="1" t="str">
        <f>IFERROR(__xludf.DUMMYFUNCTION("""COMPUTED_VALUE"""),"")</f>
        <v/>
      </c>
      <c r="S227" s="1" t="str">
        <f>IFERROR(__xludf.DUMMYFUNCTION("""COMPUTED_VALUE"""),"")</f>
        <v/>
      </c>
    </row>
    <row r="228">
      <c r="A228" s="1" t="str">
        <f>IFERROR(__xludf.DUMMYFUNCTION("""COMPUTED_VALUE"""),"")</f>
        <v/>
      </c>
      <c r="B228" s="1" t="str">
        <f>IFERROR(__xludf.DUMMYFUNCTION("""COMPUTED_VALUE"""),"*Total:*")</f>
        <v>*Total:*</v>
      </c>
      <c r="C228" s="3">
        <f>IFERROR(__xludf.DUMMYFUNCTION("""COMPUTED_VALUE"""),1051755.0)</f>
        <v>1051755</v>
      </c>
      <c r="D228" s="1" t="str">
        <f>IFERROR(__xludf.DUMMYFUNCTION("""COMPUTED_VALUE"""),"+489")</f>
        <v>+489</v>
      </c>
      <c r="E228" s="3">
        <f>IFERROR(__xludf.DUMMYFUNCTION("""COMPUTED_VALUE"""),29120.0)</f>
        <v>29120</v>
      </c>
      <c r="F228" s="1" t="str">
        <f>IFERROR(__xludf.DUMMYFUNCTION("""COMPUTED_VALUE"""),"")</f>
        <v/>
      </c>
      <c r="G228" s="3">
        <f>IFERROR(__xludf.DUMMYFUNCTION("""COMPUTED_VALUE"""),621956.0)</f>
        <v>621956</v>
      </c>
      <c r="H228" s="1" t="str">
        <f>IFERROR(__xludf.DUMMYFUNCTION("""COMPUTED_VALUE"""),"")</f>
        <v/>
      </c>
      <c r="I228" s="3">
        <f>IFERROR(__xludf.DUMMYFUNCTION("""COMPUTED_VALUE"""),400679.0)</f>
        <v>400679</v>
      </c>
      <c r="J228" s="3">
        <f>IFERROR(__xludf.DUMMYFUNCTION("""COMPUTED_VALUE"""),13699.0)</f>
        <v>13699</v>
      </c>
      <c r="K228" s="1" t="str">
        <f>IFERROR(__xludf.DUMMYFUNCTION("""COMPUTED_VALUE"""),"")</f>
        <v/>
      </c>
      <c r="L228" s="1" t="str">
        <f>IFERROR(__xludf.DUMMYFUNCTION("""COMPUTED_VALUE"""),"")</f>
        <v/>
      </c>
      <c r="M228" s="1" t="str">
        <f>IFERROR(__xludf.DUMMYFUNCTION("""COMPUTED_VALUE"""),"")</f>
        <v/>
      </c>
      <c r="N228" s="1" t="str">
        <f>IFERROR(__xludf.DUMMYFUNCTION("""COMPUTED_VALUE"""),"")</f>
        <v/>
      </c>
      <c r="O228" s="1" t="str">
        <f>IFERROR(__xludf.DUMMYFUNCTION("""COMPUTED_VALUE"""),"")</f>
        <v/>
      </c>
      <c r="P228" s="1" t="str">
        <f>IFERROR(__xludf.DUMMYFUNCTION("""COMPUTED_VALUE"""),"Asia")</f>
        <v>Asia</v>
      </c>
      <c r="Q228" s="1" t="str">
        <f>IFERROR(__xludf.DUMMYFUNCTION("""COMPUTED_VALUE"""),"")</f>
        <v/>
      </c>
      <c r="R228" s="1" t="str">
        <f>IFERROR(__xludf.DUMMYFUNCTION("""COMPUTED_VALUE"""),"")</f>
        <v/>
      </c>
      <c r="S228" s="1" t="str">
        <f>IFERROR(__xludf.DUMMYFUNCTION("""COMPUTED_VALUE"""),"")</f>
        <v/>
      </c>
    </row>
    <row r="229">
      <c r="A229" s="1" t="str">
        <f>IFERROR(__xludf.DUMMYFUNCTION("""COMPUTED_VALUE"""),"")</f>
        <v/>
      </c>
      <c r="B229" s="1" t="str">
        <f>IFERROR(__xludf.DUMMYFUNCTION("""COMPUTED_VALUE"""),"*Total:*")</f>
        <v>*Total:*</v>
      </c>
      <c r="C229" s="3">
        <f>IFERROR(__xludf.DUMMYFUNCTION("""COMPUTED_VALUE"""),131587.0)</f>
        <v>131587</v>
      </c>
      <c r="D229" s="1" t="str">
        <f>IFERROR(__xludf.DUMMYFUNCTION("""COMPUTED_VALUE"""),"")</f>
        <v/>
      </c>
      <c r="E229" s="3">
        <f>IFERROR(__xludf.DUMMYFUNCTION("""COMPUTED_VALUE"""),3814.0)</f>
        <v>3814</v>
      </c>
      <c r="F229" s="1" t="str">
        <f>IFERROR(__xludf.DUMMYFUNCTION("""COMPUTED_VALUE"""),"")</f>
        <v/>
      </c>
      <c r="G229" s="3">
        <f>IFERROR(__xludf.DUMMYFUNCTION("""COMPUTED_VALUE"""),55126.0)</f>
        <v>55126</v>
      </c>
      <c r="H229" s="1" t="str">
        <f>IFERROR(__xludf.DUMMYFUNCTION("""COMPUTED_VALUE"""),"")</f>
        <v/>
      </c>
      <c r="I229" s="3">
        <f>IFERROR(__xludf.DUMMYFUNCTION("""COMPUTED_VALUE"""),72647.0)</f>
        <v>72647</v>
      </c>
      <c r="J229" s="1">
        <f>IFERROR(__xludf.DUMMYFUNCTION("""COMPUTED_VALUE"""),352.0)</f>
        <v>352</v>
      </c>
      <c r="K229" s="1" t="str">
        <f>IFERROR(__xludf.DUMMYFUNCTION("""COMPUTED_VALUE"""),"")</f>
        <v/>
      </c>
      <c r="L229" s="1" t="str">
        <f>IFERROR(__xludf.DUMMYFUNCTION("""COMPUTED_VALUE"""),"")</f>
        <v/>
      </c>
      <c r="M229" s="1" t="str">
        <f>IFERROR(__xludf.DUMMYFUNCTION("""COMPUTED_VALUE"""),"")</f>
        <v/>
      </c>
      <c r="N229" s="1" t="str">
        <f>IFERROR(__xludf.DUMMYFUNCTION("""COMPUTED_VALUE"""),"")</f>
        <v/>
      </c>
      <c r="O229" s="1" t="str">
        <f>IFERROR(__xludf.DUMMYFUNCTION("""COMPUTED_VALUE"""),"")</f>
        <v/>
      </c>
      <c r="P229" s="1" t="str">
        <f>IFERROR(__xludf.DUMMYFUNCTION("""COMPUTED_VALUE"""),"Africa")</f>
        <v>Africa</v>
      </c>
      <c r="Q229" s="1" t="str">
        <f>IFERROR(__xludf.DUMMYFUNCTION("""COMPUTED_VALUE"""),"")</f>
        <v/>
      </c>
      <c r="R229" s="1" t="str">
        <f>IFERROR(__xludf.DUMMYFUNCTION("""COMPUTED_VALUE"""),"")</f>
        <v/>
      </c>
      <c r="S229" s="1" t="str">
        <f>IFERROR(__xludf.DUMMYFUNCTION("""COMPUTED_VALUE"""),"")</f>
        <v/>
      </c>
    </row>
    <row r="230">
      <c r="A230" s="1" t="str">
        <f>IFERROR(__xludf.DUMMYFUNCTION("""COMPUTED_VALUE"""),"")</f>
        <v/>
      </c>
      <c r="B230" s="1" t="str">
        <f>IFERROR(__xludf.DUMMYFUNCTION("""COMPUTED_VALUE"""),"*Total:*")</f>
        <v>*Total:*</v>
      </c>
      <c r="C230" s="3">
        <f>IFERROR(__xludf.DUMMYFUNCTION("""COMPUTED_VALUE"""),8774.0)</f>
        <v>8774</v>
      </c>
      <c r="D230" s="1" t="str">
        <f>IFERROR(__xludf.DUMMYFUNCTION("""COMPUTED_VALUE"""),"+15")</f>
        <v>+15</v>
      </c>
      <c r="E230" s="1">
        <f>IFERROR(__xludf.DUMMYFUNCTION("""COMPUTED_VALUE"""),125.0)</f>
        <v>125</v>
      </c>
      <c r="F230" s="1" t="str">
        <f>IFERROR(__xludf.DUMMYFUNCTION("""COMPUTED_VALUE"""),"")</f>
        <v/>
      </c>
      <c r="G230" s="3">
        <f>IFERROR(__xludf.DUMMYFUNCTION("""COMPUTED_VALUE"""),8162.0)</f>
        <v>8162</v>
      </c>
      <c r="H230" s="1" t="str">
        <f>IFERROR(__xludf.DUMMYFUNCTION("""COMPUTED_VALUE"""),"")</f>
        <v/>
      </c>
      <c r="I230" s="1">
        <f>IFERROR(__xludf.DUMMYFUNCTION("""COMPUTED_VALUE"""),487.0)</f>
        <v>487</v>
      </c>
      <c r="J230" s="1">
        <f>IFERROR(__xludf.DUMMYFUNCTION("""COMPUTED_VALUE"""),5.0)</f>
        <v>5</v>
      </c>
      <c r="K230" s="1" t="str">
        <f>IFERROR(__xludf.DUMMYFUNCTION("""COMPUTED_VALUE"""),"")</f>
        <v/>
      </c>
      <c r="L230" s="1" t="str">
        <f>IFERROR(__xludf.DUMMYFUNCTION("""COMPUTED_VALUE"""),"")</f>
        <v/>
      </c>
      <c r="M230" s="1" t="str">
        <f>IFERROR(__xludf.DUMMYFUNCTION("""COMPUTED_VALUE"""),"")</f>
        <v/>
      </c>
      <c r="N230" s="1" t="str">
        <f>IFERROR(__xludf.DUMMYFUNCTION("""COMPUTED_VALUE"""),"")</f>
        <v/>
      </c>
      <c r="O230" s="1" t="str">
        <f>IFERROR(__xludf.DUMMYFUNCTION("""COMPUTED_VALUE"""),"")</f>
        <v/>
      </c>
      <c r="P230" s="1" t="str">
        <f>IFERROR(__xludf.DUMMYFUNCTION("""COMPUTED_VALUE"""),"Australia/Oceania")</f>
        <v>Australia/Oceania</v>
      </c>
      <c r="Q230" s="1" t="str">
        <f>IFERROR(__xludf.DUMMYFUNCTION("""COMPUTED_VALUE"""),"")</f>
        <v/>
      </c>
      <c r="R230" s="1" t="str">
        <f>IFERROR(__xludf.DUMMYFUNCTION("""COMPUTED_VALUE"""),"")</f>
        <v/>
      </c>
      <c r="S230" s="1" t="str">
        <f>IFERROR(__xludf.DUMMYFUNCTION("""COMPUTED_VALUE"""),"")</f>
        <v/>
      </c>
    </row>
    <row r="231">
      <c r="A231" s="1" t="str">
        <f>IFERROR(__xludf.DUMMYFUNCTION("""COMPUTED_VALUE"""),"")</f>
        <v/>
      </c>
      <c r="B231" s="1" t="str">
        <f>IFERROR(__xludf.DUMMYFUNCTION("""COMPUTED_VALUE"""),"*Total:*")</f>
        <v>*Total:*</v>
      </c>
      <c r="C231" s="1">
        <f>IFERROR(__xludf.DUMMYFUNCTION("""COMPUTED_VALUE"""),721.0)</f>
        <v>721</v>
      </c>
      <c r="D231" s="1" t="str">
        <f>IFERROR(__xludf.DUMMYFUNCTION("""COMPUTED_VALUE"""),"")</f>
        <v/>
      </c>
      <c r="E231" s="1">
        <f>IFERROR(__xludf.DUMMYFUNCTION("""COMPUTED_VALUE"""),15.0)</f>
        <v>15</v>
      </c>
      <c r="F231" s="1" t="str">
        <f>IFERROR(__xludf.DUMMYFUNCTION("""COMPUTED_VALUE"""),"")</f>
        <v/>
      </c>
      <c r="G231" s="1">
        <f>IFERROR(__xludf.DUMMYFUNCTION("""COMPUTED_VALUE"""),651.0)</f>
        <v>651</v>
      </c>
      <c r="H231" s="1" t="str">
        <f>IFERROR(__xludf.DUMMYFUNCTION("""COMPUTED_VALUE"""),"")</f>
        <v/>
      </c>
      <c r="I231" s="1">
        <f>IFERROR(__xludf.DUMMYFUNCTION("""COMPUTED_VALUE"""),55.0)</f>
        <v>55</v>
      </c>
      <c r="J231" s="1">
        <f>IFERROR(__xludf.DUMMYFUNCTION("""COMPUTED_VALUE"""),4.0)</f>
        <v>4</v>
      </c>
      <c r="K231" s="1" t="str">
        <f>IFERROR(__xludf.DUMMYFUNCTION("""COMPUTED_VALUE"""),"")</f>
        <v/>
      </c>
      <c r="L231" s="1" t="str">
        <f>IFERROR(__xludf.DUMMYFUNCTION("""COMPUTED_VALUE"""),"")</f>
        <v/>
      </c>
      <c r="M231" s="1" t="str">
        <f>IFERROR(__xludf.DUMMYFUNCTION("""COMPUTED_VALUE"""),"")</f>
        <v/>
      </c>
      <c r="N231" s="1" t="str">
        <f>IFERROR(__xludf.DUMMYFUNCTION("""COMPUTED_VALUE"""),"")</f>
        <v/>
      </c>
      <c r="O231" s="1" t="str">
        <f>IFERROR(__xludf.DUMMYFUNCTION("""COMPUTED_VALUE"""),"")</f>
        <v/>
      </c>
      <c r="P231" s="1" t="str">
        <f>IFERROR(__xludf.DUMMYFUNCTION("""COMPUTED_VALUE"""),"")</f>
        <v/>
      </c>
      <c r="Q231" s="1" t="str">
        <f>IFERROR(__xludf.DUMMYFUNCTION("""COMPUTED_VALUE"""),"")</f>
        <v/>
      </c>
      <c r="R231" s="1" t="str">
        <f>IFERROR(__xludf.DUMMYFUNCTION("""COMPUTED_VALUE"""),"")</f>
        <v/>
      </c>
      <c r="S231" s="1" t="str">
        <f>IFERROR(__xludf.DUMMYFUNCTION("""COMPUTED_VALUE"""),"")</f>
        <v/>
      </c>
    </row>
    <row r="232">
      <c r="A232" s="1" t="str">
        <f>IFERROR(__xludf.DUMMYFUNCTION("""COMPUTED_VALUE"""),"")</f>
        <v/>
      </c>
      <c r="B232" s="1" t="str">
        <f>IFERROR(__xludf.DUMMYFUNCTION("""COMPUTED_VALUE"""),"*Total:*")</f>
        <v>*Total:*</v>
      </c>
      <c r="C232" s="3">
        <f>IFERROR(__xludf.DUMMYFUNCTION("""COMPUTED_VALUE"""),5905846.0)</f>
        <v>5905846</v>
      </c>
      <c r="D232" s="1" t="str">
        <f>IFERROR(__xludf.DUMMYFUNCTION("""COMPUTED_VALUE"""),"+4,939")</f>
        <v>+4,939</v>
      </c>
      <c r="E232" s="3">
        <f>IFERROR(__xludf.DUMMYFUNCTION("""COMPUTED_VALUE"""),362024.0)</f>
        <v>362024</v>
      </c>
      <c r="F232" s="1" t="str">
        <f>IFERROR(__xludf.DUMMYFUNCTION("""COMPUTED_VALUE"""),"+475")</f>
        <v>+475</v>
      </c>
      <c r="G232" s="3">
        <f>IFERROR(__xludf.DUMMYFUNCTION("""COMPUTED_VALUE"""),2579877.0)</f>
        <v>2579877</v>
      </c>
      <c r="H232" s="1" t="str">
        <f>IFERROR(__xludf.DUMMYFUNCTION("""COMPUTED_VALUE"""),"+2,627")</f>
        <v>+2,627</v>
      </c>
      <c r="I232" s="3">
        <f>IFERROR(__xludf.DUMMYFUNCTION("""COMPUTED_VALUE"""),2963945.0)</f>
        <v>2963945</v>
      </c>
      <c r="J232" s="3">
        <f>IFERROR(__xludf.DUMMYFUNCTION("""COMPUTED_VALUE"""),53972.0)</f>
        <v>53972</v>
      </c>
      <c r="K232" s="1">
        <f>IFERROR(__xludf.DUMMYFUNCTION("""COMPUTED_VALUE"""),757.7)</f>
        <v>757.7</v>
      </c>
      <c r="L232" s="1">
        <f>IFERROR(__xludf.DUMMYFUNCTION("""COMPUTED_VALUE"""),46.4)</f>
        <v>46.4</v>
      </c>
      <c r="M232" s="1" t="str">
        <f>IFERROR(__xludf.DUMMYFUNCTION("""COMPUTED_VALUE"""),"")</f>
        <v/>
      </c>
      <c r="N232" s="1" t="str">
        <f>IFERROR(__xludf.DUMMYFUNCTION("""COMPUTED_VALUE"""),"")</f>
        <v/>
      </c>
      <c r="O232" s="1" t="str">
        <f>IFERROR(__xludf.DUMMYFUNCTION("""COMPUTED_VALUE"""),"")</f>
        <v/>
      </c>
      <c r="P232" s="1" t="str">
        <f>IFERROR(__xludf.DUMMYFUNCTION("""COMPUTED_VALUE"""),"All")</f>
        <v>All</v>
      </c>
      <c r="Q232" s="1" t="str">
        <f>IFERROR(__xludf.DUMMYFUNCTION("""COMPUTED_VALUE"""),"")</f>
        <v/>
      </c>
      <c r="R232" s="1" t="str">
        <f>IFERROR(__xludf.DUMMYFUNCTION("""COMPUTED_VALUE"""),"")</f>
        <v/>
      </c>
      <c r="S232" s="1" t="str">
        <f>IFERROR(__xludf.DUMMYFUNCTION("""COMPUTED_VALUE"""),"")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1" t="str">
        <f>World!C1</f>
        <v>Total
Cases</v>
      </c>
      <c r="C1" s="1" t="str">
        <f>World!D1</f>
        <v>New
Cases</v>
      </c>
      <c r="D1" s="1" t="str">
        <f>World!E1</f>
        <v>Total
Deaths</v>
      </c>
      <c r="E1" s="1" t="str">
        <f>World!F1</f>
        <v>New
Deaths</v>
      </c>
      <c r="F1" s="1" t="str">
        <f>World!G1</f>
        <v>Total
Recovered</v>
      </c>
      <c r="G1" s="1" t="str">
        <f>World!H1</f>
        <v>New
Recovered</v>
      </c>
      <c r="H1" s="1" t="str">
        <f>World!I1</f>
        <v>Active
Cases</v>
      </c>
      <c r="I1" s="4" t="str">
        <f>World!J1</f>
        <v>Serious,
Critical</v>
      </c>
    </row>
    <row r="2">
      <c r="A2" s="1" t="str">
        <f>World!B10</f>
        <v>USA</v>
      </c>
      <c r="B2" s="3">
        <f>World!C10</f>
        <v>1768461</v>
      </c>
      <c r="C2" s="1" t="str">
        <f>World!D10</f>
        <v/>
      </c>
      <c r="D2" s="3">
        <f>World!E10</f>
        <v>103330</v>
      </c>
      <c r="E2" s="1" t="str">
        <f>World!F10</f>
        <v/>
      </c>
      <c r="F2" s="3">
        <f>World!G10</f>
        <v>498725</v>
      </c>
      <c r="G2" s="1" t="str">
        <f>World!H10</f>
        <v/>
      </c>
      <c r="H2" s="3">
        <f>World!I10</f>
        <v>1166406</v>
      </c>
      <c r="I2" s="5">
        <f>World!J10</f>
        <v>17202</v>
      </c>
    </row>
    <row r="3">
      <c r="A3" s="1" t="str">
        <f>World!B11</f>
        <v>Brazil</v>
      </c>
      <c r="B3" s="3">
        <f>World!C11</f>
        <v>438812</v>
      </c>
      <c r="C3" s="1" t="str">
        <f>World!D11</f>
        <v/>
      </c>
      <c r="D3" s="3">
        <f>World!E11</f>
        <v>26764</v>
      </c>
      <c r="E3" s="1" t="str">
        <f>World!F11</f>
        <v/>
      </c>
      <c r="F3" s="3">
        <f>World!G11</f>
        <v>193181</v>
      </c>
      <c r="G3" s="1" t="str">
        <f>World!H11</f>
        <v/>
      </c>
      <c r="H3" s="3">
        <f>World!I11</f>
        <v>218867</v>
      </c>
      <c r="I3" s="5">
        <f>World!J11</f>
        <v>8318</v>
      </c>
    </row>
    <row r="4">
      <c r="A4" s="1" t="str">
        <f>World!B12</f>
        <v>Russia</v>
      </c>
      <c r="B4" s="3">
        <f>World!C12</f>
        <v>379051</v>
      </c>
      <c r="C4" s="1" t="str">
        <f>World!D12</f>
        <v/>
      </c>
      <c r="D4" s="3">
        <f>World!E12</f>
        <v>4142</v>
      </c>
      <c r="E4" s="1" t="str">
        <f>World!F12</f>
        <v/>
      </c>
      <c r="F4" s="3">
        <f>World!G12</f>
        <v>150993</v>
      </c>
      <c r="G4" s="1" t="str">
        <f>World!H12</f>
        <v/>
      </c>
      <c r="H4" s="3">
        <f>World!I12</f>
        <v>223916</v>
      </c>
      <c r="I4" s="5">
        <f>World!J12</f>
        <v>2300</v>
      </c>
    </row>
    <row r="5">
      <c r="A5" s="1" t="str">
        <f>World!B13</f>
        <v>Spain</v>
      </c>
      <c r="B5" s="3">
        <f>World!C13</f>
        <v>284986</v>
      </c>
      <c r="C5" s="1" t="str">
        <f>World!D13</f>
        <v/>
      </c>
      <c r="D5" s="3">
        <f>World!E13</f>
        <v>27119</v>
      </c>
      <c r="E5" s="1" t="str">
        <f>World!F13</f>
        <v/>
      </c>
      <c r="F5" s="3">
        <f>World!G13</f>
        <v>196958</v>
      </c>
      <c r="G5" s="1" t="str">
        <f>World!H13</f>
        <v/>
      </c>
      <c r="H5" s="3">
        <f>World!I13</f>
        <v>60909</v>
      </c>
      <c r="I5" s="4">
        <f>World!J13</f>
        <v>854</v>
      </c>
    </row>
    <row r="6">
      <c r="A6" s="1" t="str">
        <f>World!B14</f>
        <v>UK</v>
      </c>
      <c r="B6" s="3">
        <f>World!C14</f>
        <v>269127</v>
      </c>
      <c r="C6" s="1" t="str">
        <f>World!D14</f>
        <v/>
      </c>
      <c r="D6" s="3">
        <f>World!E14</f>
        <v>37837</v>
      </c>
      <c r="E6" s="1" t="str">
        <f>World!F14</f>
        <v/>
      </c>
      <c r="F6" s="1" t="str">
        <f>World!G14</f>
        <v>N/A</v>
      </c>
      <c r="G6" s="1" t="str">
        <f>World!H14</f>
        <v>N/A</v>
      </c>
      <c r="H6" s="1" t="str">
        <f>World!I14</f>
        <v>N/A</v>
      </c>
      <c r="I6" s="5">
        <f>World!J14</f>
        <v>1559</v>
      </c>
    </row>
    <row r="7">
      <c r="A7" s="1" t="str">
        <f>World!B15</f>
        <v>Italy</v>
      </c>
      <c r="B7" s="3">
        <f>World!C15</f>
        <v>231732</v>
      </c>
      <c r="C7" s="1" t="str">
        <f>World!D15</f>
        <v/>
      </c>
      <c r="D7" s="3">
        <f>World!E15</f>
        <v>33142</v>
      </c>
      <c r="E7" s="1" t="str">
        <f>World!F15</f>
        <v/>
      </c>
      <c r="F7" s="3">
        <f>World!G15</f>
        <v>150604</v>
      </c>
      <c r="G7" s="1" t="str">
        <f>World!H15</f>
        <v/>
      </c>
      <c r="H7" s="3">
        <f>World!I15</f>
        <v>47986</v>
      </c>
      <c r="I7" s="4">
        <f>World!J15</f>
        <v>489</v>
      </c>
    </row>
    <row r="8">
      <c r="A8" s="1" t="str">
        <f>World!B16</f>
        <v>France</v>
      </c>
      <c r="B8" s="3">
        <f>World!C16</f>
        <v>186238</v>
      </c>
      <c r="C8" s="1" t="str">
        <f>World!D16</f>
        <v/>
      </c>
      <c r="D8" s="3">
        <f>World!E16</f>
        <v>28662</v>
      </c>
      <c r="E8" s="1" t="str">
        <f>World!F16</f>
        <v/>
      </c>
      <c r="F8" s="3">
        <f>World!G16</f>
        <v>67191</v>
      </c>
      <c r="G8" s="1" t="str">
        <f>World!H16</f>
        <v/>
      </c>
      <c r="H8" s="3">
        <f>World!I16</f>
        <v>90385</v>
      </c>
      <c r="I8" s="5">
        <f>World!J16</f>
        <v>1429</v>
      </c>
    </row>
    <row r="9">
      <c r="A9" s="1" t="str">
        <f>World!B17</f>
        <v>Germany</v>
      </c>
      <c r="B9" s="3">
        <f>World!C17</f>
        <v>182452</v>
      </c>
      <c r="C9" s="1" t="str">
        <f>World!D17</f>
        <v/>
      </c>
      <c r="D9" s="3">
        <f>World!E17</f>
        <v>8570</v>
      </c>
      <c r="E9" s="1" t="str">
        <f>World!F17</f>
        <v/>
      </c>
      <c r="F9" s="3">
        <f>World!G17</f>
        <v>163200</v>
      </c>
      <c r="G9" s="1" t="str">
        <f>World!H17</f>
        <v/>
      </c>
      <c r="H9" s="3">
        <f>World!I17</f>
        <v>10682</v>
      </c>
      <c r="I9" s="4">
        <f>World!J17</f>
        <v>744</v>
      </c>
    </row>
    <row r="10">
      <c r="A10" s="1" t="str">
        <f>World!B18</f>
        <v>India</v>
      </c>
      <c r="B10" s="3">
        <f>World!C18</f>
        <v>165799</v>
      </c>
      <c r="C10" s="1" t="str">
        <f>World!D18</f>
        <v>+413</v>
      </c>
      <c r="D10" s="3">
        <f>World!E18</f>
        <v>4711</v>
      </c>
      <c r="E10" s="1" t="str">
        <f>World!F18</f>
        <v/>
      </c>
      <c r="F10" s="3">
        <f>World!G18</f>
        <v>71106</v>
      </c>
      <c r="G10" s="1" t="str">
        <f>World!H18</f>
        <v>+186</v>
      </c>
      <c r="H10" s="3">
        <f>World!I18</f>
        <v>89982</v>
      </c>
      <c r="I10" s="5">
        <f>World!J18</f>
        <v>8944</v>
      </c>
    </row>
    <row r="11">
      <c r="A11" s="1" t="str">
        <f>World!B19</f>
        <v>Turkey</v>
      </c>
      <c r="B11" s="3">
        <f>World!C19</f>
        <v>160979</v>
      </c>
      <c r="C11" s="1" t="str">
        <f>World!D19</f>
        <v/>
      </c>
      <c r="D11" s="3">
        <f>World!E19</f>
        <v>4461</v>
      </c>
      <c r="E11" s="1" t="str">
        <f>World!F19</f>
        <v/>
      </c>
      <c r="F11" s="3">
        <f>World!G19</f>
        <v>124369</v>
      </c>
      <c r="G11" s="1" t="str">
        <f>World!H19</f>
        <v/>
      </c>
      <c r="H11" s="3">
        <f>World!I19</f>
        <v>32149</v>
      </c>
      <c r="I11" s="4">
        <f>World!J19</f>
        <v>683</v>
      </c>
    </row>
    <row r="12">
      <c r="A12" s="1" t="str">
        <f>World!B20</f>
        <v>Iran</v>
      </c>
      <c r="B12" s="3">
        <f>World!C20</f>
        <v>143849</v>
      </c>
      <c r="C12" s="1" t="str">
        <f>World!D20</f>
        <v/>
      </c>
      <c r="D12" s="3">
        <f>World!E20</f>
        <v>7627</v>
      </c>
      <c r="E12" s="1" t="str">
        <f>World!F20</f>
        <v/>
      </c>
      <c r="F12" s="3">
        <f>World!G20</f>
        <v>112988</v>
      </c>
      <c r="G12" s="1" t="str">
        <f>World!H20</f>
        <v/>
      </c>
      <c r="H12" s="3">
        <f>World!I20</f>
        <v>23234</v>
      </c>
      <c r="I12" s="5">
        <f>World!J20</f>
        <v>2543</v>
      </c>
    </row>
    <row r="13">
      <c r="A13" s="1" t="str">
        <f>World!B21</f>
        <v>Peru</v>
      </c>
      <c r="B13" s="3">
        <f>World!C21</f>
        <v>141779</v>
      </c>
      <c r="C13" s="1" t="str">
        <f>World!D21</f>
        <v/>
      </c>
      <c r="D13" s="3">
        <f>World!E21</f>
        <v>4099</v>
      </c>
      <c r="E13" s="1" t="str">
        <f>World!F21</f>
        <v/>
      </c>
      <c r="F13" s="3">
        <f>World!G21</f>
        <v>59442</v>
      </c>
      <c r="G13" s="1" t="str">
        <f>World!H21</f>
        <v/>
      </c>
      <c r="H13" s="3">
        <f>World!I21</f>
        <v>78238</v>
      </c>
      <c r="I13" s="4">
        <f>World!J21</f>
        <v>926</v>
      </c>
    </row>
    <row r="14">
      <c r="A14" s="1" t="str">
        <f>World!B22</f>
        <v>Canada</v>
      </c>
      <c r="B14" s="3">
        <f>World!C22</f>
        <v>88512</v>
      </c>
      <c r="C14" s="1" t="str">
        <f>World!D22</f>
        <v/>
      </c>
      <c r="D14" s="3">
        <f>World!E22</f>
        <v>6877</v>
      </c>
      <c r="E14" s="1" t="str">
        <f>World!F22</f>
        <v/>
      </c>
      <c r="F14" s="3">
        <f>World!G22</f>
        <v>46840</v>
      </c>
      <c r="G14" s="1" t="str">
        <f>World!H22</f>
        <v/>
      </c>
      <c r="H14" s="3">
        <f>World!I22</f>
        <v>34795</v>
      </c>
      <c r="I14" s="5">
        <f>World!J22</f>
        <v>1613</v>
      </c>
    </row>
    <row r="15">
      <c r="A15" s="1" t="str">
        <f>World!B23</f>
        <v>Chile</v>
      </c>
      <c r="B15" s="3">
        <f>World!C23</f>
        <v>86943</v>
      </c>
      <c r="C15" s="1" t="str">
        <f>World!D23</f>
        <v/>
      </c>
      <c r="D15" s="1">
        <f>World!E23</f>
        <v>890</v>
      </c>
      <c r="E15" s="1" t="str">
        <f>World!F23</f>
        <v/>
      </c>
      <c r="F15" s="3">
        <f>World!G23</f>
        <v>36150</v>
      </c>
      <c r="G15" s="1" t="str">
        <f>World!H23</f>
        <v/>
      </c>
      <c r="H15" s="3">
        <f>World!I23</f>
        <v>49903</v>
      </c>
      <c r="I15" s="5">
        <f>World!J23</f>
        <v>1289</v>
      </c>
    </row>
    <row r="16">
      <c r="A16" s="1" t="str">
        <f>World!B24</f>
        <v>Mexico</v>
      </c>
      <c r="B16" s="3">
        <f>World!C24</f>
        <v>81400</v>
      </c>
      <c r="C16" s="1" t="str">
        <f>World!D24</f>
        <v>+3,377</v>
      </c>
      <c r="D16" s="3">
        <f>World!E24</f>
        <v>9044</v>
      </c>
      <c r="E16" s="1" t="str">
        <f>World!F24</f>
        <v>+447</v>
      </c>
      <c r="F16" s="3">
        <f>World!G24</f>
        <v>56638</v>
      </c>
      <c r="G16" s="1" t="str">
        <f>World!H24</f>
        <v>+2,255</v>
      </c>
      <c r="H16" s="3">
        <f>World!I24</f>
        <v>15718</v>
      </c>
      <c r="I16" s="4">
        <f>World!J24</f>
        <v>378</v>
      </c>
    </row>
    <row r="17">
      <c r="A17" s="1" t="str">
        <f>World!B25</f>
        <v>Saudi Arabia</v>
      </c>
      <c r="B17" s="3">
        <f>World!C25</f>
        <v>80185</v>
      </c>
      <c r="C17" s="1" t="str">
        <f>World!D25</f>
        <v/>
      </c>
      <c r="D17" s="1">
        <f>World!E25</f>
        <v>441</v>
      </c>
      <c r="E17" s="1" t="str">
        <f>World!F25</f>
        <v/>
      </c>
      <c r="F17" s="3">
        <f>World!G25</f>
        <v>54553</v>
      </c>
      <c r="G17" s="1" t="str">
        <f>World!H25</f>
        <v/>
      </c>
      <c r="H17" s="3">
        <f>World!I25</f>
        <v>25191</v>
      </c>
      <c r="I17" s="4">
        <f>World!J25</f>
        <v>384</v>
      </c>
    </row>
    <row r="18">
      <c r="A18" s="1" t="str">
        <f>World!B26</f>
        <v>Pakistan</v>
      </c>
      <c r="B18" s="3">
        <f>World!C26</f>
        <v>61227</v>
      </c>
      <c r="C18" s="1" t="str">
        <f>World!D26</f>
        <v/>
      </c>
      <c r="D18" s="3">
        <f>World!E26</f>
        <v>1260</v>
      </c>
      <c r="E18" s="1" t="str">
        <f>World!F26</f>
        <v/>
      </c>
      <c r="F18" s="3">
        <f>World!G26</f>
        <v>20231</v>
      </c>
      <c r="G18" s="1" t="str">
        <f>World!H26</f>
        <v/>
      </c>
      <c r="H18" s="3">
        <f>World!I26</f>
        <v>39736</v>
      </c>
      <c r="I18" s="4">
        <f>World!J26</f>
        <v>111</v>
      </c>
    </row>
    <row r="19">
      <c r="A19" s="1" t="str">
        <f>World!B27</f>
        <v>Belgium</v>
      </c>
      <c r="B19" s="3">
        <f>World!C27</f>
        <v>57849</v>
      </c>
      <c r="C19" s="1" t="str">
        <f>World!D27</f>
        <v/>
      </c>
      <c r="D19" s="3">
        <f>World!E27</f>
        <v>9388</v>
      </c>
      <c r="E19" s="1" t="str">
        <f>World!F27</f>
        <v/>
      </c>
      <c r="F19" s="3">
        <f>World!G27</f>
        <v>15572</v>
      </c>
      <c r="G19" s="1" t="str">
        <f>World!H27</f>
        <v/>
      </c>
      <c r="H19" s="3">
        <f>World!I27</f>
        <v>32889</v>
      </c>
      <c r="I19" s="4">
        <f>World!J27</f>
        <v>208</v>
      </c>
    </row>
    <row r="20">
      <c r="A20" s="1" t="str">
        <f>World!B28</f>
        <v>Qatar</v>
      </c>
      <c r="B20" s="3">
        <f>World!C28</f>
        <v>50914</v>
      </c>
      <c r="C20" s="1" t="str">
        <f>World!D28</f>
        <v/>
      </c>
      <c r="D20" s="1">
        <f>World!E28</f>
        <v>33</v>
      </c>
      <c r="E20" s="1" t="str">
        <f>World!F28</f>
        <v/>
      </c>
      <c r="F20" s="3">
        <f>World!G28</f>
        <v>15399</v>
      </c>
      <c r="G20" s="1" t="str">
        <f>World!H28</f>
        <v/>
      </c>
      <c r="H20" s="3">
        <f>World!I28</f>
        <v>35482</v>
      </c>
      <c r="I20" s="4">
        <f>World!J28</f>
        <v>214</v>
      </c>
    </row>
    <row r="21">
      <c r="A21" s="1" t="str">
        <f>World!B29</f>
        <v>Netherlands</v>
      </c>
      <c r="B21" s="3">
        <f>World!C29</f>
        <v>45950</v>
      </c>
      <c r="C21" s="1" t="str">
        <f>World!D29</f>
        <v/>
      </c>
      <c r="D21" s="3">
        <f>World!E29</f>
        <v>5903</v>
      </c>
      <c r="E21" s="1" t="str">
        <f>World!F29</f>
        <v/>
      </c>
      <c r="F21" s="1" t="str">
        <f>World!G29</f>
        <v>N/A</v>
      </c>
      <c r="G21" s="1" t="str">
        <f>World!H29</f>
        <v>N/A</v>
      </c>
      <c r="H21" s="1" t="str">
        <f>World!I29</f>
        <v>N/A</v>
      </c>
      <c r="I21" s="4">
        <f>World!J29</f>
        <v>182</v>
      </c>
    </row>
    <row r="22">
      <c r="A22" s="1" t="str">
        <f>World!B30</f>
        <v>Bangladesh</v>
      </c>
      <c r="B22" s="3">
        <f>World!C30</f>
        <v>40321</v>
      </c>
      <c r="C22" s="1" t="str">
        <f>World!D30</f>
        <v/>
      </c>
      <c r="D22" s="1">
        <f>World!E30</f>
        <v>559</v>
      </c>
      <c r="E22" s="1" t="str">
        <f>World!F30</f>
        <v/>
      </c>
      <c r="F22" s="3">
        <f>World!G30</f>
        <v>8425</v>
      </c>
      <c r="G22" s="1" t="str">
        <f>World!H30</f>
        <v/>
      </c>
      <c r="H22" s="3">
        <f>World!I30</f>
        <v>31337</v>
      </c>
      <c r="I22" s="4">
        <f>World!J30</f>
        <v>1</v>
      </c>
    </row>
    <row r="23">
      <c r="A23" s="1" t="str">
        <f>World!B31</f>
        <v>Belarus</v>
      </c>
      <c r="B23" s="3">
        <f>World!C31</f>
        <v>39858</v>
      </c>
      <c r="C23" s="1" t="str">
        <f>World!D31</f>
        <v/>
      </c>
      <c r="D23" s="1">
        <f>World!E31</f>
        <v>219</v>
      </c>
      <c r="E23" s="1" t="str">
        <f>World!F31</f>
        <v/>
      </c>
      <c r="F23" s="3">
        <f>World!G31</f>
        <v>16660</v>
      </c>
      <c r="G23" s="1" t="str">
        <f>World!H31</f>
        <v/>
      </c>
      <c r="H23" s="3">
        <f>World!I31</f>
        <v>22979</v>
      </c>
      <c r="I23" s="4">
        <f>World!J31</f>
        <v>92</v>
      </c>
    </row>
    <row r="24">
      <c r="A24" s="1" t="str">
        <f>World!B32</f>
        <v>Ecuador</v>
      </c>
      <c r="B24" s="3">
        <f>World!C32</f>
        <v>38471</v>
      </c>
      <c r="C24" s="1" t="str">
        <f>World!D32</f>
        <v/>
      </c>
      <c r="D24" s="3">
        <f>World!E32</f>
        <v>3313</v>
      </c>
      <c r="E24" s="1" t="str">
        <f>World!F32</f>
        <v/>
      </c>
      <c r="F24" s="3">
        <f>World!G32</f>
        <v>18425</v>
      </c>
      <c r="G24" s="1" t="str">
        <f>World!H32</f>
        <v/>
      </c>
      <c r="H24" s="3">
        <f>World!I32</f>
        <v>16733</v>
      </c>
      <c r="I24" s="4">
        <f>World!J32</f>
        <v>220</v>
      </c>
    </row>
    <row r="25">
      <c r="A25" s="1" t="str">
        <f>World!B33</f>
        <v>Sweden</v>
      </c>
      <c r="B25" s="3">
        <f>World!C33</f>
        <v>35727</v>
      </c>
      <c r="C25" s="1" t="str">
        <f>World!D33</f>
        <v/>
      </c>
      <c r="D25" s="3">
        <f>World!E33</f>
        <v>4266</v>
      </c>
      <c r="E25" s="1" t="str">
        <f>World!F33</f>
        <v/>
      </c>
      <c r="F25" s="3">
        <f>World!G33</f>
        <v>4971</v>
      </c>
      <c r="G25" s="1" t="str">
        <f>World!H33</f>
        <v/>
      </c>
      <c r="H25" s="3">
        <f>World!I33</f>
        <v>26490</v>
      </c>
      <c r="I25" s="4">
        <f>World!J33</f>
        <v>280</v>
      </c>
    </row>
    <row r="26">
      <c r="A26" s="1" t="str">
        <f>World!B34</f>
        <v>Singapore</v>
      </c>
      <c r="B26" s="3">
        <f>World!C34</f>
        <v>33249</v>
      </c>
      <c r="C26" s="1" t="str">
        <f>World!D34</f>
        <v/>
      </c>
      <c r="D26" s="1">
        <f>World!E34</f>
        <v>23</v>
      </c>
      <c r="E26" s="1" t="str">
        <f>World!F34</f>
        <v/>
      </c>
      <c r="F26" s="3">
        <f>World!G34</f>
        <v>18294</v>
      </c>
      <c r="G26" s="1" t="str">
        <f>World!H34</f>
        <v/>
      </c>
      <c r="H26" s="3">
        <f>World!I34</f>
        <v>14932</v>
      </c>
      <c r="I26" s="4">
        <f>World!J34</f>
        <v>7</v>
      </c>
    </row>
    <row r="27">
      <c r="A27" s="1" t="str">
        <f>World!B35</f>
        <v>UAE</v>
      </c>
      <c r="B27" s="3">
        <f>World!C35</f>
        <v>32532</v>
      </c>
      <c r="C27" s="1" t="str">
        <f>World!D35</f>
        <v/>
      </c>
      <c r="D27" s="1">
        <f>World!E35</f>
        <v>258</v>
      </c>
      <c r="E27" s="1" t="str">
        <f>World!F35</f>
        <v/>
      </c>
      <c r="F27" s="3">
        <f>World!G35</f>
        <v>16685</v>
      </c>
      <c r="G27" s="1" t="str">
        <f>World!H35</f>
        <v/>
      </c>
      <c r="H27" s="3">
        <f>World!I35</f>
        <v>15589</v>
      </c>
      <c r="I27" s="4">
        <f>World!J35</f>
        <v>1</v>
      </c>
    </row>
    <row r="28">
      <c r="A28" s="1" t="str">
        <f>World!B36</f>
        <v>Portugal</v>
      </c>
      <c r="B28" s="3">
        <f>World!C36</f>
        <v>31596</v>
      </c>
      <c r="C28" s="1" t="str">
        <f>World!D36</f>
        <v/>
      </c>
      <c r="D28" s="3">
        <f>World!E36</f>
        <v>1369</v>
      </c>
      <c r="E28" s="1" t="str">
        <f>World!F36</f>
        <v/>
      </c>
      <c r="F28" s="3">
        <f>World!G36</f>
        <v>18637</v>
      </c>
      <c r="G28" s="1" t="str">
        <f>World!H36</f>
        <v/>
      </c>
      <c r="H28" s="3">
        <f>World!I36</f>
        <v>11590</v>
      </c>
      <c r="I28" s="4">
        <f>World!J36</f>
        <v>65</v>
      </c>
    </row>
    <row r="29">
      <c r="A29" s="1" t="str">
        <f>World!B37</f>
        <v>Switzerland</v>
      </c>
      <c r="B29" s="3">
        <f>World!C37</f>
        <v>30796</v>
      </c>
      <c r="C29" s="1" t="str">
        <f>World!D37</f>
        <v/>
      </c>
      <c r="D29" s="3">
        <f>World!E37</f>
        <v>1919</v>
      </c>
      <c r="E29" s="1" t="str">
        <f>World!F37</f>
        <v/>
      </c>
      <c r="F29" s="3">
        <f>World!G37</f>
        <v>28300</v>
      </c>
      <c r="G29" s="1" t="str">
        <f>World!H37</f>
        <v/>
      </c>
      <c r="H29" s="1">
        <f>World!I37</f>
        <v>577</v>
      </c>
      <c r="I29" s="4">
        <f>World!J37</f>
        <v>36</v>
      </c>
    </row>
    <row r="30">
      <c r="A30" s="1" t="str">
        <f>World!B38</f>
        <v>South Africa</v>
      </c>
      <c r="B30" s="3">
        <f>World!C38</f>
        <v>27403</v>
      </c>
      <c r="C30" s="1" t="str">
        <f>World!D38</f>
        <v/>
      </c>
      <c r="D30" s="1">
        <f>World!E38</f>
        <v>577</v>
      </c>
      <c r="E30" s="1" t="str">
        <f>World!F38</f>
        <v/>
      </c>
      <c r="F30" s="3">
        <f>World!G38</f>
        <v>14370</v>
      </c>
      <c r="G30" s="1" t="str">
        <f>World!H38</f>
        <v/>
      </c>
      <c r="H30" s="3">
        <f>World!I38</f>
        <v>12456</v>
      </c>
      <c r="I30" s="4">
        <f>World!J38</f>
        <v>128</v>
      </c>
    </row>
    <row r="31">
      <c r="A31" s="1" t="str">
        <f>World!B39</f>
        <v>Colombia</v>
      </c>
      <c r="B31" s="3">
        <f>World!C39</f>
        <v>25366</v>
      </c>
      <c r="C31" s="1" t="str">
        <f>World!D39</f>
        <v/>
      </c>
      <c r="D31" s="1">
        <f>World!E39</f>
        <v>822</v>
      </c>
      <c r="E31" s="1" t="str">
        <f>World!F39</f>
        <v/>
      </c>
      <c r="F31" s="3">
        <f>World!G39</f>
        <v>6665</v>
      </c>
      <c r="G31" s="1" t="str">
        <f>World!H39</f>
        <v/>
      </c>
      <c r="H31" s="3">
        <f>World!I39</f>
        <v>17879</v>
      </c>
      <c r="I31" s="4">
        <f>World!J39</f>
        <v>136</v>
      </c>
    </row>
    <row r="32">
      <c r="A32" s="1" t="str">
        <f>World!B40</f>
        <v>Ireland</v>
      </c>
      <c r="B32" s="3">
        <f>World!C40</f>
        <v>24841</v>
      </c>
      <c r="C32" s="1" t="str">
        <f>World!D40</f>
        <v/>
      </c>
      <c r="D32" s="3">
        <f>World!E40</f>
        <v>1639</v>
      </c>
      <c r="E32" s="1" t="str">
        <f>World!F40</f>
        <v/>
      </c>
      <c r="F32" s="3">
        <f>World!G40</f>
        <v>22089</v>
      </c>
      <c r="G32" s="1" t="str">
        <f>World!H40</f>
        <v/>
      </c>
      <c r="H32" s="3">
        <f>World!I40</f>
        <v>1113</v>
      </c>
      <c r="I32" s="4">
        <f>World!J40</f>
        <v>47</v>
      </c>
    </row>
    <row r="33">
      <c r="A33" s="1" t="str">
        <f>World!B41</f>
        <v>Indonesia</v>
      </c>
      <c r="B33" s="3">
        <f>World!C41</f>
        <v>24538</v>
      </c>
      <c r="C33" s="1" t="str">
        <f>World!D41</f>
        <v/>
      </c>
      <c r="D33" s="3">
        <f>World!E41</f>
        <v>1496</v>
      </c>
      <c r="E33" s="1" t="str">
        <f>World!F41</f>
        <v/>
      </c>
      <c r="F33" s="3">
        <f>World!G41</f>
        <v>6240</v>
      </c>
      <c r="G33" s="1" t="str">
        <f>World!H41</f>
        <v/>
      </c>
      <c r="H33" s="3">
        <f>World!I41</f>
        <v>16802</v>
      </c>
      <c r="I33" s="4" t="str">
        <f>World!J41</f>
        <v/>
      </c>
    </row>
    <row r="34">
      <c r="A34" s="1" t="str">
        <f>World!B42</f>
        <v>Kuwait</v>
      </c>
      <c r="B34" s="3">
        <f>World!C42</f>
        <v>24112</v>
      </c>
      <c r="C34" s="1" t="str">
        <f>World!D42</f>
        <v/>
      </c>
      <c r="D34" s="1">
        <f>World!E42</f>
        <v>185</v>
      </c>
      <c r="E34" s="1" t="str">
        <f>World!F42</f>
        <v/>
      </c>
      <c r="F34" s="3">
        <f>World!G42</f>
        <v>8698</v>
      </c>
      <c r="G34" s="1" t="str">
        <f>World!H42</f>
        <v/>
      </c>
      <c r="H34" s="3">
        <f>World!I42</f>
        <v>15229</v>
      </c>
      <c r="I34" s="4">
        <f>World!J42</f>
        <v>197</v>
      </c>
    </row>
    <row r="35">
      <c r="A35" s="1" t="str">
        <f>World!B43</f>
        <v>Poland</v>
      </c>
      <c r="B35" s="3">
        <f>World!C43</f>
        <v>22825</v>
      </c>
      <c r="C35" s="1" t="str">
        <f>World!D43</f>
        <v/>
      </c>
      <c r="D35" s="3">
        <f>World!E43</f>
        <v>1038</v>
      </c>
      <c r="E35" s="1" t="str">
        <f>World!F43</f>
        <v/>
      </c>
      <c r="F35" s="3">
        <f>World!G43</f>
        <v>10560</v>
      </c>
      <c r="G35" s="1" t="str">
        <f>World!H43</f>
        <v/>
      </c>
      <c r="H35" s="3">
        <f>World!I43</f>
        <v>11227</v>
      </c>
      <c r="I35" s="4">
        <f>World!J43</f>
        <v>160</v>
      </c>
    </row>
    <row r="36">
      <c r="A36" s="1" t="str">
        <f>World!B44</f>
        <v>Ukraine</v>
      </c>
      <c r="B36" s="3">
        <f>World!C44</f>
        <v>22382</v>
      </c>
      <c r="C36" s="1" t="str">
        <f>World!D44</f>
        <v/>
      </c>
      <c r="D36" s="1">
        <f>World!E44</f>
        <v>669</v>
      </c>
      <c r="E36" s="1" t="str">
        <f>World!F44</f>
        <v/>
      </c>
      <c r="F36" s="3">
        <f>World!G44</f>
        <v>8439</v>
      </c>
      <c r="G36" s="1" t="str">
        <f>World!H44</f>
        <v/>
      </c>
      <c r="H36" s="3">
        <f>World!I44</f>
        <v>13274</v>
      </c>
      <c r="I36" s="4">
        <f>World!J44</f>
        <v>263</v>
      </c>
    </row>
    <row r="37">
      <c r="A37" s="1" t="str">
        <f>World!B45</f>
        <v>Egypt</v>
      </c>
      <c r="B37" s="3">
        <f>World!C45</f>
        <v>20793</v>
      </c>
      <c r="C37" s="1" t="str">
        <f>World!D45</f>
        <v/>
      </c>
      <c r="D37" s="1">
        <f>World!E45</f>
        <v>845</v>
      </c>
      <c r="E37" s="1" t="str">
        <f>World!F45</f>
        <v/>
      </c>
      <c r="F37" s="3">
        <f>World!G45</f>
        <v>5359</v>
      </c>
      <c r="G37" s="1" t="str">
        <f>World!H45</f>
        <v/>
      </c>
      <c r="H37" s="3">
        <f>World!I45</f>
        <v>14589</v>
      </c>
      <c r="I37" s="4">
        <f>World!J45</f>
        <v>41</v>
      </c>
    </row>
    <row r="38">
      <c r="A38" s="1" t="str">
        <f>World!B46</f>
        <v>Romania</v>
      </c>
      <c r="B38" s="3">
        <f>World!C46</f>
        <v>18791</v>
      </c>
      <c r="C38" s="1" t="str">
        <f>World!D46</f>
        <v/>
      </c>
      <c r="D38" s="3">
        <f>World!E46</f>
        <v>1235</v>
      </c>
      <c r="E38" s="1" t="str">
        <f>World!F46</f>
        <v/>
      </c>
      <c r="F38" s="3">
        <f>World!G46</f>
        <v>12629</v>
      </c>
      <c r="G38" s="1" t="str">
        <f>World!H46</f>
        <v/>
      </c>
      <c r="H38" s="3">
        <f>World!I46</f>
        <v>4927</v>
      </c>
      <c r="I38" s="4">
        <f>World!J46</f>
        <v>182</v>
      </c>
    </row>
    <row r="39">
      <c r="A39" s="1" t="str">
        <f>World!B47</f>
        <v>Israel</v>
      </c>
      <c r="B39" s="3">
        <f>World!C47</f>
        <v>16872</v>
      </c>
      <c r="C39" s="1" t="str">
        <f>World!D47</f>
        <v/>
      </c>
      <c r="D39" s="1">
        <f>World!E47</f>
        <v>284</v>
      </c>
      <c r="E39" s="1" t="str">
        <f>World!F47</f>
        <v/>
      </c>
      <c r="F39" s="3">
        <f>World!G47</f>
        <v>14679</v>
      </c>
      <c r="G39" s="1" t="str">
        <f>World!H47</f>
        <v/>
      </c>
      <c r="H39" s="3">
        <f>World!I47</f>
        <v>1909</v>
      </c>
      <c r="I39" s="4">
        <f>World!J47</f>
        <v>41</v>
      </c>
    </row>
    <row r="40">
      <c r="A40" s="1" t="str">
        <f>World!B48</f>
        <v>Japan</v>
      </c>
      <c r="B40" s="3">
        <f>World!C48</f>
        <v>16683</v>
      </c>
      <c r="C40" s="1" t="str">
        <f>World!D48</f>
        <v/>
      </c>
      <c r="D40" s="1">
        <f>World!E48</f>
        <v>867</v>
      </c>
      <c r="E40" s="1" t="str">
        <f>World!F48</f>
        <v/>
      </c>
      <c r="F40" s="3">
        <f>World!G48</f>
        <v>14147</v>
      </c>
      <c r="G40" s="1" t="str">
        <f>World!H48</f>
        <v/>
      </c>
      <c r="H40" s="3">
        <f>World!I48</f>
        <v>1669</v>
      </c>
      <c r="I40" s="4">
        <f>World!J48</f>
        <v>136</v>
      </c>
    </row>
    <row r="41">
      <c r="A41" s="1" t="str">
        <f>World!B49</f>
        <v>Austria</v>
      </c>
      <c r="B41" s="3">
        <f>World!C49</f>
        <v>16628</v>
      </c>
      <c r="C41" s="1" t="str">
        <f>World!D49</f>
        <v/>
      </c>
      <c r="D41" s="1">
        <f>World!E49</f>
        <v>668</v>
      </c>
      <c r="E41" s="1" t="str">
        <f>World!F49</f>
        <v/>
      </c>
      <c r="F41" s="3">
        <f>World!G49</f>
        <v>15286</v>
      </c>
      <c r="G41" s="1" t="str">
        <f>World!H49</f>
        <v/>
      </c>
      <c r="H41" s="1">
        <f>World!I49</f>
        <v>674</v>
      </c>
      <c r="I41" s="4">
        <f>World!J49</f>
        <v>30</v>
      </c>
    </row>
    <row r="42">
      <c r="A42" s="1" t="str">
        <f>World!B50</f>
        <v>Dominican Republic</v>
      </c>
      <c r="B42" s="3">
        <f>World!C50</f>
        <v>16068</v>
      </c>
      <c r="C42" s="1" t="str">
        <f>World!D50</f>
        <v/>
      </c>
      <c r="D42" s="1">
        <f>World!E50</f>
        <v>485</v>
      </c>
      <c r="E42" s="1" t="str">
        <f>World!F50</f>
        <v/>
      </c>
      <c r="F42" s="3">
        <f>World!G50</f>
        <v>8952</v>
      </c>
      <c r="G42" s="1" t="str">
        <f>World!H50</f>
        <v/>
      </c>
      <c r="H42" s="3">
        <f>World!I50</f>
        <v>6631</v>
      </c>
      <c r="I42" s="4">
        <f>World!J50</f>
        <v>123</v>
      </c>
    </row>
    <row r="43">
      <c r="A43" s="1" t="str">
        <f>World!B51</f>
        <v>Philippines</v>
      </c>
      <c r="B43" s="3">
        <f>World!C51</f>
        <v>15588</v>
      </c>
      <c r="C43" s="1" t="str">
        <f>World!D51</f>
        <v/>
      </c>
      <c r="D43" s="1">
        <f>World!E51</f>
        <v>921</v>
      </c>
      <c r="E43" s="1" t="str">
        <f>World!F51</f>
        <v/>
      </c>
      <c r="F43" s="3">
        <f>World!G51</f>
        <v>3598</v>
      </c>
      <c r="G43" s="1" t="str">
        <f>World!H51</f>
        <v/>
      </c>
      <c r="H43" s="3">
        <f>World!I51</f>
        <v>11069</v>
      </c>
      <c r="I43" s="4">
        <f>World!J51</f>
        <v>81</v>
      </c>
    </row>
    <row r="44">
      <c r="A44" s="1" t="str">
        <f>World!B52</f>
        <v>Argentina</v>
      </c>
      <c r="B44" s="3">
        <f>World!C52</f>
        <v>14702</v>
      </c>
      <c r="C44" s="1" t="str">
        <f>World!D52</f>
        <v/>
      </c>
      <c r="D44" s="1">
        <f>World!E52</f>
        <v>508</v>
      </c>
      <c r="E44" s="1" t="str">
        <f>World!F52</f>
        <v/>
      </c>
      <c r="F44" s="3">
        <f>World!G52</f>
        <v>4617</v>
      </c>
      <c r="G44" s="1" t="str">
        <f>World!H52</f>
        <v/>
      </c>
      <c r="H44" s="3">
        <f>World!I52</f>
        <v>9577</v>
      </c>
      <c r="I44" s="4">
        <f>World!J52</f>
        <v>171</v>
      </c>
    </row>
    <row r="45">
      <c r="A45" s="1" t="str">
        <f>World!B53</f>
        <v>Afghanistan</v>
      </c>
      <c r="B45" s="3">
        <f>World!C53</f>
        <v>13036</v>
      </c>
      <c r="C45" s="1" t="str">
        <f>World!D53</f>
        <v/>
      </c>
      <c r="D45" s="1">
        <f>World!E53</f>
        <v>235</v>
      </c>
      <c r="E45" s="1" t="str">
        <f>World!F53</f>
        <v/>
      </c>
      <c r="F45" s="3">
        <f>World!G53</f>
        <v>1209</v>
      </c>
      <c r="G45" s="1" t="str">
        <f>World!H53</f>
        <v/>
      </c>
      <c r="H45" s="3">
        <f>World!I53</f>
        <v>11592</v>
      </c>
      <c r="I45" s="4">
        <f>World!J53</f>
        <v>19</v>
      </c>
    </row>
    <row r="46">
      <c r="A46" s="1" t="str">
        <f>World!B54</f>
        <v>Panama</v>
      </c>
      <c r="B46" s="3">
        <f>World!C54</f>
        <v>12131</v>
      </c>
      <c r="C46" s="1" t="str">
        <f>World!D54</f>
        <v/>
      </c>
      <c r="D46" s="1">
        <f>World!E54</f>
        <v>320</v>
      </c>
      <c r="E46" s="1" t="str">
        <f>World!F54</f>
        <v/>
      </c>
      <c r="F46" s="3">
        <f>World!G54</f>
        <v>7379</v>
      </c>
      <c r="G46" s="1" t="str">
        <f>World!H54</f>
        <v/>
      </c>
      <c r="H46" s="3">
        <f>World!I54</f>
        <v>4432</v>
      </c>
      <c r="I46" s="4">
        <f>World!J54</f>
        <v>72</v>
      </c>
    </row>
    <row r="47">
      <c r="A47" s="1" t="str">
        <f>World!B55</f>
        <v>Denmark</v>
      </c>
      <c r="B47" s="3">
        <f>World!C55</f>
        <v>11512</v>
      </c>
      <c r="C47" s="1" t="str">
        <f>World!D55</f>
        <v/>
      </c>
      <c r="D47" s="1">
        <f>World!E55</f>
        <v>568</v>
      </c>
      <c r="E47" s="1" t="str">
        <f>World!F55</f>
        <v/>
      </c>
      <c r="F47" s="3">
        <f>World!G55</f>
        <v>10180</v>
      </c>
      <c r="G47" s="1" t="str">
        <f>World!H55</f>
        <v/>
      </c>
      <c r="H47" s="1">
        <f>World!I55</f>
        <v>764</v>
      </c>
      <c r="I47" s="4">
        <f>World!J55</f>
        <v>20</v>
      </c>
    </row>
    <row r="48">
      <c r="A48" s="1" t="str">
        <f>World!B56</f>
        <v>S. Korea</v>
      </c>
      <c r="B48" s="3">
        <f>World!C56</f>
        <v>11402</v>
      </c>
      <c r="C48" s="1" t="str">
        <f>World!D56</f>
        <v>+58</v>
      </c>
      <c r="D48" s="1">
        <f>World!E56</f>
        <v>269</v>
      </c>
      <c r="E48" s="1" t="str">
        <f>World!F56</f>
        <v/>
      </c>
      <c r="F48" s="3">
        <f>World!G56</f>
        <v>10363</v>
      </c>
      <c r="G48" s="1" t="str">
        <f>World!H56</f>
        <v>+23</v>
      </c>
      <c r="H48" s="1">
        <f>World!I56</f>
        <v>770</v>
      </c>
      <c r="I48" s="4">
        <f>World!J56</f>
        <v>15</v>
      </c>
    </row>
    <row r="49">
      <c r="A49" s="1" t="str">
        <f>World!B57</f>
        <v>Serbia</v>
      </c>
      <c r="B49" s="3">
        <f>World!C57</f>
        <v>11300</v>
      </c>
      <c r="C49" s="1" t="str">
        <f>World!D57</f>
        <v/>
      </c>
      <c r="D49" s="1">
        <f>World!E57</f>
        <v>241</v>
      </c>
      <c r="E49" s="1" t="str">
        <f>World!F57</f>
        <v/>
      </c>
      <c r="F49" s="3">
        <f>World!G57</f>
        <v>6438</v>
      </c>
      <c r="G49" s="1" t="str">
        <f>World!H57</f>
        <v/>
      </c>
      <c r="H49" s="3">
        <f>World!I57</f>
        <v>4621</v>
      </c>
      <c r="I49" s="4">
        <f>World!J57</f>
        <v>9</v>
      </c>
    </row>
    <row r="50">
      <c r="A50" s="1" t="str">
        <f>World!B58</f>
        <v>Bahrain</v>
      </c>
      <c r="B50" s="3">
        <f>World!C58</f>
        <v>10052</v>
      </c>
      <c r="C50" s="1" t="str">
        <f>World!D58</f>
        <v/>
      </c>
      <c r="D50" s="1">
        <f>World!E58</f>
        <v>15</v>
      </c>
      <c r="E50" s="1" t="str">
        <f>World!F58</f>
        <v/>
      </c>
      <c r="F50" s="3">
        <f>World!G58</f>
        <v>5419</v>
      </c>
      <c r="G50" s="1" t="str">
        <f>World!H58</f>
        <v/>
      </c>
      <c r="H50" s="3">
        <f>World!I58</f>
        <v>4618</v>
      </c>
      <c r="I50" s="4">
        <f>World!J58</f>
        <v>9</v>
      </c>
    </row>
    <row r="51">
      <c r="A51" s="1" t="str">
        <f>World!B59</f>
        <v>Kazakhstan</v>
      </c>
      <c r="B51" s="3">
        <f>World!C59</f>
        <v>9576</v>
      </c>
      <c r="C51" s="1" t="str">
        <f>World!D59</f>
        <v/>
      </c>
      <c r="D51" s="1">
        <f>World!E59</f>
        <v>37</v>
      </c>
      <c r="E51" s="1" t="str">
        <f>World!F59</f>
        <v/>
      </c>
      <c r="F51" s="3">
        <f>World!G59</f>
        <v>4900</v>
      </c>
      <c r="G51" s="1" t="str">
        <f>World!H59</f>
        <v/>
      </c>
      <c r="H51" s="3">
        <f>World!I59</f>
        <v>4639</v>
      </c>
      <c r="I51" s="4">
        <f>World!J59</f>
        <v>62</v>
      </c>
    </row>
    <row r="52">
      <c r="A52" s="1" t="str">
        <f>World!B60</f>
        <v>Czechia</v>
      </c>
      <c r="B52" s="3">
        <f>World!C60</f>
        <v>9140</v>
      </c>
      <c r="C52" s="1" t="str">
        <f>World!D60</f>
        <v/>
      </c>
      <c r="D52" s="1">
        <f>World!E60</f>
        <v>319</v>
      </c>
      <c r="E52" s="1" t="str">
        <f>World!F60</f>
        <v/>
      </c>
      <c r="F52" s="3">
        <f>World!G60</f>
        <v>6460</v>
      </c>
      <c r="G52" s="1" t="str">
        <f>World!H60</f>
        <v/>
      </c>
      <c r="H52" s="3">
        <f>World!I60</f>
        <v>2361</v>
      </c>
      <c r="I52" s="4">
        <f>World!J60</f>
        <v>21</v>
      </c>
    </row>
    <row r="53">
      <c r="A53" s="1" t="str">
        <f>World!B61</f>
        <v>Oman</v>
      </c>
      <c r="B53" s="3">
        <f>World!C61</f>
        <v>9009</v>
      </c>
      <c r="C53" s="1" t="str">
        <f>World!D61</f>
        <v/>
      </c>
      <c r="D53" s="1">
        <f>World!E61</f>
        <v>40</v>
      </c>
      <c r="E53" s="1" t="str">
        <f>World!F61</f>
        <v/>
      </c>
      <c r="F53" s="3">
        <f>World!G61</f>
        <v>2177</v>
      </c>
      <c r="G53" s="1" t="str">
        <f>World!H61</f>
        <v/>
      </c>
      <c r="H53" s="3">
        <f>World!I61</f>
        <v>6792</v>
      </c>
      <c r="I53" s="4">
        <f>World!J61</f>
        <v>31</v>
      </c>
    </row>
    <row r="54">
      <c r="A54" s="1" t="str">
        <f>World!B62</f>
        <v>Algeria</v>
      </c>
      <c r="B54" s="3">
        <f>World!C62</f>
        <v>8997</v>
      </c>
      <c r="C54" s="1" t="str">
        <f>World!D62</f>
        <v/>
      </c>
      <c r="D54" s="1">
        <f>World!E62</f>
        <v>630</v>
      </c>
      <c r="E54" s="1" t="str">
        <f>World!F62</f>
        <v/>
      </c>
      <c r="F54" s="3">
        <f>World!G62</f>
        <v>5277</v>
      </c>
      <c r="G54" s="1" t="str">
        <f>World!H62</f>
        <v/>
      </c>
      <c r="H54" s="3">
        <f>World!I62</f>
        <v>3090</v>
      </c>
      <c r="I54" s="4">
        <f>World!J62</f>
        <v>32</v>
      </c>
    </row>
    <row r="55">
      <c r="A55" s="1" t="str">
        <f>World!B63</f>
        <v>Nigeria</v>
      </c>
      <c r="B55" s="3">
        <f>World!C63</f>
        <v>8915</v>
      </c>
      <c r="C55" s="1" t="str">
        <f>World!D63</f>
        <v/>
      </c>
      <c r="D55" s="1">
        <f>World!E63</f>
        <v>259</v>
      </c>
      <c r="E55" s="1" t="str">
        <f>World!F63</f>
        <v/>
      </c>
      <c r="F55" s="3">
        <f>World!G63</f>
        <v>2592</v>
      </c>
      <c r="G55" s="1" t="str">
        <f>World!H63</f>
        <v/>
      </c>
      <c r="H55" s="3">
        <f>World!I63</f>
        <v>6064</v>
      </c>
      <c r="I55" s="4">
        <f>World!J63</f>
        <v>7</v>
      </c>
    </row>
    <row r="56">
      <c r="A56" s="1" t="str">
        <f>World!B64</f>
        <v>Norway</v>
      </c>
      <c r="B56" s="3">
        <f>World!C64</f>
        <v>8411</v>
      </c>
      <c r="C56" s="1" t="str">
        <f>World!D64</f>
        <v/>
      </c>
      <c r="D56" s="1">
        <f>World!E64</f>
        <v>236</v>
      </c>
      <c r="E56" s="1" t="str">
        <f>World!F64</f>
        <v/>
      </c>
      <c r="F56" s="3">
        <f>World!G64</f>
        <v>7727</v>
      </c>
      <c r="G56" s="1" t="str">
        <f>World!H64</f>
        <v/>
      </c>
      <c r="H56" s="1">
        <f>World!I64</f>
        <v>448</v>
      </c>
      <c r="I56" s="4">
        <f>World!J64</f>
        <v>10</v>
      </c>
    </row>
    <row r="57">
      <c r="A57" s="1" t="str">
        <f>World!B65</f>
        <v>Bolivia</v>
      </c>
      <c r="B57" s="3">
        <f>World!C65</f>
        <v>8387</v>
      </c>
      <c r="C57" s="1" t="str">
        <f>World!D65</f>
        <v>+619</v>
      </c>
      <c r="D57" s="1">
        <f>World!E65</f>
        <v>293</v>
      </c>
      <c r="E57" s="1" t="str">
        <f>World!F65</f>
        <v>+13</v>
      </c>
      <c r="F57" s="1">
        <f>World!G65</f>
        <v>738</v>
      </c>
      <c r="G57" s="1" t="str">
        <f>World!H65</f>
        <v>+49</v>
      </c>
      <c r="H57" s="3">
        <f>World!I65</f>
        <v>7356</v>
      </c>
      <c r="I57" s="4">
        <f>World!J65</f>
        <v>3</v>
      </c>
    </row>
    <row r="58">
      <c r="A58" s="1" t="str">
        <f>World!B66</f>
        <v>Armenia</v>
      </c>
      <c r="B58" s="3">
        <f>World!C66</f>
        <v>8216</v>
      </c>
      <c r="C58" s="1" t="str">
        <f>World!D66</f>
        <v/>
      </c>
      <c r="D58" s="1">
        <f>World!E66</f>
        <v>113</v>
      </c>
      <c r="E58" s="1" t="str">
        <f>World!F66</f>
        <v/>
      </c>
      <c r="F58" s="3">
        <f>World!G66</f>
        <v>3287</v>
      </c>
      <c r="G58" s="1" t="str">
        <f>World!H66</f>
        <v/>
      </c>
      <c r="H58" s="3">
        <f>World!I66</f>
        <v>4816</v>
      </c>
      <c r="I58" s="4">
        <f>World!J66</f>
        <v>10</v>
      </c>
    </row>
    <row r="59">
      <c r="A59" s="1" t="str">
        <f>World!B67</f>
        <v>Moldova</v>
      </c>
      <c r="B59" s="3">
        <f>World!C67</f>
        <v>7725</v>
      </c>
      <c r="C59" s="1" t="str">
        <f>World!D67</f>
        <v/>
      </c>
      <c r="D59" s="1">
        <f>World!E67</f>
        <v>282</v>
      </c>
      <c r="E59" s="1" t="str">
        <f>World!F67</f>
        <v/>
      </c>
      <c r="F59" s="3">
        <f>World!G67</f>
        <v>4123</v>
      </c>
      <c r="G59" s="1" t="str">
        <f>World!H67</f>
        <v/>
      </c>
      <c r="H59" s="3">
        <f>World!I67</f>
        <v>3320</v>
      </c>
      <c r="I59" s="4">
        <f>World!J67</f>
        <v>256</v>
      </c>
    </row>
    <row r="60">
      <c r="A60" s="1" t="str">
        <f>World!B68</f>
        <v>Morocco</v>
      </c>
      <c r="B60" s="3">
        <f>World!C68</f>
        <v>7643</v>
      </c>
      <c r="C60" s="1" t="str">
        <f>World!D68</f>
        <v/>
      </c>
      <c r="D60" s="1">
        <f>World!E68</f>
        <v>202</v>
      </c>
      <c r="E60" s="1" t="str">
        <f>World!F68</f>
        <v/>
      </c>
      <c r="F60" s="3">
        <f>World!G68</f>
        <v>5195</v>
      </c>
      <c r="G60" s="1" t="str">
        <f>World!H68</f>
        <v/>
      </c>
      <c r="H60" s="3">
        <f>World!I68</f>
        <v>2246</v>
      </c>
      <c r="I60" s="4">
        <f>World!J68</f>
        <v>1</v>
      </c>
    </row>
    <row r="61">
      <c r="A61" s="1" t="str">
        <f>World!B69</f>
        <v>Malaysia</v>
      </c>
      <c r="B61" s="3">
        <f>World!C69</f>
        <v>7629</v>
      </c>
      <c r="C61" s="1" t="str">
        <f>World!D69</f>
        <v/>
      </c>
      <c r="D61" s="1">
        <f>World!E69</f>
        <v>115</v>
      </c>
      <c r="E61" s="1" t="str">
        <f>World!F69</f>
        <v/>
      </c>
      <c r="F61" s="3">
        <f>World!G69</f>
        <v>6169</v>
      </c>
      <c r="G61" s="1" t="str">
        <f>World!H69</f>
        <v/>
      </c>
      <c r="H61" s="3">
        <f>World!I69</f>
        <v>1345</v>
      </c>
      <c r="I61" s="4">
        <f>World!J69</f>
        <v>8</v>
      </c>
    </row>
    <row r="62">
      <c r="A62" s="1" t="str">
        <f>World!B70</f>
        <v>Ghana</v>
      </c>
      <c r="B62" s="3">
        <f>World!C70</f>
        <v>7303</v>
      </c>
      <c r="C62" s="1" t="str">
        <f>World!D70</f>
        <v/>
      </c>
      <c r="D62" s="1">
        <f>World!E70</f>
        <v>34</v>
      </c>
      <c r="E62" s="1" t="str">
        <f>World!F70</f>
        <v/>
      </c>
      <c r="F62" s="3">
        <f>World!G70</f>
        <v>2412</v>
      </c>
      <c r="G62" s="1" t="str">
        <f>World!H70</f>
        <v/>
      </c>
      <c r="H62" s="3">
        <f>World!I70</f>
        <v>4857</v>
      </c>
      <c r="I62" s="4">
        <f>World!J70</f>
        <v>16</v>
      </c>
    </row>
    <row r="63">
      <c r="A63" s="1" t="str">
        <f>World!B71</f>
        <v>Australia</v>
      </c>
      <c r="B63" s="3">
        <f>World!C71</f>
        <v>7165</v>
      </c>
      <c r="C63" s="1" t="str">
        <f>World!D71</f>
        <v>+15</v>
      </c>
      <c r="D63" s="1">
        <f>World!E71</f>
        <v>103</v>
      </c>
      <c r="E63" s="1" t="str">
        <f>World!F71</f>
        <v/>
      </c>
      <c r="F63" s="3">
        <f>World!G71</f>
        <v>6580</v>
      </c>
      <c r="G63" s="1" t="str">
        <f>World!H71</f>
        <v/>
      </c>
      <c r="H63" s="1">
        <f>World!I71</f>
        <v>482</v>
      </c>
      <c r="I63" s="4">
        <f>World!J71</f>
        <v>5</v>
      </c>
    </row>
    <row r="64">
      <c r="A64" s="1" t="str">
        <f>World!B72</f>
        <v>Finland</v>
      </c>
      <c r="B64" s="3">
        <f>World!C72</f>
        <v>6743</v>
      </c>
      <c r="C64" s="1" t="str">
        <f>World!D72</f>
        <v/>
      </c>
      <c r="D64" s="1">
        <f>World!E72</f>
        <v>313</v>
      </c>
      <c r="E64" s="1" t="str">
        <f>World!F72</f>
        <v/>
      </c>
      <c r="F64" s="3">
        <f>World!G72</f>
        <v>5500</v>
      </c>
      <c r="G64" s="1" t="str">
        <f>World!H72</f>
        <v/>
      </c>
      <c r="H64" s="1">
        <f>World!I72</f>
        <v>930</v>
      </c>
      <c r="I64" s="4">
        <f>World!J72</f>
        <v>11</v>
      </c>
    </row>
    <row r="65">
      <c r="A65" s="1" t="str">
        <f>World!B73</f>
        <v>Iraq</v>
      </c>
      <c r="B65" s="3">
        <f>World!C73</f>
        <v>5457</v>
      </c>
      <c r="C65" s="1" t="str">
        <f>World!D73</f>
        <v/>
      </c>
      <c r="D65" s="1">
        <f>World!E73</f>
        <v>179</v>
      </c>
      <c r="E65" s="1" t="str">
        <f>World!F73</f>
        <v/>
      </c>
      <c r="F65" s="3">
        <f>World!G73</f>
        <v>2971</v>
      </c>
      <c r="G65" s="1" t="str">
        <f>World!H73</f>
        <v/>
      </c>
      <c r="H65" s="3">
        <f>World!I73</f>
        <v>2307</v>
      </c>
      <c r="I65" s="4">
        <f>World!J73</f>
        <v>41</v>
      </c>
    </row>
    <row r="66">
      <c r="A66" s="1" t="str">
        <f>World!B74</f>
        <v>Cameroon</v>
      </c>
      <c r="B66" s="3">
        <f>World!C74</f>
        <v>5436</v>
      </c>
      <c r="C66" s="1" t="str">
        <f>World!D74</f>
        <v/>
      </c>
      <c r="D66" s="1">
        <f>World!E74</f>
        <v>175</v>
      </c>
      <c r="E66" s="1" t="str">
        <f>World!F74</f>
        <v/>
      </c>
      <c r="F66" s="3">
        <f>World!G74</f>
        <v>1996</v>
      </c>
      <c r="G66" s="1" t="str">
        <f>World!H74</f>
        <v/>
      </c>
      <c r="H66" s="3">
        <f>World!I74</f>
        <v>3265</v>
      </c>
      <c r="I66" s="4">
        <f>World!J74</f>
        <v>28</v>
      </c>
    </row>
    <row r="67">
      <c r="A67" s="1" t="str">
        <f>World!B75</f>
        <v>Azerbaijan</v>
      </c>
      <c r="B67" s="3">
        <f>World!C75</f>
        <v>4759</v>
      </c>
      <c r="C67" s="1" t="str">
        <f>World!D75</f>
        <v/>
      </c>
      <c r="D67" s="1">
        <f>World!E75</f>
        <v>56</v>
      </c>
      <c r="E67" s="1" t="str">
        <f>World!F75</f>
        <v/>
      </c>
      <c r="F67" s="3">
        <f>World!G75</f>
        <v>3022</v>
      </c>
      <c r="G67" s="1" t="str">
        <f>World!H75</f>
        <v/>
      </c>
      <c r="H67" s="3">
        <f>World!I75</f>
        <v>1681</v>
      </c>
      <c r="I67" s="4">
        <f>World!J75</f>
        <v>42</v>
      </c>
    </row>
    <row r="68">
      <c r="A68" s="1" t="str">
        <f>World!B76</f>
        <v>Honduras</v>
      </c>
      <c r="B68" s="3">
        <f>World!C76</f>
        <v>4752</v>
      </c>
      <c r="C68" s="1" t="str">
        <f>World!D76</f>
        <v>+112</v>
      </c>
      <c r="D68" s="1">
        <f>World!E76</f>
        <v>196</v>
      </c>
      <c r="E68" s="1" t="str">
        <f>World!F76</f>
        <v>+2</v>
      </c>
      <c r="F68" s="1">
        <f>World!G76</f>
        <v>519</v>
      </c>
      <c r="G68" s="1" t="str">
        <f>World!H76</f>
        <v>+13</v>
      </c>
      <c r="H68" s="3">
        <f>World!I76</f>
        <v>4037</v>
      </c>
      <c r="I68" s="4">
        <f>World!J76</f>
        <v>13</v>
      </c>
    </row>
    <row r="69">
      <c r="A69" s="1" t="str">
        <f>World!B77</f>
        <v>Guatemala</v>
      </c>
      <c r="B69" s="3">
        <f>World!C77</f>
        <v>4348</v>
      </c>
      <c r="C69" s="1" t="str">
        <f>World!D77</f>
        <v>+203</v>
      </c>
      <c r="D69" s="1">
        <f>World!E77</f>
        <v>80</v>
      </c>
      <c r="E69" s="1" t="str">
        <f>World!F77</f>
        <v>+12</v>
      </c>
      <c r="F69" s="1">
        <f>World!G77</f>
        <v>565</v>
      </c>
      <c r="G69" s="1" t="str">
        <f>World!H77</f>
        <v>+72</v>
      </c>
      <c r="H69" s="3">
        <f>World!I77</f>
        <v>3703</v>
      </c>
      <c r="I69" s="4">
        <f>World!J77</f>
        <v>5</v>
      </c>
    </row>
    <row r="70">
      <c r="A70" s="1" t="str">
        <f>World!B78</f>
        <v>Sudan</v>
      </c>
      <c r="B70" s="3">
        <f>World!C78</f>
        <v>4346</v>
      </c>
      <c r="C70" s="1" t="str">
        <f>World!D78</f>
        <v/>
      </c>
      <c r="D70" s="1">
        <f>World!E78</f>
        <v>195</v>
      </c>
      <c r="E70" s="1" t="str">
        <f>World!F78</f>
        <v/>
      </c>
      <c r="F70" s="1">
        <f>World!G78</f>
        <v>749</v>
      </c>
      <c r="G70" s="1" t="str">
        <f>World!H78</f>
        <v/>
      </c>
      <c r="H70" s="3">
        <f>World!I78</f>
        <v>3402</v>
      </c>
      <c r="I70" s="4" t="str">
        <f>World!J78</f>
        <v/>
      </c>
    </row>
    <row r="71">
      <c r="A71" s="1" t="str">
        <f>World!B79</f>
        <v>Luxembourg</v>
      </c>
      <c r="B71" s="3">
        <f>World!C79</f>
        <v>4008</v>
      </c>
      <c r="C71" s="1" t="str">
        <f>World!D79</f>
        <v/>
      </c>
      <c r="D71" s="1">
        <f>World!E79</f>
        <v>110</v>
      </c>
      <c r="E71" s="1" t="str">
        <f>World!F79</f>
        <v/>
      </c>
      <c r="F71" s="3">
        <f>World!G79</f>
        <v>3803</v>
      </c>
      <c r="G71" s="1" t="str">
        <f>World!H79</f>
        <v/>
      </c>
      <c r="H71" s="1">
        <f>World!I79</f>
        <v>95</v>
      </c>
      <c r="I71" s="4">
        <f>World!J79</f>
        <v>4</v>
      </c>
    </row>
    <row r="72">
      <c r="A72" s="1" t="str">
        <f>World!B80</f>
        <v>Hungary</v>
      </c>
      <c r="B72" s="3">
        <f>World!C80</f>
        <v>3816</v>
      </c>
      <c r="C72" s="1" t="str">
        <f>World!D80</f>
        <v/>
      </c>
      <c r="D72" s="1">
        <f>World!E80</f>
        <v>509</v>
      </c>
      <c r="E72" s="1" t="str">
        <f>World!F80</f>
        <v/>
      </c>
      <c r="F72" s="3">
        <f>World!G80</f>
        <v>1996</v>
      </c>
      <c r="G72" s="1" t="str">
        <f>World!H80</f>
        <v/>
      </c>
      <c r="H72" s="3">
        <f>World!I80</f>
        <v>1311</v>
      </c>
      <c r="I72" s="4">
        <f>World!J80</f>
        <v>24</v>
      </c>
    </row>
    <row r="73">
      <c r="A73" s="1" t="str">
        <f>World!B81</f>
        <v>Tajikistan</v>
      </c>
      <c r="B73" s="3">
        <f>World!C81</f>
        <v>3563</v>
      </c>
      <c r="C73" s="1" t="str">
        <f>World!D81</f>
        <v/>
      </c>
      <c r="D73" s="1">
        <f>World!E81</f>
        <v>47</v>
      </c>
      <c r="E73" s="1" t="str">
        <f>World!F81</f>
        <v/>
      </c>
      <c r="F73" s="3">
        <f>World!G81</f>
        <v>1674</v>
      </c>
      <c r="G73" s="1" t="str">
        <f>World!H81</f>
        <v/>
      </c>
      <c r="H73" s="3">
        <f>World!I81</f>
        <v>1842</v>
      </c>
      <c r="I73" s="4" t="str">
        <f>World!J81</f>
        <v/>
      </c>
    </row>
    <row r="74">
      <c r="A74" s="1" t="str">
        <f>World!B82</f>
        <v>Guinea</v>
      </c>
      <c r="B74" s="3">
        <f>World!C82</f>
        <v>3553</v>
      </c>
      <c r="C74" s="1" t="str">
        <f>World!D82</f>
        <v/>
      </c>
      <c r="D74" s="1">
        <f>World!E82</f>
        <v>22</v>
      </c>
      <c r="E74" s="1" t="str">
        <f>World!F82</f>
        <v/>
      </c>
      <c r="F74" s="3">
        <f>World!G82</f>
        <v>1950</v>
      </c>
      <c r="G74" s="1" t="str">
        <f>World!H82</f>
        <v/>
      </c>
      <c r="H74" s="3">
        <f>World!I82</f>
        <v>1581</v>
      </c>
      <c r="I74" s="4">
        <f>World!J82</f>
        <v>24</v>
      </c>
    </row>
    <row r="75">
      <c r="A75" s="1" t="str">
        <f>World!B83</f>
        <v>Uzbekistan</v>
      </c>
      <c r="B75" s="3">
        <f>World!C83</f>
        <v>3444</v>
      </c>
      <c r="C75" s="1" t="str">
        <f>World!D83</f>
        <v/>
      </c>
      <c r="D75" s="1">
        <f>World!E83</f>
        <v>14</v>
      </c>
      <c r="E75" s="1" t="str">
        <f>World!F83</f>
        <v/>
      </c>
      <c r="F75" s="3">
        <f>World!G83</f>
        <v>2694</v>
      </c>
      <c r="G75" s="1" t="str">
        <f>World!H83</f>
        <v/>
      </c>
      <c r="H75" s="1">
        <f>World!I83</f>
        <v>736</v>
      </c>
      <c r="I75" s="4">
        <f>World!J83</f>
        <v>4</v>
      </c>
    </row>
    <row r="76">
      <c r="A76" s="1" t="str">
        <f>World!B84</f>
        <v>Senegal</v>
      </c>
      <c r="B76" s="3">
        <f>World!C84</f>
        <v>3348</v>
      </c>
      <c r="C76" s="1" t="str">
        <f>World!D84</f>
        <v/>
      </c>
      <c r="D76" s="1">
        <f>World!E84</f>
        <v>39</v>
      </c>
      <c r="E76" s="1" t="str">
        <f>World!F84</f>
        <v/>
      </c>
      <c r="F76" s="3">
        <f>World!G84</f>
        <v>1686</v>
      </c>
      <c r="G76" s="1" t="str">
        <f>World!H84</f>
        <v/>
      </c>
      <c r="H76" s="3">
        <f>World!I84</f>
        <v>1623</v>
      </c>
      <c r="I76" s="4">
        <f>World!J84</f>
        <v>18</v>
      </c>
    </row>
    <row r="77">
      <c r="A77" s="1" t="str">
        <f>World!B85</f>
        <v>Thailand</v>
      </c>
      <c r="B77" s="3">
        <f>World!C85</f>
        <v>3065</v>
      </c>
      <c r="C77" s="1" t="str">
        <f>World!D85</f>
        <v/>
      </c>
      <c r="D77" s="1">
        <f>World!E85</f>
        <v>57</v>
      </c>
      <c r="E77" s="1" t="str">
        <f>World!F85</f>
        <v/>
      </c>
      <c r="F77" s="3">
        <f>World!G85</f>
        <v>2945</v>
      </c>
      <c r="G77" s="1" t="str">
        <f>World!H85</f>
        <v/>
      </c>
      <c r="H77" s="1">
        <f>World!I85</f>
        <v>63</v>
      </c>
      <c r="I77" s="4">
        <f>World!J85</f>
        <v>59</v>
      </c>
    </row>
    <row r="78">
      <c r="A78" s="1" t="str">
        <f>World!B86</f>
        <v>Djibouti</v>
      </c>
      <c r="B78" s="3">
        <f>World!C86</f>
        <v>2914</v>
      </c>
      <c r="C78" s="1" t="str">
        <f>World!D86</f>
        <v/>
      </c>
      <c r="D78" s="1">
        <f>World!E86</f>
        <v>20</v>
      </c>
      <c r="E78" s="1" t="str">
        <f>World!F86</f>
        <v/>
      </c>
      <c r="F78" s="3">
        <f>World!G86</f>
        <v>1241</v>
      </c>
      <c r="G78" s="1" t="str">
        <f>World!H86</f>
        <v/>
      </c>
      <c r="H78" s="3">
        <f>World!I86</f>
        <v>1653</v>
      </c>
      <c r="I78" s="4" t="str">
        <f>World!J86</f>
        <v/>
      </c>
    </row>
    <row r="79">
      <c r="A79" s="1" t="str">
        <f>World!B87</f>
        <v>Greece</v>
      </c>
      <c r="B79" s="3">
        <f>World!C87</f>
        <v>2906</v>
      </c>
      <c r="C79" s="1" t="str">
        <f>World!D87</f>
        <v/>
      </c>
      <c r="D79" s="1">
        <f>World!E87</f>
        <v>175</v>
      </c>
      <c r="E79" s="1" t="str">
        <f>World!F87</f>
        <v/>
      </c>
      <c r="F79" s="3">
        <f>World!G87</f>
        <v>1374</v>
      </c>
      <c r="G79" s="1" t="str">
        <f>World!H87</f>
        <v/>
      </c>
      <c r="H79" s="3">
        <f>World!I87</f>
        <v>1357</v>
      </c>
      <c r="I79" s="4">
        <f>World!J87</f>
        <v>16</v>
      </c>
    </row>
    <row r="80">
      <c r="A80" s="1" t="str">
        <f>World!B88</f>
        <v>DRC</v>
      </c>
      <c r="B80" s="3">
        <f>World!C88</f>
        <v>2660</v>
      </c>
      <c r="C80" s="1" t="str">
        <f>World!D88</f>
        <v/>
      </c>
      <c r="D80" s="1">
        <f>World!E88</f>
        <v>69</v>
      </c>
      <c r="E80" s="1" t="str">
        <f>World!F88</f>
        <v/>
      </c>
      <c r="F80" s="1">
        <f>World!G88</f>
        <v>381</v>
      </c>
      <c r="G80" s="1" t="str">
        <f>World!H88</f>
        <v/>
      </c>
      <c r="H80" s="3">
        <f>World!I88</f>
        <v>2210</v>
      </c>
      <c r="I80" s="4" t="str">
        <f>World!J88</f>
        <v/>
      </c>
    </row>
    <row r="81">
      <c r="A81" s="1" t="str">
        <f>World!B89</f>
        <v>Ivory Coast</v>
      </c>
      <c r="B81" s="3">
        <f>World!C89</f>
        <v>2641</v>
      </c>
      <c r="C81" s="1" t="str">
        <f>World!D89</f>
        <v/>
      </c>
      <c r="D81" s="1">
        <f>World!E89</f>
        <v>32</v>
      </c>
      <c r="E81" s="1" t="str">
        <f>World!F89</f>
        <v/>
      </c>
      <c r="F81" s="3">
        <f>World!G89</f>
        <v>1326</v>
      </c>
      <c r="G81" s="1" t="str">
        <f>World!H89</f>
        <v/>
      </c>
      <c r="H81" s="3">
        <f>World!I89</f>
        <v>1283</v>
      </c>
      <c r="I81" s="4" t="str">
        <f>World!J89</f>
        <v/>
      </c>
    </row>
    <row r="82">
      <c r="A82" s="1" t="str">
        <f>World!B90</f>
        <v>Bulgaria</v>
      </c>
      <c r="B82" s="3">
        <f>World!C90</f>
        <v>2477</v>
      </c>
      <c r="C82" s="1" t="str">
        <f>World!D90</f>
        <v/>
      </c>
      <c r="D82" s="1">
        <f>World!E90</f>
        <v>134</v>
      </c>
      <c r="E82" s="1" t="str">
        <f>World!F90</f>
        <v/>
      </c>
      <c r="F82" s="1">
        <f>World!G90</f>
        <v>965</v>
      </c>
      <c r="G82" s="1" t="str">
        <f>World!H90</f>
        <v/>
      </c>
      <c r="H82" s="3">
        <f>World!I90</f>
        <v>1378</v>
      </c>
      <c r="I82" s="4">
        <f>World!J90</f>
        <v>22</v>
      </c>
    </row>
    <row r="83">
      <c r="A83" s="1" t="str">
        <f>World!B91</f>
        <v>Bosnia and Herzegovina</v>
      </c>
      <c r="B83" s="3">
        <f>World!C91</f>
        <v>2462</v>
      </c>
      <c r="C83" s="1" t="str">
        <f>World!D91</f>
        <v/>
      </c>
      <c r="D83" s="1">
        <f>World!E91</f>
        <v>153</v>
      </c>
      <c r="E83" s="1" t="str">
        <f>World!F91</f>
        <v/>
      </c>
      <c r="F83" s="3">
        <f>World!G91</f>
        <v>1781</v>
      </c>
      <c r="G83" s="1" t="str">
        <f>World!H91</f>
        <v/>
      </c>
      <c r="H83" s="1">
        <f>World!I91</f>
        <v>528</v>
      </c>
      <c r="I83" s="4">
        <f>World!J91</f>
        <v>4</v>
      </c>
    </row>
    <row r="84">
      <c r="A84" s="1" t="str">
        <f>World!B92</f>
        <v>Gabon</v>
      </c>
      <c r="B84" s="3">
        <f>World!C92</f>
        <v>2431</v>
      </c>
      <c r="C84" s="1" t="str">
        <f>World!D92</f>
        <v/>
      </c>
      <c r="D84" s="1">
        <f>World!E92</f>
        <v>14</v>
      </c>
      <c r="E84" s="1" t="str">
        <f>World!F92</f>
        <v/>
      </c>
      <c r="F84" s="1">
        <f>World!G92</f>
        <v>668</v>
      </c>
      <c r="G84" s="1" t="str">
        <f>World!H92</f>
        <v/>
      </c>
      <c r="H84" s="3">
        <f>World!I92</f>
        <v>1749</v>
      </c>
      <c r="I84" s="4">
        <f>World!J92</f>
        <v>15</v>
      </c>
    </row>
    <row r="85">
      <c r="A85" s="1" t="str">
        <f>World!B93</f>
        <v>Croatia</v>
      </c>
      <c r="B85" s="3">
        <f>World!C93</f>
        <v>2245</v>
      </c>
      <c r="C85" s="1" t="str">
        <f>World!D93</f>
        <v/>
      </c>
      <c r="D85" s="1">
        <f>World!E93</f>
        <v>102</v>
      </c>
      <c r="E85" s="1" t="str">
        <f>World!F93</f>
        <v/>
      </c>
      <c r="F85" s="3">
        <f>World!G93</f>
        <v>2051</v>
      </c>
      <c r="G85" s="1" t="str">
        <f>World!H93</f>
        <v/>
      </c>
      <c r="H85" s="1">
        <f>World!I93</f>
        <v>92</v>
      </c>
      <c r="I85" s="4">
        <f>World!J93</f>
        <v>5</v>
      </c>
    </row>
    <row r="86">
      <c r="A86" s="1" t="str">
        <f>World!B94</f>
        <v>El Salvador</v>
      </c>
      <c r="B86" s="3">
        <f>World!C94</f>
        <v>2194</v>
      </c>
      <c r="C86" s="1" t="str">
        <f>World!D94</f>
        <v/>
      </c>
      <c r="D86" s="1">
        <f>World!E94</f>
        <v>39</v>
      </c>
      <c r="E86" s="1" t="str">
        <f>World!F94</f>
        <v/>
      </c>
      <c r="F86" s="3">
        <f>World!G94</f>
        <v>1015</v>
      </c>
      <c r="G86" s="1" t="str">
        <f>World!H94</f>
        <v>+13</v>
      </c>
      <c r="H86" s="3">
        <f>World!I94</f>
        <v>1140</v>
      </c>
      <c r="I86" s="4">
        <f>World!J94</f>
        <v>32</v>
      </c>
    </row>
    <row r="87">
      <c r="A87" s="1" t="str">
        <f>World!B95</f>
        <v>North Macedonia</v>
      </c>
      <c r="B87" s="3">
        <f>World!C95</f>
        <v>2077</v>
      </c>
      <c r="C87" s="1" t="str">
        <f>World!D95</f>
        <v/>
      </c>
      <c r="D87" s="1">
        <f>World!E95</f>
        <v>121</v>
      </c>
      <c r="E87" s="1" t="str">
        <f>World!F95</f>
        <v/>
      </c>
      <c r="F87" s="3">
        <f>World!G95</f>
        <v>1486</v>
      </c>
      <c r="G87" s="1" t="str">
        <f>World!H95</f>
        <v/>
      </c>
      <c r="H87" s="1">
        <f>World!I95</f>
        <v>470</v>
      </c>
      <c r="I87" s="4">
        <f>World!J95</f>
        <v>21</v>
      </c>
    </row>
    <row r="88">
      <c r="A88" s="1" t="str">
        <f>World!B96</f>
        <v>Cuba</v>
      </c>
      <c r="B88" s="3">
        <f>World!C96</f>
        <v>1983</v>
      </c>
      <c r="C88" s="1" t="str">
        <f>World!D96</f>
        <v/>
      </c>
      <c r="D88" s="1">
        <f>World!E96</f>
        <v>82</v>
      </c>
      <c r="E88" s="1" t="str">
        <f>World!F96</f>
        <v/>
      </c>
      <c r="F88" s="3">
        <f>World!G96</f>
        <v>1734</v>
      </c>
      <c r="G88" s="1" t="str">
        <f>World!H96</f>
        <v/>
      </c>
      <c r="H88" s="1">
        <f>World!I96</f>
        <v>167</v>
      </c>
      <c r="I88" s="4">
        <f>World!J96</f>
        <v>2</v>
      </c>
    </row>
    <row r="89">
      <c r="A89" s="1" t="str">
        <f>World!B97</f>
        <v>Estonia</v>
      </c>
      <c r="B89" s="3">
        <f>World!C97</f>
        <v>1851</v>
      </c>
      <c r="C89" s="1" t="str">
        <f>World!D97</f>
        <v/>
      </c>
      <c r="D89" s="1">
        <f>World!E97</f>
        <v>66</v>
      </c>
      <c r="E89" s="1" t="str">
        <f>World!F97</f>
        <v/>
      </c>
      <c r="F89" s="3">
        <f>World!G97</f>
        <v>1574</v>
      </c>
      <c r="G89" s="1" t="str">
        <f>World!H97</f>
        <v/>
      </c>
      <c r="H89" s="1">
        <f>World!I97</f>
        <v>211</v>
      </c>
      <c r="I89" s="4" t="str">
        <f>World!J97</f>
        <v/>
      </c>
    </row>
    <row r="90">
      <c r="A90" s="1" t="str">
        <f>World!B98</f>
        <v>Somalia</v>
      </c>
      <c r="B90" s="3">
        <f>World!C98</f>
        <v>1828</v>
      </c>
      <c r="C90" s="1" t="str">
        <f>World!D98</f>
        <v/>
      </c>
      <c r="D90" s="1">
        <f>World!E98</f>
        <v>72</v>
      </c>
      <c r="E90" s="1" t="str">
        <f>World!F98</f>
        <v/>
      </c>
      <c r="F90" s="1">
        <f>World!G98</f>
        <v>310</v>
      </c>
      <c r="G90" s="1" t="str">
        <f>World!H98</f>
        <v/>
      </c>
      <c r="H90" s="3">
        <f>World!I98</f>
        <v>1446</v>
      </c>
      <c r="I90" s="4">
        <f>World!J98</f>
        <v>2</v>
      </c>
    </row>
    <row r="91">
      <c r="A91" s="1" t="str">
        <f>World!B99</f>
        <v>Iceland</v>
      </c>
      <c r="B91" s="3">
        <f>World!C99</f>
        <v>1805</v>
      </c>
      <c r="C91" s="1" t="str">
        <f>World!D99</f>
        <v/>
      </c>
      <c r="D91" s="1">
        <f>World!E99</f>
        <v>10</v>
      </c>
      <c r="E91" s="1" t="str">
        <f>World!F99</f>
        <v/>
      </c>
      <c r="F91" s="3">
        <f>World!G99</f>
        <v>1792</v>
      </c>
      <c r="G91" s="1" t="str">
        <f>World!H99</f>
        <v/>
      </c>
      <c r="H91" s="1">
        <f>World!I99</f>
        <v>3</v>
      </c>
      <c r="I91" s="4" t="str">
        <f>World!J99</f>
        <v/>
      </c>
    </row>
    <row r="92">
      <c r="A92" s="1" t="str">
        <f>World!B100</f>
        <v>Mayotte</v>
      </c>
      <c r="B92" s="3">
        <f>World!C100</f>
        <v>1670</v>
      </c>
      <c r="C92" s="1" t="str">
        <f>World!D100</f>
        <v/>
      </c>
      <c r="D92" s="1">
        <f>World!E100</f>
        <v>21</v>
      </c>
      <c r="E92" s="1" t="str">
        <f>World!F100</f>
        <v/>
      </c>
      <c r="F92" s="3">
        <f>World!G100</f>
        <v>1315</v>
      </c>
      <c r="G92" s="1" t="str">
        <f>World!H100</f>
        <v/>
      </c>
      <c r="H92" s="1">
        <f>World!I100</f>
        <v>334</v>
      </c>
      <c r="I92" s="4">
        <f>World!J100</f>
        <v>10</v>
      </c>
    </row>
    <row r="93">
      <c r="A93" s="1" t="str">
        <f>World!B101</f>
        <v>Lithuania</v>
      </c>
      <c r="B93" s="3">
        <f>World!C101</f>
        <v>1656</v>
      </c>
      <c r="C93" s="1" t="str">
        <f>World!D101</f>
        <v/>
      </c>
      <c r="D93" s="1">
        <f>World!E101</f>
        <v>68</v>
      </c>
      <c r="E93" s="1" t="str">
        <f>World!F101</f>
        <v/>
      </c>
      <c r="F93" s="3">
        <f>World!G101</f>
        <v>1193</v>
      </c>
      <c r="G93" s="1" t="str">
        <f>World!H101</f>
        <v/>
      </c>
      <c r="H93" s="1">
        <f>World!I101</f>
        <v>395</v>
      </c>
      <c r="I93" s="4">
        <f>World!J101</f>
        <v>17</v>
      </c>
    </row>
    <row r="94">
      <c r="A94" s="1" t="str">
        <f>World!B102</f>
        <v>Kenya</v>
      </c>
      <c r="B94" s="3">
        <f>World!C102</f>
        <v>1618</v>
      </c>
      <c r="C94" s="1" t="str">
        <f>World!D102</f>
        <v/>
      </c>
      <c r="D94" s="1">
        <f>World!E102</f>
        <v>58</v>
      </c>
      <c r="E94" s="1" t="str">
        <f>World!F102</f>
        <v/>
      </c>
      <c r="F94" s="1">
        <f>World!G102</f>
        <v>421</v>
      </c>
      <c r="G94" s="1" t="str">
        <f>World!H102</f>
        <v/>
      </c>
      <c r="H94" s="3">
        <f>World!I102</f>
        <v>1139</v>
      </c>
      <c r="I94" s="4">
        <f>World!J102</f>
        <v>7</v>
      </c>
    </row>
    <row r="95">
      <c r="A95" s="1" t="str">
        <f>World!B103</f>
        <v>Kyrgyzstan</v>
      </c>
      <c r="B95" s="3">
        <f>World!C103</f>
        <v>1594</v>
      </c>
      <c r="C95" s="1" t="str">
        <f>World!D103</f>
        <v/>
      </c>
      <c r="D95" s="1">
        <f>World!E103</f>
        <v>16</v>
      </c>
      <c r="E95" s="1" t="str">
        <f>World!F103</f>
        <v/>
      </c>
      <c r="F95" s="3">
        <f>World!G103</f>
        <v>1066</v>
      </c>
      <c r="G95" s="1" t="str">
        <f>World!H103</f>
        <v/>
      </c>
      <c r="H95" s="1">
        <f>World!I103</f>
        <v>512</v>
      </c>
      <c r="I95" s="4">
        <f>World!J103</f>
        <v>4</v>
      </c>
    </row>
    <row r="96">
      <c r="A96" s="1" t="str">
        <f>World!B104</f>
        <v>Sri Lanka</v>
      </c>
      <c r="B96" s="3">
        <f>World!C104</f>
        <v>1530</v>
      </c>
      <c r="C96" s="1" t="str">
        <f>World!D104</f>
        <v/>
      </c>
      <c r="D96" s="1">
        <f>World!E104</f>
        <v>10</v>
      </c>
      <c r="E96" s="1" t="str">
        <f>World!F104</f>
        <v/>
      </c>
      <c r="F96" s="1">
        <f>World!G104</f>
        <v>745</v>
      </c>
      <c r="G96" s="1" t="str">
        <f>World!H104</f>
        <v/>
      </c>
      <c r="H96" s="1">
        <f>World!I104</f>
        <v>775</v>
      </c>
      <c r="I96" s="4">
        <f>World!J104</f>
        <v>1</v>
      </c>
    </row>
    <row r="97">
      <c r="A97" s="1" t="str">
        <f>World!B105</f>
        <v>Slovakia</v>
      </c>
      <c r="B97" s="3">
        <f>World!C105</f>
        <v>1520</v>
      </c>
      <c r="C97" s="1" t="str">
        <f>World!D105</f>
        <v/>
      </c>
      <c r="D97" s="1">
        <f>World!E105</f>
        <v>28</v>
      </c>
      <c r="E97" s="1" t="str">
        <f>World!F105</f>
        <v/>
      </c>
      <c r="F97" s="3">
        <f>World!G105</f>
        <v>1332</v>
      </c>
      <c r="G97" s="1" t="str">
        <f>World!H105</f>
        <v/>
      </c>
      <c r="H97" s="1">
        <f>World!I105</f>
        <v>160</v>
      </c>
      <c r="I97" s="4" t="str">
        <f>World!J105</f>
        <v/>
      </c>
    </row>
    <row r="98">
      <c r="A98" s="1" t="str">
        <f>World!B106</f>
        <v>Maldives</v>
      </c>
      <c r="B98" s="3">
        <f>World!C106</f>
        <v>1513</v>
      </c>
      <c r="C98" s="1" t="str">
        <f>World!D106</f>
        <v/>
      </c>
      <c r="D98" s="1">
        <f>World!E106</f>
        <v>5</v>
      </c>
      <c r="E98" s="1" t="str">
        <f>World!F106</f>
        <v/>
      </c>
      <c r="F98" s="1">
        <f>World!G106</f>
        <v>197</v>
      </c>
      <c r="G98" s="1" t="str">
        <f>World!H106</f>
        <v/>
      </c>
      <c r="H98" s="3">
        <f>World!I106</f>
        <v>1311</v>
      </c>
      <c r="I98" s="4">
        <f>World!J106</f>
        <v>9</v>
      </c>
    </row>
    <row r="99">
      <c r="A99" s="1" t="str">
        <f>World!B107</f>
        <v>New Zealand</v>
      </c>
      <c r="B99" s="3">
        <f>World!C107</f>
        <v>1504</v>
      </c>
      <c r="C99" s="1" t="str">
        <f>World!D107</f>
        <v/>
      </c>
      <c r="D99" s="1">
        <f>World!E107</f>
        <v>22</v>
      </c>
      <c r="E99" s="1" t="str">
        <f>World!F107</f>
        <v/>
      </c>
      <c r="F99" s="3">
        <f>World!G107</f>
        <v>1481</v>
      </c>
      <c r="G99" s="1" t="str">
        <f>World!H107</f>
        <v>+7</v>
      </c>
      <c r="H99" s="1">
        <f>World!I107</f>
        <v>1</v>
      </c>
      <c r="I99" s="4" t="str">
        <f>World!J107</f>
        <v/>
      </c>
    </row>
    <row r="100">
      <c r="A100" s="1" t="str">
        <f>World!B108</f>
        <v>Slovenia</v>
      </c>
      <c r="B100" s="3">
        <f>World!C108</f>
        <v>1473</v>
      </c>
      <c r="C100" s="1" t="str">
        <f>World!D108</f>
        <v/>
      </c>
      <c r="D100" s="1">
        <f>World!E108</f>
        <v>108</v>
      </c>
      <c r="E100" s="1" t="str">
        <f>World!F108</f>
        <v/>
      </c>
      <c r="F100" s="3">
        <f>World!G108</f>
        <v>1356</v>
      </c>
      <c r="G100" s="1" t="str">
        <f>World!H108</f>
        <v/>
      </c>
      <c r="H100" s="1">
        <f>World!I108</f>
        <v>9</v>
      </c>
      <c r="I100" s="4">
        <f>World!J108</f>
        <v>2</v>
      </c>
    </row>
    <row r="101">
      <c r="A101" s="1" t="str">
        <f>World!B109</f>
        <v>Haiti</v>
      </c>
      <c r="B101" s="3">
        <f>World!C109</f>
        <v>1443</v>
      </c>
      <c r="C101" s="1" t="str">
        <f>World!D109</f>
        <v>+123</v>
      </c>
      <c r="D101" s="1">
        <f>World!E109</f>
        <v>35</v>
      </c>
      <c r="E101" s="1" t="str">
        <f>World!F109</f>
        <v>+1</v>
      </c>
      <c r="F101" s="1">
        <f>World!G109</f>
        <v>22</v>
      </c>
      <c r="G101" s="1" t="str">
        <f>World!H109</f>
        <v/>
      </c>
      <c r="H101" s="3">
        <f>World!I109</f>
        <v>1386</v>
      </c>
      <c r="I101" s="4" t="str">
        <f>World!J109</f>
        <v/>
      </c>
    </row>
    <row r="102">
      <c r="A102" s="1" t="str">
        <f>World!B110</f>
        <v>Venezuela</v>
      </c>
      <c r="B102" s="3">
        <f>World!C110</f>
        <v>1325</v>
      </c>
      <c r="C102" s="1" t="str">
        <f>World!D110</f>
        <v/>
      </c>
      <c r="D102" s="1">
        <f>World!E110</f>
        <v>11</v>
      </c>
      <c r="E102" s="1" t="str">
        <f>World!F110</f>
        <v/>
      </c>
      <c r="F102" s="1">
        <f>World!G110</f>
        <v>302</v>
      </c>
      <c r="G102" s="1" t="str">
        <f>World!H110</f>
        <v/>
      </c>
      <c r="H102" s="3">
        <f>World!I110</f>
        <v>1012</v>
      </c>
      <c r="I102" s="4">
        <f>World!J110</f>
        <v>4</v>
      </c>
    </row>
    <row r="103">
      <c r="A103" s="1" t="str">
        <f>World!B111</f>
        <v>Guinea-Bissau</v>
      </c>
      <c r="B103" s="3">
        <f>World!C111</f>
        <v>1195</v>
      </c>
      <c r="C103" s="1" t="str">
        <f>World!D111</f>
        <v/>
      </c>
      <c r="D103" s="1">
        <f>World!E111</f>
        <v>8</v>
      </c>
      <c r="E103" s="1" t="str">
        <f>World!F111</f>
        <v/>
      </c>
      <c r="F103" s="1">
        <f>World!G111</f>
        <v>42</v>
      </c>
      <c r="G103" s="1" t="str">
        <f>World!H111</f>
        <v/>
      </c>
      <c r="H103" s="3">
        <f>World!I111</f>
        <v>1145</v>
      </c>
      <c r="I103" s="4" t="str">
        <f>World!J111</f>
        <v/>
      </c>
    </row>
    <row r="104">
      <c r="A104" s="1" t="str">
        <f>World!B112</f>
        <v>Mali</v>
      </c>
      <c r="B104" s="3">
        <f>World!C112</f>
        <v>1194</v>
      </c>
      <c r="C104" s="1" t="str">
        <f>World!D112</f>
        <v/>
      </c>
      <c r="D104" s="1">
        <f>World!E112</f>
        <v>72</v>
      </c>
      <c r="E104" s="1" t="str">
        <f>World!F112</f>
        <v/>
      </c>
      <c r="F104" s="1">
        <f>World!G112</f>
        <v>652</v>
      </c>
      <c r="G104" s="1" t="str">
        <f>World!H112</f>
        <v/>
      </c>
      <c r="H104" s="1">
        <f>World!I112</f>
        <v>470</v>
      </c>
      <c r="I104" s="4" t="str">
        <f>World!J112</f>
        <v/>
      </c>
    </row>
    <row r="105">
      <c r="A105" s="1" t="str">
        <f>World!B113</f>
        <v>Lebanon</v>
      </c>
      <c r="B105" s="3">
        <f>World!C113</f>
        <v>1168</v>
      </c>
      <c r="C105" s="1" t="str">
        <f>World!D113</f>
        <v/>
      </c>
      <c r="D105" s="1">
        <f>World!E113</f>
        <v>26</v>
      </c>
      <c r="E105" s="1" t="str">
        <f>World!F113</f>
        <v/>
      </c>
      <c r="F105" s="1">
        <f>World!G113</f>
        <v>699</v>
      </c>
      <c r="G105" s="1" t="str">
        <f>World!H113</f>
        <v/>
      </c>
      <c r="H105" s="1">
        <f>World!I113</f>
        <v>443</v>
      </c>
      <c r="I105" s="4">
        <f>World!J113</f>
        <v>7</v>
      </c>
    </row>
    <row r="106">
      <c r="A106" s="1" t="str">
        <f>World!B114</f>
        <v>Albania</v>
      </c>
      <c r="B106" s="3">
        <f>World!C114</f>
        <v>1076</v>
      </c>
      <c r="C106" s="1" t="str">
        <f>World!D114</f>
        <v/>
      </c>
      <c r="D106" s="1">
        <f>World!E114</f>
        <v>33</v>
      </c>
      <c r="E106" s="1" t="str">
        <f>World!F114</f>
        <v/>
      </c>
      <c r="F106" s="1">
        <f>World!G114</f>
        <v>823</v>
      </c>
      <c r="G106" s="1" t="str">
        <f>World!H114</f>
        <v/>
      </c>
      <c r="H106" s="1">
        <f>World!I114</f>
        <v>220</v>
      </c>
      <c r="I106" s="4">
        <f>World!J114</f>
        <v>3</v>
      </c>
    </row>
    <row r="107">
      <c r="A107" s="1" t="str">
        <f>World!B115</f>
        <v>Tunisia</v>
      </c>
      <c r="B107" s="3">
        <f>World!C115</f>
        <v>1068</v>
      </c>
      <c r="C107" s="1" t="str">
        <f>World!D115</f>
        <v/>
      </c>
      <c r="D107" s="1">
        <f>World!E115</f>
        <v>48</v>
      </c>
      <c r="E107" s="1" t="str">
        <f>World!F115</f>
        <v/>
      </c>
      <c r="F107" s="1">
        <f>World!G115</f>
        <v>938</v>
      </c>
      <c r="G107" s="1" t="str">
        <f>World!H115</f>
        <v/>
      </c>
      <c r="H107" s="1">
        <f>World!I115</f>
        <v>82</v>
      </c>
      <c r="I107" s="4">
        <f>World!J115</f>
        <v>2</v>
      </c>
    </row>
    <row r="108">
      <c r="A108" s="1" t="str">
        <f>World!B116</f>
        <v>Hong Kong</v>
      </c>
      <c r="B108" s="3">
        <f>World!C116</f>
        <v>1067</v>
      </c>
      <c r="C108" s="1" t="str">
        <f>World!D116</f>
        <v/>
      </c>
      <c r="D108" s="1">
        <f>World!E116</f>
        <v>4</v>
      </c>
      <c r="E108" s="1" t="str">
        <f>World!F116</f>
        <v/>
      </c>
      <c r="F108" s="3">
        <f>World!G116</f>
        <v>1035</v>
      </c>
      <c r="G108" s="1" t="str">
        <f>World!H116</f>
        <v/>
      </c>
      <c r="H108" s="1">
        <f>World!I116</f>
        <v>28</v>
      </c>
      <c r="I108" s="4">
        <f>World!J116</f>
        <v>1</v>
      </c>
    </row>
    <row r="109">
      <c r="A109" s="1" t="str">
        <f>World!B117</f>
        <v>Latvia</v>
      </c>
      <c r="B109" s="3">
        <f>World!C117</f>
        <v>1061</v>
      </c>
      <c r="C109" s="1" t="str">
        <f>World!D117</f>
        <v/>
      </c>
      <c r="D109" s="1">
        <f>World!E117</f>
        <v>24</v>
      </c>
      <c r="E109" s="1" t="str">
        <f>World!F117</f>
        <v/>
      </c>
      <c r="F109" s="1">
        <f>World!G117</f>
        <v>741</v>
      </c>
      <c r="G109" s="1" t="str">
        <f>World!H117</f>
        <v/>
      </c>
      <c r="H109" s="1">
        <f>World!I117</f>
        <v>296</v>
      </c>
      <c r="I109" s="4">
        <f>World!J117</f>
        <v>3</v>
      </c>
    </row>
    <row r="110">
      <c r="A110" s="1" t="str">
        <f>World!B118</f>
        <v>Zambia</v>
      </c>
      <c r="B110" s="3">
        <f>World!C118</f>
        <v>1057</v>
      </c>
      <c r="C110" s="1" t="str">
        <f>World!D118</f>
        <v/>
      </c>
      <c r="D110" s="1">
        <f>World!E118</f>
        <v>7</v>
      </c>
      <c r="E110" s="1" t="str">
        <f>World!F118</f>
        <v/>
      </c>
      <c r="F110" s="1">
        <f>World!G118</f>
        <v>779</v>
      </c>
      <c r="G110" s="1" t="str">
        <f>World!H118</f>
        <v/>
      </c>
      <c r="H110" s="1">
        <f>World!I118</f>
        <v>271</v>
      </c>
      <c r="I110" s="4">
        <f>World!J118</f>
        <v>1</v>
      </c>
    </row>
    <row r="111">
      <c r="A111" s="1" t="str">
        <f>World!B119</f>
        <v>Equatorial Guinea</v>
      </c>
      <c r="B111" s="3">
        <f>World!C119</f>
        <v>1043</v>
      </c>
      <c r="C111" s="1" t="str">
        <f>World!D119</f>
        <v/>
      </c>
      <c r="D111" s="1">
        <f>World!E119</f>
        <v>12</v>
      </c>
      <c r="E111" s="1" t="str">
        <f>World!F119</f>
        <v/>
      </c>
      <c r="F111" s="1">
        <f>World!G119</f>
        <v>165</v>
      </c>
      <c r="G111" s="1" t="str">
        <f>World!H119</f>
        <v/>
      </c>
      <c r="H111" s="1">
        <f>World!I119</f>
        <v>866</v>
      </c>
      <c r="I111" s="4" t="str">
        <f>World!J119</f>
        <v/>
      </c>
    </row>
    <row r="112">
      <c r="A112" s="1" t="str">
        <f>World!B120</f>
        <v>Nepal</v>
      </c>
      <c r="B112" s="3">
        <f>World!C120</f>
        <v>1042</v>
      </c>
      <c r="C112" s="1" t="str">
        <f>World!D120</f>
        <v/>
      </c>
      <c r="D112" s="1">
        <f>World!E120</f>
        <v>5</v>
      </c>
      <c r="E112" s="1" t="str">
        <f>World!F120</f>
        <v/>
      </c>
      <c r="F112" s="1">
        <f>World!G120</f>
        <v>187</v>
      </c>
      <c r="G112" s="1" t="str">
        <f>World!H120</f>
        <v/>
      </c>
      <c r="H112" s="1">
        <f>World!I120</f>
        <v>850</v>
      </c>
      <c r="I112" s="4" t="str">
        <f>World!J120</f>
        <v/>
      </c>
    </row>
    <row r="113">
      <c r="A113" s="1" t="str">
        <f>World!B121</f>
        <v>Costa Rica</v>
      </c>
      <c r="B113" s="3">
        <f>World!C121</f>
        <v>1000</v>
      </c>
      <c r="C113" s="1" t="str">
        <f>World!D121</f>
        <v/>
      </c>
      <c r="D113" s="1">
        <f>World!E121</f>
        <v>10</v>
      </c>
      <c r="E113" s="1" t="str">
        <f>World!F121</f>
        <v/>
      </c>
      <c r="F113" s="1">
        <f>World!G121</f>
        <v>646</v>
      </c>
      <c r="G113" s="1" t="str">
        <f>World!H121</f>
        <v/>
      </c>
      <c r="H113" s="1">
        <f>World!I121</f>
        <v>344</v>
      </c>
      <c r="I113" s="4">
        <f>World!J121</f>
        <v>2</v>
      </c>
    </row>
    <row r="114">
      <c r="A114" s="1" t="str">
        <f>World!B122</f>
        <v>South Sudan</v>
      </c>
      <c r="B114" s="1">
        <f>World!C122</f>
        <v>994</v>
      </c>
      <c r="C114" s="1" t="str">
        <f>World!D122</f>
        <v/>
      </c>
      <c r="D114" s="1">
        <f>World!E122</f>
        <v>10</v>
      </c>
      <c r="E114" s="1" t="str">
        <f>World!F122</f>
        <v/>
      </c>
      <c r="F114" s="1">
        <f>World!G122</f>
        <v>6</v>
      </c>
      <c r="G114" s="1" t="str">
        <f>World!H122</f>
        <v/>
      </c>
      <c r="H114" s="1">
        <f>World!I122</f>
        <v>978</v>
      </c>
      <c r="I114" s="4" t="str">
        <f>World!J122</f>
        <v/>
      </c>
    </row>
    <row r="115">
      <c r="A115" s="1" t="str">
        <f>World!B123</f>
        <v>Niger</v>
      </c>
      <c r="B115" s="1">
        <f>World!C123</f>
        <v>955</v>
      </c>
      <c r="C115" s="1" t="str">
        <f>World!D123</f>
        <v/>
      </c>
      <c r="D115" s="1">
        <f>World!E123</f>
        <v>64</v>
      </c>
      <c r="E115" s="1" t="str">
        <f>World!F123</f>
        <v/>
      </c>
      <c r="F115" s="1">
        <f>World!G123</f>
        <v>803</v>
      </c>
      <c r="G115" s="1" t="str">
        <f>World!H123</f>
        <v/>
      </c>
      <c r="H115" s="1">
        <f>World!I123</f>
        <v>88</v>
      </c>
      <c r="I115" s="4" t="str">
        <f>World!J123</f>
        <v/>
      </c>
    </row>
    <row r="116">
      <c r="A116" s="1" t="str">
        <f>World!B124</f>
        <v>Cyprus</v>
      </c>
      <c r="B116" s="1">
        <f>World!C124</f>
        <v>941</v>
      </c>
      <c r="C116" s="1" t="str">
        <f>World!D124</f>
        <v/>
      </c>
      <c r="D116" s="1">
        <f>World!E124</f>
        <v>17</v>
      </c>
      <c r="E116" s="1" t="str">
        <f>World!F124</f>
        <v/>
      </c>
      <c r="F116" s="1">
        <f>World!G124</f>
        <v>784</v>
      </c>
      <c r="G116" s="1" t="str">
        <f>World!H124</f>
        <v/>
      </c>
      <c r="H116" s="1">
        <f>World!I124</f>
        <v>140</v>
      </c>
      <c r="I116" s="4">
        <f>World!J124</f>
        <v>4</v>
      </c>
    </row>
    <row r="117">
      <c r="A117" s="1" t="str">
        <f>World!B125</f>
        <v>Paraguay</v>
      </c>
      <c r="B117" s="1">
        <f>World!C125</f>
        <v>900</v>
      </c>
      <c r="C117" s="1" t="str">
        <f>World!D125</f>
        <v/>
      </c>
      <c r="D117" s="1">
        <f>World!E125</f>
        <v>11</v>
      </c>
      <c r="E117" s="1" t="str">
        <f>World!F125</f>
        <v/>
      </c>
      <c r="F117" s="1">
        <f>World!G125</f>
        <v>402</v>
      </c>
      <c r="G117" s="1" t="str">
        <f>World!H125</f>
        <v/>
      </c>
      <c r="H117" s="1">
        <f>World!I125</f>
        <v>487</v>
      </c>
      <c r="I117" s="4">
        <f>World!J125</f>
        <v>1</v>
      </c>
    </row>
    <row r="118">
      <c r="A118" s="1" t="str">
        <f>World!B126</f>
        <v>Burkina Faso</v>
      </c>
      <c r="B118" s="1">
        <f>World!C126</f>
        <v>847</v>
      </c>
      <c r="C118" s="1" t="str">
        <f>World!D126</f>
        <v/>
      </c>
      <c r="D118" s="1">
        <f>World!E126</f>
        <v>53</v>
      </c>
      <c r="E118" s="1" t="str">
        <f>World!F126</f>
        <v/>
      </c>
      <c r="F118" s="1">
        <f>World!G126</f>
        <v>719</v>
      </c>
      <c r="G118" s="1" t="str">
        <f>World!H126</f>
        <v/>
      </c>
      <c r="H118" s="1">
        <f>World!I126</f>
        <v>75</v>
      </c>
      <c r="I118" s="4" t="str">
        <f>World!J126</f>
        <v/>
      </c>
    </row>
    <row r="119">
      <c r="A119" s="1" t="str">
        <f>World!B127</f>
        <v>Ethiopia</v>
      </c>
      <c r="B119" s="1">
        <f>World!C127</f>
        <v>831</v>
      </c>
      <c r="C119" s="1" t="str">
        <f>World!D127</f>
        <v/>
      </c>
      <c r="D119" s="1">
        <f>World!E127</f>
        <v>7</v>
      </c>
      <c r="E119" s="1" t="str">
        <f>World!F127</f>
        <v/>
      </c>
      <c r="F119" s="1">
        <f>World!G127</f>
        <v>191</v>
      </c>
      <c r="G119" s="1" t="str">
        <f>World!H127</f>
        <v/>
      </c>
      <c r="H119" s="1">
        <f>World!I127</f>
        <v>633</v>
      </c>
      <c r="I119" s="4">
        <f>World!J127</f>
        <v>1</v>
      </c>
    </row>
    <row r="120">
      <c r="A120" s="1" t="str">
        <f>World!B128</f>
        <v>Sierra Leone</v>
      </c>
      <c r="B120" s="1">
        <f>World!C128</f>
        <v>812</v>
      </c>
      <c r="C120" s="1" t="str">
        <f>World!D128</f>
        <v/>
      </c>
      <c r="D120" s="1">
        <f>World!E128</f>
        <v>45</v>
      </c>
      <c r="E120" s="1" t="str">
        <f>World!F128</f>
        <v/>
      </c>
      <c r="F120" s="1">
        <f>World!G128</f>
        <v>361</v>
      </c>
      <c r="G120" s="1" t="str">
        <f>World!H128</f>
        <v/>
      </c>
      <c r="H120" s="1">
        <f>World!I128</f>
        <v>406</v>
      </c>
      <c r="I120" s="4" t="str">
        <f>World!J128</f>
        <v/>
      </c>
    </row>
    <row r="121">
      <c r="A121" s="1" t="str">
        <f>World!B129</f>
        <v>Uruguay</v>
      </c>
      <c r="B121" s="1">
        <f>World!C129</f>
        <v>811</v>
      </c>
      <c r="C121" s="1" t="str">
        <f>World!D129</f>
        <v/>
      </c>
      <c r="D121" s="1">
        <f>World!E129</f>
        <v>22</v>
      </c>
      <c r="E121" s="1" t="str">
        <f>World!F129</f>
        <v/>
      </c>
      <c r="F121" s="1">
        <f>World!G129</f>
        <v>654</v>
      </c>
      <c r="G121" s="1" t="str">
        <f>World!H129</f>
        <v/>
      </c>
      <c r="H121" s="1">
        <f>World!I129</f>
        <v>135</v>
      </c>
      <c r="I121" s="4">
        <f>World!J129</f>
        <v>5</v>
      </c>
    </row>
    <row r="122">
      <c r="A122" s="1" t="str">
        <f>World!B130</f>
        <v>Andorra</v>
      </c>
      <c r="B122" s="1">
        <f>World!C130</f>
        <v>763</v>
      </c>
      <c r="C122" s="1" t="str">
        <f>World!D130</f>
        <v/>
      </c>
      <c r="D122" s="1">
        <f>World!E130</f>
        <v>51</v>
      </c>
      <c r="E122" s="1" t="str">
        <f>World!F130</f>
        <v/>
      </c>
      <c r="F122" s="1">
        <f>World!G130</f>
        <v>681</v>
      </c>
      <c r="G122" s="1" t="str">
        <f>World!H130</f>
        <v/>
      </c>
      <c r="H122" s="1">
        <f>World!I130</f>
        <v>31</v>
      </c>
      <c r="I122" s="4">
        <f>World!J130</f>
        <v>3</v>
      </c>
    </row>
    <row r="123">
      <c r="A123" s="1" t="str">
        <f>World!B131</f>
        <v>Nicaragua</v>
      </c>
      <c r="B123" s="1">
        <f>World!C131</f>
        <v>759</v>
      </c>
      <c r="C123" s="1" t="str">
        <f>World!D131</f>
        <v/>
      </c>
      <c r="D123" s="1">
        <f>World!E131</f>
        <v>35</v>
      </c>
      <c r="E123" s="1" t="str">
        <f>World!F131</f>
        <v/>
      </c>
      <c r="F123" s="1">
        <f>World!G131</f>
        <v>370</v>
      </c>
      <c r="G123" s="1" t="str">
        <f>World!H131</f>
        <v/>
      </c>
      <c r="H123" s="1">
        <f>World!I131</f>
        <v>354</v>
      </c>
      <c r="I123" s="4" t="str">
        <f>World!J131</f>
        <v/>
      </c>
    </row>
    <row r="124">
      <c r="A124" s="1" t="str">
        <f>World!B132</f>
        <v>CAR</v>
      </c>
      <c r="B124" s="1">
        <f>World!C132</f>
        <v>755</v>
      </c>
      <c r="C124" s="1" t="str">
        <f>World!D132</f>
        <v/>
      </c>
      <c r="D124" s="1">
        <f>World!E132</f>
        <v>1</v>
      </c>
      <c r="E124" s="1" t="str">
        <f>World!F132</f>
        <v/>
      </c>
      <c r="F124" s="1">
        <f>World!G132</f>
        <v>23</v>
      </c>
      <c r="G124" s="1" t="str">
        <f>World!H132</f>
        <v/>
      </c>
      <c r="H124" s="1">
        <f>World!I132</f>
        <v>731</v>
      </c>
      <c r="I124" s="4" t="str">
        <f>World!J132</f>
        <v/>
      </c>
    </row>
    <row r="125">
      <c r="A125" s="1" t="str">
        <f>World!B133</f>
        <v>Georgia</v>
      </c>
      <c r="B125" s="1">
        <f>World!C133</f>
        <v>738</v>
      </c>
      <c r="C125" s="1" t="str">
        <f>World!D133</f>
        <v/>
      </c>
      <c r="D125" s="1">
        <f>World!E133</f>
        <v>12</v>
      </c>
      <c r="E125" s="1" t="str">
        <f>World!F133</f>
        <v/>
      </c>
      <c r="F125" s="1">
        <f>World!G133</f>
        <v>573</v>
      </c>
      <c r="G125" s="1" t="str">
        <f>World!H133</f>
        <v/>
      </c>
      <c r="H125" s="1">
        <f>World!I133</f>
        <v>153</v>
      </c>
      <c r="I125" s="4">
        <f>World!J133</f>
        <v>6</v>
      </c>
    </row>
    <row r="126">
      <c r="A126" s="1" t="str">
        <f>World!B134</f>
        <v>Jordan</v>
      </c>
      <c r="B126" s="1">
        <f>World!C134</f>
        <v>728</v>
      </c>
      <c r="C126" s="1" t="str">
        <f>World!D134</f>
        <v/>
      </c>
      <c r="D126" s="1">
        <f>World!E134</f>
        <v>9</v>
      </c>
      <c r="E126" s="1" t="str">
        <f>World!F134</f>
        <v/>
      </c>
      <c r="F126" s="1">
        <f>World!G134</f>
        <v>497</v>
      </c>
      <c r="G126" s="1" t="str">
        <f>World!H134</f>
        <v/>
      </c>
      <c r="H126" s="1">
        <f>World!I134</f>
        <v>222</v>
      </c>
      <c r="I126" s="4">
        <f>World!J134</f>
        <v>5</v>
      </c>
    </row>
    <row r="127">
      <c r="A127" s="1" t="str">
        <f>World!B135</f>
        <v>Chad</v>
      </c>
      <c r="B127" s="1">
        <f>World!C135</f>
        <v>726</v>
      </c>
      <c r="C127" s="1" t="str">
        <f>World!D135</f>
        <v/>
      </c>
      <c r="D127" s="1">
        <f>World!E135</f>
        <v>65</v>
      </c>
      <c r="E127" s="1" t="str">
        <f>World!F135</f>
        <v/>
      </c>
      <c r="F127" s="1">
        <f>World!G135</f>
        <v>413</v>
      </c>
      <c r="G127" s="1" t="str">
        <f>World!H135</f>
        <v/>
      </c>
      <c r="H127" s="1">
        <f>World!I135</f>
        <v>248</v>
      </c>
      <c r="I127" s="4" t="str">
        <f>World!J135</f>
        <v/>
      </c>
    </row>
    <row r="128">
      <c r="A128" s="1" t="str">
        <f>World!B136</f>
        <v>Diamond Princess</v>
      </c>
      <c r="B128" s="1">
        <f>World!C136</f>
        <v>712</v>
      </c>
      <c r="C128" s="1" t="str">
        <f>World!D136</f>
        <v/>
      </c>
      <c r="D128" s="1">
        <f>World!E136</f>
        <v>13</v>
      </c>
      <c r="E128" s="1" t="str">
        <f>World!F136</f>
        <v/>
      </c>
      <c r="F128" s="1">
        <f>World!G136</f>
        <v>651</v>
      </c>
      <c r="G128" s="1" t="str">
        <f>World!H136</f>
        <v/>
      </c>
      <c r="H128" s="1">
        <f>World!I136</f>
        <v>48</v>
      </c>
      <c r="I128" s="4">
        <f>World!J136</f>
        <v>4</v>
      </c>
    </row>
    <row r="129">
      <c r="A129" s="1" t="str">
        <f>World!B137</f>
        <v>San Marino</v>
      </c>
      <c r="B129" s="1">
        <f>World!C137</f>
        <v>670</v>
      </c>
      <c r="C129" s="1" t="str">
        <f>World!D137</f>
        <v/>
      </c>
      <c r="D129" s="1">
        <f>World!E137</f>
        <v>42</v>
      </c>
      <c r="E129" s="1" t="str">
        <f>World!F137</f>
        <v/>
      </c>
      <c r="F129" s="1">
        <f>World!G137</f>
        <v>322</v>
      </c>
      <c r="G129" s="1" t="str">
        <f>World!H137</f>
        <v/>
      </c>
      <c r="H129" s="1">
        <f>World!I137</f>
        <v>306</v>
      </c>
      <c r="I129" s="4">
        <f>World!J137</f>
        <v>1</v>
      </c>
    </row>
    <row r="130">
      <c r="A130" s="1" t="str">
        <f>World!B138</f>
        <v>Madagascar</v>
      </c>
      <c r="B130" s="1">
        <f>World!C138</f>
        <v>656</v>
      </c>
      <c r="C130" s="1" t="str">
        <f>World!D138</f>
        <v/>
      </c>
      <c r="D130" s="1">
        <f>World!E138</f>
        <v>2</v>
      </c>
      <c r="E130" s="1" t="str">
        <f>World!F138</f>
        <v/>
      </c>
      <c r="F130" s="1">
        <f>World!G138</f>
        <v>154</v>
      </c>
      <c r="G130" s="1" t="str">
        <f>World!H138</f>
        <v/>
      </c>
      <c r="H130" s="1">
        <f>World!I138</f>
        <v>500</v>
      </c>
      <c r="I130" s="4">
        <f>World!J138</f>
        <v>10</v>
      </c>
    </row>
    <row r="131">
      <c r="A131" s="1" t="str">
        <f>World!B139</f>
        <v>Malta</v>
      </c>
      <c r="B131" s="1">
        <f>World!C139</f>
        <v>616</v>
      </c>
      <c r="C131" s="1" t="str">
        <f>World!D139</f>
        <v/>
      </c>
      <c r="D131" s="1">
        <f>World!E139</f>
        <v>7</v>
      </c>
      <c r="E131" s="1" t="str">
        <f>World!F139</f>
        <v/>
      </c>
      <c r="F131" s="1">
        <f>World!G139</f>
        <v>501</v>
      </c>
      <c r="G131" s="1" t="str">
        <f>World!H139</f>
        <v/>
      </c>
      <c r="H131" s="1">
        <f>World!I139</f>
        <v>108</v>
      </c>
      <c r="I131" s="4">
        <f>World!J139</f>
        <v>1</v>
      </c>
    </row>
    <row r="132">
      <c r="A132" s="1" t="str">
        <f>World!B140</f>
        <v>Congo</v>
      </c>
      <c r="B132" s="1">
        <f>World!C140</f>
        <v>571</v>
      </c>
      <c r="C132" s="1" t="str">
        <f>World!D140</f>
        <v/>
      </c>
      <c r="D132" s="1">
        <f>World!E140</f>
        <v>19</v>
      </c>
      <c r="E132" s="1" t="str">
        <f>World!F140</f>
        <v/>
      </c>
      <c r="F132" s="1">
        <f>World!G140</f>
        <v>161</v>
      </c>
      <c r="G132" s="1" t="str">
        <f>World!H140</f>
        <v/>
      </c>
      <c r="H132" s="1">
        <f>World!I140</f>
        <v>391</v>
      </c>
      <c r="I132" s="4" t="str">
        <f>World!J140</f>
        <v/>
      </c>
    </row>
    <row r="133">
      <c r="A133" s="1" t="str">
        <f>World!B141</f>
        <v>Jamaica</v>
      </c>
      <c r="B133" s="1">
        <f>World!C141</f>
        <v>569</v>
      </c>
      <c r="C133" s="1" t="str">
        <f>World!D141</f>
        <v/>
      </c>
      <c r="D133" s="1">
        <f>World!E141</f>
        <v>9</v>
      </c>
      <c r="E133" s="1" t="str">
        <f>World!F141</f>
        <v/>
      </c>
      <c r="F133" s="1">
        <f>World!G141</f>
        <v>284</v>
      </c>
      <c r="G133" s="1" t="str">
        <f>World!H141</f>
        <v>+5</v>
      </c>
      <c r="H133" s="1">
        <f>World!I141</f>
        <v>276</v>
      </c>
      <c r="I133" s="4">
        <f>World!J141</f>
        <v>2</v>
      </c>
    </row>
    <row r="134">
      <c r="A134" s="1" t="str">
        <f>World!B142</f>
        <v>Channel Islands</v>
      </c>
      <c r="B134" s="1">
        <f>World!C142</f>
        <v>560</v>
      </c>
      <c r="C134" s="1" t="str">
        <f>World!D142</f>
        <v/>
      </c>
      <c r="D134" s="1">
        <f>World!E142</f>
        <v>45</v>
      </c>
      <c r="E134" s="1" t="str">
        <f>World!F142</f>
        <v/>
      </c>
      <c r="F134" s="1">
        <f>World!G142</f>
        <v>512</v>
      </c>
      <c r="G134" s="1" t="str">
        <f>World!H142</f>
        <v/>
      </c>
      <c r="H134" s="1">
        <f>World!I142</f>
        <v>3</v>
      </c>
      <c r="I134" s="4" t="str">
        <f>World!J142</f>
        <v/>
      </c>
    </row>
    <row r="135">
      <c r="A135" s="1" t="str">
        <f>World!B143</f>
        <v>Tanzania</v>
      </c>
      <c r="B135" s="1">
        <f>World!C143</f>
        <v>509</v>
      </c>
      <c r="C135" s="1" t="str">
        <f>World!D143</f>
        <v/>
      </c>
      <c r="D135" s="1">
        <f>World!E143</f>
        <v>21</v>
      </c>
      <c r="E135" s="1" t="str">
        <f>World!F143</f>
        <v/>
      </c>
      <c r="F135" s="1">
        <f>World!G143</f>
        <v>183</v>
      </c>
      <c r="G135" s="1" t="str">
        <f>World!H143</f>
        <v/>
      </c>
      <c r="H135" s="1">
        <f>World!I143</f>
        <v>305</v>
      </c>
      <c r="I135" s="4">
        <f>World!J143</f>
        <v>7</v>
      </c>
    </row>
    <row r="136">
      <c r="A136" s="1" t="str">
        <f>World!B144</f>
        <v>Réunion</v>
      </c>
      <c r="B136" s="1">
        <f>World!C144</f>
        <v>465</v>
      </c>
      <c r="C136" s="1" t="str">
        <f>World!D144</f>
        <v/>
      </c>
      <c r="D136" s="1">
        <f>World!E144</f>
        <v>1</v>
      </c>
      <c r="E136" s="1" t="str">
        <f>World!F144</f>
        <v/>
      </c>
      <c r="F136" s="1">
        <f>World!G144</f>
        <v>411</v>
      </c>
      <c r="G136" s="1" t="str">
        <f>World!H144</f>
        <v/>
      </c>
      <c r="H136" s="1">
        <f>World!I144</f>
        <v>53</v>
      </c>
      <c r="I136" s="4">
        <f>World!J144</f>
        <v>1</v>
      </c>
    </row>
    <row r="137">
      <c r="A137" s="1" t="str">
        <f>World!B145</f>
        <v>Sao Tome and Principe</v>
      </c>
      <c r="B137" s="1">
        <f>World!C145</f>
        <v>458</v>
      </c>
      <c r="C137" s="1" t="str">
        <f>World!D145</f>
        <v/>
      </c>
      <c r="D137" s="1">
        <f>World!E145</f>
        <v>12</v>
      </c>
      <c r="E137" s="1" t="str">
        <f>World!F145</f>
        <v/>
      </c>
      <c r="F137" s="1">
        <f>World!G145</f>
        <v>68</v>
      </c>
      <c r="G137" s="1" t="str">
        <f>World!H145</f>
        <v/>
      </c>
      <c r="H137" s="1">
        <f>World!I145</f>
        <v>378</v>
      </c>
      <c r="I137" s="4" t="str">
        <f>World!J145</f>
        <v/>
      </c>
    </row>
    <row r="138">
      <c r="A138" s="1" t="str">
        <f>World!B146</f>
        <v>Palestine</v>
      </c>
      <c r="B138" s="1">
        <f>World!C146</f>
        <v>446</v>
      </c>
      <c r="C138" s="1" t="str">
        <f>World!D146</f>
        <v/>
      </c>
      <c r="D138" s="1">
        <f>World!E146</f>
        <v>3</v>
      </c>
      <c r="E138" s="1" t="str">
        <f>World!F146</f>
        <v/>
      </c>
      <c r="F138" s="1">
        <f>World!G146</f>
        <v>368</v>
      </c>
      <c r="G138" s="1" t="str">
        <f>World!H146</f>
        <v/>
      </c>
      <c r="H138" s="1">
        <f>World!I146</f>
        <v>75</v>
      </c>
      <c r="I138" s="4" t="str">
        <f>World!J146</f>
        <v/>
      </c>
    </row>
    <row r="139">
      <c r="A139" s="1" t="str">
        <f>World!B147</f>
        <v>Taiwan</v>
      </c>
      <c r="B139" s="1">
        <f>World!C147</f>
        <v>441</v>
      </c>
      <c r="C139" s="1" t="str">
        <f>World!D147</f>
        <v/>
      </c>
      <c r="D139" s="1">
        <f>World!E147</f>
        <v>7</v>
      </c>
      <c r="E139" s="1" t="str">
        <f>World!F147</f>
        <v/>
      </c>
      <c r="F139" s="1">
        <f>World!G147</f>
        <v>420</v>
      </c>
      <c r="G139" s="1" t="str">
        <f>World!H147</f>
        <v/>
      </c>
      <c r="H139" s="1">
        <f>World!I147</f>
        <v>14</v>
      </c>
      <c r="I139" s="4" t="str">
        <f>World!J147</f>
        <v/>
      </c>
    </row>
    <row r="140">
      <c r="A140" s="1" t="str">
        <f>World!B148</f>
        <v>French Guiana</v>
      </c>
      <c r="B140" s="1">
        <f>World!C148</f>
        <v>436</v>
      </c>
      <c r="C140" s="1" t="str">
        <f>World!D148</f>
        <v/>
      </c>
      <c r="D140" s="1">
        <f>World!E148</f>
        <v>1</v>
      </c>
      <c r="E140" s="1" t="str">
        <f>World!F148</f>
        <v/>
      </c>
      <c r="F140" s="1">
        <f>World!G148</f>
        <v>161</v>
      </c>
      <c r="G140" s="1" t="str">
        <f>World!H148</f>
        <v/>
      </c>
      <c r="H140" s="1">
        <f>World!I148</f>
        <v>274</v>
      </c>
      <c r="I140" s="4">
        <f>World!J148</f>
        <v>2</v>
      </c>
    </row>
    <row r="141">
      <c r="A141" s="1" t="str">
        <f>World!B149</f>
        <v>Togo</v>
      </c>
      <c r="B141" s="1">
        <f>World!C149</f>
        <v>422</v>
      </c>
      <c r="C141" s="1" t="str">
        <f>World!D149</f>
        <v/>
      </c>
      <c r="D141" s="1">
        <f>World!E149</f>
        <v>13</v>
      </c>
      <c r="E141" s="1" t="str">
        <f>World!F149</f>
        <v/>
      </c>
      <c r="F141" s="1">
        <f>World!G149</f>
        <v>197</v>
      </c>
      <c r="G141" s="1" t="str">
        <f>World!H149</f>
        <v/>
      </c>
      <c r="H141" s="1">
        <f>World!I149</f>
        <v>212</v>
      </c>
      <c r="I141" s="4" t="str">
        <f>World!J149</f>
        <v/>
      </c>
    </row>
    <row r="142">
      <c r="A142" s="1" t="str">
        <f>World!B150</f>
        <v>Cabo Verde</v>
      </c>
      <c r="B142" s="1">
        <f>World!C150</f>
        <v>390</v>
      </c>
      <c r="C142" s="1" t="str">
        <f>World!D150</f>
        <v/>
      </c>
      <c r="D142" s="1">
        <f>World!E150</f>
        <v>4</v>
      </c>
      <c r="E142" s="1" t="str">
        <f>World!F150</f>
        <v/>
      </c>
      <c r="F142" s="1">
        <f>World!G150</f>
        <v>155</v>
      </c>
      <c r="G142" s="1" t="str">
        <f>World!H150</f>
        <v/>
      </c>
      <c r="H142" s="1">
        <f>World!I150</f>
        <v>231</v>
      </c>
      <c r="I142" s="4" t="str">
        <f>World!J150</f>
        <v/>
      </c>
    </row>
    <row r="143">
      <c r="A143" s="1" t="str">
        <f>World!B151</f>
        <v>Rwanda</v>
      </c>
      <c r="B143" s="1">
        <f>World!C151</f>
        <v>349</v>
      </c>
      <c r="C143" s="1" t="str">
        <f>World!D151</f>
        <v/>
      </c>
      <c r="D143" s="1" t="str">
        <f>World!E151</f>
        <v/>
      </c>
      <c r="E143" s="1" t="str">
        <f>World!F151</f>
        <v/>
      </c>
      <c r="F143" s="1">
        <f>World!G151</f>
        <v>245</v>
      </c>
      <c r="G143" s="1" t="str">
        <f>World!H151</f>
        <v/>
      </c>
      <c r="H143" s="1">
        <f>World!I151</f>
        <v>104</v>
      </c>
      <c r="I143" s="4" t="str">
        <f>World!J151</f>
        <v/>
      </c>
    </row>
    <row r="144">
      <c r="A144" s="1" t="str">
        <f>World!B152</f>
        <v>Mauritania</v>
      </c>
      <c r="B144" s="1">
        <f>World!C152</f>
        <v>346</v>
      </c>
      <c r="C144" s="1" t="str">
        <f>World!D152</f>
        <v/>
      </c>
      <c r="D144" s="1">
        <f>World!E152</f>
        <v>19</v>
      </c>
      <c r="E144" s="1" t="str">
        <f>World!F152</f>
        <v/>
      </c>
      <c r="F144" s="1">
        <f>World!G152</f>
        <v>15</v>
      </c>
      <c r="G144" s="1" t="str">
        <f>World!H152</f>
        <v/>
      </c>
      <c r="H144" s="1">
        <f>World!I152</f>
        <v>312</v>
      </c>
      <c r="I144" s="4" t="str">
        <f>World!J152</f>
        <v/>
      </c>
    </row>
    <row r="145">
      <c r="A145" s="1" t="str">
        <f>World!B153</f>
        <v>Isle of Man</v>
      </c>
      <c r="B145" s="1">
        <f>World!C153</f>
        <v>336</v>
      </c>
      <c r="C145" s="1" t="str">
        <f>World!D153</f>
        <v/>
      </c>
      <c r="D145" s="1">
        <f>World!E153</f>
        <v>24</v>
      </c>
      <c r="E145" s="1" t="str">
        <f>World!F153</f>
        <v/>
      </c>
      <c r="F145" s="1">
        <f>World!G153</f>
        <v>306</v>
      </c>
      <c r="G145" s="1" t="str">
        <f>World!H153</f>
        <v/>
      </c>
      <c r="H145" s="1">
        <f>World!I153</f>
        <v>6</v>
      </c>
      <c r="I145" s="4">
        <f>World!J153</f>
        <v>2</v>
      </c>
    </row>
    <row r="146">
      <c r="A146" s="1" t="str">
        <f>World!B154</f>
        <v>Mauritius</v>
      </c>
      <c r="B146" s="1">
        <f>World!C154</f>
        <v>334</v>
      </c>
      <c r="C146" s="1" t="str">
        <f>World!D154</f>
        <v/>
      </c>
      <c r="D146" s="1">
        <f>World!E154</f>
        <v>10</v>
      </c>
      <c r="E146" s="1" t="str">
        <f>World!F154</f>
        <v/>
      </c>
      <c r="F146" s="1">
        <f>World!G154</f>
        <v>322</v>
      </c>
      <c r="G146" s="1" t="str">
        <f>World!H154</f>
        <v/>
      </c>
      <c r="H146" s="1">
        <f>World!I154</f>
        <v>2</v>
      </c>
      <c r="I146" s="4" t="str">
        <f>World!J154</f>
        <v/>
      </c>
    </row>
    <row r="147">
      <c r="A147" s="1" t="str">
        <f>World!B155</f>
        <v>Vietnam</v>
      </c>
      <c r="B147" s="1">
        <f>World!C155</f>
        <v>327</v>
      </c>
      <c r="C147" s="1" t="str">
        <f>World!D155</f>
        <v/>
      </c>
      <c r="D147" s="1" t="str">
        <f>World!E155</f>
        <v/>
      </c>
      <c r="E147" s="1" t="str">
        <f>World!F155</f>
        <v/>
      </c>
      <c r="F147" s="1">
        <f>World!G155</f>
        <v>278</v>
      </c>
      <c r="G147" s="1" t="str">
        <f>World!H155</f>
        <v/>
      </c>
      <c r="H147" s="1">
        <f>World!I155</f>
        <v>49</v>
      </c>
      <c r="I147" s="4">
        <f>World!J155</f>
        <v>1</v>
      </c>
    </row>
    <row r="148">
      <c r="A148" s="1" t="str">
        <f>World!B156</f>
        <v>Montenegro</v>
      </c>
      <c r="B148" s="1">
        <f>World!C156</f>
        <v>324</v>
      </c>
      <c r="C148" s="1" t="str">
        <f>World!D156</f>
        <v/>
      </c>
      <c r="D148" s="1">
        <f>World!E156</f>
        <v>9</v>
      </c>
      <c r="E148" s="1" t="str">
        <f>World!F156</f>
        <v/>
      </c>
      <c r="F148" s="1">
        <f>World!G156</f>
        <v>315</v>
      </c>
      <c r="G148" s="1" t="str">
        <f>World!H156</f>
        <v/>
      </c>
      <c r="H148" s="1">
        <f>World!I156</f>
        <v>0</v>
      </c>
      <c r="I148" s="4" t="str">
        <f>World!J156</f>
        <v/>
      </c>
    </row>
    <row r="149">
      <c r="A149" s="1" t="str">
        <f>World!B157</f>
        <v>Uganda</v>
      </c>
      <c r="B149" s="1">
        <f>World!C157</f>
        <v>317</v>
      </c>
      <c r="C149" s="1" t="str">
        <f>World!D157</f>
        <v/>
      </c>
      <c r="D149" s="1" t="str">
        <f>World!E157</f>
        <v/>
      </c>
      <c r="E149" s="1" t="str">
        <f>World!F157</f>
        <v/>
      </c>
      <c r="F149" s="1">
        <f>World!G157</f>
        <v>69</v>
      </c>
      <c r="G149" s="1" t="str">
        <f>World!H157</f>
        <v/>
      </c>
      <c r="H149" s="1">
        <f>World!I157</f>
        <v>248</v>
      </c>
      <c r="I149" s="4" t="str">
        <f>World!J157</f>
        <v/>
      </c>
    </row>
    <row r="150">
      <c r="A150" s="1" t="str">
        <f>World!B158</f>
        <v>Eswatini</v>
      </c>
      <c r="B150" s="1">
        <f>World!C158</f>
        <v>279</v>
      </c>
      <c r="C150" s="1" t="str">
        <f>World!D158</f>
        <v/>
      </c>
      <c r="D150" s="1">
        <f>World!E158</f>
        <v>2</v>
      </c>
      <c r="E150" s="1" t="str">
        <f>World!F158</f>
        <v/>
      </c>
      <c r="F150" s="1">
        <f>World!G158</f>
        <v>168</v>
      </c>
      <c r="G150" s="1" t="str">
        <f>World!H158</f>
        <v/>
      </c>
      <c r="H150" s="1">
        <f>World!I158</f>
        <v>109</v>
      </c>
      <c r="I150" s="4" t="str">
        <f>World!J158</f>
        <v/>
      </c>
    </row>
    <row r="151">
      <c r="A151" s="1" t="str">
        <f>World!B159</f>
        <v>Yemen</v>
      </c>
      <c r="B151" s="1">
        <f>World!C159</f>
        <v>278</v>
      </c>
      <c r="C151" s="1" t="str">
        <f>World!D159</f>
        <v/>
      </c>
      <c r="D151" s="1">
        <f>World!E159</f>
        <v>57</v>
      </c>
      <c r="E151" s="1" t="str">
        <f>World!F159</f>
        <v/>
      </c>
      <c r="F151" s="1">
        <f>World!G159</f>
        <v>11</v>
      </c>
      <c r="G151" s="1" t="str">
        <f>World!H159</f>
        <v/>
      </c>
      <c r="H151" s="1">
        <f>World!I159</f>
        <v>210</v>
      </c>
      <c r="I151" s="4" t="str">
        <f>World!J159</f>
        <v/>
      </c>
    </row>
    <row r="152">
      <c r="A152" s="1" t="str">
        <f>World!B160</f>
        <v>Liberia</v>
      </c>
      <c r="B152" s="1">
        <f>World!C160</f>
        <v>269</v>
      </c>
      <c r="C152" s="1" t="str">
        <f>World!D160</f>
        <v/>
      </c>
      <c r="D152" s="1">
        <f>World!E160</f>
        <v>27</v>
      </c>
      <c r="E152" s="1" t="str">
        <f>World!F160</f>
        <v/>
      </c>
      <c r="F152" s="1">
        <f>World!G160</f>
        <v>144</v>
      </c>
      <c r="G152" s="1" t="str">
        <f>World!H160</f>
        <v/>
      </c>
      <c r="H152" s="1">
        <f>World!I160</f>
        <v>98</v>
      </c>
      <c r="I152" s="4" t="str">
        <f>World!J160</f>
        <v/>
      </c>
    </row>
    <row r="153">
      <c r="A153" s="1" t="str">
        <f>World!B161</f>
        <v>Mozambique</v>
      </c>
      <c r="B153" s="1">
        <f>World!C161</f>
        <v>233</v>
      </c>
      <c r="C153" s="1" t="str">
        <f>World!D161</f>
        <v/>
      </c>
      <c r="D153" s="1">
        <f>World!E161</f>
        <v>2</v>
      </c>
      <c r="E153" s="1" t="str">
        <f>World!F161</f>
        <v/>
      </c>
      <c r="F153" s="1">
        <f>World!G161</f>
        <v>82</v>
      </c>
      <c r="G153" s="1" t="str">
        <f>World!H161</f>
        <v/>
      </c>
      <c r="H153" s="1">
        <f>World!I161</f>
        <v>149</v>
      </c>
      <c r="I153" s="4" t="str">
        <f>World!J161</f>
        <v/>
      </c>
    </row>
    <row r="154">
      <c r="A154" s="1" t="str">
        <f>World!B162</f>
        <v>Benin</v>
      </c>
      <c r="B154" s="1">
        <f>World!C162</f>
        <v>210</v>
      </c>
      <c r="C154" s="1" t="str">
        <f>World!D162</f>
        <v/>
      </c>
      <c r="D154" s="1">
        <f>World!E162</f>
        <v>3</v>
      </c>
      <c r="E154" s="1" t="str">
        <f>World!F162</f>
        <v/>
      </c>
      <c r="F154" s="1">
        <f>World!G162</f>
        <v>134</v>
      </c>
      <c r="G154" s="1" t="str">
        <f>World!H162</f>
        <v/>
      </c>
      <c r="H154" s="1">
        <f>World!I162</f>
        <v>73</v>
      </c>
      <c r="I154" s="4" t="str">
        <f>World!J162</f>
        <v/>
      </c>
    </row>
    <row r="155">
      <c r="A155" s="1" t="str">
        <f>World!B163</f>
        <v>Myanmar</v>
      </c>
      <c r="B155" s="1">
        <f>World!C163</f>
        <v>206</v>
      </c>
      <c r="C155" s="1" t="str">
        <f>World!D163</f>
        <v/>
      </c>
      <c r="D155" s="1">
        <f>World!E163</f>
        <v>6</v>
      </c>
      <c r="E155" s="1" t="str">
        <f>World!F163</f>
        <v/>
      </c>
      <c r="F155" s="1">
        <f>World!G163</f>
        <v>126</v>
      </c>
      <c r="G155" s="1" t="str">
        <f>World!H163</f>
        <v/>
      </c>
      <c r="H155" s="1">
        <f>World!I163</f>
        <v>74</v>
      </c>
      <c r="I155" s="4" t="str">
        <f>World!J163</f>
        <v/>
      </c>
    </row>
    <row r="156">
      <c r="A156" s="1" t="str">
        <f>World!B164</f>
        <v>Malawi</v>
      </c>
      <c r="B156" s="1">
        <f>World!C164</f>
        <v>203</v>
      </c>
      <c r="C156" s="1" t="str">
        <f>World!D164</f>
        <v/>
      </c>
      <c r="D156" s="1">
        <f>World!E164</f>
        <v>4</v>
      </c>
      <c r="E156" s="1" t="str">
        <f>World!F164</f>
        <v/>
      </c>
      <c r="F156" s="1">
        <f>World!G164</f>
        <v>37</v>
      </c>
      <c r="G156" s="1" t="str">
        <f>World!H164</f>
        <v/>
      </c>
      <c r="H156" s="1">
        <f>World!I164</f>
        <v>162</v>
      </c>
      <c r="I156" s="4">
        <f>World!J164</f>
        <v>1</v>
      </c>
    </row>
    <row r="157">
      <c r="A157" s="1" t="str">
        <f>World!B165</f>
        <v>Martinique</v>
      </c>
      <c r="B157" s="1">
        <f>World!C165</f>
        <v>197</v>
      </c>
      <c r="C157" s="1" t="str">
        <f>World!D165</f>
        <v/>
      </c>
      <c r="D157" s="1">
        <f>World!E165</f>
        <v>14</v>
      </c>
      <c r="E157" s="1" t="str">
        <f>World!F165</f>
        <v/>
      </c>
      <c r="F157" s="1">
        <f>World!G165</f>
        <v>91</v>
      </c>
      <c r="G157" s="1" t="str">
        <f>World!H165</f>
        <v/>
      </c>
      <c r="H157" s="1">
        <f>World!I165</f>
        <v>92</v>
      </c>
      <c r="I157" s="4" t="str">
        <f>World!J165</f>
        <v/>
      </c>
    </row>
    <row r="158">
      <c r="A158" s="1" t="str">
        <f>World!B166</f>
        <v>Faeroe Islands</v>
      </c>
      <c r="B158" s="1">
        <f>World!C166</f>
        <v>187</v>
      </c>
      <c r="C158" s="1" t="str">
        <f>World!D166</f>
        <v/>
      </c>
      <c r="D158" s="1" t="str">
        <f>World!E166</f>
        <v/>
      </c>
      <c r="E158" s="1" t="str">
        <f>World!F166</f>
        <v/>
      </c>
      <c r="F158" s="1">
        <f>World!G166</f>
        <v>187</v>
      </c>
      <c r="G158" s="1" t="str">
        <f>World!H166</f>
        <v/>
      </c>
      <c r="H158" s="1">
        <f>World!I166</f>
        <v>0</v>
      </c>
      <c r="I158" s="4" t="str">
        <f>World!J166</f>
        <v/>
      </c>
    </row>
    <row r="159">
      <c r="A159" s="1" t="str">
        <f>World!B167</f>
        <v>Mongolia</v>
      </c>
      <c r="B159" s="1">
        <f>World!C167</f>
        <v>179</v>
      </c>
      <c r="C159" s="1" t="str">
        <f>World!D167</f>
        <v>+18</v>
      </c>
      <c r="D159" s="1" t="str">
        <f>World!E167</f>
        <v/>
      </c>
      <c r="E159" s="1" t="str">
        <f>World!F167</f>
        <v/>
      </c>
      <c r="F159" s="1">
        <f>World!G167</f>
        <v>43</v>
      </c>
      <c r="G159" s="1" t="str">
        <f>World!H167</f>
        <v/>
      </c>
      <c r="H159" s="1">
        <f>World!I167</f>
        <v>136</v>
      </c>
      <c r="I159" s="4">
        <f>World!J167</f>
        <v>11</v>
      </c>
    </row>
    <row r="160">
      <c r="A160" s="1" t="str">
        <f>World!B168</f>
        <v>Guadeloupe</v>
      </c>
      <c r="B160" s="1">
        <f>World!C168</f>
        <v>161</v>
      </c>
      <c r="C160" s="1" t="str">
        <f>World!D168</f>
        <v/>
      </c>
      <c r="D160" s="1">
        <f>World!E168</f>
        <v>14</v>
      </c>
      <c r="E160" s="1" t="str">
        <f>World!F168</f>
        <v/>
      </c>
      <c r="F160" s="1">
        <f>World!G168</f>
        <v>115</v>
      </c>
      <c r="G160" s="1" t="str">
        <f>World!H168</f>
        <v/>
      </c>
      <c r="H160" s="1">
        <f>World!I168</f>
        <v>32</v>
      </c>
      <c r="I160" s="4">
        <f>World!J168</f>
        <v>3</v>
      </c>
    </row>
    <row r="161">
      <c r="A161" s="1" t="str">
        <f>World!B169</f>
        <v>Gibraltar</v>
      </c>
      <c r="B161" s="1">
        <f>World!C169</f>
        <v>158</v>
      </c>
      <c r="C161" s="1" t="str">
        <f>World!D169</f>
        <v/>
      </c>
      <c r="D161" s="1" t="str">
        <f>World!E169</f>
        <v/>
      </c>
      <c r="E161" s="1" t="str">
        <f>World!F169</f>
        <v/>
      </c>
      <c r="F161" s="1">
        <f>World!G169</f>
        <v>147</v>
      </c>
      <c r="G161" s="1" t="str">
        <f>World!H169</f>
        <v/>
      </c>
      <c r="H161" s="1">
        <f>World!I169</f>
        <v>11</v>
      </c>
      <c r="I161" s="4" t="str">
        <f>World!J169</f>
        <v/>
      </c>
    </row>
    <row r="162">
      <c r="A162" s="1" t="str">
        <f>World!B170</f>
        <v>Guyana</v>
      </c>
      <c r="B162" s="1">
        <f>World!C170</f>
        <v>150</v>
      </c>
      <c r="C162" s="1" t="str">
        <f>World!D170</f>
        <v/>
      </c>
      <c r="D162" s="1">
        <f>World!E170</f>
        <v>11</v>
      </c>
      <c r="E162" s="1" t="str">
        <f>World!F170</f>
        <v/>
      </c>
      <c r="F162" s="1">
        <f>World!G170</f>
        <v>67</v>
      </c>
      <c r="G162" s="1" t="str">
        <f>World!H170</f>
        <v/>
      </c>
      <c r="H162" s="1">
        <f>World!I170</f>
        <v>72</v>
      </c>
      <c r="I162" s="4">
        <f>World!J170</f>
        <v>2</v>
      </c>
    </row>
    <row r="163">
      <c r="A163" s="1" t="str">
        <f>World!B171</f>
        <v>Zimbabwe</v>
      </c>
      <c r="B163" s="1">
        <f>World!C171</f>
        <v>149</v>
      </c>
      <c r="C163" s="1" t="str">
        <f>World!D171</f>
        <v/>
      </c>
      <c r="D163" s="1">
        <f>World!E171</f>
        <v>4</v>
      </c>
      <c r="E163" s="1" t="str">
        <f>World!F171</f>
        <v/>
      </c>
      <c r="F163" s="1">
        <f>World!G171</f>
        <v>28</v>
      </c>
      <c r="G163" s="1" t="str">
        <f>World!H171</f>
        <v/>
      </c>
      <c r="H163" s="1">
        <f>World!I171</f>
        <v>117</v>
      </c>
      <c r="I163" s="4" t="str">
        <f>World!J171</f>
        <v/>
      </c>
    </row>
    <row r="164">
      <c r="A164" s="1" t="str">
        <f>World!B172</f>
        <v>Brunei</v>
      </c>
      <c r="B164" s="1">
        <f>World!C172</f>
        <v>141</v>
      </c>
      <c r="C164" s="1" t="str">
        <f>World!D172</f>
        <v/>
      </c>
      <c r="D164" s="1">
        <f>World!E172</f>
        <v>2</v>
      </c>
      <c r="E164" s="1" t="str">
        <f>World!F172</f>
        <v/>
      </c>
      <c r="F164" s="1">
        <f>World!G172</f>
        <v>138</v>
      </c>
      <c r="G164" s="1" t="str">
        <f>World!H172</f>
        <v/>
      </c>
      <c r="H164" s="1">
        <f>World!I172</f>
        <v>1</v>
      </c>
      <c r="I164" s="4">
        <f>World!J172</f>
        <v>2</v>
      </c>
    </row>
    <row r="165">
      <c r="A165" s="1" t="str">
        <f>World!B173</f>
        <v>Bermuda</v>
      </c>
      <c r="B165" s="1">
        <f>World!C173</f>
        <v>140</v>
      </c>
      <c r="C165" s="1" t="str">
        <f>World!D173</f>
        <v/>
      </c>
      <c r="D165" s="1">
        <f>World!E173</f>
        <v>9</v>
      </c>
      <c r="E165" s="1" t="str">
        <f>World!F173</f>
        <v/>
      </c>
      <c r="F165" s="1">
        <f>World!G173</f>
        <v>92</v>
      </c>
      <c r="G165" s="1" t="str">
        <f>World!H173</f>
        <v/>
      </c>
      <c r="H165" s="1">
        <f>World!I173</f>
        <v>39</v>
      </c>
      <c r="I165" s="4">
        <f>World!J173</f>
        <v>2</v>
      </c>
    </row>
    <row r="166">
      <c r="A166" s="1" t="str">
        <f>World!B174</f>
        <v>Cayman Islands</v>
      </c>
      <c r="B166" s="1">
        <f>World!C174</f>
        <v>140</v>
      </c>
      <c r="C166" s="1" t="str">
        <f>World!D174</f>
        <v/>
      </c>
      <c r="D166" s="1">
        <f>World!E174</f>
        <v>1</v>
      </c>
      <c r="E166" s="1" t="str">
        <f>World!F174</f>
        <v/>
      </c>
      <c r="F166" s="1">
        <f>World!G174</f>
        <v>67</v>
      </c>
      <c r="G166" s="1" t="str">
        <f>World!H174</f>
        <v/>
      </c>
      <c r="H166" s="1">
        <f>World!I174</f>
        <v>72</v>
      </c>
      <c r="I166" s="4" t="str">
        <f>World!J174</f>
        <v/>
      </c>
    </row>
    <row r="167">
      <c r="A167" s="1" t="str">
        <f>World!B175</f>
        <v>Cambodia</v>
      </c>
      <c r="B167" s="1">
        <f>World!C175</f>
        <v>124</v>
      </c>
      <c r="C167" s="1" t="str">
        <f>World!D175</f>
        <v/>
      </c>
      <c r="D167" s="1" t="str">
        <f>World!E175</f>
        <v/>
      </c>
      <c r="E167" s="1" t="str">
        <f>World!F175</f>
        <v/>
      </c>
      <c r="F167" s="1">
        <f>World!G175</f>
        <v>122</v>
      </c>
      <c r="G167" s="1" t="str">
        <f>World!H175</f>
        <v/>
      </c>
      <c r="H167" s="1">
        <f>World!I175</f>
        <v>2</v>
      </c>
      <c r="I167" s="4">
        <f>World!J175</f>
        <v>1</v>
      </c>
    </row>
    <row r="168">
      <c r="A168" s="1" t="str">
        <f>World!B176</f>
        <v>Syria</v>
      </c>
      <c r="B168" s="1">
        <f>World!C176</f>
        <v>122</v>
      </c>
      <c r="C168" s="1" t="str">
        <f>World!D176</f>
        <v/>
      </c>
      <c r="D168" s="1">
        <f>World!E176</f>
        <v>4</v>
      </c>
      <c r="E168" s="1" t="str">
        <f>World!F176</f>
        <v/>
      </c>
      <c r="F168" s="1">
        <f>World!G176</f>
        <v>43</v>
      </c>
      <c r="G168" s="1" t="str">
        <f>World!H176</f>
        <v/>
      </c>
      <c r="H168" s="1">
        <f>World!I176</f>
        <v>75</v>
      </c>
      <c r="I168" s="4" t="str">
        <f>World!J176</f>
        <v/>
      </c>
    </row>
    <row r="169">
      <c r="A169" s="1" t="str">
        <f>World!B177</f>
        <v>Trinidad and Tobago</v>
      </c>
      <c r="B169" s="1">
        <f>World!C177</f>
        <v>116</v>
      </c>
      <c r="C169" s="1" t="str">
        <f>World!D177</f>
        <v/>
      </c>
      <c r="D169" s="1">
        <f>World!E177</f>
        <v>8</v>
      </c>
      <c r="E169" s="1" t="str">
        <f>World!F177</f>
        <v/>
      </c>
      <c r="F169" s="1">
        <f>World!G177</f>
        <v>108</v>
      </c>
      <c r="G169" s="1" t="str">
        <f>World!H177</f>
        <v/>
      </c>
      <c r="H169" s="1">
        <f>World!I177</f>
        <v>0</v>
      </c>
      <c r="I169" s="4" t="str">
        <f>World!J177</f>
        <v/>
      </c>
    </row>
    <row r="170">
      <c r="A170" s="1" t="str">
        <f>World!B178</f>
        <v>Libya</v>
      </c>
      <c r="B170" s="1">
        <f>World!C178</f>
        <v>105</v>
      </c>
      <c r="C170" s="1" t="str">
        <f>World!D178</f>
        <v/>
      </c>
      <c r="D170" s="1">
        <f>World!E178</f>
        <v>5</v>
      </c>
      <c r="E170" s="1" t="str">
        <f>World!F178</f>
        <v/>
      </c>
      <c r="F170" s="1">
        <f>World!G178</f>
        <v>41</v>
      </c>
      <c r="G170" s="1" t="str">
        <f>World!H178</f>
        <v/>
      </c>
      <c r="H170" s="1">
        <f>World!I178</f>
        <v>59</v>
      </c>
      <c r="I170" s="4" t="str">
        <f>World!J178</f>
        <v/>
      </c>
    </row>
    <row r="171">
      <c r="A171" s="1" t="str">
        <f>World!B179</f>
        <v>Bahamas</v>
      </c>
      <c r="B171" s="1">
        <f>World!C179</f>
        <v>101</v>
      </c>
      <c r="C171" s="1" t="str">
        <f>World!D179</f>
        <v>+1</v>
      </c>
      <c r="D171" s="1">
        <f>World!E179</f>
        <v>11</v>
      </c>
      <c r="E171" s="1" t="str">
        <f>World!F179</f>
        <v/>
      </c>
      <c r="F171" s="1">
        <f>World!G179</f>
        <v>47</v>
      </c>
      <c r="G171" s="1" t="str">
        <f>World!H179</f>
        <v>+1</v>
      </c>
      <c r="H171" s="1">
        <f>World!I179</f>
        <v>43</v>
      </c>
      <c r="I171" s="4">
        <f>World!J179</f>
        <v>1</v>
      </c>
    </row>
    <row r="172">
      <c r="A172" s="1" t="str">
        <f>World!B180</f>
        <v>Aruba</v>
      </c>
      <c r="B172" s="1">
        <f>World!C180</f>
        <v>101</v>
      </c>
      <c r="C172" s="1" t="str">
        <f>World!D180</f>
        <v/>
      </c>
      <c r="D172" s="1">
        <f>World!E180</f>
        <v>3</v>
      </c>
      <c r="E172" s="1" t="str">
        <f>World!F180</f>
        <v/>
      </c>
      <c r="F172" s="1">
        <f>World!G180</f>
        <v>98</v>
      </c>
      <c r="G172" s="1" t="str">
        <f>World!H180</f>
        <v/>
      </c>
      <c r="H172" s="1">
        <f>World!I180</f>
        <v>0</v>
      </c>
      <c r="I172" s="4" t="str">
        <f>World!J180</f>
        <v/>
      </c>
    </row>
    <row r="173">
      <c r="A173" s="1" t="str">
        <f>World!B181</f>
        <v>Monaco</v>
      </c>
      <c r="B173" s="1">
        <f>World!C181</f>
        <v>98</v>
      </c>
      <c r="C173" s="1" t="str">
        <f>World!D181</f>
        <v/>
      </c>
      <c r="D173" s="1">
        <f>World!E181</f>
        <v>4</v>
      </c>
      <c r="E173" s="1" t="str">
        <f>World!F181</f>
        <v/>
      </c>
      <c r="F173" s="1">
        <f>World!G181</f>
        <v>90</v>
      </c>
      <c r="G173" s="1" t="str">
        <f>World!H181</f>
        <v/>
      </c>
      <c r="H173" s="1">
        <f>World!I181</f>
        <v>4</v>
      </c>
      <c r="I173" s="4">
        <f>World!J181</f>
        <v>2</v>
      </c>
    </row>
    <row r="174">
      <c r="A174" s="1" t="str">
        <f>World!B182</f>
        <v>Barbados</v>
      </c>
      <c r="B174" s="1">
        <f>World!C182</f>
        <v>92</v>
      </c>
      <c r="C174" s="1" t="str">
        <f>World!D182</f>
        <v/>
      </c>
      <c r="D174" s="1">
        <f>World!E182</f>
        <v>7</v>
      </c>
      <c r="E174" s="1" t="str">
        <f>World!F182</f>
        <v/>
      </c>
      <c r="F174" s="1">
        <f>World!G182</f>
        <v>76</v>
      </c>
      <c r="G174" s="1" t="str">
        <f>World!H182</f>
        <v/>
      </c>
      <c r="H174" s="1">
        <f>World!I182</f>
        <v>9</v>
      </c>
      <c r="I174" s="4">
        <f>World!J182</f>
        <v>1</v>
      </c>
    </row>
    <row r="175">
      <c r="A175" s="1" t="str">
        <f>World!B183</f>
        <v>Comoros</v>
      </c>
      <c r="B175" s="1">
        <f>World!C183</f>
        <v>87</v>
      </c>
      <c r="C175" s="1" t="str">
        <f>World!D183</f>
        <v/>
      </c>
      <c r="D175" s="1">
        <f>World!E183</f>
        <v>2</v>
      </c>
      <c r="E175" s="1" t="str">
        <f>World!F183</f>
        <v/>
      </c>
      <c r="F175" s="1">
        <f>World!G183</f>
        <v>24</v>
      </c>
      <c r="G175" s="1" t="str">
        <f>World!H183</f>
        <v/>
      </c>
      <c r="H175" s="1">
        <f>World!I183</f>
        <v>61</v>
      </c>
      <c r="I175" s="4" t="str">
        <f>World!J183</f>
        <v/>
      </c>
    </row>
    <row r="176">
      <c r="A176" s="1" t="str">
        <f>World!B184</f>
        <v>Liechtenstein</v>
      </c>
      <c r="B176" s="1">
        <f>World!C184</f>
        <v>82</v>
      </c>
      <c r="C176" s="1" t="str">
        <f>World!D184</f>
        <v/>
      </c>
      <c r="D176" s="1">
        <f>World!E184</f>
        <v>1</v>
      </c>
      <c r="E176" s="1" t="str">
        <f>World!F184</f>
        <v/>
      </c>
      <c r="F176" s="1">
        <f>World!G184</f>
        <v>55</v>
      </c>
      <c r="G176" s="1" t="str">
        <f>World!H184</f>
        <v/>
      </c>
      <c r="H176" s="1">
        <f>World!I184</f>
        <v>26</v>
      </c>
      <c r="I176" s="4" t="str">
        <f>World!J184</f>
        <v/>
      </c>
    </row>
    <row r="177">
      <c r="A177" s="1" t="str">
        <f>World!B185</f>
        <v>Sint Maarten</v>
      </c>
      <c r="B177" s="1">
        <f>World!C185</f>
        <v>77</v>
      </c>
      <c r="C177" s="1" t="str">
        <f>World!D185</f>
        <v/>
      </c>
      <c r="D177" s="1">
        <f>World!E185</f>
        <v>15</v>
      </c>
      <c r="E177" s="1" t="str">
        <f>World!F185</f>
        <v/>
      </c>
      <c r="F177" s="1">
        <f>World!G185</f>
        <v>60</v>
      </c>
      <c r="G177" s="1" t="str">
        <f>World!H185</f>
        <v/>
      </c>
      <c r="H177" s="1">
        <f>World!I185</f>
        <v>2</v>
      </c>
      <c r="I177" s="4">
        <f>World!J185</f>
        <v>1</v>
      </c>
    </row>
    <row r="178">
      <c r="A178" s="1" t="str">
        <f>World!B186</f>
        <v>Angola</v>
      </c>
      <c r="B178" s="1">
        <f>World!C186</f>
        <v>74</v>
      </c>
      <c r="C178" s="1" t="str">
        <f>World!D186</f>
        <v/>
      </c>
      <c r="D178" s="1">
        <f>World!E186</f>
        <v>4</v>
      </c>
      <c r="E178" s="1" t="str">
        <f>World!F186</f>
        <v/>
      </c>
      <c r="F178" s="1">
        <f>World!G186</f>
        <v>18</v>
      </c>
      <c r="G178" s="1" t="str">
        <f>World!H186</f>
        <v/>
      </c>
      <c r="H178" s="1">
        <f>World!I186</f>
        <v>52</v>
      </c>
      <c r="I178" s="4" t="str">
        <f>World!J186</f>
        <v/>
      </c>
    </row>
    <row r="179">
      <c r="A179" s="1" t="str">
        <f>World!B187</f>
        <v>French Polynesia</v>
      </c>
      <c r="B179" s="1">
        <f>World!C187</f>
        <v>60</v>
      </c>
      <c r="C179" s="1" t="str">
        <f>World!D187</f>
        <v/>
      </c>
      <c r="D179" s="1" t="str">
        <f>World!E187</f>
        <v/>
      </c>
      <c r="E179" s="1" t="str">
        <f>World!F187</f>
        <v/>
      </c>
      <c r="F179" s="1">
        <f>World!G187</f>
        <v>60</v>
      </c>
      <c r="G179" s="1" t="str">
        <f>World!H187</f>
        <v/>
      </c>
      <c r="H179" s="1">
        <f>World!I187</f>
        <v>0</v>
      </c>
      <c r="I179" s="4" t="str">
        <f>World!J187</f>
        <v/>
      </c>
    </row>
    <row r="180">
      <c r="A180" s="1" t="str">
        <f>World!B188</f>
        <v>Macao</v>
      </c>
      <c r="B180" s="1">
        <f>World!C188</f>
        <v>45</v>
      </c>
      <c r="C180" s="1" t="str">
        <f>World!D188</f>
        <v/>
      </c>
      <c r="D180" s="1" t="str">
        <f>World!E188</f>
        <v/>
      </c>
      <c r="E180" s="1" t="str">
        <f>World!F188</f>
        <v/>
      </c>
      <c r="F180" s="1">
        <f>World!G188</f>
        <v>45</v>
      </c>
      <c r="G180" s="1" t="str">
        <f>World!H188</f>
        <v/>
      </c>
      <c r="H180" s="1">
        <f>World!I188</f>
        <v>0</v>
      </c>
      <c r="I180" s="4" t="str">
        <f>World!J188</f>
        <v/>
      </c>
    </row>
    <row r="181">
      <c r="A181" s="1" t="str">
        <f>World!B189</f>
        <v>Burundi</v>
      </c>
      <c r="B181" s="1">
        <f>World!C189</f>
        <v>42</v>
      </c>
      <c r="C181" s="1" t="str">
        <f>World!D189</f>
        <v/>
      </c>
      <c r="D181" s="1">
        <f>World!E189</f>
        <v>1</v>
      </c>
      <c r="E181" s="1" t="str">
        <f>World!F189</f>
        <v/>
      </c>
      <c r="F181" s="1">
        <f>World!G189</f>
        <v>20</v>
      </c>
      <c r="G181" s="1" t="str">
        <f>World!H189</f>
        <v/>
      </c>
      <c r="H181" s="1">
        <f>World!I189</f>
        <v>21</v>
      </c>
      <c r="I181" s="4" t="str">
        <f>World!J189</f>
        <v/>
      </c>
    </row>
    <row r="182">
      <c r="A182" s="1" t="str">
        <f>World!B190</f>
        <v>Saint Martin</v>
      </c>
      <c r="B182" s="1">
        <f>World!C190</f>
        <v>40</v>
      </c>
      <c r="C182" s="1" t="str">
        <f>World!D190</f>
        <v/>
      </c>
      <c r="D182" s="1">
        <f>World!E190</f>
        <v>3</v>
      </c>
      <c r="E182" s="1" t="str">
        <f>World!F190</f>
        <v/>
      </c>
      <c r="F182" s="1">
        <f>World!G190</f>
        <v>33</v>
      </c>
      <c r="G182" s="1" t="str">
        <f>World!H190</f>
        <v/>
      </c>
      <c r="H182" s="1">
        <f>World!I190</f>
        <v>4</v>
      </c>
      <c r="I182" s="4">
        <f>World!J190</f>
        <v>1</v>
      </c>
    </row>
    <row r="183">
      <c r="A183" s="1" t="str">
        <f>World!B191</f>
        <v>Eritrea</v>
      </c>
      <c r="B183" s="1">
        <f>World!C191</f>
        <v>39</v>
      </c>
      <c r="C183" s="1" t="str">
        <f>World!D191</f>
        <v/>
      </c>
      <c r="D183" s="1" t="str">
        <f>World!E191</f>
        <v/>
      </c>
      <c r="E183" s="1" t="str">
        <f>World!F191</f>
        <v/>
      </c>
      <c r="F183" s="1">
        <f>World!G191</f>
        <v>39</v>
      </c>
      <c r="G183" s="1" t="str">
        <f>World!H191</f>
        <v/>
      </c>
      <c r="H183" s="1">
        <f>World!I191</f>
        <v>0</v>
      </c>
      <c r="I183" s="4" t="str">
        <f>World!J191</f>
        <v/>
      </c>
    </row>
    <row r="184">
      <c r="A184" s="1" t="str">
        <f>World!B192</f>
        <v>Botswana</v>
      </c>
      <c r="B184" s="1">
        <f>World!C192</f>
        <v>35</v>
      </c>
      <c r="C184" s="1" t="str">
        <f>World!D192</f>
        <v/>
      </c>
      <c r="D184" s="1">
        <f>World!E192</f>
        <v>1</v>
      </c>
      <c r="E184" s="1" t="str">
        <f>World!F192</f>
        <v/>
      </c>
      <c r="F184" s="1">
        <f>World!G192</f>
        <v>20</v>
      </c>
      <c r="G184" s="1" t="str">
        <f>World!H192</f>
        <v/>
      </c>
      <c r="H184" s="1">
        <f>World!I192</f>
        <v>14</v>
      </c>
      <c r="I184" s="4" t="str">
        <f>World!J192</f>
        <v/>
      </c>
    </row>
    <row r="185">
      <c r="A185" s="1" t="str">
        <f>World!B193</f>
        <v>Bhutan</v>
      </c>
      <c r="B185" s="1">
        <f>World!C193</f>
        <v>31</v>
      </c>
      <c r="C185" s="1" t="str">
        <f>World!D193</f>
        <v/>
      </c>
      <c r="D185" s="1" t="str">
        <f>World!E193</f>
        <v/>
      </c>
      <c r="E185" s="1" t="str">
        <f>World!F193</f>
        <v/>
      </c>
      <c r="F185" s="1">
        <f>World!G193</f>
        <v>6</v>
      </c>
      <c r="G185" s="1" t="str">
        <f>World!H193</f>
        <v/>
      </c>
      <c r="H185" s="1">
        <f>World!I193</f>
        <v>25</v>
      </c>
      <c r="I185" s="4" t="str">
        <f>World!J193</f>
        <v/>
      </c>
    </row>
    <row r="186">
      <c r="A186" s="1" t="str">
        <f>World!B194</f>
        <v>Antigua and Barbuda</v>
      </c>
      <c r="B186" s="1">
        <f>World!C194</f>
        <v>25</v>
      </c>
      <c r="C186" s="1" t="str">
        <f>World!D194</f>
        <v/>
      </c>
      <c r="D186" s="1">
        <f>World!E194</f>
        <v>3</v>
      </c>
      <c r="E186" s="1" t="str">
        <f>World!F194</f>
        <v/>
      </c>
      <c r="F186" s="1">
        <f>World!G194</f>
        <v>19</v>
      </c>
      <c r="G186" s="1" t="str">
        <f>World!H194</f>
        <v/>
      </c>
      <c r="H186" s="1">
        <f>World!I194</f>
        <v>3</v>
      </c>
      <c r="I186" s="4">
        <f>World!J194</f>
        <v>1</v>
      </c>
    </row>
    <row r="187">
      <c r="A187" s="1" t="str">
        <f>World!B195</f>
        <v>Gambia</v>
      </c>
      <c r="B187" s="1">
        <f>World!C195</f>
        <v>25</v>
      </c>
      <c r="C187" s="1" t="str">
        <f>World!D195</f>
        <v/>
      </c>
      <c r="D187" s="1">
        <f>World!E195</f>
        <v>1</v>
      </c>
      <c r="E187" s="1" t="str">
        <f>World!F195</f>
        <v/>
      </c>
      <c r="F187" s="1">
        <f>World!G195</f>
        <v>19</v>
      </c>
      <c r="G187" s="1" t="str">
        <f>World!H195</f>
        <v/>
      </c>
      <c r="H187" s="1">
        <f>World!I195</f>
        <v>5</v>
      </c>
      <c r="I187" s="4" t="str">
        <f>World!J195</f>
        <v/>
      </c>
    </row>
    <row r="188">
      <c r="A188" s="1" t="str">
        <f>World!B196</f>
        <v>St. Vincent Grenadines</v>
      </c>
      <c r="B188" s="1">
        <f>World!C196</f>
        <v>25</v>
      </c>
      <c r="C188" s="1" t="str">
        <f>World!D196</f>
        <v/>
      </c>
      <c r="D188" s="1" t="str">
        <f>World!E196</f>
        <v/>
      </c>
      <c r="E188" s="1" t="str">
        <f>World!F196</f>
        <v/>
      </c>
      <c r="F188" s="1">
        <f>World!G196</f>
        <v>14</v>
      </c>
      <c r="G188" s="1" t="str">
        <f>World!H196</f>
        <v/>
      </c>
      <c r="H188" s="1">
        <f>World!I196</f>
        <v>11</v>
      </c>
      <c r="I188" s="4" t="str">
        <f>World!J196</f>
        <v/>
      </c>
    </row>
    <row r="189">
      <c r="A189" s="1" t="str">
        <f>World!B197</f>
        <v>Timor-Leste</v>
      </c>
      <c r="B189" s="1">
        <f>World!C197</f>
        <v>24</v>
      </c>
      <c r="C189" s="1" t="str">
        <f>World!D197</f>
        <v/>
      </c>
      <c r="D189" s="1" t="str">
        <f>World!E197</f>
        <v/>
      </c>
      <c r="E189" s="1" t="str">
        <f>World!F197</f>
        <v/>
      </c>
      <c r="F189" s="1">
        <f>World!G197</f>
        <v>24</v>
      </c>
      <c r="G189" s="1" t="str">
        <f>World!H197</f>
        <v/>
      </c>
      <c r="H189" s="1">
        <f>World!I197</f>
        <v>0</v>
      </c>
      <c r="I189" s="4" t="str">
        <f>World!J197</f>
        <v/>
      </c>
    </row>
    <row r="190">
      <c r="A190" s="1" t="str">
        <f>World!B198</f>
        <v>Grenada</v>
      </c>
      <c r="B190" s="1">
        <f>World!C198</f>
        <v>23</v>
      </c>
      <c r="C190" s="1" t="str">
        <f>World!D198</f>
        <v/>
      </c>
      <c r="D190" s="1" t="str">
        <f>World!E198</f>
        <v/>
      </c>
      <c r="E190" s="1" t="str">
        <f>World!F198</f>
        <v/>
      </c>
      <c r="F190" s="1">
        <f>World!G198</f>
        <v>18</v>
      </c>
      <c r="G190" s="1" t="str">
        <f>World!H198</f>
        <v/>
      </c>
      <c r="H190" s="1">
        <f>World!I198</f>
        <v>5</v>
      </c>
      <c r="I190" s="4">
        <f>World!J198</f>
        <v>4</v>
      </c>
    </row>
    <row r="191">
      <c r="A191" s="1" t="str">
        <f>World!B199</f>
        <v>Namibia</v>
      </c>
      <c r="B191" s="1">
        <f>World!C199</f>
        <v>22</v>
      </c>
      <c r="C191" s="1" t="str">
        <f>World!D199</f>
        <v/>
      </c>
      <c r="D191" s="1" t="str">
        <f>World!E199</f>
        <v/>
      </c>
      <c r="E191" s="1" t="str">
        <f>World!F199</f>
        <v/>
      </c>
      <c r="F191" s="1">
        <f>World!G199</f>
        <v>14</v>
      </c>
      <c r="G191" s="1" t="str">
        <f>World!H199</f>
        <v/>
      </c>
      <c r="H191" s="1">
        <f>World!I199</f>
        <v>8</v>
      </c>
      <c r="I191" s="4" t="str">
        <f>World!J199</f>
        <v/>
      </c>
    </row>
    <row r="192">
      <c r="A192" s="1" t="str">
        <f>World!B200</f>
        <v>Laos</v>
      </c>
      <c r="B192" s="1">
        <f>World!C200</f>
        <v>19</v>
      </c>
      <c r="C192" s="1" t="str">
        <f>World!D200</f>
        <v/>
      </c>
      <c r="D192" s="1" t="str">
        <f>World!E200</f>
        <v/>
      </c>
      <c r="E192" s="1" t="str">
        <f>World!F200</f>
        <v/>
      </c>
      <c r="F192" s="1">
        <f>World!G200</f>
        <v>16</v>
      </c>
      <c r="G192" s="1" t="str">
        <f>World!H200</f>
        <v/>
      </c>
      <c r="H192" s="1">
        <f>World!I200</f>
        <v>3</v>
      </c>
      <c r="I192" s="4" t="str">
        <f>World!J200</f>
        <v/>
      </c>
    </row>
    <row r="193">
      <c r="A193" s="1" t="str">
        <f>World!B201</f>
        <v>New Caledonia</v>
      </c>
      <c r="B193" s="1">
        <f>World!C201</f>
        <v>19</v>
      </c>
      <c r="C193" s="1" t="str">
        <f>World!D201</f>
        <v/>
      </c>
      <c r="D193" s="1" t="str">
        <f>World!E201</f>
        <v/>
      </c>
      <c r="E193" s="1" t="str">
        <f>World!F201</f>
        <v/>
      </c>
      <c r="F193" s="1">
        <f>World!G201</f>
        <v>18</v>
      </c>
      <c r="G193" s="1" t="str">
        <f>World!H201</f>
        <v/>
      </c>
      <c r="H193" s="1">
        <f>World!I201</f>
        <v>1</v>
      </c>
      <c r="I193" s="4" t="str">
        <f>World!J201</f>
        <v/>
      </c>
    </row>
    <row r="194">
      <c r="A194" s="1" t="str">
        <f>World!B202</f>
        <v>Belize</v>
      </c>
      <c r="B194" s="1">
        <f>World!C202</f>
        <v>18</v>
      </c>
      <c r="C194" s="1" t="str">
        <f>World!D202</f>
        <v/>
      </c>
      <c r="D194" s="1">
        <f>World!E202</f>
        <v>2</v>
      </c>
      <c r="E194" s="1" t="str">
        <f>World!F202</f>
        <v/>
      </c>
      <c r="F194" s="1">
        <f>World!G202</f>
        <v>16</v>
      </c>
      <c r="G194" s="1" t="str">
        <f>World!H202</f>
        <v/>
      </c>
      <c r="H194" s="1">
        <f>World!I202</f>
        <v>0</v>
      </c>
      <c r="I194" s="4" t="str">
        <f>World!J202</f>
        <v/>
      </c>
    </row>
    <row r="195">
      <c r="A195" s="1" t="str">
        <f>World!B203</f>
        <v>Curaçao</v>
      </c>
      <c r="B195" s="1">
        <f>World!C203</f>
        <v>18</v>
      </c>
      <c r="C195" s="1" t="str">
        <f>World!D203</f>
        <v/>
      </c>
      <c r="D195" s="1">
        <f>World!E203</f>
        <v>1</v>
      </c>
      <c r="E195" s="1" t="str">
        <f>World!F203</f>
        <v/>
      </c>
      <c r="F195" s="1">
        <f>World!G203</f>
        <v>14</v>
      </c>
      <c r="G195" s="1" t="str">
        <f>World!H203</f>
        <v/>
      </c>
      <c r="H195" s="1">
        <f>World!I203</f>
        <v>3</v>
      </c>
      <c r="I195" s="4" t="str">
        <f>World!J203</f>
        <v/>
      </c>
    </row>
    <row r="196">
      <c r="A196" s="1" t="str">
        <f>World!B204</f>
        <v>Fiji</v>
      </c>
      <c r="B196" s="1">
        <f>World!C204</f>
        <v>18</v>
      </c>
      <c r="C196" s="1" t="str">
        <f>World!D204</f>
        <v/>
      </c>
      <c r="D196" s="1" t="str">
        <f>World!E204</f>
        <v/>
      </c>
      <c r="E196" s="1" t="str">
        <f>World!F204</f>
        <v/>
      </c>
      <c r="F196" s="1">
        <f>World!G204</f>
        <v>15</v>
      </c>
      <c r="G196" s="1" t="str">
        <f>World!H204</f>
        <v/>
      </c>
      <c r="H196" s="1">
        <f>World!I204</f>
        <v>3</v>
      </c>
      <c r="I196" s="4" t="str">
        <f>World!J204</f>
        <v/>
      </c>
    </row>
    <row r="197">
      <c r="A197" s="1" t="str">
        <f>World!B205</f>
        <v>Saint Lucia</v>
      </c>
      <c r="B197" s="1">
        <f>World!C205</f>
        <v>18</v>
      </c>
      <c r="C197" s="1" t="str">
        <f>World!D205</f>
        <v/>
      </c>
      <c r="D197" s="1" t="str">
        <f>World!E205</f>
        <v/>
      </c>
      <c r="E197" s="1" t="str">
        <f>World!F205</f>
        <v/>
      </c>
      <c r="F197" s="1">
        <f>World!G205</f>
        <v>18</v>
      </c>
      <c r="G197" s="1" t="str">
        <f>World!H205</f>
        <v/>
      </c>
      <c r="H197" s="1">
        <f>World!I205</f>
        <v>0</v>
      </c>
      <c r="I197" s="4" t="str">
        <f>World!J205</f>
        <v/>
      </c>
    </row>
    <row r="198">
      <c r="A198" s="1" t="str">
        <f>World!B206</f>
        <v>Dominica</v>
      </c>
      <c r="B198" s="1">
        <f>World!C206</f>
        <v>16</v>
      </c>
      <c r="C198" s="1" t="str">
        <f>World!D206</f>
        <v/>
      </c>
      <c r="D198" s="1" t="str">
        <f>World!E206</f>
        <v/>
      </c>
      <c r="E198" s="1" t="str">
        <f>World!F206</f>
        <v/>
      </c>
      <c r="F198" s="1">
        <f>World!G206</f>
        <v>16</v>
      </c>
      <c r="G198" s="1" t="str">
        <f>World!H206</f>
        <v/>
      </c>
      <c r="H198" s="1">
        <f>World!I206</f>
        <v>0</v>
      </c>
      <c r="I198" s="4" t="str">
        <f>World!J206</f>
        <v/>
      </c>
    </row>
    <row r="199">
      <c r="A199" s="1" t="str">
        <f>World!B207</f>
        <v>Saint Kitts and Nevis</v>
      </c>
      <c r="B199" s="1">
        <f>World!C207</f>
        <v>15</v>
      </c>
      <c r="C199" s="1" t="str">
        <f>World!D207</f>
        <v/>
      </c>
      <c r="D199" s="1" t="str">
        <f>World!E207</f>
        <v/>
      </c>
      <c r="E199" s="1" t="str">
        <f>World!F207</f>
        <v/>
      </c>
      <c r="F199" s="1">
        <f>World!G207</f>
        <v>15</v>
      </c>
      <c r="G199" s="1" t="str">
        <f>World!H207</f>
        <v/>
      </c>
      <c r="H199" s="1">
        <f>World!I207</f>
        <v>0</v>
      </c>
      <c r="I199" s="4" t="str">
        <f>World!J207</f>
        <v/>
      </c>
    </row>
    <row r="200">
      <c r="A200" s="1" t="str">
        <f>World!B208</f>
        <v>Falkland Islands</v>
      </c>
      <c r="B200" s="1">
        <f>World!C208</f>
        <v>13</v>
      </c>
      <c r="C200" s="1" t="str">
        <f>World!D208</f>
        <v/>
      </c>
      <c r="D200" s="1" t="str">
        <f>World!E208</f>
        <v/>
      </c>
      <c r="E200" s="1" t="str">
        <f>World!F208</f>
        <v/>
      </c>
      <c r="F200" s="1">
        <f>World!G208</f>
        <v>13</v>
      </c>
      <c r="G200" s="1" t="str">
        <f>World!H208</f>
        <v/>
      </c>
      <c r="H200" s="1">
        <f>World!I208</f>
        <v>0</v>
      </c>
      <c r="I200" s="4" t="str">
        <f>World!J208</f>
        <v/>
      </c>
    </row>
    <row r="201">
      <c r="A201" s="1" t="str">
        <f>World!B209</f>
        <v>Greenland</v>
      </c>
      <c r="B201" s="1">
        <f>World!C209</f>
        <v>13</v>
      </c>
      <c r="C201" s="1" t="str">
        <f>World!D209</f>
        <v/>
      </c>
      <c r="D201" s="1" t="str">
        <f>World!E209</f>
        <v/>
      </c>
      <c r="E201" s="1" t="str">
        <f>World!F209</f>
        <v/>
      </c>
      <c r="F201" s="1">
        <f>World!G209</f>
        <v>11</v>
      </c>
      <c r="G201" s="1" t="str">
        <f>World!H209</f>
        <v/>
      </c>
      <c r="H201" s="1">
        <f>World!I209</f>
        <v>2</v>
      </c>
      <c r="I201" s="4" t="str">
        <f>World!J209</f>
        <v/>
      </c>
    </row>
    <row r="202">
      <c r="A202" s="1" t="str">
        <f>World!B210</f>
        <v>Suriname</v>
      </c>
      <c r="B202" s="1">
        <f>World!C210</f>
        <v>12</v>
      </c>
      <c r="C202" s="1" t="str">
        <f>World!D210</f>
        <v/>
      </c>
      <c r="D202" s="1">
        <f>World!E210</f>
        <v>1</v>
      </c>
      <c r="E202" s="1" t="str">
        <f>World!F210</f>
        <v/>
      </c>
      <c r="F202" s="1">
        <f>World!G210</f>
        <v>9</v>
      </c>
      <c r="G202" s="1" t="str">
        <f>World!H210</f>
        <v/>
      </c>
      <c r="H202" s="1">
        <f>World!I210</f>
        <v>2</v>
      </c>
      <c r="I202" s="4" t="str">
        <f>World!J210</f>
        <v/>
      </c>
    </row>
    <row r="203">
      <c r="A203" s="1" t="str">
        <f>World!B211</f>
        <v>Turks and Caicos</v>
      </c>
      <c r="B203" s="1">
        <f>World!C211</f>
        <v>12</v>
      </c>
      <c r="C203" s="1" t="str">
        <f>World!D211</f>
        <v/>
      </c>
      <c r="D203" s="1">
        <f>World!E211</f>
        <v>1</v>
      </c>
      <c r="E203" s="1" t="str">
        <f>World!F211</f>
        <v/>
      </c>
      <c r="F203" s="1">
        <f>World!G211</f>
        <v>10</v>
      </c>
      <c r="G203" s="1" t="str">
        <f>World!H211</f>
        <v/>
      </c>
      <c r="H203" s="1">
        <f>World!I211</f>
        <v>1</v>
      </c>
      <c r="I203" s="4" t="str">
        <f>World!J211</f>
        <v/>
      </c>
    </row>
    <row r="204">
      <c r="A204" s="1" t="str">
        <f>World!B212</f>
        <v>Vatican City</v>
      </c>
      <c r="B204" s="1">
        <f>World!C212</f>
        <v>12</v>
      </c>
      <c r="C204" s="1" t="str">
        <f>World!D212</f>
        <v/>
      </c>
      <c r="D204" s="1" t="str">
        <f>World!E212</f>
        <v/>
      </c>
      <c r="E204" s="1" t="str">
        <f>World!F212</f>
        <v/>
      </c>
      <c r="F204" s="1">
        <f>World!G212</f>
        <v>2</v>
      </c>
      <c r="G204" s="1" t="str">
        <f>World!H212</f>
        <v/>
      </c>
      <c r="H204" s="1">
        <f>World!I212</f>
        <v>10</v>
      </c>
      <c r="I204" s="4" t="str">
        <f>World!J212</f>
        <v/>
      </c>
    </row>
    <row r="205">
      <c r="A205" s="1" t="str">
        <f>World!B213</f>
        <v>Montserrat</v>
      </c>
      <c r="B205" s="1">
        <f>World!C213</f>
        <v>11</v>
      </c>
      <c r="C205" s="1" t="str">
        <f>World!D213</f>
        <v/>
      </c>
      <c r="D205" s="1">
        <f>World!E213</f>
        <v>1</v>
      </c>
      <c r="E205" s="1" t="str">
        <f>World!F213</f>
        <v/>
      </c>
      <c r="F205" s="1">
        <f>World!G213</f>
        <v>10</v>
      </c>
      <c r="G205" s="1" t="str">
        <f>World!H213</f>
        <v/>
      </c>
      <c r="H205" s="1">
        <f>World!I213</f>
        <v>0</v>
      </c>
      <c r="I205" s="4" t="str">
        <f>World!J213</f>
        <v/>
      </c>
    </row>
    <row r="206">
      <c r="A206" s="1" t="str">
        <f>World!B214</f>
        <v>Seychelles</v>
      </c>
      <c r="B206" s="1">
        <f>World!C214</f>
        <v>11</v>
      </c>
      <c r="C206" s="1" t="str">
        <f>World!D214</f>
        <v/>
      </c>
      <c r="D206" s="1" t="str">
        <f>World!E214</f>
        <v/>
      </c>
      <c r="E206" s="1" t="str">
        <f>World!F214</f>
        <v/>
      </c>
      <c r="F206" s="1">
        <f>World!G214</f>
        <v>11</v>
      </c>
      <c r="G206" s="1" t="str">
        <f>World!H214</f>
        <v/>
      </c>
      <c r="H206" s="1">
        <f>World!I214</f>
        <v>0</v>
      </c>
      <c r="I206" s="4" t="str">
        <f>World!J214</f>
        <v/>
      </c>
    </row>
    <row r="207">
      <c r="A207" s="1" t="str">
        <f>World!B215</f>
        <v>MS Zaandam</v>
      </c>
      <c r="B207" s="1">
        <f>World!C215</f>
        <v>9</v>
      </c>
      <c r="C207" s="1" t="str">
        <f>World!D215</f>
        <v/>
      </c>
      <c r="D207" s="1">
        <f>World!E215</f>
        <v>2</v>
      </c>
      <c r="E207" s="1" t="str">
        <f>World!F215</f>
        <v/>
      </c>
      <c r="F207" s="1" t="str">
        <f>World!G215</f>
        <v/>
      </c>
      <c r="G207" s="1" t="str">
        <f>World!H215</f>
        <v/>
      </c>
      <c r="H207" s="1">
        <f>World!I215</f>
        <v>7</v>
      </c>
      <c r="I207" s="4" t="str">
        <f>World!J215</f>
        <v/>
      </c>
    </row>
    <row r="208">
      <c r="A208" s="1" t="str">
        <f>World!B216</f>
        <v>Western Sahara</v>
      </c>
      <c r="B208" s="1">
        <f>World!C216</f>
        <v>9</v>
      </c>
      <c r="C208" s="1" t="str">
        <f>World!D216</f>
        <v/>
      </c>
      <c r="D208" s="1">
        <f>World!E216</f>
        <v>1</v>
      </c>
      <c r="E208" s="1" t="str">
        <f>World!F216</f>
        <v/>
      </c>
      <c r="F208" s="1">
        <f>World!G216</f>
        <v>6</v>
      </c>
      <c r="G208" s="1" t="str">
        <f>World!H216</f>
        <v/>
      </c>
      <c r="H208" s="1">
        <f>World!I216</f>
        <v>2</v>
      </c>
      <c r="I208" s="4" t="str">
        <f>World!J216</f>
        <v/>
      </c>
    </row>
    <row r="209">
      <c r="A209" s="1" t="str">
        <f>World!B217</f>
        <v>British Virgin Islands</v>
      </c>
      <c r="B209" s="1">
        <f>World!C217</f>
        <v>8</v>
      </c>
      <c r="C209" s="1" t="str">
        <f>World!D217</f>
        <v/>
      </c>
      <c r="D209" s="1">
        <f>World!E217</f>
        <v>1</v>
      </c>
      <c r="E209" s="1" t="str">
        <f>World!F217</f>
        <v/>
      </c>
      <c r="F209" s="1">
        <f>World!G217</f>
        <v>7</v>
      </c>
      <c r="G209" s="1" t="str">
        <f>World!H217</f>
        <v/>
      </c>
      <c r="H209" s="1">
        <f>World!I217</f>
        <v>0</v>
      </c>
      <c r="I209" s="4" t="str">
        <f>World!J217</f>
        <v/>
      </c>
    </row>
    <row r="210">
      <c r="A210" s="1" t="str">
        <f>World!B218</f>
        <v>Papua New Guinea</v>
      </c>
      <c r="B210" s="1">
        <f>World!C218</f>
        <v>8</v>
      </c>
      <c r="C210" s="1" t="str">
        <f>World!D218</f>
        <v/>
      </c>
      <c r="D210" s="1" t="str">
        <f>World!E218</f>
        <v/>
      </c>
      <c r="E210" s="1" t="str">
        <f>World!F218</f>
        <v/>
      </c>
      <c r="F210" s="1">
        <f>World!G218</f>
        <v>8</v>
      </c>
      <c r="G210" s="1" t="str">
        <f>World!H218</f>
        <v/>
      </c>
      <c r="H210" s="1">
        <f>World!I218</f>
        <v>0</v>
      </c>
      <c r="I210" s="4" t="str">
        <f>World!J218</f>
        <v/>
      </c>
    </row>
    <row r="211">
      <c r="A211" s="1" t="str">
        <f>World!B219</f>
        <v>Caribbean Netherlands</v>
      </c>
      <c r="B211" s="1">
        <f>World!C219</f>
        <v>6</v>
      </c>
      <c r="C211" s="1" t="str">
        <f>World!D219</f>
        <v/>
      </c>
      <c r="D211" s="1" t="str">
        <f>World!E219</f>
        <v/>
      </c>
      <c r="E211" s="1" t="str">
        <f>World!F219</f>
        <v/>
      </c>
      <c r="F211" s="1">
        <f>World!G219</f>
        <v>6</v>
      </c>
      <c r="G211" s="1" t="str">
        <f>World!H219</f>
        <v/>
      </c>
      <c r="H211" s="1">
        <f>World!I219</f>
        <v>0</v>
      </c>
      <c r="I211" s="4" t="str">
        <f>World!J219</f>
        <v/>
      </c>
    </row>
    <row r="212">
      <c r="A212" s="1" t="str">
        <f>World!B220</f>
        <v>St. Barth</v>
      </c>
      <c r="B212" s="1">
        <f>World!C220</f>
        <v>6</v>
      </c>
      <c r="C212" s="1" t="str">
        <f>World!D220</f>
        <v/>
      </c>
      <c r="D212" s="1" t="str">
        <f>World!E220</f>
        <v/>
      </c>
      <c r="E212" s="1" t="str">
        <f>World!F220</f>
        <v/>
      </c>
      <c r="F212" s="1">
        <f>World!G220</f>
        <v>6</v>
      </c>
      <c r="G212" s="1" t="str">
        <f>World!H220</f>
        <v/>
      </c>
      <c r="H212" s="1">
        <f>World!I220</f>
        <v>0</v>
      </c>
      <c r="I212" s="4" t="str">
        <f>World!J220</f>
        <v/>
      </c>
    </row>
    <row r="213">
      <c r="A213" s="1" t="str">
        <f>World!B221</f>
        <v>Anguilla</v>
      </c>
      <c r="B213" s="1">
        <f>World!C221</f>
        <v>3</v>
      </c>
      <c r="C213" s="1" t="str">
        <f>World!D221</f>
        <v/>
      </c>
      <c r="D213" s="1" t="str">
        <f>World!E221</f>
        <v/>
      </c>
      <c r="E213" s="1" t="str">
        <f>World!F221</f>
        <v/>
      </c>
      <c r="F213" s="1">
        <f>World!G221</f>
        <v>3</v>
      </c>
      <c r="G213" s="1" t="str">
        <f>World!H221</f>
        <v/>
      </c>
      <c r="H213" s="1">
        <f>World!I221</f>
        <v>0</v>
      </c>
      <c r="I213" s="4" t="str">
        <f>World!J221</f>
        <v/>
      </c>
    </row>
    <row r="214">
      <c r="A214" s="1" t="str">
        <f>World!B222</f>
        <v>Lesotho</v>
      </c>
      <c r="B214" s="1">
        <f>World!C222</f>
        <v>2</v>
      </c>
      <c r="C214" s="1" t="str">
        <f>World!D222</f>
        <v/>
      </c>
      <c r="D214" s="1" t="str">
        <f>World!E222</f>
        <v/>
      </c>
      <c r="E214" s="1" t="str">
        <f>World!F222</f>
        <v/>
      </c>
      <c r="F214" s="1">
        <f>World!G222</f>
        <v>1</v>
      </c>
      <c r="G214" s="1" t="str">
        <f>World!H222</f>
        <v/>
      </c>
      <c r="H214" s="1">
        <f>World!I222</f>
        <v>1</v>
      </c>
      <c r="I214" s="4" t="str">
        <f>World!J222</f>
        <v/>
      </c>
    </row>
    <row r="215">
      <c r="A215" s="1" t="str">
        <f>World!B223</f>
        <v>Saint Pierre Miquelon</v>
      </c>
      <c r="B215" s="1">
        <f>World!C223</f>
        <v>1</v>
      </c>
      <c r="C215" s="1" t="str">
        <f>World!D223</f>
        <v/>
      </c>
      <c r="D215" s="1" t="str">
        <f>World!E223</f>
        <v/>
      </c>
      <c r="E215" s="1" t="str">
        <f>World!F223</f>
        <v/>
      </c>
      <c r="F215" s="1">
        <f>World!G223</f>
        <v>1</v>
      </c>
      <c r="G215" s="1" t="str">
        <f>World!H223</f>
        <v/>
      </c>
      <c r="H215" s="1">
        <f>World!I223</f>
        <v>0</v>
      </c>
      <c r="I215" s="4" t="str">
        <f>World!J223</f>
        <v/>
      </c>
    </row>
    <row r="216">
      <c r="A216" s="1" t="str">
        <f>World!B224</f>
        <v>China</v>
      </c>
      <c r="B216" s="3">
        <f>World!C224</f>
        <v>82995</v>
      </c>
      <c r="C216" s="1" t="str">
        <f>World!D224</f>
        <v/>
      </c>
      <c r="D216" s="3">
        <f>World!E224</f>
        <v>4634</v>
      </c>
      <c r="E216" s="1" t="str">
        <f>World!F224</f>
        <v/>
      </c>
      <c r="F216" s="3">
        <f>World!G224</f>
        <v>78291</v>
      </c>
      <c r="G216" s="1" t="str">
        <f>World!H224</f>
        <v>+3</v>
      </c>
      <c r="H216" s="1">
        <f>World!I224</f>
        <v>70</v>
      </c>
      <c r="I216" s="4">
        <f>World!J224</f>
        <v>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</cols>
  <sheetData>
    <row r="1">
      <c r="A1" s="1" t="str">
        <f>World!B1</f>
        <v>Country,
Other</v>
      </c>
      <c r="B1" s="1" t="str">
        <f>World!C1</f>
        <v>Total
Cases</v>
      </c>
      <c r="C1" s="1" t="str">
        <f>World!D1</f>
        <v>New
Cases</v>
      </c>
      <c r="D1" s="1" t="str">
        <f>World!E1</f>
        <v>Total
Deaths</v>
      </c>
      <c r="E1" s="1" t="str">
        <f>World!F1</f>
        <v>New
Deaths</v>
      </c>
      <c r="F1" s="1" t="str">
        <f>World!G1</f>
        <v>Total
Recovered</v>
      </c>
      <c r="G1" s="1" t="str">
        <f>World!H1</f>
        <v>New
Recovered</v>
      </c>
      <c r="H1" s="1" t="str">
        <f>World!I1</f>
        <v>Active
Cases</v>
      </c>
      <c r="I1" s="1" t="str">
        <f>World!J1</f>
        <v>Serious,
Critical</v>
      </c>
    </row>
    <row r="2">
      <c r="A2" s="1" t="str">
        <f>World!B2</f>
        <v>North America</v>
      </c>
      <c r="B2" s="3">
        <f>World!C2</f>
        <v>1985003</v>
      </c>
      <c r="C2" s="1" t="str">
        <f>World!D2</f>
        <v>+3,816</v>
      </c>
      <c r="D2" s="3">
        <f>World!E2</f>
        <v>120636</v>
      </c>
      <c r="E2" s="1" t="str">
        <f>World!F2</f>
        <v>+462</v>
      </c>
      <c r="F2" s="3">
        <f>World!G2</f>
        <v>624660</v>
      </c>
      <c r="G2" s="1" t="str">
        <f>World!H2</f>
        <v>+2,359</v>
      </c>
      <c r="H2" s="3">
        <f>World!I2</f>
        <v>1239707</v>
      </c>
      <c r="I2" s="3">
        <f>World!J2</f>
        <v>19458</v>
      </c>
    </row>
    <row r="3">
      <c r="A3" s="1" t="str">
        <f>World!B3</f>
        <v>South America</v>
      </c>
      <c r="B3" s="3">
        <f>World!C3</f>
        <v>758107</v>
      </c>
      <c r="C3" s="1" t="str">
        <f>World!D3</f>
        <v>+619</v>
      </c>
      <c r="D3" s="3">
        <f>World!E3</f>
        <v>36746</v>
      </c>
      <c r="E3" s="1" t="str">
        <f>World!F3</f>
        <v>+13</v>
      </c>
      <c r="F3" s="3">
        <f>World!G3</f>
        <v>320826</v>
      </c>
      <c r="G3" s="1" t="str">
        <f>World!H3</f>
        <v>+49</v>
      </c>
      <c r="H3" s="3">
        <f>World!I3</f>
        <v>400535</v>
      </c>
      <c r="I3" s="3">
        <f>World!J3</f>
        <v>11077</v>
      </c>
    </row>
    <row r="4">
      <c r="A4" s="1" t="str">
        <f>World!B4</f>
        <v>Europe</v>
      </c>
      <c r="B4" s="3">
        <f>World!C4</f>
        <v>1969899</v>
      </c>
      <c r="C4" s="1" t="str">
        <f>World!D4</f>
        <v/>
      </c>
      <c r="D4" s="3">
        <f>World!E4</f>
        <v>171568</v>
      </c>
      <c r="E4" s="1" t="str">
        <f>World!F4</f>
        <v/>
      </c>
      <c r="F4" s="3">
        <f>World!G4</f>
        <v>948496</v>
      </c>
      <c r="G4" s="1" t="str">
        <f>World!H4</f>
        <v/>
      </c>
      <c r="H4" s="3">
        <f>World!I4</f>
        <v>849835</v>
      </c>
      <c r="I4" s="3">
        <f>World!J4</f>
        <v>9377</v>
      </c>
    </row>
    <row r="5">
      <c r="A5" s="1" t="str">
        <f>World!B5</f>
        <v>Asia</v>
      </c>
      <c r="B5" s="3">
        <f>World!C5</f>
        <v>1051755</v>
      </c>
      <c r="C5" s="1" t="str">
        <f>World!D5</f>
        <v>+489</v>
      </c>
      <c r="D5" s="3">
        <f>World!E5</f>
        <v>29120</v>
      </c>
      <c r="E5" s="1" t="str">
        <f>World!F5</f>
        <v/>
      </c>
      <c r="F5" s="3">
        <f>World!G5</f>
        <v>621956</v>
      </c>
      <c r="G5" s="1" t="str">
        <f>World!H5</f>
        <v>+212</v>
      </c>
      <c r="H5" s="3">
        <f>World!I5</f>
        <v>400679</v>
      </c>
      <c r="I5" s="3">
        <f>World!J5</f>
        <v>13699</v>
      </c>
    </row>
    <row r="6">
      <c r="A6" s="1" t="str">
        <f>World!B6</f>
        <v>Africa</v>
      </c>
      <c r="B6" s="3">
        <f>World!C6</f>
        <v>131587</v>
      </c>
      <c r="C6" s="1" t="str">
        <f>World!D6</f>
        <v/>
      </c>
      <c r="D6" s="3">
        <f>World!E6</f>
        <v>3814</v>
      </c>
      <c r="E6" s="1" t="str">
        <f>World!F6</f>
        <v/>
      </c>
      <c r="F6" s="3">
        <f>World!G6</f>
        <v>55126</v>
      </c>
      <c r="G6" s="1" t="str">
        <f>World!H6</f>
        <v/>
      </c>
      <c r="H6" s="3">
        <f>World!I6</f>
        <v>72647</v>
      </c>
      <c r="I6" s="1">
        <f>World!J6</f>
        <v>352</v>
      </c>
    </row>
    <row r="7">
      <c r="A7" s="1" t="str">
        <f>World!B7</f>
        <v>Oceania</v>
      </c>
      <c r="B7" s="3">
        <f>World!C7</f>
        <v>8774</v>
      </c>
      <c r="C7" s="1" t="str">
        <f>World!D7</f>
        <v>+15</v>
      </c>
      <c r="D7" s="1">
        <f>World!E7</f>
        <v>125</v>
      </c>
      <c r="E7" s="1" t="str">
        <f>World!F7</f>
        <v/>
      </c>
      <c r="F7" s="3">
        <f>World!G7</f>
        <v>8162</v>
      </c>
      <c r="G7" s="1" t="str">
        <f>World!H7</f>
        <v>+7</v>
      </c>
      <c r="H7" s="1">
        <f>World!I7</f>
        <v>487</v>
      </c>
      <c r="I7" s="1">
        <f>World!J7</f>
        <v>5</v>
      </c>
    </row>
    <row r="8">
      <c r="A8" s="1" t="str">
        <f>World!B9</f>
        <v>World</v>
      </c>
      <c r="B8" s="3">
        <f>World!C9</f>
        <v>5905846</v>
      </c>
      <c r="C8" s="1" t="str">
        <f>World!D9</f>
        <v>+4,939</v>
      </c>
      <c r="D8" s="3">
        <f>World!E9</f>
        <v>362024</v>
      </c>
      <c r="E8" s="1" t="str">
        <f>World!F9</f>
        <v>+475</v>
      </c>
      <c r="F8" s="3">
        <f>World!G9</f>
        <v>2579877</v>
      </c>
      <c r="G8" s="1" t="str">
        <f>World!H9</f>
        <v>+2,627</v>
      </c>
      <c r="H8" s="3">
        <f>World!I9</f>
        <v>2963945</v>
      </c>
      <c r="I8" s="3">
        <f>World!J9</f>
        <v>53972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6" t="s">
        <v>1</v>
      </c>
      <c r="B1" s="6" t="s">
        <v>2</v>
      </c>
      <c r="C1" s="4" t="s">
        <v>3</v>
      </c>
    </row>
    <row r="2">
      <c r="A2" s="6" t="s">
        <v>4</v>
      </c>
      <c r="B2" s="4" t="s">
        <v>5</v>
      </c>
      <c r="C2" s="7" t="s">
        <v>6</v>
      </c>
    </row>
  </sheetData>
  <hyperlinks>
    <hyperlink r:id="rId1" ref="C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</row>
    <row r="2">
      <c r="B2" s="8">
        <v>43980.17316851852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1" t="s">
        <v>9</v>
      </c>
      <c r="B1" s="1" t="s">
        <v>10</v>
      </c>
    </row>
    <row r="2">
      <c r="A2" s="1" t="s">
        <v>11</v>
      </c>
      <c r="B2" s="1" t="s">
        <v>12</v>
      </c>
    </row>
    <row r="3">
      <c r="A3" s="1" t="s">
        <v>13</v>
      </c>
      <c r="B3" s="1" t="s">
        <v>14</v>
      </c>
    </row>
    <row r="4">
      <c r="A4" s="1" t="s">
        <v>15</v>
      </c>
      <c r="B4" s="1" t="s">
        <v>16</v>
      </c>
    </row>
    <row r="5">
      <c r="A5" s="1" t="s">
        <v>17</v>
      </c>
      <c r="B5" s="1" t="s">
        <v>18</v>
      </c>
    </row>
    <row r="6">
      <c r="A6" s="1" t="s">
        <v>19</v>
      </c>
      <c r="B6" s="1" t="s">
        <v>20</v>
      </c>
    </row>
    <row r="7">
      <c r="A7" s="1" t="s">
        <v>21</v>
      </c>
      <c r="B7" s="1" t="s">
        <v>22</v>
      </c>
    </row>
    <row r="8">
      <c r="A8" s="1" t="s">
        <v>23</v>
      </c>
      <c r="B8" s="1" t="s">
        <v>24</v>
      </c>
    </row>
    <row r="9">
      <c r="A9" s="1" t="s">
        <v>25</v>
      </c>
      <c r="B9" s="1" t="s">
        <v>26</v>
      </c>
    </row>
    <row r="10">
      <c r="A10" s="1" t="s">
        <v>27</v>
      </c>
      <c r="B10" s="1" t="s">
        <v>28</v>
      </c>
    </row>
    <row r="11">
      <c r="A11" s="1" t="s">
        <v>29</v>
      </c>
      <c r="B11" s="1" t="s">
        <v>30</v>
      </c>
    </row>
    <row r="12">
      <c r="A12" s="1" t="s">
        <v>31</v>
      </c>
      <c r="B12" s="1" t="s">
        <v>32</v>
      </c>
    </row>
    <row r="13">
      <c r="A13" s="1" t="s">
        <v>33</v>
      </c>
      <c r="B13" s="1" t="s">
        <v>34</v>
      </c>
    </row>
    <row r="14">
      <c r="A14" s="1" t="s">
        <v>35</v>
      </c>
      <c r="B14" s="1" t="s">
        <v>36</v>
      </c>
    </row>
    <row r="15">
      <c r="A15" s="1" t="s">
        <v>37</v>
      </c>
      <c r="B15" s="1" t="s">
        <v>38</v>
      </c>
    </row>
    <row r="16">
      <c r="A16" s="1" t="s">
        <v>39</v>
      </c>
      <c r="B16" s="1" t="s">
        <v>40</v>
      </c>
    </row>
    <row r="17">
      <c r="A17" s="1" t="s">
        <v>41</v>
      </c>
      <c r="B17" s="1" t="s">
        <v>42</v>
      </c>
    </row>
    <row r="18">
      <c r="A18" s="1" t="s">
        <v>43</v>
      </c>
      <c r="B18" s="1" t="s">
        <v>32</v>
      </c>
    </row>
    <row r="19">
      <c r="A19" s="1" t="s">
        <v>44</v>
      </c>
      <c r="B19" s="1" t="s">
        <v>45</v>
      </c>
    </row>
    <row r="20">
      <c r="A20" s="1" t="s">
        <v>46</v>
      </c>
      <c r="B20" s="1" t="s">
        <v>47</v>
      </c>
    </row>
    <row r="21">
      <c r="A21" s="1" t="s">
        <v>48</v>
      </c>
      <c r="B21" s="1" t="s">
        <v>49</v>
      </c>
    </row>
  </sheetData>
  <drawing r:id="rId1"/>
</worksheet>
</file>