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/>
  <mc:AlternateContent xmlns:mc="http://schemas.openxmlformats.org/markup-compatibility/2006">
    <mc:Choice Requires="x15">
      <x15ac:absPath xmlns:x15ac="http://schemas.microsoft.com/office/spreadsheetml/2010/11/ac" url="C:\Users\Navedya\Downloads\"/>
    </mc:Choice>
  </mc:AlternateContent>
  <xr:revisionPtr revIDLastSave="0" documentId="13_ncr:1_{4517A0AE-B09B-4696-80EC-615341978E5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gsHfodcRP4cSwH+l6FdExTScZuDw=="/>
    </ext>
  </extLst>
</workbook>
</file>

<file path=xl/calcChain.xml><?xml version="1.0" encoding="utf-8"?>
<calcChain xmlns="http://schemas.openxmlformats.org/spreadsheetml/2006/main">
  <c r="B19" i="1" l="1"/>
  <c r="B18" i="1"/>
  <c r="V17" i="1"/>
  <c r="G17" i="1"/>
  <c r="B17" i="1"/>
  <c r="V6" i="1" s="1"/>
  <c r="B16" i="1"/>
  <c r="B15" i="1"/>
  <c r="V11" i="1" s="1"/>
  <c r="V12" i="1"/>
  <c r="G12" i="1"/>
  <c r="G11" i="1"/>
  <c r="B9" i="1"/>
  <c r="V5" i="1"/>
  <c r="G5" i="1"/>
  <c r="S4" i="1"/>
  <c r="S5" i="1" s="1"/>
  <c r="G4" i="1"/>
  <c r="S3" i="1"/>
  <c r="J3" i="1" s="1"/>
  <c r="I3" i="1"/>
  <c r="Q2" i="1"/>
  <c r="P2" i="1"/>
  <c r="O2" i="1"/>
  <c r="N2" i="1"/>
  <c r="J2" i="1"/>
  <c r="F2" i="1"/>
  <c r="G21" i="1" s="1"/>
  <c r="J5" i="1" l="1"/>
  <c r="S6" i="1"/>
  <c r="T5" i="1"/>
  <c r="I5" i="1"/>
  <c r="H5" i="1"/>
  <c r="W5" i="1"/>
  <c r="V13" i="1"/>
  <c r="I4" i="1"/>
  <c r="G6" i="1"/>
  <c r="V7" i="1"/>
  <c r="G13" i="1"/>
  <c r="V14" i="1"/>
  <c r="V18" i="1"/>
  <c r="G2" i="1"/>
  <c r="J4" i="1"/>
  <c r="G7" i="1"/>
  <c r="V8" i="1"/>
  <c r="G14" i="1"/>
  <c r="G18" i="1"/>
  <c r="V19" i="1"/>
  <c r="V9" i="1"/>
  <c r="G15" i="1"/>
  <c r="G19" i="1"/>
  <c r="V20" i="1"/>
  <c r="G8" i="1"/>
  <c r="V15" i="1"/>
  <c r="I2" i="1"/>
  <c r="V2" i="1"/>
  <c r="W2" i="1" s="1"/>
  <c r="U3" i="1"/>
  <c r="T4" i="1"/>
  <c r="V3" i="1"/>
  <c r="W3" i="1" s="1"/>
  <c r="G9" i="1"/>
  <c r="V10" i="1"/>
  <c r="V16" i="1"/>
  <c r="G20" i="1"/>
  <c r="V21" i="1"/>
  <c r="U2" i="1"/>
  <c r="U4" i="1"/>
  <c r="G3" i="1"/>
  <c r="V4" i="1"/>
  <c r="W4" i="1" s="1"/>
  <c r="U5" i="1"/>
  <c r="G10" i="1"/>
  <c r="G16" i="1"/>
  <c r="H2" i="1" l="1"/>
  <c r="T3" i="1"/>
  <c r="H4" i="1"/>
  <c r="H3" i="1"/>
  <c r="T2" i="1"/>
  <c r="S7" i="1"/>
  <c r="T6" i="1"/>
  <c r="J6" i="1"/>
  <c r="I6" i="1"/>
  <c r="H6" i="1"/>
  <c r="U6" i="1"/>
  <c r="W6" i="1"/>
  <c r="H7" i="1" l="1"/>
  <c r="J7" i="1"/>
  <c r="I7" i="1"/>
  <c r="S8" i="1"/>
  <c r="U7" i="1"/>
  <c r="T7" i="1"/>
  <c r="W7" i="1"/>
  <c r="J8" i="1" l="1"/>
  <c r="I8" i="1"/>
  <c r="H8" i="1"/>
  <c r="S9" i="1"/>
  <c r="T8" i="1"/>
  <c r="U8" i="1"/>
  <c r="W8" i="1"/>
  <c r="H9" i="1" l="1"/>
  <c r="J9" i="1"/>
  <c r="S10" i="1"/>
  <c r="T9" i="1"/>
  <c r="I9" i="1"/>
  <c r="U9" i="1"/>
  <c r="W9" i="1"/>
  <c r="I10" i="1" l="1"/>
  <c r="S11" i="1"/>
  <c r="T10" i="1"/>
  <c r="H10" i="1"/>
  <c r="J10" i="1"/>
  <c r="U10" i="1"/>
  <c r="W10" i="1"/>
  <c r="S12" i="1" l="1"/>
  <c r="T11" i="1"/>
  <c r="J11" i="1"/>
  <c r="H11" i="1"/>
  <c r="I11" i="1"/>
  <c r="W11" i="1"/>
  <c r="U11" i="1"/>
  <c r="S13" i="1" l="1"/>
  <c r="T12" i="1"/>
  <c r="J12" i="1"/>
  <c r="I12" i="1"/>
  <c r="H12" i="1"/>
  <c r="W12" i="1"/>
  <c r="U12" i="1"/>
  <c r="S14" i="1" l="1"/>
  <c r="T13" i="1"/>
  <c r="I13" i="1"/>
  <c r="J13" i="1"/>
  <c r="U13" i="1"/>
  <c r="H13" i="1"/>
  <c r="W13" i="1"/>
  <c r="J14" i="1" l="1"/>
  <c r="H14" i="1"/>
  <c r="T14" i="1"/>
  <c r="I14" i="1"/>
  <c r="S15" i="1"/>
  <c r="U14" i="1"/>
  <c r="W14" i="1"/>
  <c r="I15" i="1" l="1"/>
  <c r="H15" i="1"/>
  <c r="S16" i="1"/>
  <c r="T15" i="1"/>
  <c r="J15" i="1"/>
  <c r="U15" i="1"/>
  <c r="W15" i="1"/>
  <c r="H16" i="1" l="1"/>
  <c r="T16" i="1"/>
  <c r="I16" i="1"/>
  <c r="S17" i="1"/>
  <c r="J16" i="1"/>
  <c r="U16" i="1"/>
  <c r="W16" i="1"/>
  <c r="S18" i="1" l="1"/>
  <c r="T17" i="1"/>
  <c r="J17" i="1"/>
  <c r="I17" i="1"/>
  <c r="H17" i="1"/>
  <c r="W17" i="1"/>
  <c r="U17" i="1"/>
  <c r="T18" i="1" l="1"/>
  <c r="J18" i="1"/>
  <c r="H18" i="1"/>
  <c r="S19" i="1"/>
  <c r="I18" i="1"/>
  <c r="U18" i="1"/>
  <c r="W18" i="1"/>
  <c r="I19" i="1" l="1"/>
  <c r="H19" i="1"/>
  <c r="J19" i="1"/>
  <c r="S20" i="1"/>
  <c r="T19" i="1"/>
  <c r="U19" i="1"/>
  <c r="W19" i="1"/>
  <c r="H20" i="1" l="1"/>
  <c r="J20" i="1"/>
  <c r="I20" i="1"/>
  <c r="S21" i="1"/>
  <c r="T20" i="1"/>
  <c r="U20" i="1"/>
  <c r="W20" i="1"/>
  <c r="I21" i="1" l="1"/>
  <c r="T21" i="1"/>
  <c r="H21" i="1"/>
  <c r="J21" i="1"/>
  <c r="U21" i="1"/>
  <c r="W21" i="1"/>
</calcChain>
</file>

<file path=xl/sharedStrings.xml><?xml version="1.0" encoding="utf-8"?>
<sst xmlns="http://schemas.openxmlformats.org/spreadsheetml/2006/main" count="57" uniqueCount="54">
  <si>
    <t>Vnom</t>
  </si>
  <si>
    <t>Inom</t>
  </si>
  <si>
    <t>Vmin</t>
  </si>
  <si>
    <t>Imax</t>
  </si>
  <si>
    <t>V1</t>
  </si>
  <si>
    <t>Rohm</t>
  </si>
  <si>
    <t>Io</t>
  </si>
  <si>
    <t>Activation Losses</t>
  </si>
  <si>
    <t>Ohmic losses</t>
  </si>
  <si>
    <t>Concentric Losses</t>
  </si>
  <si>
    <t>Eoc(Open circuit voltage)</t>
  </si>
  <si>
    <t>Density of H2</t>
  </si>
  <si>
    <t>Fuel Flow Rate(l/min)</t>
  </si>
  <si>
    <t>Molar Flow Rate</t>
  </si>
  <si>
    <t>Eo</t>
  </si>
  <si>
    <t>Voltage</t>
  </si>
  <si>
    <t>Nernst Voltage</t>
  </si>
  <si>
    <t>ifc</t>
  </si>
  <si>
    <t>E</t>
  </si>
  <si>
    <t>VFC</t>
  </si>
  <si>
    <t>e</t>
  </si>
  <si>
    <t>vfc</t>
  </si>
  <si>
    <t>INPUT AREA</t>
  </si>
  <si>
    <t>NA</t>
  </si>
  <si>
    <t>Temperature</t>
  </si>
  <si>
    <t>K</t>
  </si>
  <si>
    <t>Pressures</t>
  </si>
  <si>
    <t>bar</t>
  </si>
  <si>
    <t>Partial pressure of H2</t>
  </si>
  <si>
    <t>Partial pressure of o2</t>
  </si>
  <si>
    <t>partial pressure of h2o</t>
  </si>
  <si>
    <t>α</t>
  </si>
  <si>
    <t>ꞵ</t>
  </si>
  <si>
    <t>ẟ</t>
  </si>
  <si>
    <t>Gibbs Energy</t>
  </si>
  <si>
    <t>KJ/mol</t>
  </si>
  <si>
    <t>k1</t>
  </si>
  <si>
    <t>Area</t>
  </si>
  <si>
    <r>
      <rPr>
        <sz val="10"/>
        <rFont val="Arial"/>
      </rPr>
      <t>cm</t>
    </r>
    <r>
      <rPr>
        <vertAlign val="superscript"/>
        <sz val="10"/>
        <rFont val="Arial"/>
      </rPr>
      <t>2</t>
    </r>
  </si>
  <si>
    <t>..</t>
  </si>
  <si>
    <t>ASSUMPTIONS:</t>
  </si>
  <si>
    <t>1. Temperature remains constant throughout the simulation</t>
  </si>
  <si>
    <t>2. Exchange current is assumed to be constant</t>
  </si>
  <si>
    <t>3. Load current range varies from 0 to 1A in steps of 0.05</t>
  </si>
  <si>
    <t>4. Polarisation curve is already obtained and available with the user</t>
  </si>
  <si>
    <t>5.Cells A1,B1,C1,D1,E1 are obtained from POLARISATION CURVE</t>
  </si>
  <si>
    <t>INSTRUCTIONS:</t>
  </si>
  <si>
    <t>INPUT VALUES AT THESE BOXES</t>
  </si>
  <si>
    <t xml:space="preserve"> VALID OUTPUT BOXES</t>
  </si>
  <si>
    <t>CALCULATED VALUES</t>
  </si>
  <si>
    <t>FORMULAE USED</t>
  </si>
  <si>
    <t>VARIABLES AND THIER MEANINGS</t>
  </si>
  <si>
    <t xml:space="preserve">1. Enernst = 1.229 + (T-298.15)*(-44.43/(z*F)) + (R*T*ln(PH2*PO2)/(z*F))
2. Activation losses = R*T*ln(ifc/i0)/(z*ɑ*F)
3. Ohmic losses : ηohm = ifc*Rohmic
4. Concentric losses=2.11*e^(0.08*ifc)
5. Rohm=(V1-Vnom-NA*ln(Inom))/Inom-1
6.i o=((R/(2*F)*(1/Rohm)/A)
7. Eoc=&gt; 2 METHODS:1. Input from polarisation curve
                                      2. ΔG/(2*F)        
8. ΔG=Eoc*z*F-1 (approximation)        
9. NA=((V1-Vnom)*(Imax-1)-(V1-Vmin)*(Inom-1))/(LN(Inom)*(Imax-1)-LN(Imax)*(Imax-1))
</t>
  </si>
  <si>
    <t xml:space="preserve">Enernst=Nernst Voltage
T=Temperature(K)
Z=No of electrons involved in the reaction(2)
F=96485 As/mol(Faraday’s constant)
Rohmic=Total resistance of fuel cell(ohms)
ifc=fuel cell current(A)
ΔG=Gibbs free energy(KJ/mol)
Eoc=Open circuit voltage
i0=Exchange current density(A/cm2)
A=Cell area(cm2)
ɑ=Exchange coefficient
Ph2=Partial pressure of Hydrogen(bar)
PO2=Partial pressure of O2(bar)
p=Total pressure at anode and cathode(equal at A,K(assumption 2)(bar)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</si>
</sst>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b/>
      <u/>
      <sz val="10"/>
      <color rgb="FF3465A4"/>
      <name val="Arial"/>
    </font>
    <font>
      <b/>
      <sz val="10"/>
      <color theme="1"/>
      <name val="Arial"/>
    </font>
    <font>
      <sz val="10"/>
      <color rgb="FF000000"/>
      <name val="Calibri"/>
    </font>
    <font>
      <sz val="10"/>
      <name val="Arial"/>
    </font>
    <font>
      <vertAlign val="superscript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81D41A"/>
      </patternFill>
    </fill>
    <fill>
      <patternFill patternType="solid">
        <fgColor rgb="FFFFBF00"/>
        <bgColor rgb="FFFFBF00"/>
      </patternFill>
    </fill>
    <fill>
      <patternFill patternType="solid">
        <fgColor rgb="FFFFF5CE"/>
        <bgColor rgb="FFFFF5CE"/>
      </patternFill>
    </fill>
    <fill>
      <patternFill patternType="solid">
        <fgColor rgb="FFFF972F"/>
        <bgColor rgb="FFFF972F"/>
      </patternFill>
    </fill>
    <fill>
      <patternFill patternType="solid">
        <fgColor rgb="FF800080"/>
        <bgColor rgb="FF800080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0" fontId="1" fillId="0" borderId="0" xfId="0" applyFont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0" fillId="4" borderId="2" xfId="0" applyFont="1" applyFill="1" applyBorder="1" applyAlignment="1">
      <alignment horizontal="center"/>
    </xf>
    <xf numFmtId="0" fontId="3" fillId="0" borderId="0" xfId="0" applyFont="1" applyAlignment="1"/>
    <xf numFmtId="0" fontId="0" fillId="4" borderId="1" xfId="0" applyFont="1" applyFill="1" applyBorder="1" applyAlignment="1"/>
    <xf numFmtId="0" fontId="4" fillId="6" borderId="1" xfId="0" applyFont="1" applyFill="1" applyBorder="1" applyAlignment="1"/>
    <xf numFmtId="0" fontId="2" fillId="7" borderId="0" xfId="0" applyFont="1" applyFill="1"/>
    <xf numFmtId="0" fontId="5" fillId="7" borderId="0" xfId="0" applyFont="1" applyFill="1" applyAlignment="1"/>
    <xf numFmtId="0" fontId="0" fillId="3" borderId="1" xfId="0" applyFont="1" applyFill="1" applyBorder="1" applyAlignment="1" applyProtection="1">
      <protection locked="0"/>
    </xf>
    <xf numFmtId="0" fontId="1" fillId="3" borderId="1" xfId="0" applyFont="1" applyFill="1" applyBorder="1" applyAlignment="1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300" b="0" i="0">
                <a:solidFill>
                  <a:srgbClr val="000000"/>
                </a:solidFill>
                <a:latin typeface="Arial"/>
              </a:defRPr>
            </a:pPr>
            <a:r>
              <a:rPr lang="en-US"/>
              <a:t>POLARISATION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8"/>
            <c:spPr>
              <a:solidFill>
                <a:srgbClr val="004586"/>
              </a:solidFill>
              <a:ln cmpd="sng">
                <a:solidFill>
                  <a:srgbClr val="004586"/>
                </a:solidFill>
              </a:ln>
            </c:spPr>
          </c:marker>
          <c:xVal>
            <c:numRef>
              <c:f>Sheet1!$S$2:$S$21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  <c:pt idx="19">
                  <c:v>1.0000000000000002</c:v>
                </c:pt>
              </c:numCache>
            </c:numRef>
          </c:xVal>
          <c:yVal>
            <c:numRef>
              <c:f>Sheet1!$W$2:$W$21</c:f>
              <c:numCache>
                <c:formatCode>General</c:formatCode>
                <c:ptCount val="20"/>
                <c:pt idx="0">
                  <c:v>1.2251396406820203</c:v>
                </c:pt>
                <c:pt idx="1">
                  <c:v>1.1958730212477637</c:v>
                </c:pt>
                <c:pt idx="2">
                  <c:v>1.1666064018135074</c:v>
                </c:pt>
                <c:pt idx="3">
                  <c:v>1.137339782379251</c:v>
                </c:pt>
                <c:pt idx="4">
                  <c:v>1.1080731629449945</c:v>
                </c:pt>
                <c:pt idx="5">
                  <c:v>1.0788065435107381</c:v>
                </c:pt>
                <c:pt idx="6">
                  <c:v>1.0495399240764818</c:v>
                </c:pt>
                <c:pt idx="7">
                  <c:v>1.0202733046422252</c:v>
                </c:pt>
                <c:pt idx="8">
                  <c:v>0.99100668520796886</c:v>
                </c:pt>
                <c:pt idx="9">
                  <c:v>0.96174006577371252</c:v>
                </c:pt>
                <c:pt idx="10">
                  <c:v>0.93247344633945606</c:v>
                </c:pt>
                <c:pt idx="11">
                  <c:v>0.9032068269051996</c:v>
                </c:pt>
                <c:pt idx="12">
                  <c:v>0.87394020747094325</c:v>
                </c:pt>
                <c:pt idx="13">
                  <c:v>0.84467358803668668</c:v>
                </c:pt>
                <c:pt idx="14">
                  <c:v>0.81540696860243034</c:v>
                </c:pt>
                <c:pt idx="15">
                  <c:v>0.78614034916817388</c:v>
                </c:pt>
                <c:pt idx="16">
                  <c:v>0.75687372973391742</c:v>
                </c:pt>
                <c:pt idx="17">
                  <c:v>0.72760711029966096</c:v>
                </c:pt>
                <c:pt idx="18">
                  <c:v>0.69834049086540451</c:v>
                </c:pt>
                <c:pt idx="19">
                  <c:v>0.66907387143114816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1A-4FC0-A896-8E3C9826D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6708138"/>
        <c:axId val="1400242676"/>
      </c:scatterChart>
      <c:valAx>
        <c:axId val="180670813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/>
                  <a:t>current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400242676"/>
        <c:crosses val="autoZero"/>
        <c:crossBetween val="midCat"/>
      </c:valAx>
      <c:valAx>
        <c:axId val="14002426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/>
                  <a:t>voltage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Arial"/>
              </a:defRPr>
            </a:pPr>
            <a:endParaRPr lang="en-US"/>
          </a:p>
        </c:txPr>
        <c:crossAx val="180670813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24</xdr:row>
      <xdr:rowOff>0</xdr:rowOff>
    </xdr:from>
    <xdr:ext cx="5495925" cy="3219450"/>
    <xdr:graphicFrame macro="">
      <xdr:nvGraphicFramePr>
        <xdr:cNvPr id="1380817022" name="Chart 1">
          <a:extLst>
            <a:ext uri="{FF2B5EF4-FFF2-40B4-BE49-F238E27FC236}">
              <a16:creationId xmlns:a16="http://schemas.microsoft.com/office/drawing/2014/main" id="{00000000-0008-0000-0000-00007E984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E2" sqref="A2:E2"/>
    </sheetView>
  </sheetViews>
  <sheetFormatPr defaultColWidth="14.44140625" defaultRowHeight="15" customHeight="1" x14ac:dyDescent="0.25"/>
  <cols>
    <col min="1" max="1" width="19.109375" customWidth="1"/>
    <col min="2" max="7" width="11.5546875" customWidth="1"/>
    <col min="8" max="8" width="18.44140625" customWidth="1"/>
    <col min="9" max="9" width="16.109375" customWidth="1"/>
    <col min="10" max="10" width="21.5546875" customWidth="1"/>
    <col min="11" max="11" width="22.5546875" customWidth="1"/>
    <col min="12" max="12" width="17.109375" customWidth="1"/>
    <col min="13" max="13" width="21.88671875" customWidth="1"/>
    <col min="14" max="14" width="18.5546875" customWidth="1"/>
    <col min="15" max="15" width="10.88671875" customWidth="1"/>
    <col min="16" max="16" width="9.109375" hidden="1" customWidth="1"/>
    <col min="17" max="17" width="13.33203125" customWidth="1"/>
    <col min="18" max="18" width="11.5546875" hidden="1" customWidth="1"/>
    <col min="19" max="19" width="11.5546875" customWidth="1"/>
    <col min="20" max="21" width="12.44140625" hidden="1" customWidth="1"/>
    <col min="22" max="23" width="11.5546875" customWidth="1"/>
    <col min="24" max="26" width="8.6640625" customWidth="1"/>
  </cols>
  <sheetData>
    <row r="1" spans="1:23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2.75" customHeight="1" x14ac:dyDescent="0.3">
      <c r="A2" s="14">
        <v>50.28</v>
      </c>
      <c r="B2" s="14">
        <v>8.1280000000000001</v>
      </c>
      <c r="C2" s="14">
        <v>45.707000000000001</v>
      </c>
      <c r="D2" s="14">
        <v>14.154999999999999</v>
      </c>
      <c r="E2" s="14">
        <v>58.4</v>
      </c>
      <c r="F2" s="5">
        <f>(E2-A2-B9*LN(B2))/(B2-1)</f>
        <v>0.58533238868512838</v>
      </c>
      <c r="G2" s="5">
        <f t="shared" ref="G2:G21" si="0">(8.314/(2*96485)*(1/$F$2))*$B$23</f>
        <v>3.6803377106566854E-4</v>
      </c>
      <c r="H2" s="5">
        <f t="shared" ref="H2:H21" si="1">(8.314*$B$10*LN(S2/$G$2))/(0.5*2*96485)</f>
        <v>0.14305077882562062</v>
      </c>
      <c r="I2" s="5">
        <f t="shared" ref="I2:I21" si="2">S2*$F$2</f>
        <v>2.926661943425642E-2</v>
      </c>
      <c r="J2" s="5">
        <f t="shared" ref="J2:J21" si="3">2.11*EXP(-5)*EXP(0.008*S2)</f>
        <v>1.4222756132854682E-2</v>
      </c>
      <c r="K2" s="15">
        <v>1.23</v>
      </c>
      <c r="L2" s="2">
        <v>8.9899999999999995E-4</v>
      </c>
      <c r="M2" s="6">
        <v>84.5</v>
      </c>
      <c r="N2" s="2">
        <f>L2*M2/60</f>
        <v>1.2660916666666665E-3</v>
      </c>
      <c r="O2" s="2">
        <f>-B18/(2*96485)</f>
        <v>1.23</v>
      </c>
      <c r="P2" s="2">
        <f>K2+(8.314*B10)/(2*96485)+LN(B11*SQRT(B12)/B13)</f>
        <v>2.3431748217043333</v>
      </c>
      <c r="Q2" s="2">
        <f>K2-((B10-298)*(-44.43/(2*96485))+(8.314*B10*LN(B11*SQRT(B12)))/(2*96485))</f>
        <v>1.2232111439706717</v>
      </c>
      <c r="S2" s="7">
        <v>0.05</v>
      </c>
      <c r="T2" s="5">
        <f>K2-(1.88408*LN(S2/$G2))</f>
        <v>-8.0238540753647047</v>
      </c>
      <c r="U2" s="5">
        <f t="shared" ref="U2:U21" si="4">$Q$2-((8.314*B10)/48242)*LN(S2/$G$2)-S2*$F$2</f>
        <v>0.90784000161054135</v>
      </c>
      <c r="V2" s="5">
        <f t="shared" ref="V2:V21" si="5">$K$2+((8.314*$B$10)/(2*96485))*(($B$15*SQRT($B$16))/$B$17)+(8.314*$B$10*LN($B$11))/(2*96485)</f>
        <v>1.2544062601162767</v>
      </c>
      <c r="W2" s="5">
        <f t="shared" ref="W2:W21" si="6">V2-S2*$F$2</f>
        <v>1.2251396406820203</v>
      </c>
    </row>
    <row r="3" spans="1:23" ht="12.75" customHeight="1" x14ac:dyDescent="0.25">
      <c r="G3" s="5">
        <f t="shared" si="0"/>
        <v>3.6803377106566854E-4</v>
      </c>
      <c r="H3" s="5">
        <f t="shared" si="1"/>
        <v>0.16323873625735905</v>
      </c>
      <c r="I3" s="5">
        <f t="shared" si="2"/>
        <v>5.8533238868512839E-2</v>
      </c>
      <c r="J3" s="5">
        <f t="shared" si="3"/>
        <v>1.4228446373280038E-2</v>
      </c>
      <c r="S3" s="7">
        <f t="shared" ref="S3:S21" si="7">IF(S2&lt;$B$12,S2+0.05," ")</f>
        <v>0.1</v>
      </c>
      <c r="T3" s="5">
        <f>K3-(1.88408*LN(S3/$G2))</f>
        <v>-10.559798815314087</v>
      </c>
      <c r="U3" s="5">
        <f t="shared" si="4"/>
        <v>1.1617801460229102</v>
      </c>
      <c r="V3" s="5">
        <f t="shared" si="5"/>
        <v>1.2544062601162767</v>
      </c>
      <c r="W3" s="5">
        <f t="shared" si="6"/>
        <v>1.1958730212477637</v>
      </c>
    </row>
    <row r="4" spans="1:23" ht="12.75" customHeight="1" x14ac:dyDescent="0.25">
      <c r="G4" s="5">
        <f t="shared" si="0"/>
        <v>3.6803377106566854E-4</v>
      </c>
      <c r="H4" s="5">
        <f t="shared" si="1"/>
        <v>0.17504793432108098</v>
      </c>
      <c r="I4" s="5">
        <f t="shared" si="2"/>
        <v>8.7799858302769276E-2</v>
      </c>
      <c r="J4" s="5">
        <f t="shared" si="3"/>
        <v>1.4234138890256844E-2</v>
      </c>
      <c r="S4" s="7">
        <f t="shared" si="7"/>
        <v>0.15000000000000002</v>
      </c>
      <c r="T4" s="5">
        <f>K4-(1.88408*LN(S4/$G2))</f>
        <v>-11.323727516198518</v>
      </c>
      <c r="U4" s="5">
        <f t="shared" si="4"/>
        <v>1.1343754883389667</v>
      </c>
      <c r="V4" s="5">
        <f t="shared" si="5"/>
        <v>1.2544062601162767</v>
      </c>
      <c r="W4" s="5">
        <f t="shared" si="6"/>
        <v>1.1666064018135074</v>
      </c>
    </row>
    <row r="5" spans="1:23" ht="12.75" customHeight="1" x14ac:dyDescent="0.25">
      <c r="G5" s="5">
        <f t="shared" si="0"/>
        <v>3.6803377106566854E-4</v>
      </c>
      <c r="H5" s="5">
        <f t="shared" si="1"/>
        <v>0.18342669368909745</v>
      </c>
      <c r="I5" s="5">
        <f t="shared" si="2"/>
        <v>0.11706647773702568</v>
      </c>
      <c r="J5" s="5">
        <f t="shared" si="3"/>
        <v>1.4239833684695903E-2</v>
      </c>
      <c r="S5" s="7">
        <f t="shared" si="7"/>
        <v>0.2</v>
      </c>
      <c r="T5" s="5">
        <f>K5-(1.88408*LN(S5/$G2))</f>
        <v>-11.865743555263469</v>
      </c>
      <c r="U5" s="5">
        <f t="shared" si="4"/>
        <v>1.1050592899330598</v>
      </c>
      <c r="V5" s="5">
        <f t="shared" si="5"/>
        <v>1.2544062601162767</v>
      </c>
      <c r="W5" s="5">
        <f t="shared" si="6"/>
        <v>1.137339782379251</v>
      </c>
    </row>
    <row r="6" spans="1:23" ht="12.75" customHeight="1" x14ac:dyDescent="0.25">
      <c r="G6" s="5">
        <f t="shared" si="0"/>
        <v>3.6803377106566854E-4</v>
      </c>
      <c r="H6" s="5">
        <f t="shared" si="1"/>
        <v>0.18992576436476419</v>
      </c>
      <c r="I6" s="5">
        <f t="shared" si="2"/>
        <v>0.14633309717128209</v>
      </c>
      <c r="J6" s="5">
        <f t="shared" si="3"/>
        <v>1.4245530757508385E-2</v>
      </c>
      <c r="S6" s="7">
        <f t="shared" si="7"/>
        <v>0.25</v>
      </c>
      <c r="T6" s="5">
        <f>K6-(1.88408*LN(S6/$G2))</f>
        <v>-12.286163857423546</v>
      </c>
      <c r="U6" s="5">
        <f t="shared" si="4"/>
        <v>1.0757542140607281</v>
      </c>
      <c r="V6" s="5">
        <f t="shared" si="5"/>
        <v>1.2544062601162767</v>
      </c>
      <c r="W6" s="5">
        <f t="shared" si="6"/>
        <v>1.1080731629449945</v>
      </c>
    </row>
    <row r="7" spans="1:23" ht="12.75" customHeight="1" x14ac:dyDescent="0.25">
      <c r="G7" s="5">
        <f t="shared" si="0"/>
        <v>3.6803377106566854E-4</v>
      </c>
      <c r="H7" s="5">
        <f t="shared" si="1"/>
        <v>0.19523589175281938</v>
      </c>
      <c r="I7" s="5">
        <f t="shared" si="2"/>
        <v>0.1755997166055385</v>
      </c>
      <c r="J7" s="5">
        <f t="shared" si="3"/>
        <v>1.4251230109605814E-2</v>
      </c>
      <c r="S7" s="7">
        <f t="shared" si="7"/>
        <v>0.3</v>
      </c>
      <c r="T7" s="5">
        <f>K7-(1.88408*LN(S7/$G2))</f>
        <v>-12.629672256147899</v>
      </c>
      <c r="U7" s="5">
        <f t="shared" si="4"/>
        <v>1.0472263427196535</v>
      </c>
      <c r="V7" s="5">
        <f t="shared" si="5"/>
        <v>1.2544062601162767</v>
      </c>
      <c r="W7" s="5">
        <f t="shared" si="6"/>
        <v>1.0788065435107381</v>
      </c>
    </row>
    <row r="8" spans="1:23" ht="12.75" customHeight="1" x14ac:dyDescent="0.25">
      <c r="A8" s="8" t="s">
        <v>22</v>
      </c>
      <c r="G8" s="5">
        <f t="shared" si="0"/>
        <v>3.6803377106566854E-4</v>
      </c>
      <c r="H8" s="5">
        <f t="shared" si="1"/>
        <v>0.19972554048790084</v>
      </c>
      <c r="I8" s="5">
        <f t="shared" si="2"/>
        <v>0.20486633603979493</v>
      </c>
      <c r="J8" s="5">
        <f t="shared" si="3"/>
        <v>1.4256931741900096E-2</v>
      </c>
      <c r="S8" s="7">
        <f t="shared" si="7"/>
        <v>0.35</v>
      </c>
      <c r="T8" s="5">
        <f>K8-(1.88408*LN(S8/$G2))</f>
        <v>-12.92010446899684</v>
      </c>
      <c r="U8" s="5">
        <f t="shared" si="4"/>
        <v>1.0179508678706681</v>
      </c>
      <c r="V8" s="5">
        <f t="shared" si="5"/>
        <v>1.2544062601162767</v>
      </c>
      <c r="W8" s="5">
        <f t="shared" si="6"/>
        <v>1.0495399240764818</v>
      </c>
    </row>
    <row r="9" spans="1:23" ht="12.75" customHeight="1" x14ac:dyDescent="0.3">
      <c r="A9" s="2" t="s">
        <v>23</v>
      </c>
      <c r="B9" s="2">
        <f>(((E2-A2)*(D2-1))-((E2-C2)*(B2-1)))/((LN(B2)*(D2-1))-LN(D2)*(B2-1))</f>
        <v>1.8840847028377057</v>
      </c>
      <c r="G9" s="5">
        <f t="shared" si="0"/>
        <v>3.6803377106566854E-4</v>
      </c>
      <c r="H9" s="5">
        <f t="shared" si="1"/>
        <v>0.20361465112083588</v>
      </c>
      <c r="I9" s="5">
        <f t="shared" si="2"/>
        <v>0.23413295547405133</v>
      </c>
      <c r="J9" s="5">
        <f t="shared" si="3"/>
        <v>1.4262635655303484E-2</v>
      </c>
      <c r="S9" s="7">
        <f t="shared" si="7"/>
        <v>0.39999999999999997</v>
      </c>
      <c r="T9" s="5">
        <f>K9-(1.88408*LN(S9/$G2))</f>
        <v>-13.171688295212851</v>
      </c>
      <c r="U9" s="5">
        <f t="shared" si="4"/>
        <v>0.98867657752725713</v>
      </c>
      <c r="V9" s="5">
        <f t="shared" si="5"/>
        <v>1.2544062601162767</v>
      </c>
      <c r="W9" s="5">
        <f t="shared" si="6"/>
        <v>1.0202733046422252</v>
      </c>
    </row>
    <row r="10" spans="1:23" ht="12.75" customHeight="1" x14ac:dyDescent="0.3">
      <c r="A10" s="2" t="s">
        <v>24</v>
      </c>
      <c r="B10" s="13">
        <v>338</v>
      </c>
      <c r="C10" s="2" t="s">
        <v>25</v>
      </c>
      <c r="G10" s="5">
        <f t="shared" si="0"/>
        <v>3.6803377106566854E-4</v>
      </c>
      <c r="H10" s="5">
        <f t="shared" si="1"/>
        <v>0.20704508981654132</v>
      </c>
      <c r="I10" s="5">
        <f t="shared" si="2"/>
        <v>0.26339957490830773</v>
      </c>
      <c r="J10" s="5">
        <f t="shared" si="3"/>
        <v>1.4268341850728609E-2</v>
      </c>
      <c r="S10" s="7">
        <f t="shared" si="7"/>
        <v>0.44999999999999996</v>
      </c>
      <c r="T10" s="5">
        <f>K10-(1.88408*LN(S10/G2))</f>
        <v>-13.393600957032328</v>
      </c>
      <c r="U10" s="5">
        <f t="shared" si="4"/>
        <v>291.74858816039006</v>
      </c>
      <c r="V10" s="5">
        <f t="shared" si="5"/>
        <v>1.2544062601162767</v>
      </c>
      <c r="W10" s="5">
        <f t="shared" si="6"/>
        <v>0.99100668520796886</v>
      </c>
    </row>
    <row r="11" spans="1:23" ht="12.75" customHeight="1" x14ac:dyDescent="0.3">
      <c r="A11" s="2" t="s">
        <v>26</v>
      </c>
      <c r="B11" s="13">
        <v>3</v>
      </c>
      <c r="C11" s="2" t="s">
        <v>27</v>
      </c>
      <c r="G11" s="5">
        <f t="shared" si="0"/>
        <v>3.6803377106566854E-4</v>
      </c>
      <c r="H11" s="5">
        <f t="shared" si="1"/>
        <v>0.21011372179650256</v>
      </c>
      <c r="I11" s="5">
        <f t="shared" si="2"/>
        <v>0.29266619434256413</v>
      </c>
      <c r="J11" s="5">
        <f t="shared" si="3"/>
        <v>1.4274050329088458E-2</v>
      </c>
      <c r="S11" s="7">
        <f t="shared" si="7"/>
        <v>0.49999999999999994</v>
      </c>
      <c r="T11" s="5">
        <f>K11-(1.88408*LN(S11/$G2))</f>
        <v>-13.592108597372928</v>
      </c>
      <c r="U11" s="5">
        <f t="shared" si="4"/>
        <v>-1202014313817.7568</v>
      </c>
      <c r="V11" s="5">
        <f t="shared" si="5"/>
        <v>1.2544062601162767</v>
      </c>
      <c r="W11" s="5">
        <f t="shared" si="6"/>
        <v>0.96174006577371252</v>
      </c>
    </row>
    <row r="12" spans="1:23" ht="12.75" customHeight="1" x14ac:dyDescent="0.3">
      <c r="A12" s="2" t="s">
        <v>28</v>
      </c>
      <c r="B12" s="13">
        <v>1</v>
      </c>
      <c r="C12" s="2" t="s">
        <v>27</v>
      </c>
      <c r="G12" s="5">
        <f t="shared" si="0"/>
        <v>3.6803377106566854E-4</v>
      </c>
      <c r="H12" s="5">
        <f t="shared" si="1"/>
        <v>0.21288963708068029</v>
      </c>
      <c r="I12" s="5">
        <f t="shared" si="2"/>
        <v>0.32193281377682059</v>
      </c>
      <c r="J12" s="5">
        <f t="shared" si="3"/>
        <v>1.4279761091296391E-2</v>
      </c>
      <c r="S12" s="7">
        <f t="shared" si="7"/>
        <v>0.54999999999999993</v>
      </c>
      <c r="T12" s="5">
        <f>K12-(1.88408*LN(S12/$G2))</f>
        <v>-13.771680600938659</v>
      </c>
      <c r="U12" s="5">
        <f t="shared" si="4"/>
        <v>0.90127833019385106</v>
      </c>
      <c r="V12" s="5">
        <f t="shared" si="5"/>
        <v>1.2544062601162767</v>
      </c>
      <c r="W12" s="5">
        <f t="shared" si="6"/>
        <v>0.93247344633945606</v>
      </c>
    </row>
    <row r="13" spans="1:23" ht="12.75" customHeight="1" x14ac:dyDescent="0.3">
      <c r="A13" s="2" t="s">
        <v>29</v>
      </c>
      <c r="B13" s="13">
        <v>1</v>
      </c>
      <c r="C13" s="2" t="s">
        <v>27</v>
      </c>
      <c r="G13" s="5">
        <f t="shared" si="0"/>
        <v>3.6803377106566854E-4</v>
      </c>
      <c r="H13" s="5">
        <f t="shared" si="1"/>
        <v>0.21542384918455776</v>
      </c>
      <c r="I13" s="5">
        <f t="shared" si="2"/>
        <v>0.35119943321107699</v>
      </c>
      <c r="J13" s="5">
        <f t="shared" si="3"/>
        <v>1.4285474138266129E-2</v>
      </c>
      <c r="S13" s="7">
        <f t="shared" si="7"/>
        <v>0.6</v>
      </c>
      <c r="T13" s="5">
        <f>K13-(1.88408*LN(S13/$G2))</f>
        <v>-13.935616996097281</v>
      </c>
      <c r="U13" s="5">
        <f t="shared" si="4"/>
        <v>0.8720117107595946</v>
      </c>
      <c r="V13" s="5">
        <f t="shared" si="5"/>
        <v>1.2544062601162767</v>
      </c>
      <c r="W13" s="5">
        <f t="shared" si="6"/>
        <v>0.9032068269051996</v>
      </c>
    </row>
    <row r="14" spans="1:23" ht="12.75" customHeight="1" x14ac:dyDescent="0.3">
      <c r="A14" s="2" t="s">
        <v>30</v>
      </c>
      <c r="B14" s="13">
        <v>1</v>
      </c>
      <c r="C14" s="2" t="s">
        <v>27</v>
      </c>
      <c r="G14" s="5">
        <f t="shared" si="0"/>
        <v>3.6803377106566854E-4</v>
      </c>
      <c r="H14" s="5">
        <f t="shared" si="1"/>
        <v>0.21775509833416709</v>
      </c>
      <c r="I14" s="5">
        <f t="shared" si="2"/>
        <v>0.38046605264533345</v>
      </c>
      <c r="J14" s="5">
        <f t="shared" si="3"/>
        <v>1.4291189470911762E-2</v>
      </c>
      <c r="S14" s="7">
        <f t="shared" si="7"/>
        <v>0.65</v>
      </c>
      <c r="T14" s="5">
        <f>K14-(1.88408*LN(S14/$G2))</f>
        <v>-14.086423860770838</v>
      </c>
      <c r="U14" s="5">
        <f t="shared" si="4"/>
        <v>0.84274509132533826</v>
      </c>
      <c r="V14" s="5">
        <f t="shared" si="5"/>
        <v>1.2544062601162767</v>
      </c>
      <c r="W14" s="5">
        <f t="shared" si="6"/>
        <v>0.87394020747094325</v>
      </c>
    </row>
    <row r="15" spans="1:23" ht="12.75" customHeight="1" x14ac:dyDescent="0.3">
      <c r="A15" s="2" t="s">
        <v>31</v>
      </c>
      <c r="B15" s="9">
        <f>B12/B11</f>
        <v>0.33333333333333331</v>
      </c>
      <c r="G15" s="5">
        <f t="shared" si="0"/>
        <v>3.6803377106566854E-4</v>
      </c>
      <c r="H15" s="5">
        <f t="shared" si="1"/>
        <v>0.21991349791963927</v>
      </c>
      <c r="I15" s="5">
        <f t="shared" si="2"/>
        <v>0.40973267207958991</v>
      </c>
      <c r="J15" s="5">
        <f t="shared" si="3"/>
        <v>1.4296907090147739E-2</v>
      </c>
      <c r="S15" s="7">
        <f t="shared" si="7"/>
        <v>0.70000000000000007</v>
      </c>
      <c r="T15" s="5">
        <f>K15-(1.88408*LN(S15/$G2))</f>
        <v>-14.226049208946222</v>
      </c>
      <c r="U15" s="5">
        <f t="shared" si="4"/>
        <v>0.80697208795043363</v>
      </c>
      <c r="V15" s="5">
        <f t="shared" si="5"/>
        <v>1.2544062601162767</v>
      </c>
      <c r="W15" s="5">
        <f t="shared" si="6"/>
        <v>0.84467358803668668</v>
      </c>
    </row>
    <row r="16" spans="1:23" ht="12.75" customHeight="1" x14ac:dyDescent="0.25">
      <c r="A16" s="3" t="s">
        <v>32</v>
      </c>
      <c r="B16" s="9">
        <f>B13/B11</f>
        <v>0.33333333333333331</v>
      </c>
      <c r="G16" s="5">
        <f t="shared" si="0"/>
        <v>3.6803377106566854E-4</v>
      </c>
      <c r="H16" s="5">
        <f t="shared" si="1"/>
        <v>0.22192291986022453</v>
      </c>
      <c r="I16" s="5">
        <f t="shared" si="2"/>
        <v>0.43899929151384637</v>
      </c>
      <c r="J16" s="5">
        <f t="shared" si="3"/>
        <v>1.4302626996888881E-2</v>
      </c>
      <c r="S16" s="7">
        <f t="shared" si="7"/>
        <v>0.75000000000000011</v>
      </c>
      <c r="T16" s="5">
        <f>K16-(1.88408*LN(S16/$G2))</f>
        <v>-14.356037298257359</v>
      </c>
      <c r="U16" s="5">
        <f t="shared" si="4"/>
        <v>0.78421185245682534</v>
      </c>
      <c r="V16" s="5">
        <f t="shared" si="5"/>
        <v>1.2544062601162767</v>
      </c>
      <c r="W16" s="5">
        <f t="shared" si="6"/>
        <v>0.81540696860243034</v>
      </c>
    </row>
    <row r="17" spans="1:23" ht="12.75" customHeight="1" x14ac:dyDescent="0.25">
      <c r="A17" s="3" t="s">
        <v>33</v>
      </c>
      <c r="B17" s="9">
        <f>B14/B11</f>
        <v>0.33333333333333331</v>
      </c>
      <c r="G17" s="5">
        <f t="shared" si="0"/>
        <v>3.6803377106566854E-4</v>
      </c>
      <c r="H17" s="5">
        <f t="shared" si="1"/>
        <v>0.22380260855257425</v>
      </c>
      <c r="I17" s="5">
        <f t="shared" si="2"/>
        <v>0.46826591094810277</v>
      </c>
      <c r="J17" s="5">
        <f t="shared" si="3"/>
        <v>1.4308349192050374E-2</v>
      </c>
      <c r="S17" s="7">
        <f t="shared" si="7"/>
        <v>0.80000000000000016</v>
      </c>
      <c r="T17" s="5">
        <f>K17-(1.88408*LN(S17/$G2))</f>
        <v>-14.477633035162233</v>
      </c>
      <c r="U17" s="5">
        <f t="shared" si="4"/>
        <v>0.75494523302256888</v>
      </c>
      <c r="V17" s="5">
        <f t="shared" si="5"/>
        <v>1.2544062601162767</v>
      </c>
      <c r="W17" s="5">
        <f t="shared" si="6"/>
        <v>0.78614034916817388</v>
      </c>
    </row>
    <row r="18" spans="1:23" ht="12.75" customHeight="1" x14ac:dyDescent="0.3">
      <c r="A18" s="2" t="s">
        <v>34</v>
      </c>
      <c r="B18" s="9">
        <f>K2*2*96485*-1</f>
        <v>-237353.1</v>
      </c>
      <c r="C18" s="2" t="s">
        <v>35</v>
      </c>
      <c r="G18" s="5">
        <f t="shared" si="0"/>
        <v>3.6803377106566854E-4</v>
      </c>
      <c r="H18" s="5">
        <f t="shared" si="1"/>
        <v>0.22556830466859501</v>
      </c>
      <c r="I18" s="5">
        <f t="shared" si="2"/>
        <v>0.49753253038235923</v>
      </c>
      <c r="J18" s="5">
        <f t="shared" si="3"/>
        <v>1.4314073676547766E-2</v>
      </c>
      <c r="S18" s="7">
        <f t="shared" si="7"/>
        <v>0.8500000000000002</v>
      </c>
      <c r="T18" s="5">
        <f>K18-(1.88408*LN(S18/$G2))</f>
        <v>-14.591854672634142</v>
      </c>
      <c r="U18" s="5">
        <f t="shared" si="4"/>
        <v>0.72567861358831243</v>
      </c>
      <c r="V18" s="5">
        <f t="shared" si="5"/>
        <v>1.2544062601162767</v>
      </c>
      <c r="W18" s="5">
        <f t="shared" si="6"/>
        <v>0.75687372973391742</v>
      </c>
    </row>
    <row r="19" spans="1:23" ht="12.75" customHeight="1" x14ac:dyDescent="0.3">
      <c r="A19" s="2" t="s">
        <v>36</v>
      </c>
      <c r="B19" s="13">
        <f>(2*96485*1.38*10^-23*(B12+B13))/(6.626*10^-34*8.314)</f>
        <v>966801748544398.25</v>
      </c>
      <c r="G19" s="5">
        <f t="shared" si="0"/>
        <v>3.6803377106566854E-4</v>
      </c>
      <c r="H19" s="5">
        <f t="shared" si="1"/>
        <v>0.22723304724827975</v>
      </c>
      <c r="I19" s="5">
        <f t="shared" si="2"/>
        <v>0.52679914981661569</v>
      </c>
      <c r="J19" s="5">
        <f t="shared" si="3"/>
        <v>1.4319800451296978E-2</v>
      </c>
      <c r="S19" s="7">
        <f t="shared" si="7"/>
        <v>0.90000000000000024</v>
      </c>
      <c r="T19" s="5">
        <f>K19-(1.88408*LN(S19/$G2))</f>
        <v>-14.69954569698171</v>
      </c>
      <c r="U19" s="5">
        <f t="shared" si="4"/>
        <v>0.69641199415405597</v>
      </c>
      <c r="V19" s="5">
        <f t="shared" si="5"/>
        <v>1.2544062601162767</v>
      </c>
      <c r="W19" s="5">
        <f t="shared" si="6"/>
        <v>0.72760711029966096</v>
      </c>
    </row>
    <row r="20" spans="1:23" ht="12.75" customHeight="1" x14ac:dyDescent="0.25">
      <c r="G20" s="5">
        <f t="shared" si="0"/>
        <v>3.6803377106566854E-4</v>
      </c>
      <c r="H20" s="5">
        <f t="shared" si="1"/>
        <v>0.22880775864013014</v>
      </c>
      <c r="I20" s="5">
        <f t="shared" si="2"/>
        <v>0.55606576925087214</v>
      </c>
      <c r="J20" s="5">
        <f t="shared" si="3"/>
        <v>1.4325529517214294E-2</v>
      </c>
      <c r="S20" s="7">
        <f t="shared" si="7"/>
        <v>0.95000000000000029</v>
      </c>
      <c r="T20" s="5">
        <f>K20-(1.88408*LN(S20/$G2))</f>
        <v>-14.801412667232613</v>
      </c>
      <c r="U20" s="5">
        <f t="shared" si="4"/>
        <v>0.66714537471979951</v>
      </c>
      <c r="V20" s="5">
        <f t="shared" si="5"/>
        <v>1.2544062601162767</v>
      </c>
      <c r="W20" s="5">
        <f t="shared" si="6"/>
        <v>0.69834049086540451</v>
      </c>
    </row>
    <row r="21" spans="1:23" ht="12.75" customHeight="1" x14ac:dyDescent="0.25">
      <c r="G21" s="5">
        <f t="shared" si="0"/>
        <v>3.6803377106566854E-4</v>
      </c>
      <c r="H21" s="5">
        <f t="shared" si="1"/>
        <v>0.23030167922824096</v>
      </c>
      <c r="I21" s="5">
        <f t="shared" si="2"/>
        <v>0.58533238868512849</v>
      </c>
      <c r="J21" s="5">
        <f t="shared" si="3"/>
        <v>1.433126087521636E-2</v>
      </c>
      <c r="S21" s="7">
        <f t="shared" si="7"/>
        <v>1.0000000000000002</v>
      </c>
      <c r="T21" s="5">
        <f>K21-(1.88408*LN(S21/$G2))</f>
        <v>-14.89805333732231</v>
      </c>
      <c r="U21" s="5">
        <f t="shared" si="4"/>
        <v>0.63787875528554316</v>
      </c>
      <c r="V21" s="5">
        <f t="shared" si="5"/>
        <v>1.2544062601162767</v>
      </c>
      <c r="W21" s="5">
        <f t="shared" si="6"/>
        <v>0.66907387143114816</v>
      </c>
    </row>
    <row r="22" spans="1:23" ht="12.75" customHeight="1" x14ac:dyDescent="0.25"/>
    <row r="23" spans="1:23" ht="12.75" customHeight="1" x14ac:dyDescent="0.3">
      <c r="A23" s="2" t="s">
        <v>37</v>
      </c>
      <c r="B23" s="14">
        <v>5</v>
      </c>
      <c r="C23" s="2" t="s">
        <v>38</v>
      </c>
    </row>
    <row r="24" spans="1:23" ht="12.75" customHeight="1" x14ac:dyDescent="0.25"/>
    <row r="25" spans="1:23" ht="12.75" customHeight="1" x14ac:dyDescent="0.25"/>
    <row r="26" spans="1:23" ht="12.75" customHeight="1" x14ac:dyDescent="0.3">
      <c r="M26" s="2" t="s">
        <v>39</v>
      </c>
    </row>
    <row r="27" spans="1:23" ht="12.75" customHeight="1" x14ac:dyDescent="0.25">
      <c r="A27" s="10" t="s">
        <v>40</v>
      </c>
      <c r="B27" s="10"/>
      <c r="C27" s="10"/>
      <c r="D27" s="10"/>
      <c r="E27" s="10"/>
    </row>
    <row r="28" spans="1:23" ht="12.75" customHeight="1" x14ac:dyDescent="0.25">
      <c r="A28" s="10" t="s">
        <v>41</v>
      </c>
      <c r="B28" s="10"/>
      <c r="C28" s="10"/>
      <c r="D28" s="10"/>
      <c r="E28" s="10"/>
    </row>
    <row r="29" spans="1:23" ht="12.75" customHeight="1" x14ac:dyDescent="0.25">
      <c r="A29" s="10" t="s">
        <v>42</v>
      </c>
      <c r="B29" s="10"/>
      <c r="C29" s="10"/>
      <c r="D29" s="10"/>
      <c r="E29" s="10"/>
    </row>
    <row r="30" spans="1:23" ht="12.75" customHeight="1" x14ac:dyDescent="0.25">
      <c r="A30" s="10" t="s">
        <v>43</v>
      </c>
      <c r="B30" s="10"/>
      <c r="C30" s="10"/>
      <c r="D30" s="10"/>
      <c r="E30" s="10"/>
    </row>
    <row r="31" spans="1:23" ht="12.75" customHeight="1" x14ac:dyDescent="0.25">
      <c r="A31" s="10" t="s">
        <v>44</v>
      </c>
      <c r="B31" s="10"/>
      <c r="C31" s="10"/>
      <c r="D31" s="10"/>
      <c r="E31" s="10"/>
    </row>
    <row r="32" spans="1:23" ht="12.75" customHeight="1" x14ac:dyDescent="0.25">
      <c r="A32" s="10" t="s">
        <v>45</v>
      </c>
      <c r="B32" s="10"/>
      <c r="C32" s="10"/>
      <c r="D32" s="10"/>
      <c r="E32" s="10"/>
    </row>
    <row r="33" spans="1:2" ht="12.75" customHeight="1" x14ac:dyDescent="0.25"/>
    <row r="34" spans="1:2" ht="12.75" customHeight="1" x14ac:dyDescent="0.25"/>
    <row r="35" spans="1:2" ht="12.75" customHeight="1" x14ac:dyDescent="0.25"/>
    <row r="36" spans="1:2" ht="12.75" customHeight="1" x14ac:dyDescent="0.25"/>
    <row r="37" spans="1:2" ht="12.75" customHeight="1" x14ac:dyDescent="0.3">
      <c r="A37" s="2" t="s">
        <v>46</v>
      </c>
    </row>
    <row r="38" spans="1:2" ht="12.75" customHeight="1" x14ac:dyDescent="0.3">
      <c r="A38" s="4"/>
      <c r="B38" s="2" t="s">
        <v>47</v>
      </c>
    </row>
    <row r="39" spans="1:2" ht="12.75" customHeight="1" x14ac:dyDescent="0.3">
      <c r="A39" s="1"/>
      <c r="B39" s="2" t="s">
        <v>48</v>
      </c>
    </row>
    <row r="40" spans="1:2" ht="12.75" customHeight="1" x14ac:dyDescent="0.3">
      <c r="A40" s="5"/>
      <c r="B40" s="2" t="s">
        <v>49</v>
      </c>
    </row>
    <row r="41" spans="1:2" ht="12.75" customHeight="1" x14ac:dyDescent="0.25"/>
    <row r="42" spans="1:2" ht="12.75" customHeight="1" x14ac:dyDescent="0.25"/>
    <row r="43" spans="1:2" ht="12.75" customHeight="1" x14ac:dyDescent="0.25"/>
    <row r="44" spans="1:2" ht="12.75" customHeight="1" x14ac:dyDescent="0.25"/>
    <row r="45" spans="1:2" ht="12.75" customHeight="1" x14ac:dyDescent="0.25"/>
    <row r="46" spans="1:2" ht="12.75" customHeight="1" x14ac:dyDescent="0.25"/>
    <row r="47" spans="1:2" ht="12.75" customHeight="1" x14ac:dyDescent="0.25"/>
    <row r="48" spans="1:2" ht="12.75" customHeight="1" x14ac:dyDescent="0.25"/>
    <row r="49" spans="1:13" ht="12.75" customHeight="1" x14ac:dyDescent="0.3">
      <c r="A49" s="2" t="s">
        <v>50</v>
      </c>
      <c r="H49" s="2" t="s">
        <v>51</v>
      </c>
    </row>
    <row r="50" spans="1:13" ht="12.75" customHeight="1" x14ac:dyDescent="0.3">
      <c r="A50" s="11" t="s">
        <v>52</v>
      </c>
      <c r="B50" s="11"/>
      <c r="C50" s="11"/>
      <c r="D50" s="11"/>
      <c r="E50" s="11"/>
      <c r="F50" s="11"/>
      <c r="H50" s="12" t="s">
        <v>53</v>
      </c>
      <c r="I50" s="11"/>
      <c r="J50" s="11"/>
      <c r="K50" s="11"/>
      <c r="L50" s="11"/>
      <c r="M50" s="11"/>
    </row>
    <row r="51" spans="1:13" ht="12.75" customHeight="1" x14ac:dyDescent="0.25"/>
    <row r="52" spans="1:13" ht="12.75" customHeight="1" x14ac:dyDescent="0.25"/>
    <row r="53" spans="1:13" ht="12.75" customHeight="1" x14ac:dyDescent="0.25"/>
    <row r="54" spans="1:13" ht="12.75" customHeight="1" x14ac:dyDescent="0.25"/>
    <row r="55" spans="1:13" ht="12.75" customHeight="1" x14ac:dyDescent="0.25"/>
    <row r="56" spans="1:13" ht="12.75" customHeight="1" x14ac:dyDescent="0.25"/>
    <row r="57" spans="1:13" ht="12.75" customHeight="1" x14ac:dyDescent="0.25"/>
    <row r="58" spans="1:13" ht="12.75" customHeight="1" x14ac:dyDescent="0.25"/>
    <row r="59" spans="1:13" ht="12.75" customHeight="1" x14ac:dyDescent="0.25"/>
    <row r="60" spans="1:13" ht="12.75" customHeight="1" x14ac:dyDescent="0.25"/>
    <row r="61" spans="1:13" ht="12.75" customHeight="1" x14ac:dyDescent="0.25"/>
    <row r="62" spans="1:13" ht="12.75" customHeight="1" x14ac:dyDescent="0.25"/>
    <row r="63" spans="1:13" ht="12.75" customHeight="1" x14ac:dyDescent="0.25"/>
    <row r="64" spans="1:1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sheetProtection algorithmName="SHA-512" hashValue="HpCVo7t3VMfgbzC1ollzU48YneyqORW8YBWo+ijQKJW/jUM481LS2SlT9qVfGrS3+IHqSLW+VPT3/w3OCT4FiA==" saltValue="zgwBYULYLYGazDHpxJWi0A==" spinCount="100000" sheet="1" objects="1" scenarios="1" selectLockedCells="1"/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Navedya</dc:creator>
  <cp:lastModifiedBy>Navedya</cp:lastModifiedBy>
  <dcterms:created xsi:type="dcterms:W3CDTF">2020-01-04T15:00:28Z</dcterms:created>
  <dcterms:modified xsi:type="dcterms:W3CDTF">2020-01-29T08:18:34Z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