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dya\Desktop\Projects\PBL\Sem 7\Excel,Html,CSS,JS\"/>
    </mc:Choice>
  </mc:AlternateContent>
  <xr:revisionPtr revIDLastSave="0" documentId="13_ncr:1_{61BF736A-5412-4A6C-A2B9-9497CF08B66A}" xr6:coauthVersionLast="45" xr6:coauthVersionMax="45" xr10:uidLastSave="{00000000-0000-0000-0000-000000000000}"/>
  <bookViews>
    <workbookView xWindow="-108" yWindow="-108" windowWidth="23256" windowHeight="13176" xr2:uid="{9EFC9BD6-1D11-4F91-88D2-0C62A8124B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F2" i="1"/>
  <c r="G2" i="1" s="1"/>
  <c r="E3" i="1"/>
  <c r="F3" i="1" s="1"/>
  <c r="G3" i="1" s="1"/>
  <c r="A13" i="1"/>
  <c r="A14" i="1"/>
  <c r="N3" i="1" l="1"/>
  <c r="H3" i="1"/>
  <c r="I3" i="1" s="1"/>
  <c r="M3" i="1" s="1"/>
  <c r="K3" i="1"/>
  <c r="L3" i="1" s="1"/>
  <c r="E4" i="1"/>
  <c r="N4" i="1" s="1"/>
  <c r="H2" i="1"/>
  <c r="I2" i="1" s="1"/>
  <c r="K2" i="1"/>
  <c r="L2" i="1" s="1"/>
  <c r="J3" i="1" l="1"/>
  <c r="O3" i="1" s="1"/>
  <c r="P3" i="1" s="1"/>
  <c r="Q3" i="1" s="1"/>
  <c r="R3" i="1" s="1"/>
  <c r="S3" i="1" s="1"/>
  <c r="M2" i="1"/>
  <c r="J2" i="1"/>
  <c r="O2" i="1" s="1"/>
  <c r="E5" i="1"/>
  <c r="N5" i="1" s="1"/>
  <c r="F4" i="1"/>
  <c r="G4" i="1" s="1"/>
  <c r="H4" i="1" l="1"/>
  <c r="I4" i="1" s="1"/>
  <c r="K4" i="1"/>
  <c r="L4" i="1" s="1"/>
  <c r="Q2" i="1"/>
  <c r="R2" i="1" s="1"/>
  <c r="S2" i="1" s="1"/>
  <c r="P2" i="1"/>
  <c r="E6" i="1"/>
  <c r="N6" i="1" s="1"/>
  <c r="F5" i="1"/>
  <c r="G5" i="1" s="1"/>
  <c r="M4" i="1" l="1"/>
  <c r="J4" i="1"/>
  <c r="O4" i="1" s="1"/>
  <c r="H5" i="1"/>
  <c r="I5" i="1" s="1"/>
  <c r="K5" i="1"/>
  <c r="L5" i="1" s="1"/>
  <c r="E7" i="1"/>
  <c r="N7" i="1" s="1"/>
  <c r="F6" i="1"/>
  <c r="G6" i="1" s="1"/>
  <c r="H6" i="1" l="1"/>
  <c r="I6" i="1" s="1"/>
  <c r="K6" i="1"/>
  <c r="L6" i="1" s="1"/>
  <c r="P4" i="1"/>
  <c r="Q4" i="1" s="1"/>
  <c r="R4" i="1" s="1"/>
  <c r="S4" i="1" s="1"/>
  <c r="M5" i="1"/>
  <c r="J5" i="1"/>
  <c r="O5" i="1" s="1"/>
  <c r="E8" i="1"/>
  <c r="N8" i="1" s="1"/>
  <c r="F7" i="1"/>
  <c r="G7" i="1" s="1"/>
  <c r="H7" i="1" l="1"/>
  <c r="I7" i="1" s="1"/>
  <c r="K7" i="1"/>
  <c r="L7" i="1" s="1"/>
  <c r="P5" i="1"/>
  <c r="Q5" i="1" s="1"/>
  <c r="R5" i="1" s="1"/>
  <c r="S5" i="1" s="1"/>
  <c r="M6" i="1"/>
  <c r="J6" i="1"/>
  <c r="O6" i="1" s="1"/>
  <c r="E9" i="1"/>
  <c r="N9" i="1" s="1"/>
  <c r="F8" i="1"/>
  <c r="G8" i="1" s="1"/>
  <c r="M7" i="1" l="1"/>
  <c r="J7" i="1"/>
  <c r="O7" i="1" s="1"/>
  <c r="P6" i="1"/>
  <c r="Q6" i="1" s="1"/>
  <c r="R6" i="1" s="1"/>
  <c r="S6" i="1" s="1"/>
  <c r="H8" i="1"/>
  <c r="I8" i="1" s="1"/>
  <c r="K8" i="1"/>
  <c r="L8" i="1" s="1"/>
  <c r="E10" i="1"/>
  <c r="N10" i="1" s="1"/>
  <c r="F9" i="1"/>
  <c r="G9" i="1" s="1"/>
  <c r="J8" i="1" l="1"/>
  <c r="O8" i="1" s="1"/>
  <c r="M8" i="1"/>
  <c r="P7" i="1"/>
  <c r="Q7" i="1" s="1"/>
  <c r="R7" i="1" s="1"/>
  <c r="S7" i="1" s="1"/>
  <c r="H9" i="1"/>
  <c r="I9" i="1" s="1"/>
  <c r="K9" i="1"/>
  <c r="L9" i="1" s="1"/>
  <c r="E11" i="1"/>
  <c r="N11" i="1" s="1"/>
  <c r="F10" i="1"/>
  <c r="G10" i="1" s="1"/>
  <c r="M9" i="1" l="1"/>
  <c r="J9" i="1"/>
  <c r="O9" i="1" s="1"/>
  <c r="H10" i="1"/>
  <c r="I10" i="1" s="1"/>
  <c r="K10" i="1"/>
  <c r="L10" i="1" s="1"/>
  <c r="P8" i="1"/>
  <c r="Q8" i="1" s="1"/>
  <c r="R8" i="1" s="1"/>
  <c r="S8" i="1" s="1"/>
  <c r="E12" i="1"/>
  <c r="N12" i="1" s="1"/>
  <c r="F11" i="1"/>
  <c r="G11" i="1" s="1"/>
  <c r="P9" i="1" l="1"/>
  <c r="Q9" i="1" s="1"/>
  <c r="R9" i="1" s="1"/>
  <c r="S9" i="1" s="1"/>
  <c r="M10" i="1"/>
  <c r="J10" i="1"/>
  <c r="O10" i="1" s="1"/>
  <c r="H11" i="1"/>
  <c r="I11" i="1" s="1"/>
  <c r="K11" i="1"/>
  <c r="L11" i="1" s="1"/>
  <c r="E13" i="1"/>
  <c r="N13" i="1" s="1"/>
  <c r="F12" i="1"/>
  <c r="G12" i="1" s="1"/>
  <c r="P10" i="1" l="1"/>
  <c r="Q10" i="1" s="1"/>
  <c r="R10" i="1" s="1"/>
  <c r="S10" i="1" s="1"/>
  <c r="M11" i="1"/>
  <c r="J11" i="1"/>
  <c r="O11" i="1" s="1"/>
  <c r="H12" i="1"/>
  <c r="I12" i="1" s="1"/>
  <c r="K12" i="1"/>
  <c r="L12" i="1" s="1"/>
  <c r="E14" i="1"/>
  <c r="N14" i="1" s="1"/>
  <c r="F13" i="1"/>
  <c r="G13" i="1" s="1"/>
  <c r="P11" i="1" l="1"/>
  <c r="Q11" i="1" s="1"/>
  <c r="R11" i="1" s="1"/>
  <c r="S11" i="1" s="1"/>
  <c r="M12" i="1"/>
  <c r="J12" i="1"/>
  <c r="O12" i="1" s="1"/>
  <c r="H13" i="1"/>
  <c r="I13" i="1" s="1"/>
  <c r="K13" i="1"/>
  <c r="L13" i="1" s="1"/>
  <c r="E15" i="1"/>
  <c r="N15" i="1" s="1"/>
  <c r="F14" i="1"/>
  <c r="G14" i="1" s="1"/>
  <c r="J13" i="1" l="1"/>
  <c r="O13" i="1" s="1"/>
  <c r="M13" i="1"/>
  <c r="P12" i="1"/>
  <c r="Q12" i="1" s="1"/>
  <c r="R12" i="1" s="1"/>
  <c r="S12" i="1" s="1"/>
  <c r="H14" i="1"/>
  <c r="I14" i="1" s="1"/>
  <c r="K14" i="1"/>
  <c r="L14" i="1" s="1"/>
  <c r="E16" i="1"/>
  <c r="N16" i="1" s="1"/>
  <c r="F15" i="1"/>
  <c r="G15" i="1" s="1"/>
  <c r="M14" i="1" l="1"/>
  <c r="J14" i="1"/>
  <c r="O14" i="1" s="1"/>
  <c r="P13" i="1"/>
  <c r="Q13" i="1" s="1"/>
  <c r="R13" i="1" s="1"/>
  <c r="S13" i="1" s="1"/>
  <c r="H15" i="1"/>
  <c r="I15" i="1" s="1"/>
  <c r="K15" i="1"/>
  <c r="L15" i="1" s="1"/>
  <c r="E17" i="1"/>
  <c r="N17" i="1" s="1"/>
  <c r="F16" i="1"/>
  <c r="G16" i="1" s="1"/>
  <c r="H16" i="1" l="1"/>
  <c r="I16" i="1" s="1"/>
  <c r="K16" i="1"/>
  <c r="L16" i="1" s="1"/>
  <c r="M15" i="1"/>
  <c r="J15" i="1"/>
  <c r="O15" i="1" s="1"/>
  <c r="P14" i="1"/>
  <c r="Q14" i="1" s="1"/>
  <c r="R14" i="1" s="1"/>
  <c r="S14" i="1" s="1"/>
  <c r="E18" i="1"/>
  <c r="F17" i="1"/>
  <c r="G17" i="1" s="1"/>
  <c r="F18" i="1" l="1"/>
  <c r="G18" i="1" s="1"/>
  <c r="H18" i="1" s="1"/>
  <c r="I18" i="1" s="1"/>
  <c r="N18" i="1"/>
  <c r="P15" i="1"/>
  <c r="Q15" i="1" s="1"/>
  <c r="R15" i="1" s="1"/>
  <c r="S15" i="1" s="1"/>
  <c r="M16" i="1"/>
  <c r="J16" i="1"/>
  <c r="O16" i="1" s="1"/>
  <c r="H17" i="1"/>
  <c r="I17" i="1" s="1"/>
  <c r="K17" i="1"/>
  <c r="L17" i="1" s="1"/>
  <c r="K18" i="1" l="1"/>
  <c r="L18" i="1" s="1"/>
  <c r="M17" i="1"/>
  <c r="J17" i="1"/>
  <c r="O17" i="1" s="1"/>
  <c r="J18" i="1"/>
  <c r="O18" i="1" s="1"/>
  <c r="M18" i="1"/>
  <c r="P16" i="1"/>
  <c r="Q16" i="1" s="1"/>
  <c r="R16" i="1" s="1"/>
  <c r="S16" i="1" s="1"/>
  <c r="P18" i="1" l="1"/>
  <c r="Q18" i="1" s="1"/>
  <c r="R18" i="1" s="1"/>
  <c r="S18" i="1" s="1"/>
  <c r="P17" i="1"/>
  <c r="Q17" i="1" s="1"/>
  <c r="R17" i="1" s="1"/>
  <c r="S17" i="1" s="1"/>
</calcChain>
</file>

<file path=xl/sharedStrings.xml><?xml version="1.0" encoding="utf-8"?>
<sst xmlns="http://schemas.openxmlformats.org/spreadsheetml/2006/main" count="35" uniqueCount="32">
  <si>
    <t>INPUT VALUES</t>
  </si>
  <si>
    <t>UNITS</t>
  </si>
  <si>
    <t>K</t>
  </si>
  <si>
    <t>Lpm</t>
  </si>
  <si>
    <t>bar</t>
  </si>
  <si>
    <t>Ω.cm.sq</t>
  </si>
  <si>
    <t>CONSTANTS</t>
  </si>
  <si>
    <t>-</t>
  </si>
  <si>
    <t>As/mol</t>
  </si>
  <si>
    <t>cm</t>
  </si>
  <si>
    <t>cm.sq/s</t>
  </si>
  <si>
    <t>J/mol-K</t>
  </si>
  <si>
    <t>Enter Temperature:</t>
  </si>
  <si>
    <t>Enter Fuel Flow rate:</t>
  </si>
  <si>
    <t>Enter Pressure at Cathode:</t>
  </si>
  <si>
    <t>Enter internal resistance:</t>
  </si>
  <si>
    <t>Enter Pressure at Anode:</t>
  </si>
  <si>
    <t>P.H2</t>
  </si>
  <si>
    <t>Bulk Conc.</t>
  </si>
  <si>
    <t>Field Current
 Density (A/cm.sq)</t>
  </si>
  <si>
    <t>Limiting Current 
Density (IL)</t>
  </si>
  <si>
    <t>Utilization
Factor (H2)</t>
  </si>
  <si>
    <t>Exchange 
Current Density(i0)</t>
  </si>
  <si>
    <t>Nernst 
Equation (V)</t>
  </si>
  <si>
    <t>OPEN CIRCUIT
VOLTAGE(V)</t>
  </si>
  <si>
    <t>CONC. (V)</t>
  </si>
  <si>
    <t>OHMIC (V)</t>
  </si>
  <si>
    <t>ACTIVATION
 (V)</t>
  </si>
  <si>
    <r>
      <t>Charge transfer
Coeff (</t>
    </r>
    <r>
      <rPr>
        <b/>
        <sz val="14"/>
        <color theme="1"/>
        <rFont val="Calibri"/>
        <family val="2"/>
      </rPr>
      <t>α)</t>
    </r>
  </si>
  <si>
    <t>TAFEL
SLOPE (A)</t>
  </si>
  <si>
    <t>FUEL CELL
VOLTAGE (V)</t>
  </si>
  <si>
    <t>FUEL CELL
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</si>
</sst>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000000"/>
      <name val="Arial"/>
      <family val="2"/>
    </font>
    <font>
      <sz val="11"/>
      <color theme="6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3" fillId="6" borderId="0" xfId="0" applyFont="1" applyFill="1"/>
    <xf numFmtId="0" fontId="0" fillId="6" borderId="0" xfId="0" applyFill="1"/>
    <xf numFmtId="0" fontId="4" fillId="6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6" fillId="6" borderId="0" xfId="0" applyFont="1" applyFill="1"/>
    <xf numFmtId="0" fontId="5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applyFont="1" applyFill="1" applyAlignment="1">
      <alignment horizontal="center"/>
    </xf>
    <xf numFmtId="0" fontId="2" fillId="8" borderId="0" xfId="0" applyFont="1" applyFill="1"/>
    <xf numFmtId="0" fontId="0" fillId="5" borderId="0" xfId="0" applyFill="1"/>
    <xf numFmtId="0" fontId="8" fillId="7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Polarisation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Sheet1!$R$1</c:f>
              <c:strCache>
                <c:ptCount val="1"/>
                <c:pt idx="0">
                  <c:v>FUEL CELL
VOLTAGE (V)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Sheet1!$E$3:$E$18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cat>
          <c:val>
            <c:numRef>
              <c:f>Sheet1!$R$3:$R$18</c:f>
              <c:numCache>
                <c:formatCode>General</c:formatCode>
                <c:ptCount val="16"/>
                <c:pt idx="0">
                  <c:v>1.1703348527974182</c:v>
                </c:pt>
                <c:pt idx="1">
                  <c:v>1.1252623651562235</c:v>
                </c:pt>
                <c:pt idx="2">
                  <c:v>1.0801890370532028</c:v>
                </c:pt>
                <c:pt idx="3">
                  <c:v>1.0351148487699482</c:v>
                </c:pt>
                <c:pt idx="4">
                  <c:v>0.99003977988587311</c:v>
                </c:pt>
                <c:pt idx="5">
                  <c:v>0.94496380924447387</c:v>
                </c:pt>
                <c:pt idx="6">
                  <c:v>0.89988691491753736</c:v>
                </c:pt>
                <c:pt idx="7">
                  <c:v>0.85480907416714613</c:v>
                </c:pt>
                <c:pt idx="8">
                  <c:v>0.80973026340531673</c:v>
                </c:pt>
                <c:pt idx="9">
                  <c:v>0.76465045815109089</c:v>
                </c:pt>
                <c:pt idx="10">
                  <c:v>0.71956963298488474</c:v>
                </c:pt>
                <c:pt idx="11">
                  <c:v>0.67448776149988365</c:v>
                </c:pt>
                <c:pt idx="12">
                  <c:v>0.62940481625024813</c:v>
                </c:pt>
                <c:pt idx="13">
                  <c:v>0.58432076869587912</c:v>
                </c:pt>
                <c:pt idx="14">
                  <c:v>0.53923558914346437</c:v>
                </c:pt>
                <c:pt idx="15">
                  <c:v>0.49414924668349636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09-4424-948C-92E11CD28B5A}"/>
            </c:ext>
          </c:extLst>
        </c:ser>
        <c:ser>
          <c:idx val="13"/>
          <c:order val="13"/>
          <c:tx>
            <c:strRef>
              <c:f>Sheet1!$S$1</c:f>
              <c:strCache>
                <c:ptCount val="1"/>
                <c:pt idx="0">
                  <c:v>FUEL CELL
POWER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Sheet1!$E$3:$E$18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cat>
          <c:val>
            <c:numRef>
              <c:f>Sheet1!$S$3:$S$18</c:f>
              <c:numCache>
                <c:formatCode>General</c:formatCode>
                <c:ptCount val="16"/>
                <c:pt idx="0">
                  <c:v>0.29258371319935456</c:v>
                </c:pt>
                <c:pt idx="1">
                  <c:v>0.56263118257811173</c:v>
                </c:pt>
                <c:pt idx="2">
                  <c:v>0.81014177778990204</c:v>
                </c:pt>
                <c:pt idx="3">
                  <c:v>1.0351148487699482</c:v>
                </c:pt>
                <c:pt idx="4">
                  <c:v>1.2375497248573413</c:v>
                </c:pt>
                <c:pt idx="5">
                  <c:v>1.4174457138667109</c:v>
                </c:pt>
                <c:pt idx="6">
                  <c:v>1.5748021011056903</c:v>
                </c:pt>
                <c:pt idx="7">
                  <c:v>1.7096181483342923</c:v>
                </c:pt>
                <c:pt idx="8">
                  <c:v>1.8218930926619628</c:v>
                </c:pt>
                <c:pt idx="9">
                  <c:v>1.9116261453777272</c:v>
                </c:pt>
                <c:pt idx="10">
                  <c:v>1.9788164907084331</c:v>
                </c:pt>
                <c:pt idx="11">
                  <c:v>2.023463284499651</c:v>
                </c:pt>
                <c:pt idx="12">
                  <c:v>2.0455656528133064</c:v>
                </c:pt>
                <c:pt idx="13">
                  <c:v>2.0451226904355768</c:v>
                </c:pt>
                <c:pt idx="14">
                  <c:v>2.0221334592879914</c:v>
                </c:pt>
                <c:pt idx="15">
                  <c:v>1.9765969867339854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09-4424-948C-92E11CD28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293240"/>
        <c:axId val="625293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Utilization
Factor (H2)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Sheet1!$F$3:$F$18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0.54636817294484419</c:v>
                      </c:pt>
                      <c:pt idx="1">
                        <c:v>1.0927363458896884</c:v>
                      </c:pt>
                      <c:pt idx="2">
                        <c:v>1.6391045188345326</c:v>
                      </c:pt>
                      <c:pt idx="3">
                        <c:v>2.1854726917793768</c:v>
                      </c:pt>
                      <c:pt idx="4">
                        <c:v>2.7318408647242212</c:v>
                      </c:pt>
                      <c:pt idx="5">
                        <c:v>3.2782090376690651</c:v>
                      </c:pt>
                      <c:pt idx="6">
                        <c:v>3.8245772106139095</c:v>
                      </c:pt>
                      <c:pt idx="7">
                        <c:v>4.3709453835587535</c:v>
                      </c:pt>
                      <c:pt idx="8">
                        <c:v>4.9173135565035979</c:v>
                      </c:pt>
                      <c:pt idx="9">
                        <c:v>5.4636817294484423</c:v>
                      </c:pt>
                      <c:pt idx="10">
                        <c:v>6.0100499023932858</c:v>
                      </c:pt>
                      <c:pt idx="11">
                        <c:v>6.5564180753381303</c:v>
                      </c:pt>
                      <c:pt idx="12">
                        <c:v>7.1027862482829747</c:v>
                      </c:pt>
                      <c:pt idx="13">
                        <c:v>7.6491544212278191</c:v>
                      </c:pt>
                      <c:pt idx="14">
                        <c:v>8.1955225941726635</c:v>
                      </c:pt>
                      <c:pt idx="15">
                        <c:v>8.741890767117507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F09-4424-948C-92E11CD28B5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P.H2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4.9726815913527576</c:v>
                      </c:pt>
                      <c:pt idx="1">
                        <c:v>4.9453631827055151</c:v>
                      </c:pt>
                      <c:pt idx="2">
                        <c:v>4.9180447740582736</c:v>
                      </c:pt>
                      <c:pt idx="3">
                        <c:v>4.8907263654110311</c:v>
                      </c:pt>
                      <c:pt idx="4">
                        <c:v>4.8634079567637887</c:v>
                      </c:pt>
                      <c:pt idx="5">
                        <c:v>4.8360895481165471</c:v>
                      </c:pt>
                      <c:pt idx="6">
                        <c:v>4.8087711394693047</c:v>
                      </c:pt>
                      <c:pt idx="7">
                        <c:v>4.7814527308220622</c:v>
                      </c:pt>
                      <c:pt idx="8">
                        <c:v>4.7541343221748198</c:v>
                      </c:pt>
                      <c:pt idx="9">
                        <c:v>4.7268159135275774</c:v>
                      </c:pt>
                      <c:pt idx="10">
                        <c:v>4.6994975048803358</c:v>
                      </c:pt>
                      <c:pt idx="11">
                        <c:v>4.6721790962330934</c:v>
                      </c:pt>
                      <c:pt idx="12">
                        <c:v>4.6448606875858509</c:v>
                      </c:pt>
                      <c:pt idx="13">
                        <c:v>4.6175422789386094</c:v>
                      </c:pt>
                      <c:pt idx="14">
                        <c:v>4.5902238702913669</c:v>
                      </c:pt>
                      <c:pt idx="15">
                        <c:v>4.5629054616441245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F09-4424-948C-92E11CD28B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Bulk Conc.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Sheet1!$H$3:$H$18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2.2199471389967667E-4</c:v>
                      </c:pt>
                      <c:pt idx="1">
                        <c:v>2.2077514208506763E-4</c:v>
                      </c:pt>
                      <c:pt idx="2">
                        <c:v>2.1955557027045864E-4</c:v>
                      </c:pt>
                      <c:pt idx="3">
                        <c:v>2.183359984558496E-4</c:v>
                      </c:pt>
                      <c:pt idx="4">
                        <c:v>2.1711642664124056E-4</c:v>
                      </c:pt>
                      <c:pt idx="5">
                        <c:v>2.1589685482663158E-4</c:v>
                      </c:pt>
                      <c:pt idx="6">
                        <c:v>2.1467728301202254E-4</c:v>
                      </c:pt>
                      <c:pt idx="7">
                        <c:v>2.134577111974135E-4</c:v>
                      </c:pt>
                      <c:pt idx="8">
                        <c:v>2.1223813938280446E-4</c:v>
                      </c:pt>
                      <c:pt idx="9">
                        <c:v>2.1101856756819542E-4</c:v>
                      </c:pt>
                      <c:pt idx="10">
                        <c:v>2.0979899575358641E-4</c:v>
                      </c:pt>
                      <c:pt idx="11">
                        <c:v>2.0857942393897737E-4</c:v>
                      </c:pt>
                      <c:pt idx="12">
                        <c:v>2.0735985212436833E-4</c:v>
                      </c:pt>
                      <c:pt idx="13">
                        <c:v>2.0614028030975935E-4</c:v>
                      </c:pt>
                      <c:pt idx="14">
                        <c:v>2.0492070849515031E-4</c:v>
                      </c:pt>
                      <c:pt idx="15">
                        <c:v>2.0370113668054127E-4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F09-4424-948C-92E11CD28B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Limiting Current 
Density (IL)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42.838319941220611</c:v>
                      </c:pt>
                      <c:pt idx="1">
                        <c:v>42.6029791681555</c:v>
                      </c:pt>
                      <c:pt idx="2">
                        <c:v>42.367638395090403</c:v>
                      </c:pt>
                      <c:pt idx="3">
                        <c:v>42.132297622025298</c:v>
                      </c:pt>
                      <c:pt idx="4">
                        <c:v>41.896956848960194</c:v>
                      </c:pt>
                      <c:pt idx="5">
                        <c:v>41.661616075895097</c:v>
                      </c:pt>
                      <c:pt idx="6">
                        <c:v>41.426275302829993</c:v>
                      </c:pt>
                      <c:pt idx="7">
                        <c:v>41.190934529764881</c:v>
                      </c:pt>
                      <c:pt idx="8">
                        <c:v>40.955593756699777</c:v>
                      </c:pt>
                      <c:pt idx="9">
                        <c:v>40.720252983634666</c:v>
                      </c:pt>
                      <c:pt idx="10">
                        <c:v>40.484912210569568</c:v>
                      </c:pt>
                      <c:pt idx="11">
                        <c:v>40.249571437504464</c:v>
                      </c:pt>
                      <c:pt idx="12">
                        <c:v>40.01423066443936</c:v>
                      </c:pt>
                      <c:pt idx="13">
                        <c:v>39.778889891374263</c:v>
                      </c:pt>
                      <c:pt idx="14">
                        <c:v>39.543549118309159</c:v>
                      </c:pt>
                      <c:pt idx="15">
                        <c:v>39.308208345244047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09-4424-948C-92E11CD28B5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Exchange 
Current Density(i0)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Sheet1!$J$3:$J$18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4.2838319941220608E-2</c:v>
                      </c:pt>
                      <c:pt idx="1">
                        <c:v>4.2602979168155503E-2</c:v>
                      </c:pt>
                      <c:pt idx="2">
                        <c:v>4.2367638395090404E-2</c:v>
                      </c:pt>
                      <c:pt idx="3">
                        <c:v>4.2132297622025298E-2</c:v>
                      </c:pt>
                      <c:pt idx="4">
                        <c:v>4.1896956848960193E-2</c:v>
                      </c:pt>
                      <c:pt idx="5">
                        <c:v>4.1661616075895094E-2</c:v>
                      </c:pt>
                      <c:pt idx="6">
                        <c:v>4.1426275302829996E-2</c:v>
                      </c:pt>
                      <c:pt idx="7">
                        <c:v>4.1190934529764883E-2</c:v>
                      </c:pt>
                      <c:pt idx="8">
                        <c:v>4.0955593756699778E-2</c:v>
                      </c:pt>
                      <c:pt idx="9">
                        <c:v>4.0720252983634665E-2</c:v>
                      </c:pt>
                      <c:pt idx="10">
                        <c:v>4.0484912210569567E-2</c:v>
                      </c:pt>
                      <c:pt idx="11">
                        <c:v>4.0249571437504461E-2</c:v>
                      </c:pt>
                      <c:pt idx="12">
                        <c:v>4.0014230664439362E-2</c:v>
                      </c:pt>
                      <c:pt idx="13">
                        <c:v>3.9778889891374264E-2</c:v>
                      </c:pt>
                      <c:pt idx="14">
                        <c:v>3.9543549118309158E-2</c:v>
                      </c:pt>
                      <c:pt idx="15">
                        <c:v>3.9308208345244046E-2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09-4424-948C-92E11CD28B5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Nernst 
Equation (V)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1.2299344026576895</c:v>
                      </c:pt>
                      <c:pt idx="1">
                        <c:v>1.2298995623756912</c:v>
                      </c:pt>
                      <c:pt idx="2">
                        <c:v>1.2298645291003747</c:v>
                      </c:pt>
                      <c:pt idx="3">
                        <c:v>1.2298293006817007</c:v>
                      </c:pt>
                      <c:pt idx="4">
                        <c:v>1.2297938749334998</c:v>
                      </c:pt>
                      <c:pt idx="5">
                        <c:v>1.2297582496326582</c:v>
                      </c:pt>
                      <c:pt idx="6">
                        <c:v>1.229722422518281</c:v>
                      </c:pt>
                      <c:pt idx="7">
                        <c:v>1.2296863912908313</c:v>
                      </c:pt>
                      <c:pt idx="8">
                        <c:v>1.2296501536112439</c:v>
                      </c:pt>
                      <c:pt idx="9">
                        <c:v>1.2296137071000144</c:v>
                      </c:pt>
                      <c:pt idx="10">
                        <c:v>1.2295770493362617</c:v>
                      </c:pt>
                      <c:pt idx="11">
                        <c:v>1.2295401778567634</c:v>
                      </c:pt>
                      <c:pt idx="12">
                        <c:v>1.2295030901549617</c:v>
                      </c:pt>
                      <c:pt idx="13">
                        <c:v>1.2294657836799419</c:v>
                      </c:pt>
                      <c:pt idx="14">
                        <c:v>1.2294282558353791</c:v>
                      </c:pt>
                      <c:pt idx="15">
                        <c:v>1.2293905039784536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09-4424-948C-92E11CD28B5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OPEN CIRCUIT
VOLTAGE(V)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Sheet1!$L$3:$L$18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1.2299344026576895</c:v>
                      </c:pt>
                      <c:pt idx="1">
                        <c:v>1.2298995623756912</c:v>
                      </c:pt>
                      <c:pt idx="2">
                        <c:v>1.2298645291003747</c:v>
                      </c:pt>
                      <c:pt idx="3">
                        <c:v>1.2298293006817007</c:v>
                      </c:pt>
                      <c:pt idx="4">
                        <c:v>1.2297938749334998</c:v>
                      </c:pt>
                      <c:pt idx="5">
                        <c:v>1.2297582496326582</c:v>
                      </c:pt>
                      <c:pt idx="6">
                        <c:v>1.229722422518281</c:v>
                      </c:pt>
                      <c:pt idx="7">
                        <c:v>1.2296863912908313</c:v>
                      </c:pt>
                      <c:pt idx="8">
                        <c:v>1.2296501536112439</c:v>
                      </c:pt>
                      <c:pt idx="9">
                        <c:v>1.2296137071000144</c:v>
                      </c:pt>
                      <c:pt idx="10">
                        <c:v>1.2295770493362617</c:v>
                      </c:pt>
                      <c:pt idx="11">
                        <c:v>1.2295401778567634</c:v>
                      </c:pt>
                      <c:pt idx="12">
                        <c:v>1.2295030901549617</c:v>
                      </c:pt>
                      <c:pt idx="13">
                        <c:v>1.2294657836799419</c:v>
                      </c:pt>
                      <c:pt idx="14">
                        <c:v>1.2294282558353791</c:v>
                      </c:pt>
                      <c:pt idx="15">
                        <c:v>1.2293905039784536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09-4424-948C-92E11CD28B5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CONC. (V)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Sheet1!$M$3:$M$18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3.7016824048033375E-5</c:v>
                      </c:pt>
                      <c:pt idx="1">
                        <c:v>7.4664183244568366E-5</c:v>
                      </c:pt>
                      <c:pt idx="2">
                        <c:v>1.1295901094859746E-4</c:v>
                      </c:pt>
                      <c:pt idx="3">
                        <c:v>1.5191887552940044E-4</c:v>
                      </c:pt>
                      <c:pt idx="4">
                        <c:v>1.9156201140348779E-4</c:v>
                      </c:pt>
                      <c:pt idx="5">
                        <c:v>2.3190735196101938E-4</c:v>
                      </c:pt>
                      <c:pt idx="6">
                        <c:v>2.7297456452042443E-4</c:v>
                      </c:pt>
                      <c:pt idx="7">
                        <c:v>3.1478408746192938E-4</c:v>
                      </c:pt>
                      <c:pt idx="8">
                        <c:v>3.5735716970387426E-4</c:v>
                      </c:pt>
                      <c:pt idx="9">
                        <c:v>4.0071591270022264E-4</c:v>
                      </c:pt>
                      <c:pt idx="10">
                        <c:v>4.4488331515368053E-4</c:v>
                      </c:pt>
                      <c:pt idx="11">
                        <c:v>4.898833206564828E-4</c:v>
                      </c:pt>
                      <c:pt idx="12">
                        <c:v>5.3574086849044519E-4</c:v>
                      </c:pt>
                      <c:pt idx="13">
                        <c:v>5.8248194783945377E-4</c:v>
                      </c:pt>
                      <c:pt idx="14">
                        <c:v>6.3013365569151601E-4</c:v>
                      </c:pt>
                      <c:pt idx="15">
                        <c:v>6.7872425873400548E-4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F09-4424-948C-92E11CD28B5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OHMIC (V)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Sheet1!$N$3:$N$18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4.4999999999999998E-2</c:v>
                      </c:pt>
                      <c:pt idx="1">
                        <c:v>0.09</c:v>
                      </c:pt>
                      <c:pt idx="2">
                        <c:v>0.13500000000000001</c:v>
                      </c:pt>
                      <c:pt idx="3">
                        <c:v>0.18</c:v>
                      </c:pt>
                      <c:pt idx="4">
                        <c:v>0.22499999999999998</c:v>
                      </c:pt>
                      <c:pt idx="5">
                        <c:v>0.27</c:v>
                      </c:pt>
                      <c:pt idx="6">
                        <c:v>0.315</c:v>
                      </c:pt>
                      <c:pt idx="7">
                        <c:v>0.36</c:v>
                      </c:pt>
                      <c:pt idx="8">
                        <c:v>0.40499999999999997</c:v>
                      </c:pt>
                      <c:pt idx="9">
                        <c:v>0.44999999999999996</c:v>
                      </c:pt>
                      <c:pt idx="10">
                        <c:v>0.495</c:v>
                      </c:pt>
                      <c:pt idx="11">
                        <c:v>0.54</c:v>
                      </c:pt>
                      <c:pt idx="12">
                        <c:v>0.58499999999999996</c:v>
                      </c:pt>
                      <c:pt idx="13">
                        <c:v>0.63</c:v>
                      </c:pt>
                      <c:pt idx="14">
                        <c:v>0.67499999999999993</c:v>
                      </c:pt>
                      <c:pt idx="15">
                        <c:v>0.72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09-4424-948C-92E11CD28B5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Charge transfer
Coeff (α)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Sheet1!$O$3:$O$18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0.76610757859823053</c:v>
                      </c:pt>
                      <c:pt idx="1">
                        <c:v>1.0695300345513412</c:v>
                      </c:pt>
                      <c:pt idx="2">
                        <c:v>1.2480270066261341</c:v>
                      </c:pt>
                      <c:pt idx="3">
                        <c:v>1.3753848566253808</c:v>
                      </c:pt>
                      <c:pt idx="4">
                        <c:v>1.4747275335191012</c:v>
                      </c:pt>
                      <c:pt idx="5">
                        <c:v>1.5563551466069216</c:v>
                      </c:pt>
                      <c:pt idx="6">
                        <c:v>1.6257621616864946</c:v>
                      </c:pt>
                      <c:pt idx="7">
                        <c:v>1.6862283504296809</c:v>
                      </c:pt>
                      <c:pt idx="8">
                        <c:v>1.7398692915812362</c:v>
                      </c:pt>
                      <c:pt idx="9">
                        <c:v>1.7881295411838252</c:v>
                      </c:pt>
                      <c:pt idx="10">
                        <c:v>1.8320394919620822</c:v>
                      </c:pt>
                      <c:pt idx="11">
                        <c:v>1.8723599941975848</c:v>
                      </c:pt>
                      <c:pt idx="12">
                        <c:v>1.9096688896526999</c:v>
                      </c:pt>
                      <c:pt idx="13">
                        <c:v>1.9444153852395256</c:v>
                      </c:pt>
                      <c:pt idx="14">
                        <c:v>1.9769556221399256</c:v>
                      </c:pt>
                      <c:pt idx="15">
                        <c:v>2.0075767420514148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F09-4424-948C-92E11CD28B5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TAFEL
SLOPE (A)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Sheet1!$P$3:$P$18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1.900847014575778E-2</c:v>
                      </c:pt>
                      <c:pt idx="1">
                        <c:v>1.3615824302056283E-2</c:v>
                      </c:pt>
                      <c:pt idx="2">
                        <c:v>1.1668443838880547E-2</c:v>
                      </c:pt>
                      <c:pt idx="3">
                        <c:v>1.058796958980166E-2</c:v>
                      </c:pt>
                      <c:pt idx="4">
                        <c:v>9.874727843097281E-3</c:v>
                      </c:pt>
                      <c:pt idx="5">
                        <c:v>9.3568187620747534E-3</c:v>
                      </c:pt>
                      <c:pt idx="6">
                        <c:v>8.9573575885889198E-3</c:v>
                      </c:pt>
                      <c:pt idx="7">
                        <c:v>8.6361571565989007E-3</c:v>
                      </c:pt>
                      <c:pt idx="8">
                        <c:v>8.3699006049980113E-3</c:v>
                      </c:pt>
                      <c:pt idx="9">
                        <c:v>8.1440033850020584E-3</c:v>
                      </c:pt>
                      <c:pt idx="10">
                        <c:v>7.9488095644854404E-3</c:v>
                      </c:pt>
                      <c:pt idx="11">
                        <c:v>7.7776352204449546E-3</c:v>
                      </c:pt>
                      <c:pt idx="12">
                        <c:v>7.6256848059517001E-3</c:v>
                      </c:pt>
                      <c:pt idx="13">
                        <c:v>7.4894146316525573E-3</c:v>
                      </c:pt>
                      <c:pt idx="14">
                        <c:v>7.3661405815777774E-3</c:v>
                      </c:pt>
                      <c:pt idx="15">
                        <c:v>7.2537864835705967E-3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F09-4424-948C-92E11CD28B5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ACTIVATION
 (V)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Sheet1!$Q$3:$Q$18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1.4562533036223247E-2</c:v>
                      </c:pt>
                      <c:pt idx="1">
                        <c:v>1.4562533036223247E-2</c:v>
                      </c:pt>
                      <c:pt idx="2">
                        <c:v>1.4562533036223246E-2</c:v>
                      </c:pt>
                      <c:pt idx="3">
                        <c:v>1.4562533036223247E-2</c:v>
                      </c:pt>
                      <c:pt idx="4">
                        <c:v>1.4562533036223247E-2</c:v>
                      </c:pt>
                      <c:pt idx="5">
                        <c:v>1.4562533036223247E-2</c:v>
                      </c:pt>
                      <c:pt idx="6">
                        <c:v>1.4562533036223249E-2</c:v>
                      </c:pt>
                      <c:pt idx="7">
                        <c:v>1.4562533036223247E-2</c:v>
                      </c:pt>
                      <c:pt idx="8">
                        <c:v>1.4562533036223249E-2</c:v>
                      </c:pt>
                      <c:pt idx="9">
                        <c:v>1.4562533036223249E-2</c:v>
                      </c:pt>
                      <c:pt idx="10">
                        <c:v>1.4562533036223246E-2</c:v>
                      </c:pt>
                      <c:pt idx="11">
                        <c:v>1.4562533036223246E-2</c:v>
                      </c:pt>
                      <c:pt idx="12">
                        <c:v>1.4562533036223247E-2</c:v>
                      </c:pt>
                      <c:pt idx="13">
                        <c:v>1.4562533036223247E-2</c:v>
                      </c:pt>
                      <c:pt idx="14">
                        <c:v>1.4562533036223249E-2</c:v>
                      </c:pt>
                      <c:pt idx="15">
                        <c:v>1.4562533036223247E-2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F09-4424-948C-92E11CD28B5A}"/>
                  </c:ext>
                </c:extLst>
              </c15:ser>
            </c15:filteredLineSeries>
          </c:ext>
        </c:extLst>
      </c:lineChart>
      <c:catAx>
        <c:axId val="625293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</a:t>
                </a:r>
                <a:r>
                  <a:rPr lang="en-US" baseline="0"/>
                  <a:t> Current density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93880"/>
        <c:crosses val="autoZero"/>
        <c:auto val="1"/>
        <c:lblAlgn val="ctr"/>
        <c:lblOffset val="100"/>
        <c:noMultiLvlLbl val="0"/>
      </c:catAx>
      <c:valAx>
        <c:axId val="62529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Voltage/power</a:t>
                </a:r>
                <a:r>
                  <a:rPr lang="en-US" baseline="0"/>
                  <a:t>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9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Losses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Sheet1!$M$1</c:f>
              <c:strCache>
                <c:ptCount val="1"/>
                <c:pt idx="0">
                  <c:v>CONC. (V)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Sheet1!$E$3:$E$18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cat>
          <c:val>
            <c:numRef>
              <c:f>Sheet1!$M$3:$M$18</c:f>
              <c:numCache>
                <c:formatCode>General</c:formatCode>
                <c:ptCount val="16"/>
                <c:pt idx="0">
                  <c:v>3.7016824048033375E-5</c:v>
                </c:pt>
                <c:pt idx="1">
                  <c:v>7.4664183244568366E-5</c:v>
                </c:pt>
                <c:pt idx="2">
                  <c:v>1.1295901094859746E-4</c:v>
                </c:pt>
                <c:pt idx="3">
                  <c:v>1.5191887552940044E-4</c:v>
                </c:pt>
                <c:pt idx="4">
                  <c:v>1.9156201140348779E-4</c:v>
                </c:pt>
                <c:pt idx="5">
                  <c:v>2.3190735196101938E-4</c:v>
                </c:pt>
                <c:pt idx="6">
                  <c:v>2.7297456452042443E-4</c:v>
                </c:pt>
                <c:pt idx="7">
                  <c:v>3.1478408746192938E-4</c:v>
                </c:pt>
                <c:pt idx="8">
                  <c:v>3.5735716970387426E-4</c:v>
                </c:pt>
                <c:pt idx="9">
                  <c:v>4.0071591270022264E-4</c:v>
                </c:pt>
                <c:pt idx="10">
                  <c:v>4.4488331515368053E-4</c:v>
                </c:pt>
                <c:pt idx="11">
                  <c:v>4.898833206564828E-4</c:v>
                </c:pt>
                <c:pt idx="12">
                  <c:v>5.3574086849044519E-4</c:v>
                </c:pt>
                <c:pt idx="13">
                  <c:v>5.8248194783945377E-4</c:v>
                </c:pt>
                <c:pt idx="14">
                  <c:v>6.3013365569151601E-4</c:v>
                </c:pt>
                <c:pt idx="15">
                  <c:v>6.7872425873400548E-4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D7-4BF8-90DD-C73739734193}"/>
            </c:ext>
          </c:extLst>
        </c:ser>
        <c:ser>
          <c:idx val="9"/>
          <c:order val="9"/>
          <c:tx>
            <c:strRef>
              <c:f>Sheet1!$N$1</c:f>
              <c:strCache>
                <c:ptCount val="1"/>
                <c:pt idx="0">
                  <c:v>OHMIC (V)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Sheet1!$E$3:$E$18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cat>
          <c:val>
            <c:numRef>
              <c:f>Sheet1!$N$3:$N$18</c:f>
              <c:numCache>
                <c:formatCode>General</c:formatCode>
                <c:ptCount val="16"/>
                <c:pt idx="0">
                  <c:v>4.4999999999999998E-2</c:v>
                </c:pt>
                <c:pt idx="1">
                  <c:v>0.09</c:v>
                </c:pt>
                <c:pt idx="2">
                  <c:v>0.13500000000000001</c:v>
                </c:pt>
                <c:pt idx="3">
                  <c:v>0.18</c:v>
                </c:pt>
                <c:pt idx="4">
                  <c:v>0.22499999999999998</c:v>
                </c:pt>
                <c:pt idx="5">
                  <c:v>0.27</c:v>
                </c:pt>
                <c:pt idx="6">
                  <c:v>0.315</c:v>
                </c:pt>
                <c:pt idx="7">
                  <c:v>0.36</c:v>
                </c:pt>
                <c:pt idx="8">
                  <c:v>0.40499999999999997</c:v>
                </c:pt>
                <c:pt idx="9">
                  <c:v>0.44999999999999996</c:v>
                </c:pt>
                <c:pt idx="10">
                  <c:v>0.495</c:v>
                </c:pt>
                <c:pt idx="11">
                  <c:v>0.54</c:v>
                </c:pt>
                <c:pt idx="12">
                  <c:v>0.58499999999999996</c:v>
                </c:pt>
                <c:pt idx="13">
                  <c:v>0.63</c:v>
                </c:pt>
                <c:pt idx="14">
                  <c:v>0.67499999999999993</c:v>
                </c:pt>
                <c:pt idx="15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D7-4BF8-90DD-C73739734193}"/>
            </c:ext>
          </c:extLst>
        </c:ser>
        <c:ser>
          <c:idx val="12"/>
          <c:order val="12"/>
          <c:tx>
            <c:strRef>
              <c:f>Sheet1!$Q$1</c:f>
              <c:strCache>
                <c:ptCount val="1"/>
                <c:pt idx="0">
                  <c:v>ACTIVATION
 (V)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Sheet1!$E$3:$E$18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cat>
          <c:val>
            <c:numRef>
              <c:f>Sheet1!$Q$3:$Q$18</c:f>
              <c:numCache>
                <c:formatCode>General</c:formatCode>
                <c:ptCount val="16"/>
                <c:pt idx="0">
                  <c:v>1.4562533036223247E-2</c:v>
                </c:pt>
                <c:pt idx="1">
                  <c:v>1.4562533036223247E-2</c:v>
                </c:pt>
                <c:pt idx="2">
                  <c:v>1.4562533036223246E-2</c:v>
                </c:pt>
                <c:pt idx="3">
                  <c:v>1.4562533036223247E-2</c:v>
                </c:pt>
                <c:pt idx="4">
                  <c:v>1.4562533036223247E-2</c:v>
                </c:pt>
                <c:pt idx="5">
                  <c:v>1.4562533036223247E-2</c:v>
                </c:pt>
                <c:pt idx="6">
                  <c:v>1.4562533036223249E-2</c:v>
                </c:pt>
                <c:pt idx="7">
                  <c:v>1.4562533036223247E-2</c:v>
                </c:pt>
                <c:pt idx="8">
                  <c:v>1.4562533036223249E-2</c:v>
                </c:pt>
                <c:pt idx="9">
                  <c:v>1.4562533036223249E-2</c:v>
                </c:pt>
                <c:pt idx="10">
                  <c:v>1.4562533036223246E-2</c:v>
                </c:pt>
                <c:pt idx="11">
                  <c:v>1.4562533036223246E-2</c:v>
                </c:pt>
                <c:pt idx="12">
                  <c:v>1.4562533036223247E-2</c:v>
                </c:pt>
                <c:pt idx="13">
                  <c:v>1.4562533036223247E-2</c:v>
                </c:pt>
                <c:pt idx="14">
                  <c:v>1.4562533036223249E-2</c:v>
                </c:pt>
                <c:pt idx="15">
                  <c:v>1.4562533036223247E-2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D7-4BF8-90DD-C73739734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295480"/>
        <c:axId val="625291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Field Current
 Density (A/cm.sq)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DD7-4BF8-90DD-C7373973419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Utilization
Factor (H2)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Sheet1!$F$3:$F$18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0.54636817294484419</c:v>
                      </c:pt>
                      <c:pt idx="1">
                        <c:v>1.0927363458896884</c:v>
                      </c:pt>
                      <c:pt idx="2">
                        <c:v>1.6391045188345326</c:v>
                      </c:pt>
                      <c:pt idx="3">
                        <c:v>2.1854726917793768</c:v>
                      </c:pt>
                      <c:pt idx="4">
                        <c:v>2.7318408647242212</c:v>
                      </c:pt>
                      <c:pt idx="5">
                        <c:v>3.2782090376690651</c:v>
                      </c:pt>
                      <c:pt idx="6">
                        <c:v>3.8245772106139095</c:v>
                      </c:pt>
                      <c:pt idx="7">
                        <c:v>4.3709453835587535</c:v>
                      </c:pt>
                      <c:pt idx="8">
                        <c:v>4.9173135565035979</c:v>
                      </c:pt>
                      <c:pt idx="9">
                        <c:v>5.4636817294484423</c:v>
                      </c:pt>
                      <c:pt idx="10">
                        <c:v>6.0100499023932858</c:v>
                      </c:pt>
                      <c:pt idx="11">
                        <c:v>6.5564180753381303</c:v>
                      </c:pt>
                      <c:pt idx="12">
                        <c:v>7.1027862482829747</c:v>
                      </c:pt>
                      <c:pt idx="13">
                        <c:v>7.6491544212278191</c:v>
                      </c:pt>
                      <c:pt idx="14">
                        <c:v>8.1955225941726635</c:v>
                      </c:pt>
                      <c:pt idx="15">
                        <c:v>8.741890767117507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D7-4BF8-90DD-C7373973419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P.H2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Sheet1!$G$3:$G$18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4.9726815913527576</c:v>
                      </c:pt>
                      <c:pt idx="1">
                        <c:v>4.9453631827055151</c:v>
                      </c:pt>
                      <c:pt idx="2">
                        <c:v>4.9180447740582736</c:v>
                      </c:pt>
                      <c:pt idx="3">
                        <c:v>4.8907263654110311</c:v>
                      </c:pt>
                      <c:pt idx="4">
                        <c:v>4.8634079567637887</c:v>
                      </c:pt>
                      <c:pt idx="5">
                        <c:v>4.8360895481165471</c:v>
                      </c:pt>
                      <c:pt idx="6">
                        <c:v>4.8087711394693047</c:v>
                      </c:pt>
                      <c:pt idx="7">
                        <c:v>4.7814527308220622</c:v>
                      </c:pt>
                      <c:pt idx="8">
                        <c:v>4.7541343221748198</c:v>
                      </c:pt>
                      <c:pt idx="9">
                        <c:v>4.7268159135275774</c:v>
                      </c:pt>
                      <c:pt idx="10">
                        <c:v>4.6994975048803358</c:v>
                      </c:pt>
                      <c:pt idx="11">
                        <c:v>4.6721790962330934</c:v>
                      </c:pt>
                      <c:pt idx="12">
                        <c:v>4.6448606875858509</c:v>
                      </c:pt>
                      <c:pt idx="13">
                        <c:v>4.6175422789386094</c:v>
                      </c:pt>
                      <c:pt idx="14">
                        <c:v>4.5902238702913669</c:v>
                      </c:pt>
                      <c:pt idx="15">
                        <c:v>4.5629054616441245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DD7-4BF8-90DD-C7373973419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Bulk Conc.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Sheet1!$H$3:$H$18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2.2199471389967667E-4</c:v>
                      </c:pt>
                      <c:pt idx="1">
                        <c:v>2.2077514208506763E-4</c:v>
                      </c:pt>
                      <c:pt idx="2">
                        <c:v>2.1955557027045864E-4</c:v>
                      </c:pt>
                      <c:pt idx="3">
                        <c:v>2.183359984558496E-4</c:v>
                      </c:pt>
                      <c:pt idx="4">
                        <c:v>2.1711642664124056E-4</c:v>
                      </c:pt>
                      <c:pt idx="5">
                        <c:v>2.1589685482663158E-4</c:v>
                      </c:pt>
                      <c:pt idx="6">
                        <c:v>2.1467728301202254E-4</c:v>
                      </c:pt>
                      <c:pt idx="7">
                        <c:v>2.134577111974135E-4</c:v>
                      </c:pt>
                      <c:pt idx="8">
                        <c:v>2.1223813938280446E-4</c:v>
                      </c:pt>
                      <c:pt idx="9">
                        <c:v>2.1101856756819542E-4</c:v>
                      </c:pt>
                      <c:pt idx="10">
                        <c:v>2.0979899575358641E-4</c:v>
                      </c:pt>
                      <c:pt idx="11">
                        <c:v>2.0857942393897737E-4</c:v>
                      </c:pt>
                      <c:pt idx="12">
                        <c:v>2.0735985212436833E-4</c:v>
                      </c:pt>
                      <c:pt idx="13">
                        <c:v>2.0614028030975935E-4</c:v>
                      </c:pt>
                      <c:pt idx="14">
                        <c:v>2.0492070849515031E-4</c:v>
                      </c:pt>
                      <c:pt idx="15">
                        <c:v>2.0370113668054127E-4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D7-4BF8-90DD-C7373973419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Limiting Current 
Density (IL)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Sheet1!$I$3:$I$18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42.838319941220611</c:v>
                      </c:pt>
                      <c:pt idx="1">
                        <c:v>42.6029791681555</c:v>
                      </c:pt>
                      <c:pt idx="2">
                        <c:v>42.367638395090403</c:v>
                      </c:pt>
                      <c:pt idx="3">
                        <c:v>42.132297622025298</c:v>
                      </c:pt>
                      <c:pt idx="4">
                        <c:v>41.896956848960194</c:v>
                      </c:pt>
                      <c:pt idx="5">
                        <c:v>41.661616075895097</c:v>
                      </c:pt>
                      <c:pt idx="6">
                        <c:v>41.426275302829993</c:v>
                      </c:pt>
                      <c:pt idx="7">
                        <c:v>41.190934529764881</c:v>
                      </c:pt>
                      <c:pt idx="8">
                        <c:v>40.955593756699777</c:v>
                      </c:pt>
                      <c:pt idx="9">
                        <c:v>40.720252983634666</c:v>
                      </c:pt>
                      <c:pt idx="10">
                        <c:v>40.484912210569568</c:v>
                      </c:pt>
                      <c:pt idx="11">
                        <c:v>40.249571437504464</c:v>
                      </c:pt>
                      <c:pt idx="12">
                        <c:v>40.01423066443936</c:v>
                      </c:pt>
                      <c:pt idx="13">
                        <c:v>39.778889891374263</c:v>
                      </c:pt>
                      <c:pt idx="14">
                        <c:v>39.543549118309159</c:v>
                      </c:pt>
                      <c:pt idx="15">
                        <c:v>39.308208345244047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D7-4BF8-90DD-C7373973419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Exchange 
Current Density(i0)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Sheet1!$J$3:$J$18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4.2838319941220608E-2</c:v>
                      </c:pt>
                      <c:pt idx="1">
                        <c:v>4.2602979168155503E-2</c:v>
                      </c:pt>
                      <c:pt idx="2">
                        <c:v>4.2367638395090404E-2</c:v>
                      </c:pt>
                      <c:pt idx="3">
                        <c:v>4.2132297622025298E-2</c:v>
                      </c:pt>
                      <c:pt idx="4">
                        <c:v>4.1896956848960193E-2</c:v>
                      </c:pt>
                      <c:pt idx="5">
                        <c:v>4.1661616075895094E-2</c:v>
                      </c:pt>
                      <c:pt idx="6">
                        <c:v>4.1426275302829996E-2</c:v>
                      </c:pt>
                      <c:pt idx="7">
                        <c:v>4.1190934529764883E-2</c:v>
                      </c:pt>
                      <c:pt idx="8">
                        <c:v>4.0955593756699778E-2</c:v>
                      </c:pt>
                      <c:pt idx="9">
                        <c:v>4.0720252983634665E-2</c:v>
                      </c:pt>
                      <c:pt idx="10">
                        <c:v>4.0484912210569567E-2</c:v>
                      </c:pt>
                      <c:pt idx="11">
                        <c:v>4.0249571437504461E-2</c:v>
                      </c:pt>
                      <c:pt idx="12">
                        <c:v>4.0014230664439362E-2</c:v>
                      </c:pt>
                      <c:pt idx="13">
                        <c:v>3.9778889891374264E-2</c:v>
                      </c:pt>
                      <c:pt idx="14">
                        <c:v>3.9543549118309158E-2</c:v>
                      </c:pt>
                      <c:pt idx="15">
                        <c:v>3.9308208345244046E-2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DD7-4BF8-90DD-C7373973419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Nernst 
Equation (V)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Sheet1!$K$3:$K$18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1.2299344026576895</c:v>
                      </c:pt>
                      <c:pt idx="1">
                        <c:v>1.2298995623756912</c:v>
                      </c:pt>
                      <c:pt idx="2">
                        <c:v>1.2298645291003747</c:v>
                      </c:pt>
                      <c:pt idx="3">
                        <c:v>1.2298293006817007</c:v>
                      </c:pt>
                      <c:pt idx="4">
                        <c:v>1.2297938749334998</c:v>
                      </c:pt>
                      <c:pt idx="5">
                        <c:v>1.2297582496326582</c:v>
                      </c:pt>
                      <c:pt idx="6">
                        <c:v>1.229722422518281</c:v>
                      </c:pt>
                      <c:pt idx="7">
                        <c:v>1.2296863912908313</c:v>
                      </c:pt>
                      <c:pt idx="8">
                        <c:v>1.2296501536112439</c:v>
                      </c:pt>
                      <c:pt idx="9">
                        <c:v>1.2296137071000144</c:v>
                      </c:pt>
                      <c:pt idx="10">
                        <c:v>1.2295770493362617</c:v>
                      </c:pt>
                      <c:pt idx="11">
                        <c:v>1.2295401778567634</c:v>
                      </c:pt>
                      <c:pt idx="12">
                        <c:v>1.2295030901549617</c:v>
                      </c:pt>
                      <c:pt idx="13">
                        <c:v>1.2294657836799419</c:v>
                      </c:pt>
                      <c:pt idx="14">
                        <c:v>1.2294282558353791</c:v>
                      </c:pt>
                      <c:pt idx="15">
                        <c:v>1.2293905039784536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DD7-4BF8-90DD-C7373973419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OPEN CIRCUIT
VOLTAGE(V)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Sheet1!$L$3:$L$18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1.2299344026576895</c:v>
                      </c:pt>
                      <c:pt idx="1">
                        <c:v>1.2298995623756912</c:v>
                      </c:pt>
                      <c:pt idx="2">
                        <c:v>1.2298645291003747</c:v>
                      </c:pt>
                      <c:pt idx="3">
                        <c:v>1.2298293006817007</c:v>
                      </c:pt>
                      <c:pt idx="4">
                        <c:v>1.2297938749334998</c:v>
                      </c:pt>
                      <c:pt idx="5">
                        <c:v>1.2297582496326582</c:v>
                      </c:pt>
                      <c:pt idx="6">
                        <c:v>1.229722422518281</c:v>
                      </c:pt>
                      <c:pt idx="7">
                        <c:v>1.2296863912908313</c:v>
                      </c:pt>
                      <c:pt idx="8">
                        <c:v>1.2296501536112439</c:v>
                      </c:pt>
                      <c:pt idx="9">
                        <c:v>1.2296137071000144</c:v>
                      </c:pt>
                      <c:pt idx="10">
                        <c:v>1.2295770493362617</c:v>
                      </c:pt>
                      <c:pt idx="11">
                        <c:v>1.2295401778567634</c:v>
                      </c:pt>
                      <c:pt idx="12">
                        <c:v>1.2295030901549617</c:v>
                      </c:pt>
                      <c:pt idx="13">
                        <c:v>1.2294657836799419</c:v>
                      </c:pt>
                      <c:pt idx="14">
                        <c:v>1.2294282558353791</c:v>
                      </c:pt>
                      <c:pt idx="15">
                        <c:v>1.2293905039784536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DD7-4BF8-90DD-C7373973419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Charge transfer
Coeff (α)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Sheet1!$O$3:$O$18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0.76610757859823053</c:v>
                      </c:pt>
                      <c:pt idx="1">
                        <c:v>1.0695300345513412</c:v>
                      </c:pt>
                      <c:pt idx="2">
                        <c:v>1.2480270066261341</c:v>
                      </c:pt>
                      <c:pt idx="3">
                        <c:v>1.3753848566253808</c:v>
                      </c:pt>
                      <c:pt idx="4">
                        <c:v>1.4747275335191012</c:v>
                      </c:pt>
                      <c:pt idx="5">
                        <c:v>1.5563551466069216</c:v>
                      </c:pt>
                      <c:pt idx="6">
                        <c:v>1.6257621616864946</c:v>
                      </c:pt>
                      <c:pt idx="7">
                        <c:v>1.6862283504296809</c:v>
                      </c:pt>
                      <c:pt idx="8">
                        <c:v>1.7398692915812362</c:v>
                      </c:pt>
                      <c:pt idx="9">
                        <c:v>1.7881295411838252</c:v>
                      </c:pt>
                      <c:pt idx="10">
                        <c:v>1.8320394919620822</c:v>
                      </c:pt>
                      <c:pt idx="11">
                        <c:v>1.8723599941975848</c:v>
                      </c:pt>
                      <c:pt idx="12">
                        <c:v>1.9096688896526999</c:v>
                      </c:pt>
                      <c:pt idx="13">
                        <c:v>1.9444153852395256</c:v>
                      </c:pt>
                      <c:pt idx="14">
                        <c:v>1.9769556221399256</c:v>
                      </c:pt>
                      <c:pt idx="15">
                        <c:v>2.0075767420514148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DD7-4BF8-90DD-C7373973419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TAFEL
SLOPE (A)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Sheet1!$P$3:$P$18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1.900847014575778E-2</c:v>
                      </c:pt>
                      <c:pt idx="1">
                        <c:v>1.3615824302056283E-2</c:v>
                      </c:pt>
                      <c:pt idx="2">
                        <c:v>1.1668443838880547E-2</c:v>
                      </c:pt>
                      <c:pt idx="3">
                        <c:v>1.058796958980166E-2</c:v>
                      </c:pt>
                      <c:pt idx="4">
                        <c:v>9.874727843097281E-3</c:v>
                      </c:pt>
                      <c:pt idx="5">
                        <c:v>9.3568187620747534E-3</c:v>
                      </c:pt>
                      <c:pt idx="6">
                        <c:v>8.9573575885889198E-3</c:v>
                      </c:pt>
                      <c:pt idx="7">
                        <c:v>8.6361571565989007E-3</c:v>
                      </c:pt>
                      <c:pt idx="8">
                        <c:v>8.3699006049980113E-3</c:v>
                      </c:pt>
                      <c:pt idx="9">
                        <c:v>8.1440033850020584E-3</c:v>
                      </c:pt>
                      <c:pt idx="10">
                        <c:v>7.9488095644854404E-3</c:v>
                      </c:pt>
                      <c:pt idx="11">
                        <c:v>7.7776352204449546E-3</c:v>
                      </c:pt>
                      <c:pt idx="12">
                        <c:v>7.6256848059517001E-3</c:v>
                      </c:pt>
                      <c:pt idx="13">
                        <c:v>7.4894146316525573E-3</c:v>
                      </c:pt>
                      <c:pt idx="14">
                        <c:v>7.3661405815777774E-3</c:v>
                      </c:pt>
                      <c:pt idx="15">
                        <c:v>7.2537864835705967E-3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DD7-4BF8-90DD-C7373973419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FUEL CELL
VOLTAGE (V)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Sheet1!$R$3:$R$18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1.1703348527974182</c:v>
                      </c:pt>
                      <c:pt idx="1">
                        <c:v>1.1252623651562235</c:v>
                      </c:pt>
                      <c:pt idx="2">
                        <c:v>1.0801890370532028</c:v>
                      </c:pt>
                      <c:pt idx="3">
                        <c:v>1.0351148487699482</c:v>
                      </c:pt>
                      <c:pt idx="4">
                        <c:v>0.99003977988587311</c:v>
                      </c:pt>
                      <c:pt idx="5">
                        <c:v>0.94496380924447387</c:v>
                      </c:pt>
                      <c:pt idx="6">
                        <c:v>0.89988691491753736</c:v>
                      </c:pt>
                      <c:pt idx="7">
                        <c:v>0.85480907416714613</c:v>
                      </c:pt>
                      <c:pt idx="8">
                        <c:v>0.80973026340531673</c:v>
                      </c:pt>
                      <c:pt idx="9">
                        <c:v>0.76465045815109089</c:v>
                      </c:pt>
                      <c:pt idx="10">
                        <c:v>0.71956963298488474</c:v>
                      </c:pt>
                      <c:pt idx="11">
                        <c:v>0.67448776149988365</c:v>
                      </c:pt>
                      <c:pt idx="12">
                        <c:v>0.62940481625024813</c:v>
                      </c:pt>
                      <c:pt idx="13">
                        <c:v>0.58432076869587912</c:v>
                      </c:pt>
                      <c:pt idx="14">
                        <c:v>0.53923558914346437</c:v>
                      </c:pt>
                      <c:pt idx="15">
                        <c:v>0.49414924668349636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DD7-4BF8-90DD-C73739734193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FUEL CELL
POWER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0.25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1.25</c:v>
                      </c:pt>
                      <c:pt idx="5">
                        <c:v>1.5</c:v>
                      </c:pt>
                      <c:pt idx="6">
                        <c:v>1.75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2.75</c:v>
                      </c:pt>
                      <c:pt idx="11">
                        <c:v>3</c:v>
                      </c:pt>
                      <c:pt idx="12">
                        <c:v>3.25</c:v>
                      </c:pt>
                      <c:pt idx="13">
                        <c:v>3.5</c:v>
                      </c:pt>
                      <c:pt idx="14">
                        <c:v>3.75</c:v>
                      </c:pt>
                      <c:pt idx="15">
                        <c:v>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Sheet1!$S$3:$S$18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0.29258371319935456</c:v>
                      </c:pt>
                      <c:pt idx="1">
                        <c:v>0.56263118257811173</c:v>
                      </c:pt>
                      <c:pt idx="2">
                        <c:v>0.81014177778990204</c:v>
                      </c:pt>
                      <c:pt idx="3">
                        <c:v>1.0351148487699482</c:v>
                      </c:pt>
                      <c:pt idx="4">
                        <c:v>1.2375497248573413</c:v>
                      </c:pt>
                      <c:pt idx="5">
                        <c:v>1.4174457138667109</c:v>
                      </c:pt>
                      <c:pt idx="6">
                        <c:v>1.5748021011056903</c:v>
                      </c:pt>
                      <c:pt idx="7">
                        <c:v>1.7096181483342923</c:v>
                      </c:pt>
                      <c:pt idx="8">
                        <c:v>1.8218930926619628</c:v>
                      </c:pt>
                      <c:pt idx="9">
                        <c:v>1.9116261453777272</c:v>
                      </c:pt>
                      <c:pt idx="10">
                        <c:v>1.9788164907084331</c:v>
                      </c:pt>
                      <c:pt idx="11">
                        <c:v>2.023463284499651</c:v>
                      </c:pt>
                      <c:pt idx="12">
                        <c:v>2.0455656528133064</c:v>
                      </c:pt>
                      <c:pt idx="13">
                        <c:v>2.0451226904355768</c:v>
                      </c:pt>
                      <c:pt idx="14">
                        <c:v>2.0221334592879914</c:v>
                      </c:pt>
                      <c:pt idx="15">
                        <c:v>1.9765969867339854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DD7-4BF8-90DD-C73739734193}"/>
                  </c:ext>
                </c:extLst>
              </c15:ser>
            </c15:filteredLineSeries>
          </c:ext>
        </c:extLst>
      </c:lineChart>
      <c:catAx>
        <c:axId val="625295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 current 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91320"/>
        <c:crosses val="autoZero"/>
        <c:auto val="1"/>
        <c:lblAlgn val="ctr"/>
        <c:lblOffset val="100"/>
        <c:noMultiLvlLbl val="0"/>
      </c:catAx>
      <c:valAx>
        <c:axId val="62529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Ohmic,conc,activation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9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19</xdr:row>
      <xdr:rowOff>15240</xdr:rowOff>
    </xdr:from>
    <xdr:to>
      <xdr:col>8</xdr:col>
      <xdr:colOff>45720</xdr:colOff>
      <xdr:row>37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48323-F186-46E3-8525-2351A5B37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1569720</xdr:colOff>
      <xdr:row>19</xdr:row>
      <xdr:rowOff>0</xdr:rowOff>
    </xdr:from>
    <xdr:to>
      <xdr:col>15</xdr:col>
      <xdr:colOff>960120</xdr:colOff>
      <xdr:row>37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530727-F448-4A8B-81DF-30FB0E7A6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7A56-80DD-41B2-84CF-BA873C42EDDB}">
  <dimension ref="A1:U20"/>
  <sheetViews>
    <sheetView tabSelected="1" zoomScale="88" zoomScaleNormal="88" zoomScaleSheetLayoutView="56" workbookViewId="0">
      <pane xSplit="1" topLeftCell="B1" activePane="topRight" state="frozen"/>
      <selection pane="topRight" activeCell="B2" sqref="B2"/>
    </sheetView>
  </sheetViews>
  <sheetFormatPr defaultRowHeight="18" x14ac:dyDescent="0.35"/>
  <cols>
    <col min="1" max="1" width="24.33203125" customWidth="1"/>
    <col min="2" max="2" width="11.44140625" customWidth="1"/>
    <col min="3" max="3" width="13.5546875" customWidth="1"/>
    <col min="5" max="5" width="22" customWidth="1"/>
    <col min="6" max="6" width="20.33203125" customWidth="1"/>
    <col min="7" max="7" width="12.109375" customWidth="1"/>
    <col min="8" max="8" width="17.109375" customWidth="1"/>
    <col min="9" max="9" width="23.109375" customWidth="1"/>
    <col min="10" max="10" width="13.6640625" customWidth="1"/>
    <col min="11" max="11" width="13.33203125" customWidth="1"/>
    <col min="12" max="12" width="13.109375" customWidth="1"/>
    <col min="13" max="14" width="12.44140625" customWidth="1"/>
    <col min="15" max="15" width="16.44140625" style="14" customWidth="1"/>
    <col min="16" max="16" width="14.33203125" customWidth="1"/>
    <col min="17" max="17" width="14.88671875" customWidth="1"/>
    <col min="18" max="18" width="14.77734375" customWidth="1"/>
    <col min="19" max="19" width="12.44140625" customWidth="1"/>
  </cols>
  <sheetData>
    <row r="1" spans="1:21" ht="55.8" x14ac:dyDescent="0.5">
      <c r="A1" s="11" t="s">
        <v>0</v>
      </c>
      <c r="B1" s="6"/>
      <c r="C1" s="11" t="s">
        <v>1</v>
      </c>
      <c r="D1" s="7"/>
      <c r="E1" s="9" t="s">
        <v>19</v>
      </c>
      <c r="F1" s="9" t="s">
        <v>21</v>
      </c>
      <c r="G1" s="10" t="s">
        <v>17</v>
      </c>
      <c r="H1" s="10" t="s">
        <v>18</v>
      </c>
      <c r="I1" s="9" t="s">
        <v>20</v>
      </c>
      <c r="J1" s="9" t="s">
        <v>22</v>
      </c>
      <c r="K1" s="9" t="s">
        <v>23</v>
      </c>
      <c r="L1" s="8" t="s">
        <v>24</v>
      </c>
      <c r="M1" s="13" t="s">
        <v>25</v>
      </c>
      <c r="N1" s="13" t="s">
        <v>26</v>
      </c>
      <c r="O1" s="9" t="s">
        <v>28</v>
      </c>
      <c r="P1" s="9" t="s">
        <v>29</v>
      </c>
      <c r="Q1" s="9" t="s">
        <v>27</v>
      </c>
      <c r="R1" s="9" t="s">
        <v>30</v>
      </c>
      <c r="S1" s="9" t="s">
        <v>31</v>
      </c>
      <c r="T1" s="19"/>
      <c r="U1" s="19"/>
    </row>
    <row r="2" spans="1:21" ht="14.4" x14ac:dyDescent="0.3">
      <c r="A2" s="5" t="s">
        <v>12</v>
      </c>
      <c r="B2" s="20">
        <v>338</v>
      </c>
      <c r="C2" s="1" t="s">
        <v>2</v>
      </c>
      <c r="E2" s="15">
        <v>0</v>
      </c>
      <c r="F2" s="15">
        <f>(60000*A12*B2*E2)/(A11*A10*B4*B3*0.9995)</f>
        <v>0</v>
      </c>
      <c r="G2" s="15">
        <f>B4*(1-F2)</f>
        <v>5</v>
      </c>
      <c r="H2" s="15">
        <f>G2/22400</f>
        <v>2.2321428571428571E-4</v>
      </c>
      <c r="I2" s="16">
        <f>(A11*A10*A14*H2)/A13</f>
        <v>43.073660714285715</v>
      </c>
      <c r="J2" s="15">
        <f>I2/A9</f>
        <v>4.3073660714285714E-2</v>
      </c>
      <c r="K2" s="15">
        <f>1.229 + (B2-298)*(-44.43/(A11*A10))+ (A12*B2*LOG(G2*SQRT(B5)))/(A11*A10)</f>
        <v>1.2299690520610707</v>
      </c>
      <c r="L2" s="15">
        <f>1*K2</f>
        <v>1.2299690520610707</v>
      </c>
      <c r="M2" s="15">
        <f xml:space="preserve"> -A12*B2*LOG(1-E2/I2)/(A11*A10)</f>
        <v>0</v>
      </c>
      <c r="N2" s="15">
        <f xml:space="preserve"> E2*B6</f>
        <v>0</v>
      </c>
      <c r="O2" s="17" t="e">
        <f xml:space="preserve"> LOG(E2/J2)</f>
        <v>#NUM!</v>
      </c>
      <c r="P2" s="15" t="e">
        <f>A12*B2/(O2*A10*A11)</f>
        <v>#NUM!</v>
      </c>
      <c r="Q2" s="15" t="e">
        <f>O2*LOG(E2/J2)</f>
        <v>#NUM!</v>
      </c>
      <c r="R2" s="15" t="e">
        <f>L2-(N2+M2+Q2)</f>
        <v>#NUM!</v>
      </c>
      <c r="S2" s="15" t="e">
        <f>R2*E2</f>
        <v>#NUM!</v>
      </c>
    </row>
    <row r="3" spans="1:21" ht="14.4" x14ac:dyDescent="0.3">
      <c r="A3" s="5" t="s">
        <v>13</v>
      </c>
      <c r="B3" s="20">
        <v>80</v>
      </c>
      <c r="C3" s="1" t="s">
        <v>3</v>
      </c>
      <c r="E3" s="18">
        <f>IF(E2&lt;4,E2+0.25," ")</f>
        <v>0.25</v>
      </c>
      <c r="F3" s="15">
        <f>(60000*A12*B2*E3)/(A11*A10*B4*B3*0.9995)</f>
        <v>0.54636817294484419</v>
      </c>
      <c r="G3" s="15">
        <f>B4*(1-(F3/100))</f>
        <v>4.9726815913527576</v>
      </c>
      <c r="H3" s="15">
        <f t="shared" ref="H3:H18" si="0">G3/22400</f>
        <v>2.2199471389967667E-4</v>
      </c>
      <c r="I3" s="16">
        <f>(A11*A10*A14*H3)/A13</f>
        <v>42.838319941220611</v>
      </c>
      <c r="J3" s="15">
        <f>I3/A9</f>
        <v>4.2838319941220608E-2</v>
      </c>
      <c r="K3" s="15">
        <f>1.229 + (B2-298)*(-44.43/(A11*A10))+ (A12*B2*LOG(G3*SQRT(B5)))/(A11*A10)</f>
        <v>1.2299344026576895</v>
      </c>
      <c r="L3" s="15">
        <f t="shared" ref="L3:L18" si="1">1*K3</f>
        <v>1.2299344026576895</v>
      </c>
      <c r="M3" s="15">
        <f xml:space="preserve"> -A12*B2*LOG(1-E3/I3)/(A11*A10)</f>
        <v>3.7016824048033375E-5</v>
      </c>
      <c r="N3" s="15">
        <f xml:space="preserve"> E3*B6</f>
        <v>4.4999999999999998E-2</v>
      </c>
      <c r="O3" s="17">
        <f t="shared" ref="O3:O18" si="2" xml:space="preserve"> LOG(E3/J3)</f>
        <v>0.76610757859823053</v>
      </c>
      <c r="P3" s="15">
        <f>A12*B2/(O3*A10*A11)</f>
        <v>1.900847014575778E-2</v>
      </c>
      <c r="Q3" s="15">
        <f t="shared" ref="Q3:Q18" si="3">P3*LOG(E3/J3)</f>
        <v>1.4562533036223247E-2</v>
      </c>
      <c r="R3" s="15">
        <f t="shared" ref="R3:R18" si="4">L3-(N3+M3+Q3)</f>
        <v>1.1703348527974182</v>
      </c>
      <c r="S3" s="15">
        <f t="shared" ref="S3:S18" si="5">R3*E3</f>
        <v>0.29258371319935456</v>
      </c>
    </row>
    <row r="4" spans="1:21" ht="14.4" x14ac:dyDescent="0.3">
      <c r="A4" s="5" t="s">
        <v>16</v>
      </c>
      <c r="B4" s="20">
        <v>5</v>
      </c>
      <c r="C4" s="1" t="s">
        <v>4</v>
      </c>
      <c r="E4" s="18">
        <f t="shared" ref="E4:E18" si="6">IF(E3&lt;4,E3+0.25," ")</f>
        <v>0.5</v>
      </c>
      <c r="F4" s="15">
        <f>(60000*A12*B2*E4)/(A11*A10*B4*B3*0.9995)</f>
        <v>1.0927363458896884</v>
      </c>
      <c r="G4" s="15">
        <f>B4*(1-(F4/100))</f>
        <v>4.9453631827055151</v>
      </c>
      <c r="H4" s="15">
        <f t="shared" si="0"/>
        <v>2.2077514208506763E-4</v>
      </c>
      <c r="I4" s="16">
        <f>(A11*A10*A14*H4)/A13</f>
        <v>42.6029791681555</v>
      </c>
      <c r="J4" s="15">
        <f>I4/A9</f>
        <v>4.2602979168155503E-2</v>
      </c>
      <c r="K4" s="15">
        <f>1.229 + (B2-298)*(-44.43/(A11*A10))+ (A12*B2*LOG(G4*SQRT(B5)))/(A11*A10)</f>
        <v>1.2298995623756912</v>
      </c>
      <c r="L4" s="15">
        <f t="shared" si="1"/>
        <v>1.2298995623756912</v>
      </c>
      <c r="M4" s="15">
        <f xml:space="preserve"> -A12*B2*LOG(1-E4/I4)/(A11*A10)</f>
        <v>7.4664183244568366E-5</v>
      </c>
      <c r="N4" s="15">
        <f xml:space="preserve"> E4*B6</f>
        <v>0.09</v>
      </c>
      <c r="O4" s="17">
        <f t="shared" si="2"/>
        <v>1.0695300345513412</v>
      </c>
      <c r="P4" s="15">
        <f>A12*B2/(O4*A10*A11)</f>
        <v>1.3615824302056283E-2</v>
      </c>
      <c r="Q4" s="15">
        <f t="shared" si="3"/>
        <v>1.4562533036223247E-2</v>
      </c>
      <c r="R4" s="15">
        <f t="shared" si="4"/>
        <v>1.1252623651562235</v>
      </c>
      <c r="S4" s="15">
        <f t="shared" si="5"/>
        <v>0.56263118257811173</v>
      </c>
    </row>
    <row r="5" spans="1:21" ht="14.4" x14ac:dyDescent="0.3">
      <c r="A5" s="5" t="s">
        <v>14</v>
      </c>
      <c r="B5" s="20">
        <v>1</v>
      </c>
      <c r="C5" s="1" t="s">
        <v>4</v>
      </c>
      <c r="E5" s="18">
        <f t="shared" si="6"/>
        <v>0.75</v>
      </c>
      <c r="F5" s="15">
        <f>(60000*A12*B2*E5)/(A11*A10*B4*B3*0.9995)</f>
        <v>1.6391045188345326</v>
      </c>
      <c r="G5" s="15">
        <f>B4*(1-(F5/100))</f>
        <v>4.9180447740582736</v>
      </c>
      <c r="H5" s="15">
        <f t="shared" si="0"/>
        <v>2.1955557027045864E-4</v>
      </c>
      <c r="I5" s="16">
        <f>(A11*A10*A14*H5)/A13</f>
        <v>42.367638395090403</v>
      </c>
      <c r="J5" s="15">
        <f>I5/A9</f>
        <v>4.2367638395090404E-2</v>
      </c>
      <c r="K5" s="15">
        <f>1.229 + (B2-298)*(-44.43/(A11*A10))+ (A12*B2*LOG(G5*SQRT(B5)))/(A11*A10)</f>
        <v>1.2298645291003747</v>
      </c>
      <c r="L5" s="15">
        <f t="shared" si="1"/>
        <v>1.2298645291003747</v>
      </c>
      <c r="M5" s="15">
        <f xml:space="preserve"> -A12*B2*LOG(1-E5/I5)/(A11*A10)</f>
        <v>1.1295901094859746E-4</v>
      </c>
      <c r="N5" s="15">
        <f xml:space="preserve"> E5*B6</f>
        <v>0.13500000000000001</v>
      </c>
      <c r="O5" s="17">
        <f t="shared" si="2"/>
        <v>1.2480270066261341</v>
      </c>
      <c r="P5" s="15">
        <f>A12*B2/(O5*A10*A11)</f>
        <v>1.1668443838880547E-2</v>
      </c>
      <c r="Q5" s="15">
        <f t="shared" si="3"/>
        <v>1.4562533036223246E-2</v>
      </c>
      <c r="R5" s="15">
        <f t="shared" si="4"/>
        <v>1.0801890370532028</v>
      </c>
      <c r="S5" s="15">
        <f t="shared" si="5"/>
        <v>0.81014177778990204</v>
      </c>
    </row>
    <row r="6" spans="1:21" ht="14.4" x14ac:dyDescent="0.3">
      <c r="A6" s="5" t="s">
        <v>15</v>
      </c>
      <c r="B6" s="20">
        <v>0.18</v>
      </c>
      <c r="C6" s="2" t="s">
        <v>5</v>
      </c>
      <c r="E6" s="18">
        <f t="shared" si="6"/>
        <v>1</v>
      </c>
      <c r="F6" s="15">
        <f>(60000*A12*B2*E6)/(A11*A10*B4*B3*0.9995)</f>
        <v>2.1854726917793768</v>
      </c>
      <c r="G6" s="15">
        <f>B4*(1-(F6/100))</f>
        <v>4.8907263654110311</v>
      </c>
      <c r="H6" s="15">
        <f t="shared" si="0"/>
        <v>2.183359984558496E-4</v>
      </c>
      <c r="I6" s="16">
        <f>(A11*A10*A14*H6)/A13</f>
        <v>42.132297622025298</v>
      </c>
      <c r="J6" s="15">
        <f>I6/A9</f>
        <v>4.2132297622025298E-2</v>
      </c>
      <c r="K6" s="15">
        <f>1.229 + (B2-298)*(-44.43/(A11*A10))+ (A12*B2*LOG(G6*SQRT(B5)))/(A11*A10)</f>
        <v>1.2298293006817007</v>
      </c>
      <c r="L6" s="15">
        <f t="shared" si="1"/>
        <v>1.2298293006817007</v>
      </c>
      <c r="M6" s="15">
        <f xml:space="preserve"> -A12*B2*LOG(1-E6/I6)/(A11*A10)</f>
        <v>1.5191887552940044E-4</v>
      </c>
      <c r="N6" s="15">
        <f xml:space="preserve"> E6*B6</f>
        <v>0.18</v>
      </c>
      <c r="O6" s="17">
        <f t="shared" si="2"/>
        <v>1.3753848566253808</v>
      </c>
      <c r="P6" s="15">
        <f>A12*B2/(O6*A10*A11)</f>
        <v>1.058796958980166E-2</v>
      </c>
      <c r="Q6" s="15">
        <f t="shared" si="3"/>
        <v>1.4562533036223247E-2</v>
      </c>
      <c r="R6" s="15">
        <f t="shared" si="4"/>
        <v>1.0351148487699482</v>
      </c>
      <c r="S6" s="15">
        <f t="shared" si="5"/>
        <v>1.0351148487699482</v>
      </c>
    </row>
    <row r="7" spans="1:21" ht="14.4" x14ac:dyDescent="0.3">
      <c r="C7" s="1"/>
      <c r="E7" s="18">
        <f t="shared" si="6"/>
        <v>1.25</v>
      </c>
      <c r="F7" s="15">
        <f>(60000*A12*B2*E7)/(A11*A10*B4*B3*0.9995)</f>
        <v>2.7318408647242212</v>
      </c>
      <c r="G7" s="15">
        <f>B4*(1-(F7/100))</f>
        <v>4.8634079567637887</v>
      </c>
      <c r="H7" s="15">
        <f t="shared" si="0"/>
        <v>2.1711642664124056E-4</v>
      </c>
      <c r="I7" s="16">
        <f>(A11*A10*A14*H7)/A13</f>
        <v>41.896956848960194</v>
      </c>
      <c r="J7" s="15">
        <f>I7/A9</f>
        <v>4.1896956848960193E-2</v>
      </c>
      <c r="K7" s="15">
        <f>1.229 + (B2-298)*(-44.43/(A11*A10))+ (A12*B2*LOG(G7*SQRT(B5)))/(A11*A10)</f>
        <v>1.2297938749334998</v>
      </c>
      <c r="L7" s="15">
        <f t="shared" si="1"/>
        <v>1.2297938749334998</v>
      </c>
      <c r="M7" s="15">
        <f xml:space="preserve"> -A12*B2*LOG(1-E7/I7)/(A11*A10)</f>
        <v>1.9156201140348779E-4</v>
      </c>
      <c r="N7" s="15">
        <f xml:space="preserve"> E7*B6</f>
        <v>0.22499999999999998</v>
      </c>
      <c r="O7" s="17">
        <f t="shared" si="2"/>
        <v>1.4747275335191012</v>
      </c>
      <c r="P7" s="15">
        <f>A12*B2/(O7*A10*A11)</f>
        <v>9.874727843097281E-3</v>
      </c>
      <c r="Q7" s="15">
        <f t="shared" si="3"/>
        <v>1.4562533036223247E-2</v>
      </c>
      <c r="R7" s="15">
        <f t="shared" si="4"/>
        <v>0.99003977988587311</v>
      </c>
      <c r="S7" s="15">
        <f t="shared" si="5"/>
        <v>1.2375497248573413</v>
      </c>
    </row>
    <row r="8" spans="1:21" ht="25.8" x14ac:dyDescent="0.5">
      <c r="A8" s="12" t="s">
        <v>6</v>
      </c>
      <c r="C8" s="1"/>
      <c r="E8" s="18">
        <f t="shared" si="6"/>
        <v>1.5</v>
      </c>
      <c r="F8" s="15">
        <f>(60000*A12*B2*E8)/(A11*A10*B4*B3*0.9995)</f>
        <v>3.2782090376690651</v>
      </c>
      <c r="G8" s="15">
        <f>B4*(1-(F8/100))</f>
        <v>4.8360895481165471</v>
      </c>
      <c r="H8" s="15">
        <f t="shared" si="0"/>
        <v>2.1589685482663158E-4</v>
      </c>
      <c r="I8" s="16">
        <f>(A11*A10*A14*H8)/A13</f>
        <v>41.661616075895097</v>
      </c>
      <c r="J8" s="15">
        <f>I8/A9</f>
        <v>4.1661616075895094E-2</v>
      </c>
      <c r="K8" s="15">
        <f>1.229 + (B2-298)*(-44.43/(A11*A10))+ (A12*B2*LOG(G8*SQRT(B5)))/(A11*A10)</f>
        <v>1.2297582496326582</v>
      </c>
      <c r="L8" s="15">
        <f t="shared" si="1"/>
        <v>1.2297582496326582</v>
      </c>
      <c r="M8" s="15">
        <f xml:space="preserve"> -A12*B2*LOG(1-E8/I8)/(A11*A10)</f>
        <v>2.3190735196101938E-4</v>
      </c>
      <c r="N8" s="15">
        <f xml:space="preserve"> E8*B6</f>
        <v>0.27</v>
      </c>
      <c r="O8" s="17">
        <f t="shared" si="2"/>
        <v>1.5563551466069216</v>
      </c>
      <c r="P8" s="15">
        <f>A12*B2/(O8*A10*A11)</f>
        <v>9.3568187620747534E-3</v>
      </c>
      <c r="Q8" s="15">
        <f t="shared" si="3"/>
        <v>1.4562533036223247E-2</v>
      </c>
      <c r="R8" s="15">
        <f t="shared" si="4"/>
        <v>0.94496380924447387</v>
      </c>
      <c r="S8" s="15">
        <f t="shared" si="5"/>
        <v>1.4174457138667109</v>
      </c>
    </row>
    <row r="9" spans="1:21" ht="14.4" x14ac:dyDescent="0.3">
      <c r="A9" s="3">
        <v>1000</v>
      </c>
      <c r="C9" s="1" t="s">
        <v>7</v>
      </c>
      <c r="E9" s="18">
        <f t="shared" si="6"/>
        <v>1.75</v>
      </c>
      <c r="F9" s="15">
        <f>(60000*A12*B2*E9)/(A11*A10*B4*B3*0.9995)</f>
        <v>3.8245772106139095</v>
      </c>
      <c r="G9" s="15">
        <f>B4*(1-(F9/100))</f>
        <v>4.8087711394693047</v>
      </c>
      <c r="H9" s="15">
        <f t="shared" si="0"/>
        <v>2.1467728301202254E-4</v>
      </c>
      <c r="I9" s="16">
        <f>(A11*A10*A14*H9)/A13</f>
        <v>41.426275302829993</v>
      </c>
      <c r="J9" s="15">
        <f>I9/A9</f>
        <v>4.1426275302829996E-2</v>
      </c>
      <c r="K9" s="15">
        <f>1.229 + (B2-298)*(-44.43/(A11*A10))+ (A12*B2*LOG(G9*SQRT(B5)))/(A11*A10)</f>
        <v>1.229722422518281</v>
      </c>
      <c r="L9" s="15">
        <f t="shared" si="1"/>
        <v>1.229722422518281</v>
      </c>
      <c r="M9" s="15">
        <f xml:space="preserve"> -A12*B2*LOG(1-E9/I9)/(A11*A10)</f>
        <v>2.7297456452042443E-4</v>
      </c>
      <c r="N9" s="15">
        <f xml:space="preserve"> E9*B6</f>
        <v>0.315</v>
      </c>
      <c r="O9" s="17">
        <f t="shared" si="2"/>
        <v>1.6257621616864946</v>
      </c>
      <c r="P9" s="15">
        <f>A12*B2/(O9*A10*A11)</f>
        <v>8.9573575885889198E-3</v>
      </c>
      <c r="Q9" s="15">
        <f t="shared" si="3"/>
        <v>1.4562533036223249E-2</v>
      </c>
      <c r="R9" s="15">
        <f t="shared" si="4"/>
        <v>0.89988691491753736</v>
      </c>
      <c r="S9" s="15">
        <f t="shared" si="5"/>
        <v>1.5748021011056903</v>
      </c>
    </row>
    <row r="10" spans="1:21" ht="14.4" x14ac:dyDescent="0.3">
      <c r="A10" s="3">
        <v>96485</v>
      </c>
      <c r="C10" s="1" t="s">
        <v>8</v>
      </c>
      <c r="E10" s="18">
        <f t="shared" si="6"/>
        <v>2</v>
      </c>
      <c r="F10" s="15">
        <f>(60000*A12*B2*E10)/(A11*A10*B4*B3*0.9995)</f>
        <v>4.3709453835587535</v>
      </c>
      <c r="G10" s="15">
        <f>B4*(1-(F10/100))</f>
        <v>4.7814527308220622</v>
      </c>
      <c r="H10" s="15">
        <f t="shared" si="0"/>
        <v>2.134577111974135E-4</v>
      </c>
      <c r="I10" s="16">
        <f>(A11*A10*A14*H10)/A13</f>
        <v>41.190934529764881</v>
      </c>
      <c r="J10" s="15">
        <f>I10/A9</f>
        <v>4.1190934529764883E-2</v>
      </c>
      <c r="K10" s="15">
        <f>1.229 + (B2-298)*(-44.43/(A11*A10))+ (A12*B2*LOG(G10*SQRT(B5)))/(A11*A10)</f>
        <v>1.2296863912908313</v>
      </c>
      <c r="L10" s="15">
        <f t="shared" si="1"/>
        <v>1.2296863912908313</v>
      </c>
      <c r="M10" s="15">
        <f xml:space="preserve"> -A12*B2*LOG(1-E10/I10)/(A11*A10)</f>
        <v>3.1478408746192938E-4</v>
      </c>
      <c r="N10" s="15">
        <f xml:space="preserve"> E10*B6</f>
        <v>0.36</v>
      </c>
      <c r="O10" s="17">
        <f t="shared" si="2"/>
        <v>1.6862283504296809</v>
      </c>
      <c r="P10" s="15">
        <f>A12*B2/(O10*A10*A11)</f>
        <v>8.6361571565989007E-3</v>
      </c>
      <c r="Q10" s="15">
        <f t="shared" si="3"/>
        <v>1.4562533036223247E-2</v>
      </c>
      <c r="R10" s="15">
        <f t="shared" si="4"/>
        <v>0.85480907416714613</v>
      </c>
      <c r="S10" s="15">
        <f t="shared" si="5"/>
        <v>1.7096181483342923</v>
      </c>
    </row>
    <row r="11" spans="1:21" ht="14.4" x14ac:dyDescent="0.3">
      <c r="A11" s="3">
        <v>2</v>
      </c>
      <c r="C11" s="1" t="s">
        <v>7</v>
      </c>
      <c r="E11" s="18">
        <f t="shared" si="6"/>
        <v>2.25</v>
      </c>
      <c r="F11" s="15">
        <f>(60000*A12*B2*E11)/(A11*A10*B4*B3*0.9995)</f>
        <v>4.9173135565035979</v>
      </c>
      <c r="G11" s="15">
        <f>B4*(1-(F11/100))</f>
        <v>4.7541343221748198</v>
      </c>
      <c r="H11" s="15">
        <f t="shared" si="0"/>
        <v>2.1223813938280446E-4</v>
      </c>
      <c r="I11" s="16">
        <f>(A11*A10*A14*H11)/A13</f>
        <v>40.955593756699777</v>
      </c>
      <c r="J11" s="15">
        <f>I11/A9</f>
        <v>4.0955593756699778E-2</v>
      </c>
      <c r="K11" s="15">
        <f>1.229 + (B2-298)*(-44.43/(A11*A10))+ (A12*B2*LOG(G11*SQRT(B5)))/(A11*A10)</f>
        <v>1.2296501536112439</v>
      </c>
      <c r="L11" s="15">
        <f t="shared" si="1"/>
        <v>1.2296501536112439</v>
      </c>
      <c r="M11" s="15">
        <f xml:space="preserve"> -A12*B2*LOG(1-E11/I11)/(A11*A10)</f>
        <v>3.5735716970387426E-4</v>
      </c>
      <c r="N11" s="15">
        <f xml:space="preserve"> E11*B6</f>
        <v>0.40499999999999997</v>
      </c>
      <c r="O11" s="17">
        <f t="shared" si="2"/>
        <v>1.7398692915812362</v>
      </c>
      <c r="P11" s="15">
        <f>A12*B2/(O11*A10*A11)</f>
        <v>8.3699006049980113E-3</v>
      </c>
      <c r="Q11" s="15">
        <f t="shared" si="3"/>
        <v>1.4562533036223249E-2</v>
      </c>
      <c r="R11" s="15">
        <f t="shared" si="4"/>
        <v>0.80973026340531673</v>
      </c>
      <c r="S11" s="15">
        <f t="shared" si="5"/>
        <v>1.8218930926619628</v>
      </c>
    </row>
    <row r="12" spans="1:21" ht="14.4" x14ac:dyDescent="0.3">
      <c r="A12" s="3">
        <v>8.3140000000000001</v>
      </c>
      <c r="C12" s="1" t="s">
        <v>11</v>
      </c>
      <c r="E12" s="18">
        <f t="shared" si="6"/>
        <v>2.5</v>
      </c>
      <c r="F12" s="15">
        <f>(60000*A12*B2*E12)/(A11*A10*B4*B3*0.9995)</f>
        <v>5.4636817294484423</v>
      </c>
      <c r="G12" s="15">
        <f>B4*(1-(F12/100))</f>
        <v>4.7268159135275774</v>
      </c>
      <c r="H12" s="15">
        <f t="shared" si="0"/>
        <v>2.1101856756819542E-4</v>
      </c>
      <c r="I12" s="16">
        <f>(A11*A10*A14*H12)/A13</f>
        <v>40.720252983634666</v>
      </c>
      <c r="J12" s="15">
        <f>I12/A9</f>
        <v>4.0720252983634665E-2</v>
      </c>
      <c r="K12" s="15">
        <f>1.229 + (B2-298)*(-44.43/(A11*A10))+ (A12*B2*LOG(G12*SQRT(B5)))/(A11*A10)</f>
        <v>1.2296137071000144</v>
      </c>
      <c r="L12" s="15">
        <f t="shared" si="1"/>
        <v>1.2296137071000144</v>
      </c>
      <c r="M12" s="15">
        <f xml:space="preserve"> -A12*B2*LOG(1-E12/I12)/(A11*A10)</f>
        <v>4.0071591270022264E-4</v>
      </c>
      <c r="N12" s="15">
        <f xml:space="preserve"> E12*B6</f>
        <v>0.44999999999999996</v>
      </c>
      <c r="O12" s="17">
        <f t="shared" si="2"/>
        <v>1.7881295411838252</v>
      </c>
      <c r="P12" s="15">
        <f>A12*B2/(O12*A10*A11)</f>
        <v>8.1440033850020584E-3</v>
      </c>
      <c r="Q12" s="15">
        <f t="shared" si="3"/>
        <v>1.4562533036223249E-2</v>
      </c>
      <c r="R12" s="15">
        <f t="shared" si="4"/>
        <v>0.76465045815109089</v>
      </c>
      <c r="S12" s="15">
        <f t="shared" si="5"/>
        <v>1.9116261453777272</v>
      </c>
    </row>
    <row r="13" spans="1:21" ht="14.4" x14ac:dyDescent="0.3">
      <c r="A13" s="3">
        <f>100*10^-4</f>
        <v>0.01</v>
      </c>
      <c r="C13" s="1" t="s">
        <v>9</v>
      </c>
      <c r="E13" s="18">
        <f t="shared" si="6"/>
        <v>2.75</v>
      </c>
      <c r="F13" s="15">
        <f>(60000*A12*B2*E13)/(A11*A10*B4*B3*0.9995)</f>
        <v>6.0100499023932858</v>
      </c>
      <c r="G13" s="15">
        <f>B4*(1-(F13/100))</f>
        <v>4.6994975048803358</v>
      </c>
      <c r="H13" s="15">
        <f t="shared" si="0"/>
        <v>2.0979899575358641E-4</v>
      </c>
      <c r="I13" s="16">
        <f>(A11*A10*A14*H13)/A13</f>
        <v>40.484912210569568</v>
      </c>
      <c r="J13" s="15">
        <f>I13/A9</f>
        <v>4.0484912210569567E-2</v>
      </c>
      <c r="K13" s="15">
        <f>1.229 + (B2-298)*(-44.43/(A11*A10))+ (A12*B2*LOG(G13*SQRT(B5)))/(A11*A10)</f>
        <v>1.2295770493362617</v>
      </c>
      <c r="L13" s="15">
        <f t="shared" si="1"/>
        <v>1.2295770493362617</v>
      </c>
      <c r="M13" s="15">
        <f xml:space="preserve"> -A12*B2*LOG(1-E13/I13)/(A11*A10)</f>
        <v>4.4488331515368053E-4</v>
      </c>
      <c r="N13" s="15">
        <f xml:space="preserve"> E13*B6</f>
        <v>0.495</v>
      </c>
      <c r="O13" s="17">
        <f t="shared" si="2"/>
        <v>1.8320394919620822</v>
      </c>
      <c r="P13" s="15">
        <f>A12*B2/(O13*A10*A11)</f>
        <v>7.9488095644854404E-3</v>
      </c>
      <c r="Q13" s="15">
        <f t="shared" si="3"/>
        <v>1.4562533036223246E-2</v>
      </c>
      <c r="R13" s="15">
        <f t="shared" si="4"/>
        <v>0.71956963298488474</v>
      </c>
      <c r="S13" s="15">
        <f t="shared" si="5"/>
        <v>1.9788164907084331</v>
      </c>
    </row>
    <row r="14" spans="1:21" ht="14.4" x14ac:dyDescent="0.3">
      <c r="A14" s="3">
        <f>10^-2</f>
        <v>0.01</v>
      </c>
      <c r="C14" s="1" t="s">
        <v>10</v>
      </c>
      <c r="E14" s="18">
        <f t="shared" si="6"/>
        <v>3</v>
      </c>
      <c r="F14" s="15">
        <f>(60000*A12*B2*E14)/(A11*A10*B4*B3*0.9995)</f>
        <v>6.5564180753381303</v>
      </c>
      <c r="G14" s="15">
        <f>B4*(1-(F14/100))</f>
        <v>4.6721790962330934</v>
      </c>
      <c r="H14" s="15">
        <f t="shared" si="0"/>
        <v>2.0857942393897737E-4</v>
      </c>
      <c r="I14" s="16">
        <f>(A11*A10*A14*H14)/A13</f>
        <v>40.249571437504464</v>
      </c>
      <c r="J14" s="15">
        <f>I14/A9</f>
        <v>4.0249571437504461E-2</v>
      </c>
      <c r="K14" s="15">
        <f>1.229 + (B2-298)*(-44.43/(A11*A10))+ (A12*B2*LOG(G14*SQRT(B5)))/(A11*A10)</f>
        <v>1.2295401778567634</v>
      </c>
      <c r="L14" s="15">
        <f t="shared" si="1"/>
        <v>1.2295401778567634</v>
      </c>
      <c r="M14" s="15">
        <f xml:space="preserve"> -A12*B2*LOG(1-E14/I14)/(A11*A10)</f>
        <v>4.898833206564828E-4</v>
      </c>
      <c r="N14" s="15">
        <f xml:space="preserve"> E14*B6</f>
        <v>0.54</v>
      </c>
      <c r="O14" s="17">
        <f t="shared" si="2"/>
        <v>1.8723599941975848</v>
      </c>
      <c r="P14" s="15">
        <f>A12*B2/(O14*A10*A11)</f>
        <v>7.7776352204449546E-3</v>
      </c>
      <c r="Q14" s="15">
        <f t="shared" si="3"/>
        <v>1.4562533036223246E-2</v>
      </c>
      <c r="R14" s="15">
        <f t="shared" si="4"/>
        <v>0.67448776149988365</v>
      </c>
      <c r="S14" s="15">
        <f t="shared" si="5"/>
        <v>2.023463284499651</v>
      </c>
    </row>
    <row r="15" spans="1:21" ht="14.4" x14ac:dyDescent="0.3">
      <c r="A15" s="3">
        <v>1</v>
      </c>
      <c r="C15" s="1" t="s">
        <v>7</v>
      </c>
      <c r="E15" s="18">
        <f t="shared" si="6"/>
        <v>3.25</v>
      </c>
      <c r="F15" s="15">
        <f>(60000*A12*B2*E15)/(A11*A10*B4*B3*0.9995)</f>
        <v>7.1027862482829747</v>
      </c>
      <c r="G15" s="15">
        <f>B4*(1-(F15/100))</f>
        <v>4.6448606875858509</v>
      </c>
      <c r="H15" s="15">
        <f t="shared" si="0"/>
        <v>2.0735985212436833E-4</v>
      </c>
      <c r="I15" s="16">
        <f>(A11*A10*A14*H15)/A13</f>
        <v>40.01423066443936</v>
      </c>
      <c r="J15" s="15">
        <f>I15/A9</f>
        <v>4.0014230664439362E-2</v>
      </c>
      <c r="K15" s="15">
        <f>1.229 + (B2-298)*(-44.43/(A11*A10))+ (A12*B2*LOG(G15*SQRT(B5)))/(A11*A10)</f>
        <v>1.2295030901549617</v>
      </c>
      <c r="L15" s="15">
        <f t="shared" si="1"/>
        <v>1.2295030901549617</v>
      </c>
      <c r="M15" s="15">
        <f xml:space="preserve"> -A12*B2*LOG(1-E15/I15)/(A11*A10)</f>
        <v>5.3574086849044519E-4</v>
      </c>
      <c r="N15" s="15">
        <f xml:space="preserve"> E15*B6</f>
        <v>0.58499999999999996</v>
      </c>
      <c r="O15" s="17">
        <f t="shared" si="2"/>
        <v>1.9096688896526999</v>
      </c>
      <c r="P15" s="15">
        <f>A12*B2/(O15*A10*A11)</f>
        <v>7.6256848059517001E-3</v>
      </c>
      <c r="Q15" s="15">
        <f t="shared" si="3"/>
        <v>1.4562533036223247E-2</v>
      </c>
      <c r="R15" s="15">
        <f t="shared" si="4"/>
        <v>0.62940481625024813</v>
      </c>
      <c r="S15" s="15">
        <f t="shared" si="5"/>
        <v>2.0455656528133064</v>
      </c>
    </row>
    <row r="16" spans="1:21" ht="14.4" x14ac:dyDescent="0.3">
      <c r="E16" s="18">
        <f t="shared" si="6"/>
        <v>3.5</v>
      </c>
      <c r="F16" s="15">
        <f>(60000*A12*B2*E16)/(A11*A10*B4*B3*0.9995)</f>
        <v>7.6491544212278191</v>
      </c>
      <c r="G16" s="15">
        <f>B4*(1-(F16/100))</f>
        <v>4.6175422789386094</v>
      </c>
      <c r="H16" s="15">
        <f t="shared" si="0"/>
        <v>2.0614028030975935E-4</v>
      </c>
      <c r="I16" s="16">
        <f>(A11*A10*A14*H16)/A13</f>
        <v>39.778889891374263</v>
      </c>
      <c r="J16" s="15">
        <f>I16/A9</f>
        <v>3.9778889891374264E-2</v>
      </c>
      <c r="K16" s="15">
        <f>1.229 + (B2-298)*(-44.43/(A11*A10))+ (A12*B2*LOG(G16*SQRT(B5)))/(A11*A10)</f>
        <v>1.2294657836799419</v>
      </c>
      <c r="L16" s="15">
        <f t="shared" si="1"/>
        <v>1.2294657836799419</v>
      </c>
      <c r="M16" s="15">
        <f xml:space="preserve"> -A12*B2*LOG(1-E16/I16)/(A11*A10)</f>
        <v>5.8248194783945377E-4</v>
      </c>
      <c r="N16" s="15">
        <f xml:space="preserve"> E16*B6</f>
        <v>0.63</v>
      </c>
      <c r="O16" s="17">
        <f t="shared" si="2"/>
        <v>1.9444153852395256</v>
      </c>
      <c r="P16" s="15">
        <f>A12*B2/(O16*A10*A11)</f>
        <v>7.4894146316525573E-3</v>
      </c>
      <c r="Q16" s="15">
        <f t="shared" si="3"/>
        <v>1.4562533036223247E-2</v>
      </c>
      <c r="R16" s="15">
        <f t="shared" si="4"/>
        <v>0.58432076869587912</v>
      </c>
      <c r="S16" s="15">
        <f t="shared" si="5"/>
        <v>2.0451226904355768</v>
      </c>
    </row>
    <row r="17" spans="5:19" ht="14.4" x14ac:dyDescent="0.3">
      <c r="E17" s="18">
        <f t="shared" si="6"/>
        <v>3.75</v>
      </c>
      <c r="F17" s="15">
        <f>(60000*A12*B2*E17)/(A11*A10*B4*B3*0.9995)</f>
        <v>8.1955225941726635</v>
      </c>
      <c r="G17" s="15">
        <f>B4*(1-(F17/100))</f>
        <v>4.5902238702913669</v>
      </c>
      <c r="H17" s="15">
        <f t="shared" si="0"/>
        <v>2.0492070849515031E-4</v>
      </c>
      <c r="I17" s="16">
        <f>(A11*A10*A14*H17)/A13</f>
        <v>39.543549118309159</v>
      </c>
      <c r="J17" s="15">
        <f>I17/A9</f>
        <v>3.9543549118309158E-2</v>
      </c>
      <c r="K17" s="15">
        <f>1.229 + (B2-298)*(-44.43/(A11*A10))+ (A12*B2*LOG(G17*SQRT(B5)))/(A11*A10)</f>
        <v>1.2294282558353791</v>
      </c>
      <c r="L17" s="15">
        <f t="shared" si="1"/>
        <v>1.2294282558353791</v>
      </c>
      <c r="M17" s="15">
        <f xml:space="preserve"> -A12*B2*LOG(1-E17/I17)/(A11*A10)</f>
        <v>6.3013365569151601E-4</v>
      </c>
      <c r="N17" s="15">
        <f xml:space="preserve"> E17*B6</f>
        <v>0.67499999999999993</v>
      </c>
      <c r="O17" s="17">
        <f t="shared" si="2"/>
        <v>1.9769556221399256</v>
      </c>
      <c r="P17" s="15">
        <f>A12*B2/(O17*A10*A11)</f>
        <v>7.3661405815777774E-3</v>
      </c>
      <c r="Q17" s="15">
        <f t="shared" si="3"/>
        <v>1.4562533036223249E-2</v>
      </c>
      <c r="R17" s="15">
        <f t="shared" si="4"/>
        <v>0.53923558914346437</v>
      </c>
      <c r="S17" s="15">
        <f t="shared" si="5"/>
        <v>2.0221334592879914</v>
      </c>
    </row>
    <row r="18" spans="5:19" ht="14.4" x14ac:dyDescent="0.3">
      <c r="E18" s="18">
        <f t="shared" si="6"/>
        <v>4</v>
      </c>
      <c r="F18" s="15">
        <f>(60000*A12*B2*E18)/(A11*A10*B4*B3*0.9995)</f>
        <v>8.741890767117507</v>
      </c>
      <c r="G18" s="15">
        <f>B4*(1-(F18/100))</f>
        <v>4.5629054616441245</v>
      </c>
      <c r="H18" s="15">
        <f t="shared" si="0"/>
        <v>2.0370113668054127E-4</v>
      </c>
      <c r="I18" s="16">
        <f>(A11*A10*A14*H18)/A13</f>
        <v>39.308208345244047</v>
      </c>
      <c r="J18" s="15">
        <f>I18/A9</f>
        <v>3.9308208345244046E-2</v>
      </c>
      <c r="K18" s="15">
        <f>1.229 + (B2-298)*(-44.43/(A11*A10))+ (A12*B2*LOG(G18*SQRT(B5)))/(A11*A10)</f>
        <v>1.2293905039784536</v>
      </c>
      <c r="L18" s="15">
        <f t="shared" si="1"/>
        <v>1.2293905039784536</v>
      </c>
      <c r="M18" s="15">
        <f xml:space="preserve"> -A12*B2*LOG(1-E18/I18)/(A11*A10)</f>
        <v>6.7872425873400548E-4</v>
      </c>
      <c r="N18" s="15">
        <f xml:space="preserve"> E18*B6</f>
        <v>0.72</v>
      </c>
      <c r="O18" s="17">
        <f t="shared" si="2"/>
        <v>2.0075767420514148</v>
      </c>
      <c r="P18" s="15">
        <f>A12*B2/(O18*A10*A11)</f>
        <v>7.2537864835705967E-3</v>
      </c>
      <c r="Q18" s="15">
        <f t="shared" si="3"/>
        <v>1.4562533036223247E-2</v>
      </c>
      <c r="R18" s="15">
        <f t="shared" si="4"/>
        <v>0.49414924668349636</v>
      </c>
      <c r="S18" s="15">
        <f t="shared" si="5"/>
        <v>1.9765969867339854</v>
      </c>
    </row>
    <row r="19" spans="5:19" x14ac:dyDescent="0.35">
      <c r="E19" s="4"/>
    </row>
    <row r="20" spans="5:19" x14ac:dyDescent="0.35">
      <c r="E20" s="4"/>
    </row>
  </sheetData>
  <sheetProtection algorithmName="SHA-512" hashValue="jIsP3upIK0UY5DTPPcAKlIdOm1n+oYjS/1uHNTt6mSFSUnSA5XmG2MWPH7MRKsVjj5vgbVZrfkrHBAVsD5eV6g==" saltValue="OyLwHc1zQT+VhAiSAsY71g==" spinCount="100000" sheet="1" objects="1" scenarios="1" selectLockedCells="1"/>
  <dataValidations count="7">
    <dataValidation allowBlank="1" showInputMessage="1" showErrorMessage="1" promptTitle="K" prompt="K - relation between i0 and iL_x000a_" sqref="A9" xr:uid="{3A03B3A4-5CCB-467A-87E8-CD4FB5CFB602}"/>
    <dataValidation allowBlank="1" showInputMessage="1" showErrorMessage="1" promptTitle="F" prompt="Faraday Constant_x000a_" sqref="A10" xr:uid="{409820D0-B2FC-400F-979B-061988DC032C}"/>
    <dataValidation allowBlank="1" showInputMessage="1" showErrorMessage="1" promptTitle="Z" prompt="No. of electrons" sqref="A11" xr:uid="{DC407789-5F40-4DCB-942D-DEB49462DB33}"/>
    <dataValidation allowBlank="1" showInputMessage="1" showErrorMessage="1" promptTitle="R" prompt="Gas Constant" sqref="A12" xr:uid="{CCE1FCCB-752E-40B7-9C1B-A5957F7D2F15}"/>
    <dataValidation allowBlank="1" showInputMessage="1" showErrorMessage="1" promptTitle="δ" prompt="Diffusion layer thickness_x000a_" sqref="A13" xr:uid="{87E87322-569A-4C73-8BE2-28874A2D7779}"/>
    <dataValidation allowBlank="1" showInputMessage="1" showErrorMessage="1" promptTitle="Deff" prompt="Diffusion Coefficient_x000a_" sqref="A14" xr:uid="{1995D68E-82C7-4F40-9AC6-FF5D59EABEB3}"/>
    <dataValidation allowBlank="1" showInputMessage="1" showErrorMessage="1" promptTitle="Kc" prompt="Nominal voltage ratio" sqref="A15" xr:uid="{8E95D71F-D970-4EC4-8C3D-D85504B16EE1}"/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Navedya</dc:creator>
  <cp:lastModifiedBy>Navedya</cp:lastModifiedBy>
  <dcterms:created xsi:type="dcterms:W3CDTF">2020-01-13T06:21:16Z</dcterms:created>
  <dcterms:modified xsi:type="dcterms:W3CDTF">2020-01-29T08:12:02Z</dcterms:modified>
</cp:coreProperties>
</file>